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24226"/>
  <xr:revisionPtr revIDLastSave="0" documentId="13_ncr:1_{BD0F4425-8735-4A4B-BA06-EF4D3DAAA4BE}" xr6:coauthVersionLast="45" xr6:coauthVersionMax="46" xr10:uidLastSave="{00000000-0000-0000-0000-000000000000}"/>
  <bookViews>
    <workbookView xWindow="-110" yWindow="-110" windowWidth="19420" windowHeight="11620" tabRatio="765" activeTab="1" xr2:uid="{00000000-000D-0000-FFFF-FFFF00000000}"/>
  </bookViews>
  <sheets>
    <sheet name="Annex3_BudgetPlan" sheetId="36" r:id="rId1"/>
    <sheet name="Table 11 (2) Result of EIRR" sheetId="30" r:id="rId2"/>
    <sheet name="Table 12 Sensitivity Analysis" sheetId="27" r:id="rId3"/>
    <sheet name="Table 11 (1)_Summary of EIRR" sheetId="25" r:id="rId4"/>
    <sheet name="Annex9_2.3_BenefitAgriculture" sheetId="31" r:id="rId5"/>
    <sheet name="Annex9_2.3_CropBudget" sheetId="38" r:id="rId6"/>
    <sheet name="Annex5_BnefitGHG" sheetId="37" r:id="rId7"/>
    <sheet name="Annex9_CarbonOffset" sheetId="39" r:id="rId8"/>
  </sheets>
  <externalReferences>
    <externalReference r:id="rId9"/>
    <externalReference r:id="rId10"/>
  </externalReferences>
  <definedNames>
    <definedName name="_dd" localSheetId="6" hidden="1">#REF!</definedName>
    <definedName name="_dd" localSheetId="7" hidden="1">#REF!</definedName>
    <definedName name="_dd" localSheetId="1" hidden="1">#REF!</definedName>
    <definedName name="_dd" hidden="1">#REF!</definedName>
    <definedName name="_Fill" localSheetId="6" hidden="1">#REF!</definedName>
    <definedName name="_Fill" localSheetId="1" hidden="1">#REF!</definedName>
    <definedName name="_Fill" localSheetId="2" hidden="1">#REF!</definedName>
    <definedName name="_Fill" hidden="1">#REF!</definedName>
    <definedName name="_Toc508353153" localSheetId="6">#REF!</definedName>
    <definedName name="_Toc508353153" localSheetId="1">#REF!</definedName>
    <definedName name="_Toc508353153" localSheetId="2">#REF!</definedName>
    <definedName name="_Toc508353153">#REF!</definedName>
    <definedName name="a" localSheetId="1" hidden="1">#REF!</definedName>
    <definedName name="a" localSheetId="2" hidden="1">#REF!</definedName>
    <definedName name="a" hidden="1">#REF!</definedName>
    <definedName name="aa" localSheetId="1">[1]NCONG!#REF!</definedName>
    <definedName name="aa" localSheetId="2">[1]NCONG!#REF!</definedName>
    <definedName name="aa">[1]NCONG!#REF!</definedName>
    <definedName name="aaa" localSheetId="6" hidden="1">#REF!</definedName>
    <definedName name="aaa" localSheetId="7" hidden="1">#REF!</definedName>
    <definedName name="aaa" localSheetId="1" hidden="1">#REF!</definedName>
    <definedName name="aaa" localSheetId="2" hidden="1">#REF!</definedName>
    <definedName name="aaa" hidden="1">#REF!</definedName>
    <definedName name="aaaa" localSheetId="6">[1]DTCT!#REF!</definedName>
    <definedName name="aaaa" localSheetId="7">[1]DTCT!#REF!</definedName>
    <definedName name="aaaa" localSheetId="1">[1]DTCT!#REF!</definedName>
    <definedName name="aaaa" localSheetId="2">[1]DTCT!#REF!</definedName>
    <definedName name="aaaa">[1]DTCT!#REF!</definedName>
    <definedName name="asdasd" localSheetId="6">#REF!</definedName>
    <definedName name="asdasd" localSheetId="7">#REF!</definedName>
    <definedName name="asdasd">#REF!</definedName>
    <definedName name="asdasdasdasda" localSheetId="6">#REF!</definedName>
    <definedName name="asdasdasdasda">#REF!</definedName>
    <definedName name="Assss" localSheetId="6">#REF!</definedName>
    <definedName name="Assss">#REF!</definedName>
    <definedName name="Categories">OFFSET('[2]Title Lists'!$F$2,0,0,COUNTA('[2]Title Lists'!$F:$F)-1,1)</definedName>
    <definedName name="Components">OFFSET('[2]Title Lists'!$B$2,0,0,COUNTA('[2]Title Lists'!$B:$B)-1,1)</definedName>
    <definedName name="DAODAT" localSheetId="6">[1]NCONG!#REF!</definedName>
    <definedName name="DAODAT" localSheetId="7">[1]NCONG!#REF!</definedName>
    <definedName name="DAODAT" localSheetId="1">[1]NCONG!#REF!</definedName>
    <definedName name="DAODAT" localSheetId="2">[1]NCONG!#REF!</definedName>
    <definedName name="DAODAT">[1]NCONG!#REF!</definedName>
    <definedName name="DAYSU" localSheetId="6">[1]DTCT!#REF!</definedName>
    <definedName name="DAYSU" localSheetId="7">[1]DTCT!#REF!</definedName>
    <definedName name="DAYSU" localSheetId="1">[1]DTCT!#REF!</definedName>
    <definedName name="DAYSU" localSheetId="2">[1]DTCT!#REF!</definedName>
    <definedName name="DAYSU">[1]DTCT!#REF!</definedName>
    <definedName name="dewfr" localSheetId="6" hidden="1">#REF!</definedName>
    <definedName name="dewfr" localSheetId="7" hidden="1">#REF!</definedName>
    <definedName name="dewfr" hidden="1">#REF!</definedName>
    <definedName name="df" localSheetId="6">[1]NCONG!#REF!</definedName>
    <definedName name="df" localSheetId="7">[1]NCONG!#REF!</definedName>
    <definedName name="df" localSheetId="1">[1]NCONG!#REF!</definedName>
    <definedName name="df">[1]NCONG!#REF!</definedName>
    <definedName name="dfd" localSheetId="6">[1]DTCT!#REF!</definedName>
    <definedName name="dfd" localSheetId="7">[1]DTCT!#REF!</definedName>
    <definedName name="dfd" localSheetId="1">[1]DTCT!#REF!</definedName>
    <definedName name="dfd">[1]DTCT!#REF!</definedName>
    <definedName name="DUNGCOT" localSheetId="6">[1]NCONG!#REF!</definedName>
    <definedName name="DUNGCOT" localSheetId="1">[1]NCONG!#REF!</definedName>
    <definedName name="DUNGCOT" localSheetId="2">[1]NCONG!#REF!</definedName>
    <definedName name="DUNGCOT">[1]NCONG!#REF!</definedName>
    <definedName name="edfe" localSheetId="6">[1]NCONG!#REF!</definedName>
    <definedName name="edfe">[1]NCONG!#REF!</definedName>
    <definedName name="efef" localSheetId="6" hidden="1">#REF!</definedName>
    <definedName name="efef" hidden="1">#REF!</definedName>
    <definedName name="ererdere" localSheetId="6">[1]NCONG!#REF!</definedName>
    <definedName name="ererdere">[1]NCONG!#REF!</definedName>
    <definedName name="Funding">OFFSET('[2]Title Lists'!$H$2,0,0,COUNTA('[2]Title Lists'!$H:$H)-1,1)</definedName>
    <definedName name="gsdgsg" localSheetId="6">[1]DTCT!#REF!</definedName>
    <definedName name="gsdgsg" localSheetId="7">[1]DTCT!#REF!</definedName>
    <definedName name="gsdgsg" localSheetId="1">[1]DTCT!#REF!</definedName>
    <definedName name="gsdgsg" localSheetId="2">[1]DTCT!#REF!</definedName>
    <definedName name="gsdgsg">[1]DTCT!#REF!</definedName>
    <definedName name="KEODAY" localSheetId="6">[1]NCONG!#REF!</definedName>
    <definedName name="KEODAY" localSheetId="7">[1]NCONG!#REF!</definedName>
    <definedName name="KEODAY" localSheetId="1">[1]NCONG!#REF!</definedName>
    <definedName name="KEODAY" localSheetId="2">[1]NCONG!#REF!</definedName>
    <definedName name="KEODAY">[1]NCONG!#REF!</definedName>
    <definedName name="LAPSUTIEPDIA" localSheetId="6">[1]NCONG!#REF!</definedName>
    <definedName name="LAPSUTIEPDIA" localSheetId="1">[1]NCONG!#REF!</definedName>
    <definedName name="LAPSUTIEPDIA" localSheetId="2">[1]NCONG!#REF!</definedName>
    <definedName name="LAPSUTIEPDIA">[1]NCONG!#REF!</definedName>
    <definedName name="LAPXA" localSheetId="6">[1]NCONG!#REF!</definedName>
    <definedName name="LAPXA" localSheetId="1">[1]NCONG!#REF!</definedName>
    <definedName name="LAPXA" localSheetId="2">[1]NCONG!#REF!</definedName>
    <definedName name="LAPXA">[1]NCONG!#REF!</definedName>
    <definedName name="nnn" localSheetId="1">[1]NCONG!#REF!</definedName>
    <definedName name="nnn" localSheetId="2">[1]NCONG!#REF!</definedName>
    <definedName name="nnn">[1]NCONG!#REF!</definedName>
    <definedName name="nnnnn" localSheetId="1">[1]NCONG!#REF!</definedName>
    <definedName name="nnnnn" localSheetId="2">[1]NCONG!#REF!</definedName>
    <definedName name="nnnnn">[1]NCONG!#REF!</definedName>
    <definedName name="nnnnnn" localSheetId="1">[1]NCONG!#REF!</definedName>
    <definedName name="nnnnnn" localSheetId="2">[1]NCONG!#REF!</definedName>
    <definedName name="nnnnnn">[1]NCONG!#REF!</definedName>
    <definedName name="nnnnnnnnn" localSheetId="1">[1]DTCT!#REF!</definedName>
    <definedName name="nnnnnnnnn" localSheetId="2">[1]DTCT!#REF!</definedName>
    <definedName name="nnnnnnnnn">[1]DTCT!#REF!</definedName>
    <definedName name="Outputs">OFFSET('[2]Title Lists'!$D$2,0,0,COUNTA('[2]Title Lists'!$D:$D)-1,1)</definedName>
    <definedName name="_xlnm.Print_Area" localSheetId="0">Annex3_BudgetPlan!$A$1:$N$54</definedName>
    <definedName name="_xlnm.Print_Area" localSheetId="3">'Table 11 (1)_Summary of EIRR'!$A$1:$L$27</definedName>
    <definedName name="_xlnm.Print_Area" localSheetId="1">'Table 11 (2) Result of EIRR'!$A$2:$Z$90</definedName>
    <definedName name="_xlnm.Print_Area" localSheetId="2">'Table 12 Sensitivity Analysis'!$A$1:$AB$27</definedName>
    <definedName name="sdf" localSheetId="6" hidden="1">#REF!</definedName>
    <definedName name="sdf" localSheetId="7" hidden="1">#REF!</definedName>
    <definedName name="sdf" localSheetId="1" hidden="1">#REF!</definedName>
    <definedName name="sdf" hidden="1">#REF!</definedName>
    <definedName name="sfsdgsg" localSheetId="6">[1]NCONG!#REF!</definedName>
    <definedName name="sfsdgsg" localSheetId="7">[1]NCONG!#REF!</definedName>
    <definedName name="sfsdgsg" localSheetId="1">[1]NCONG!#REF!</definedName>
    <definedName name="sfsdgsg" localSheetId="2">[1]NCONG!#REF!</definedName>
    <definedName name="sfsdgsg">[1]NCONG!#REF!</definedName>
    <definedName name="XAHATHE" localSheetId="6">[1]DTCT!#REF!</definedName>
    <definedName name="XAHATHE" localSheetId="7">[1]DTCT!#REF!</definedName>
    <definedName name="XAHATHE" localSheetId="1">[1]DTCT!#REF!</definedName>
    <definedName name="XAHATHE" localSheetId="2">[1]DTCT!#REF!</definedName>
    <definedName name="XAHATHE">[1]DTCT!#REF!</definedName>
    <definedName name="化石燃料種別1" localSheetId="6">#REF!</definedName>
    <definedName name="化石燃料種別1" localSheetId="7">#REF!</definedName>
    <definedName name="化石燃料種別1">#REF!</definedName>
    <definedName name="化石燃料種別2" localSheetId="6">#REF!</definedName>
    <definedName name="化石燃料種別2">#REF!</definedName>
    <definedName name="化石燃料種別3" localSheetId="6">#REF!</definedName>
    <definedName name="化石燃料種別3">#REF!</definedName>
    <definedName name="係数種別1">#REF!</definedName>
    <definedName name="係数種別2">#REF!</definedName>
    <definedName name="係数種別3">#REF!</definedName>
    <definedName name="植物種別1">#REF!</definedName>
    <definedName name="植物種別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2" i="30" l="1"/>
  <c r="F91" i="30"/>
  <c r="M32" i="30" l="1"/>
  <c r="M8" i="30"/>
  <c r="N55" i="30"/>
  <c r="H47" i="30"/>
  <c r="I47" i="30"/>
  <c r="J47" i="30"/>
  <c r="K47" i="30"/>
  <c r="L47" i="30"/>
  <c r="M47" i="30"/>
  <c r="G47" i="30"/>
  <c r="H35" i="30"/>
  <c r="I35" i="30"/>
  <c r="J35" i="30"/>
  <c r="K35" i="30"/>
  <c r="L35" i="30"/>
  <c r="M35" i="30"/>
  <c r="G35" i="30"/>
  <c r="H23" i="30"/>
  <c r="I23" i="30"/>
  <c r="J23" i="30"/>
  <c r="K23" i="30"/>
  <c r="L23" i="30"/>
  <c r="M23" i="30"/>
  <c r="G23" i="30"/>
  <c r="H11" i="30"/>
  <c r="I11" i="30"/>
  <c r="J11" i="30"/>
  <c r="K11" i="30"/>
  <c r="L11" i="30"/>
  <c r="M11" i="30"/>
  <c r="G11" i="30"/>
  <c r="G6" i="30" s="1"/>
  <c r="G7" i="30"/>
  <c r="M46" i="30" l="1"/>
  <c r="L46" i="30"/>
  <c r="K46" i="30"/>
  <c r="J46" i="30"/>
  <c r="I46" i="30"/>
  <c r="H46" i="30"/>
  <c r="G46" i="30"/>
  <c r="M34" i="30"/>
  <c r="L34" i="30"/>
  <c r="K34" i="30"/>
  <c r="J34" i="30"/>
  <c r="I34" i="30"/>
  <c r="H34" i="30"/>
  <c r="G34" i="30"/>
  <c r="M22" i="30"/>
  <c r="L22" i="30"/>
  <c r="K22" i="30"/>
  <c r="J22" i="30"/>
  <c r="I22" i="30"/>
  <c r="H22" i="30"/>
  <c r="M10" i="30"/>
  <c r="L10" i="30"/>
  <c r="K10" i="30"/>
  <c r="J10" i="30"/>
  <c r="I10" i="30"/>
  <c r="H10" i="30"/>
  <c r="G22" i="30"/>
  <c r="G10" i="30"/>
  <c r="N10" i="30" l="1"/>
  <c r="G58" i="30"/>
  <c r="C23" i="38" l="1"/>
  <c r="C24" i="38" l="1"/>
  <c r="C9" i="38"/>
  <c r="C8" i="38"/>
  <c r="C57" i="31" l="1"/>
  <c r="I10" i="31"/>
  <c r="G26" i="38"/>
  <c r="C31" i="31"/>
  <c r="N14" i="38"/>
  <c r="N13" i="38"/>
  <c r="N9" i="38"/>
  <c r="N8" i="38"/>
  <c r="H39" i="31"/>
  <c r="H34" i="31"/>
  <c r="H33" i="31"/>
  <c r="H32" i="31"/>
  <c r="C32" i="31"/>
  <c r="H7" i="31"/>
  <c r="K37" i="31"/>
  <c r="C36" i="31"/>
  <c r="C35" i="31"/>
  <c r="C34" i="31"/>
  <c r="J26" i="31"/>
  <c r="H26" i="31"/>
  <c r="I11" i="31"/>
  <c r="I9" i="31"/>
  <c r="I8" i="31"/>
  <c r="I7" i="31"/>
  <c r="H8" i="31"/>
  <c r="H6" i="31"/>
  <c r="H37" i="30" l="1"/>
  <c r="Z51" i="30"/>
  <c r="Y51" i="30"/>
  <c r="X51" i="30"/>
  <c r="W51" i="30"/>
  <c r="V51" i="30"/>
  <c r="U51" i="30"/>
  <c r="T51" i="30"/>
  <c r="S51" i="30"/>
  <c r="R51" i="30"/>
  <c r="Q51" i="30"/>
  <c r="P51" i="30"/>
  <c r="O51" i="30"/>
  <c r="N51" i="30"/>
  <c r="M51" i="30"/>
  <c r="L51" i="30"/>
  <c r="K51" i="30"/>
  <c r="J51" i="30"/>
  <c r="I51" i="30"/>
  <c r="H51" i="30"/>
  <c r="G51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Z27" i="30"/>
  <c r="Y27" i="30"/>
  <c r="X27" i="30"/>
  <c r="W27" i="30"/>
  <c r="V27" i="30"/>
  <c r="U27" i="30"/>
  <c r="T27" i="30"/>
  <c r="S27" i="30"/>
  <c r="R27" i="30"/>
  <c r="Q27" i="30"/>
  <c r="P27" i="30"/>
  <c r="O27" i="30"/>
  <c r="N27" i="30"/>
  <c r="M27" i="30"/>
  <c r="L27" i="30"/>
  <c r="K27" i="30"/>
  <c r="J27" i="30"/>
  <c r="I27" i="30"/>
  <c r="H27" i="30"/>
  <c r="G27" i="30"/>
  <c r="Z15" i="30"/>
  <c r="Z63" i="30" s="1"/>
  <c r="J25" i="25" s="1"/>
  <c r="Y15" i="30"/>
  <c r="Y63" i="30" s="1"/>
  <c r="J24" i="25" s="1"/>
  <c r="X15" i="30"/>
  <c r="X63" i="30" s="1"/>
  <c r="J23" i="25" s="1"/>
  <c r="W15" i="30"/>
  <c r="W63" i="30" s="1"/>
  <c r="J22" i="25" s="1"/>
  <c r="V15" i="30"/>
  <c r="V63" i="30" s="1"/>
  <c r="J21" i="25" s="1"/>
  <c r="U15" i="30"/>
  <c r="U63" i="30" s="1"/>
  <c r="J20" i="25" s="1"/>
  <c r="T15" i="30"/>
  <c r="T63" i="30" s="1"/>
  <c r="J19" i="25" s="1"/>
  <c r="S15" i="30"/>
  <c r="S63" i="30" s="1"/>
  <c r="J18" i="25" s="1"/>
  <c r="R15" i="30"/>
  <c r="R63" i="30" s="1"/>
  <c r="J17" i="25" s="1"/>
  <c r="Q15" i="30"/>
  <c r="Q63" i="30" s="1"/>
  <c r="J16" i="25" s="1"/>
  <c r="P15" i="30"/>
  <c r="P63" i="30" s="1"/>
  <c r="J15" i="25" s="1"/>
  <c r="O15" i="30"/>
  <c r="O63" i="30" s="1"/>
  <c r="J14" i="25" s="1"/>
  <c r="N15" i="30"/>
  <c r="N63" i="30" s="1"/>
  <c r="J13" i="25" s="1"/>
  <c r="M15" i="30"/>
  <c r="M63" i="30" s="1"/>
  <c r="J12" i="25" s="1"/>
  <c r="L15" i="30"/>
  <c r="L63" i="30" s="1"/>
  <c r="J11" i="25" s="1"/>
  <c r="K15" i="30"/>
  <c r="K63" i="30" s="1"/>
  <c r="J10" i="25" s="1"/>
  <c r="J15" i="30"/>
  <c r="J63" i="30" s="1"/>
  <c r="J9" i="25" s="1"/>
  <c r="I15" i="30"/>
  <c r="I63" i="30" s="1"/>
  <c r="J8" i="25" s="1"/>
  <c r="H15" i="30"/>
  <c r="H63" i="30" s="1"/>
  <c r="J7" i="25" s="1"/>
  <c r="G15" i="30"/>
  <c r="G63" i="30" s="1"/>
  <c r="J6" i="25" s="1"/>
  <c r="G14" i="30"/>
  <c r="G39" i="39"/>
  <c r="F39" i="39"/>
  <c r="E39" i="39"/>
  <c r="D39" i="39"/>
  <c r="H39" i="39" s="1"/>
  <c r="G38" i="39"/>
  <c r="F38" i="39"/>
  <c r="E38" i="39"/>
  <c r="D38" i="39"/>
  <c r="H38" i="39" s="1"/>
  <c r="G37" i="39"/>
  <c r="F37" i="39"/>
  <c r="E37" i="39"/>
  <c r="D37" i="39"/>
  <c r="H37" i="39" s="1"/>
  <c r="G36" i="39"/>
  <c r="F36" i="39"/>
  <c r="E36" i="39"/>
  <c r="D36" i="39"/>
  <c r="H36" i="39" s="1"/>
  <c r="G35" i="39"/>
  <c r="F35" i="39"/>
  <c r="E35" i="39"/>
  <c r="D35" i="39"/>
  <c r="H35" i="39" s="1"/>
  <c r="G34" i="39"/>
  <c r="F34" i="39"/>
  <c r="E34" i="39"/>
  <c r="D34" i="39"/>
  <c r="Z26" i="39"/>
  <c r="Z25" i="39"/>
  <c r="Z24" i="39"/>
  <c r="Z23" i="39"/>
  <c r="Z22" i="39"/>
  <c r="Z21" i="39"/>
  <c r="Z20" i="39"/>
  <c r="Z19" i="39"/>
  <c r="Z18" i="39"/>
  <c r="Z17" i="39"/>
  <c r="Z16" i="39"/>
  <c r="Z15" i="39"/>
  <c r="Z14" i="39"/>
  <c r="H14" i="39"/>
  <c r="Z13" i="39"/>
  <c r="N13" i="39"/>
  <c r="M13" i="39"/>
  <c r="H13" i="39"/>
  <c r="Z12" i="39"/>
  <c r="T12" i="39"/>
  <c r="O11" i="39" s="1"/>
  <c r="H12" i="39"/>
  <c r="Z11" i="39"/>
  <c r="H11" i="39"/>
  <c r="Z10" i="39"/>
  <c r="H10" i="39"/>
  <c r="Z9" i="39"/>
  <c r="O9" i="39"/>
  <c r="D28" i="39" s="1"/>
  <c r="H9" i="39"/>
  <c r="Z8" i="39"/>
  <c r="Z7" i="39"/>
  <c r="F39" i="30" l="1"/>
  <c r="F27" i="30"/>
  <c r="E51" i="30"/>
  <c r="F15" i="30"/>
  <c r="F63" i="30"/>
  <c r="J26" i="25"/>
  <c r="F51" i="30"/>
  <c r="E63" i="30"/>
  <c r="E39" i="30"/>
  <c r="E27" i="30"/>
  <c r="E15" i="30"/>
  <c r="F28" i="39"/>
  <c r="F53" i="39" s="1"/>
  <c r="F27" i="39"/>
  <c r="F52" i="39" s="1"/>
  <c r="F25" i="39"/>
  <c r="F50" i="39" s="1"/>
  <c r="F23" i="39"/>
  <c r="F48" i="39" s="1"/>
  <c r="F21" i="39"/>
  <c r="F46" i="39" s="1"/>
  <c r="F19" i="39"/>
  <c r="F44" i="39" s="1"/>
  <c r="F17" i="39"/>
  <c r="F42" i="39" s="1"/>
  <c r="F15" i="39"/>
  <c r="F26" i="39"/>
  <c r="F51" i="39" s="1"/>
  <c r="F24" i="39"/>
  <c r="F49" i="39" s="1"/>
  <c r="F22" i="39"/>
  <c r="F47" i="39" s="1"/>
  <c r="F20" i="39"/>
  <c r="F45" i="39" s="1"/>
  <c r="F18" i="39"/>
  <c r="F43" i="39" s="1"/>
  <c r="F16" i="39"/>
  <c r="F41" i="39" s="1"/>
  <c r="D53" i="39"/>
  <c r="O10" i="39"/>
  <c r="D15" i="39"/>
  <c r="D17" i="39"/>
  <c r="D19" i="39"/>
  <c r="D21" i="39"/>
  <c r="D23" i="39"/>
  <c r="D25" i="39"/>
  <c r="D27" i="39"/>
  <c r="O12" i="39"/>
  <c r="D16" i="39"/>
  <c r="D18" i="39"/>
  <c r="D20" i="39"/>
  <c r="D22" i="39"/>
  <c r="D24" i="39"/>
  <c r="D26" i="39"/>
  <c r="H34" i="39"/>
  <c r="F57" i="31"/>
  <c r="E57" i="31"/>
  <c r="D31" i="31"/>
  <c r="E31" i="31"/>
  <c r="D57" i="31"/>
  <c r="G13" i="31"/>
  <c r="H13" i="31"/>
  <c r="J13" i="31"/>
  <c r="L13" i="31"/>
  <c r="N13" i="31"/>
  <c r="G14" i="31"/>
  <c r="H14" i="31"/>
  <c r="J14" i="31"/>
  <c r="L14" i="31"/>
  <c r="N14" i="31"/>
  <c r="G15" i="31"/>
  <c r="H15" i="31"/>
  <c r="J15" i="31"/>
  <c r="L15" i="31"/>
  <c r="N15" i="31"/>
  <c r="D49" i="39" l="1"/>
  <c r="D48" i="39"/>
  <c r="H23" i="39"/>
  <c r="G27" i="39"/>
  <c r="G52" i="39" s="1"/>
  <c r="G25" i="39"/>
  <c r="G50" i="39" s="1"/>
  <c r="G23" i="39"/>
  <c r="G48" i="39" s="1"/>
  <c r="G21" i="39"/>
  <c r="G46" i="39" s="1"/>
  <c r="G19" i="39"/>
  <c r="G44" i="39" s="1"/>
  <c r="G17" i="39"/>
  <c r="G42" i="39" s="1"/>
  <c r="G15" i="39"/>
  <c r="H15" i="39" s="1"/>
  <c r="G22" i="39"/>
  <c r="G47" i="39" s="1"/>
  <c r="G18" i="39"/>
  <c r="G43" i="39" s="1"/>
  <c r="G16" i="39"/>
  <c r="G41" i="39" s="1"/>
  <c r="G28" i="39"/>
  <c r="G53" i="39" s="1"/>
  <c r="G26" i="39"/>
  <c r="G51" i="39" s="1"/>
  <c r="G24" i="39"/>
  <c r="G49" i="39" s="1"/>
  <c r="G20" i="39"/>
  <c r="G45" i="39" s="1"/>
  <c r="D45" i="39"/>
  <c r="H45" i="39" s="1"/>
  <c r="D52" i="39"/>
  <c r="H19" i="39"/>
  <c r="D44" i="39"/>
  <c r="E26" i="39"/>
  <c r="E51" i="39" s="1"/>
  <c r="E24" i="39"/>
  <c r="E49" i="39" s="1"/>
  <c r="E22" i="39"/>
  <c r="E47" i="39" s="1"/>
  <c r="E20" i="39"/>
  <c r="E45" i="39" s="1"/>
  <c r="E18" i="39"/>
  <c r="E43" i="39" s="1"/>
  <c r="E16" i="39"/>
  <c r="E41" i="39" s="1"/>
  <c r="E21" i="39"/>
  <c r="E46" i="39" s="1"/>
  <c r="E17" i="39"/>
  <c r="E42" i="39" s="1"/>
  <c r="E28" i="39"/>
  <c r="E27" i="39"/>
  <c r="E52" i="39" s="1"/>
  <c r="E25" i="39"/>
  <c r="E50" i="39" s="1"/>
  <c r="E23" i="39"/>
  <c r="E48" i="39" s="1"/>
  <c r="E15" i="39"/>
  <c r="E19" i="39"/>
  <c r="E44" i="39" s="1"/>
  <c r="F40" i="39"/>
  <c r="F54" i="39" s="1"/>
  <c r="F29" i="39"/>
  <c r="D41" i="39"/>
  <c r="H16" i="39"/>
  <c r="D29" i="39"/>
  <c r="D40" i="39"/>
  <c r="D47" i="39"/>
  <c r="H47" i="39" s="1"/>
  <c r="D46" i="39"/>
  <c r="O13" i="39"/>
  <c r="H26" i="39"/>
  <c r="D51" i="39"/>
  <c r="H18" i="39"/>
  <c r="D43" i="39"/>
  <c r="H43" i="39" s="1"/>
  <c r="D50" i="39"/>
  <c r="H50" i="39" s="1"/>
  <c r="D42" i="39"/>
  <c r="H42" i="39" s="1"/>
  <c r="H17" i="39"/>
  <c r="P15" i="31"/>
  <c r="P13" i="31"/>
  <c r="P14" i="31"/>
  <c r="K29" i="38"/>
  <c r="K28" i="38"/>
  <c r="H22" i="39" l="1"/>
  <c r="H21" i="39"/>
  <c r="H41" i="39"/>
  <c r="E29" i="39"/>
  <c r="E40" i="39"/>
  <c r="E53" i="39"/>
  <c r="H53" i="39" s="1"/>
  <c r="H28" i="39"/>
  <c r="H52" i="39"/>
  <c r="H24" i="39"/>
  <c r="H27" i="39"/>
  <c r="G29" i="39"/>
  <c r="G40" i="39"/>
  <c r="G54" i="39" s="1"/>
  <c r="H48" i="39"/>
  <c r="H25" i="39"/>
  <c r="H51" i="39"/>
  <c r="H46" i="39"/>
  <c r="H40" i="39"/>
  <c r="D54" i="39"/>
  <c r="H44" i="39"/>
  <c r="H20" i="39"/>
  <c r="H29" i="39" s="1"/>
  <c r="H49" i="39"/>
  <c r="E9" i="38"/>
  <c r="G9" i="38" s="1"/>
  <c r="E24" i="38"/>
  <c r="G24" i="38" s="1"/>
  <c r="E23" i="38"/>
  <c r="G23" i="38" s="1"/>
  <c r="L26" i="38"/>
  <c r="L11" i="38"/>
  <c r="G11" i="38"/>
  <c r="E8" i="38"/>
  <c r="G8" i="38" s="1"/>
  <c r="J24" i="38"/>
  <c r="J29" i="38" s="1"/>
  <c r="N29" i="38" s="1"/>
  <c r="J23" i="38"/>
  <c r="J28" i="38" s="1"/>
  <c r="N28" i="38" s="1"/>
  <c r="J9" i="38"/>
  <c r="J14" i="38" s="1"/>
  <c r="L14" i="38" s="1"/>
  <c r="J8" i="38"/>
  <c r="J13" i="38" s="1"/>
  <c r="L13" i="38" s="1"/>
  <c r="U16" i="31"/>
  <c r="E54" i="39" l="1"/>
  <c r="H54" i="39"/>
  <c r="N23" i="38"/>
  <c r="N24" i="38"/>
  <c r="L29" i="38"/>
  <c r="L23" i="38"/>
  <c r="L28" i="38"/>
  <c r="L24" i="38"/>
  <c r="L9" i="38"/>
  <c r="L8" i="38"/>
  <c r="E29" i="38"/>
  <c r="G29" i="38" s="1"/>
  <c r="E28" i="38"/>
  <c r="G28" i="38" s="1"/>
  <c r="E13" i="38"/>
  <c r="G13" i="38" s="1"/>
  <c r="O13" i="38" s="1"/>
  <c r="V16" i="31" s="1"/>
  <c r="E14" i="38"/>
  <c r="G14" i="38" s="1"/>
  <c r="O14" i="38" s="1"/>
  <c r="V17" i="31" s="1"/>
  <c r="Z49" i="30"/>
  <c r="Y49" i="30"/>
  <c r="X49" i="30"/>
  <c r="W49" i="30"/>
  <c r="V49" i="30"/>
  <c r="U49" i="30"/>
  <c r="T49" i="30"/>
  <c r="S49" i="30"/>
  <c r="R49" i="30"/>
  <c r="Q49" i="30"/>
  <c r="P49" i="30"/>
  <c r="O49" i="30"/>
  <c r="N49" i="30"/>
  <c r="M49" i="30"/>
  <c r="L49" i="30"/>
  <c r="K49" i="30"/>
  <c r="J49" i="30"/>
  <c r="I49" i="30"/>
  <c r="H49" i="30"/>
  <c r="G49" i="30"/>
  <c r="Z37" i="30"/>
  <c r="Y37" i="30"/>
  <c r="X37" i="30"/>
  <c r="W37" i="30"/>
  <c r="V37" i="30"/>
  <c r="U37" i="30"/>
  <c r="T37" i="30"/>
  <c r="S37" i="30"/>
  <c r="R37" i="30"/>
  <c r="Q37" i="30"/>
  <c r="P37" i="30"/>
  <c r="O37" i="30"/>
  <c r="N37" i="30"/>
  <c r="M37" i="30"/>
  <c r="L37" i="30"/>
  <c r="K37" i="30"/>
  <c r="J37" i="30"/>
  <c r="I37" i="30"/>
  <c r="G37" i="30"/>
  <c r="Z25" i="30"/>
  <c r="Y25" i="30"/>
  <c r="X25" i="30"/>
  <c r="W25" i="30"/>
  <c r="V25" i="30"/>
  <c r="U25" i="30"/>
  <c r="T25" i="30"/>
  <c r="S25" i="30"/>
  <c r="R25" i="30"/>
  <c r="Q25" i="30"/>
  <c r="P25" i="30"/>
  <c r="O25" i="30"/>
  <c r="N25" i="30"/>
  <c r="M25" i="30"/>
  <c r="L25" i="30"/>
  <c r="K25" i="30"/>
  <c r="J25" i="30"/>
  <c r="I25" i="30"/>
  <c r="H25" i="30"/>
  <c r="G25" i="30"/>
  <c r="Z13" i="30"/>
  <c r="Y13" i="30"/>
  <c r="X13" i="30"/>
  <c r="W13" i="30"/>
  <c r="V13" i="30"/>
  <c r="U13" i="30"/>
  <c r="T13" i="30"/>
  <c r="S13" i="30"/>
  <c r="R13" i="30"/>
  <c r="Q13" i="30"/>
  <c r="P13" i="30"/>
  <c r="O13" i="30"/>
  <c r="N13" i="30"/>
  <c r="M13" i="30"/>
  <c r="L13" i="30"/>
  <c r="K13" i="30"/>
  <c r="J13" i="30"/>
  <c r="I13" i="30"/>
  <c r="H13" i="30"/>
  <c r="G13" i="30"/>
  <c r="E89" i="37"/>
  <c r="F89" i="37"/>
  <c r="G89" i="37"/>
  <c r="E90" i="37"/>
  <c r="F90" i="37"/>
  <c r="G90" i="37"/>
  <c r="E91" i="37"/>
  <c r="F91" i="37"/>
  <c r="G91" i="37"/>
  <c r="E92" i="37"/>
  <c r="F92" i="37"/>
  <c r="G92" i="37"/>
  <c r="E93" i="37"/>
  <c r="F93" i="37"/>
  <c r="G93" i="37"/>
  <c r="E94" i="37"/>
  <c r="F94" i="37"/>
  <c r="G94" i="37"/>
  <c r="E95" i="37"/>
  <c r="F95" i="37"/>
  <c r="G95" i="37"/>
  <c r="E96" i="37"/>
  <c r="F96" i="37"/>
  <c r="G96" i="37"/>
  <c r="E97" i="37"/>
  <c r="F97" i="37"/>
  <c r="G97" i="37"/>
  <c r="E98" i="37"/>
  <c r="F98" i="37"/>
  <c r="G98" i="37"/>
  <c r="E99" i="37"/>
  <c r="F99" i="37"/>
  <c r="G99" i="37"/>
  <c r="E100" i="37"/>
  <c r="F100" i="37"/>
  <c r="G100" i="37"/>
  <c r="E101" i="37"/>
  <c r="F101" i="37"/>
  <c r="G101" i="37"/>
  <c r="E102" i="37"/>
  <c r="F102" i="37"/>
  <c r="G102" i="37"/>
  <c r="E103" i="37"/>
  <c r="F103" i="37"/>
  <c r="G103" i="37"/>
  <c r="E104" i="37"/>
  <c r="F104" i="37"/>
  <c r="G104" i="37"/>
  <c r="E105" i="37"/>
  <c r="F105" i="37"/>
  <c r="G105" i="37"/>
  <c r="E106" i="37"/>
  <c r="F106" i="37"/>
  <c r="G106" i="37"/>
  <c r="E107" i="37"/>
  <c r="F107" i="37"/>
  <c r="G107" i="37"/>
  <c r="E88" i="37"/>
  <c r="F88" i="37"/>
  <c r="G88" i="37"/>
  <c r="D89" i="37"/>
  <c r="D90" i="37"/>
  <c r="D91" i="37"/>
  <c r="D92" i="37"/>
  <c r="D93" i="37"/>
  <c r="D94" i="37"/>
  <c r="D95" i="37"/>
  <c r="D96" i="37"/>
  <c r="D97" i="37"/>
  <c r="D98" i="37"/>
  <c r="D99" i="37"/>
  <c r="D100" i="37"/>
  <c r="D101" i="37"/>
  <c r="D102" i="37"/>
  <c r="D103" i="37"/>
  <c r="D104" i="37"/>
  <c r="D105" i="37"/>
  <c r="D106" i="37"/>
  <c r="D107" i="37"/>
  <c r="D88" i="37"/>
  <c r="K276" i="37"/>
  <c r="E276" i="37" s="1"/>
  <c r="E277" i="37" s="1"/>
  <c r="E278" i="37" s="1"/>
  <c r="E279" i="37" s="1"/>
  <c r="E280" i="37" s="1"/>
  <c r="E281" i="37" s="1"/>
  <c r="E282" i="37" s="1"/>
  <c r="E283" i="37" s="1"/>
  <c r="E284" i="37" s="1"/>
  <c r="E285" i="37" s="1"/>
  <c r="E286" i="37" s="1"/>
  <c r="E287" i="37" s="1"/>
  <c r="E288" i="37" s="1"/>
  <c r="E289" i="37" s="1"/>
  <c r="E290" i="37" s="1"/>
  <c r="E291" i="37" s="1"/>
  <c r="K275" i="37"/>
  <c r="K274" i="37"/>
  <c r="D276" i="37" s="1"/>
  <c r="D277" i="37" s="1"/>
  <c r="D278" i="37" s="1"/>
  <c r="D279" i="37" s="1"/>
  <c r="D280" i="37" s="1"/>
  <c r="D281" i="37" s="1"/>
  <c r="D282" i="37" s="1"/>
  <c r="D283" i="37" s="1"/>
  <c r="D284" i="37" s="1"/>
  <c r="D285" i="37" s="1"/>
  <c r="D286" i="37" s="1"/>
  <c r="D287" i="37" s="1"/>
  <c r="D288" i="37" s="1"/>
  <c r="D289" i="37" s="1"/>
  <c r="D290" i="37" s="1"/>
  <c r="D291" i="37" s="1"/>
  <c r="K222" i="37"/>
  <c r="E223" i="37" s="1"/>
  <c r="E224" i="37" s="1"/>
  <c r="E225" i="37" s="1"/>
  <c r="E226" i="37" s="1"/>
  <c r="E227" i="37" s="1"/>
  <c r="E228" i="37" s="1"/>
  <c r="E229" i="37" s="1"/>
  <c r="E230" i="37" s="1"/>
  <c r="E231" i="37" s="1"/>
  <c r="E232" i="37" s="1"/>
  <c r="E233" i="37" s="1"/>
  <c r="E234" i="37" s="1"/>
  <c r="E235" i="37" s="1"/>
  <c r="E236" i="37" s="1"/>
  <c r="E237" i="37" s="1"/>
  <c r="E238" i="37" s="1"/>
  <c r="K221" i="37"/>
  <c r="D223" i="37" s="1"/>
  <c r="D224" i="37" s="1"/>
  <c r="D225" i="37" s="1"/>
  <c r="D226" i="37" s="1"/>
  <c r="D227" i="37" s="1"/>
  <c r="D228" i="37" s="1"/>
  <c r="D229" i="37" s="1"/>
  <c r="D230" i="37" s="1"/>
  <c r="D231" i="37" s="1"/>
  <c r="D232" i="37" s="1"/>
  <c r="D233" i="37" s="1"/>
  <c r="D234" i="37" s="1"/>
  <c r="D235" i="37" s="1"/>
  <c r="D236" i="37" s="1"/>
  <c r="D237" i="37" s="1"/>
  <c r="D238" i="37" s="1"/>
  <c r="D172" i="37"/>
  <c r="D173" i="37" s="1"/>
  <c r="D174" i="37" s="1"/>
  <c r="D175" i="37" s="1"/>
  <c r="D176" i="37" s="1"/>
  <c r="D177" i="37" s="1"/>
  <c r="D178" i="37" s="1"/>
  <c r="D179" i="37" s="1"/>
  <c r="D180" i="37" s="1"/>
  <c r="D181" i="37" s="1"/>
  <c r="D182" i="37" s="1"/>
  <c r="D183" i="37" s="1"/>
  <c r="D184" i="37" s="1"/>
  <c r="D185" i="37" s="1"/>
  <c r="D186" i="37" s="1"/>
  <c r="D187" i="37" s="1"/>
  <c r="K171" i="37"/>
  <c r="E172" i="37" s="1"/>
  <c r="E173" i="37" s="1"/>
  <c r="E174" i="37" s="1"/>
  <c r="E175" i="37" s="1"/>
  <c r="E176" i="37" s="1"/>
  <c r="E177" i="37" s="1"/>
  <c r="E178" i="37" s="1"/>
  <c r="E179" i="37" s="1"/>
  <c r="E180" i="37" s="1"/>
  <c r="E181" i="37" s="1"/>
  <c r="E182" i="37" s="1"/>
  <c r="E183" i="37" s="1"/>
  <c r="E184" i="37" s="1"/>
  <c r="E185" i="37" s="1"/>
  <c r="E186" i="37" s="1"/>
  <c r="E187" i="37" s="1"/>
  <c r="K170" i="37"/>
  <c r="I119" i="37"/>
  <c r="K119" i="37" s="1"/>
  <c r="E121" i="37" s="1"/>
  <c r="E122" i="37" s="1"/>
  <c r="E123" i="37" s="1"/>
  <c r="E124" i="37" s="1"/>
  <c r="E125" i="37" s="1"/>
  <c r="E126" i="37" s="1"/>
  <c r="E127" i="37" s="1"/>
  <c r="E128" i="37" s="1"/>
  <c r="E129" i="37" s="1"/>
  <c r="E130" i="37" s="1"/>
  <c r="E131" i="37" s="1"/>
  <c r="E132" i="37" s="1"/>
  <c r="E133" i="37" s="1"/>
  <c r="E134" i="37" s="1"/>
  <c r="E135" i="37" s="1"/>
  <c r="E136" i="37" s="1"/>
  <c r="K118" i="37"/>
  <c r="D121" i="37" s="1"/>
  <c r="D122" i="37" s="1"/>
  <c r="D123" i="37" s="1"/>
  <c r="D124" i="37" s="1"/>
  <c r="D125" i="37" s="1"/>
  <c r="D126" i="37" s="1"/>
  <c r="D127" i="37" s="1"/>
  <c r="D128" i="37" s="1"/>
  <c r="D129" i="37" s="1"/>
  <c r="AA31" i="37"/>
  <c r="V31" i="37"/>
  <c r="AB30" i="37"/>
  <c r="K7" i="37" s="1"/>
  <c r="W30" i="37"/>
  <c r="AB29" i="37"/>
  <c r="W29" i="37"/>
  <c r="AH28" i="37"/>
  <c r="AG28" i="37"/>
  <c r="AB28" i="37"/>
  <c r="W28" i="37"/>
  <c r="AI27" i="37"/>
  <c r="AB27" i="37"/>
  <c r="W27" i="37"/>
  <c r="AI26" i="37"/>
  <c r="P26" i="37"/>
  <c r="O26" i="37"/>
  <c r="N26" i="37"/>
  <c r="M26" i="37"/>
  <c r="AI25" i="37"/>
  <c r="P25" i="37"/>
  <c r="O25" i="37"/>
  <c r="N25" i="37"/>
  <c r="M25" i="37"/>
  <c r="AI24" i="37"/>
  <c r="AI28" i="37" s="1"/>
  <c r="P24" i="37"/>
  <c r="O24" i="37"/>
  <c r="N24" i="37"/>
  <c r="M24" i="37"/>
  <c r="Q24" i="37" s="1"/>
  <c r="AB23" i="37"/>
  <c r="W23" i="37"/>
  <c r="V23" i="37"/>
  <c r="P23" i="37"/>
  <c r="O23" i="37"/>
  <c r="N23" i="37"/>
  <c r="M23" i="37"/>
  <c r="X22" i="37"/>
  <c r="P22" i="37"/>
  <c r="O22" i="37"/>
  <c r="N22" i="37"/>
  <c r="M22" i="37"/>
  <c r="AA21" i="37"/>
  <c r="AC21" i="37" s="1"/>
  <c r="X21" i="37"/>
  <c r="P21" i="37"/>
  <c r="O21" i="37"/>
  <c r="N21" i="37"/>
  <c r="M21" i="37"/>
  <c r="Q21" i="37" s="1"/>
  <c r="X20" i="37"/>
  <c r="P20" i="37"/>
  <c r="O20" i="37"/>
  <c r="N20" i="37"/>
  <c r="M20" i="37"/>
  <c r="X19" i="37"/>
  <c r="P19" i="37"/>
  <c r="O19" i="37"/>
  <c r="N19" i="37"/>
  <c r="M19" i="37"/>
  <c r="P18" i="37"/>
  <c r="O18" i="37"/>
  <c r="N18" i="37"/>
  <c r="M18" i="37"/>
  <c r="AH17" i="37"/>
  <c r="AG17" i="37"/>
  <c r="P17" i="37"/>
  <c r="O17" i="37"/>
  <c r="N17" i="37"/>
  <c r="M17" i="37"/>
  <c r="AI16" i="37"/>
  <c r="P16" i="37"/>
  <c r="O16" i="37"/>
  <c r="N16" i="37"/>
  <c r="M16" i="37"/>
  <c r="AI15" i="37"/>
  <c r="P15" i="37"/>
  <c r="O15" i="37"/>
  <c r="N15" i="37"/>
  <c r="M15" i="37"/>
  <c r="AI14" i="37"/>
  <c r="P14" i="37"/>
  <c r="O14" i="37"/>
  <c r="N14" i="37"/>
  <c r="M14" i="37"/>
  <c r="AI13" i="37"/>
  <c r="P13" i="37"/>
  <c r="O13" i="37"/>
  <c r="N13" i="37"/>
  <c r="M13" i="37"/>
  <c r="P12" i="37"/>
  <c r="O12" i="37"/>
  <c r="N12" i="37"/>
  <c r="M12" i="37"/>
  <c r="P11" i="37"/>
  <c r="O11" i="37"/>
  <c r="N11" i="37"/>
  <c r="M11" i="37"/>
  <c r="O10" i="37"/>
  <c r="Q10" i="37" s="1"/>
  <c r="O9" i="37"/>
  <c r="Q9" i="37" s="1"/>
  <c r="O8" i="37"/>
  <c r="Q8" i="37" s="1"/>
  <c r="O7" i="37"/>
  <c r="Q7" i="37" s="1"/>
  <c r="I7" i="37"/>
  <c r="I8" i="37" s="1"/>
  <c r="H7" i="37"/>
  <c r="H8" i="37" s="1"/>
  <c r="F49" i="30" l="1"/>
  <c r="G12" i="30"/>
  <c r="G61" i="30"/>
  <c r="F13" i="30"/>
  <c r="F25" i="30"/>
  <c r="F37" i="30"/>
  <c r="C58" i="31"/>
  <c r="D58" i="31"/>
  <c r="O28" i="38"/>
  <c r="V26" i="31" s="1"/>
  <c r="F58" i="31" s="1"/>
  <c r="O29" i="38"/>
  <c r="C67" i="31"/>
  <c r="C60" i="31"/>
  <c r="C66" i="31"/>
  <c r="C59" i="31"/>
  <c r="C65" i="31"/>
  <c r="C64" i="31"/>
  <c r="D60" i="31"/>
  <c r="D64" i="31"/>
  <c r="D68" i="31"/>
  <c r="D72" i="31"/>
  <c r="D76" i="31"/>
  <c r="C63" i="31"/>
  <c r="C69" i="31"/>
  <c r="C73" i="31"/>
  <c r="D61" i="31"/>
  <c r="D65" i="31"/>
  <c r="D69" i="31"/>
  <c r="D73" i="31"/>
  <c r="D59" i="31"/>
  <c r="C61" i="31"/>
  <c r="C70" i="31"/>
  <c r="C74" i="31"/>
  <c r="D62" i="31"/>
  <c r="D66" i="31"/>
  <c r="D70" i="31"/>
  <c r="D74" i="31"/>
  <c r="C62" i="31"/>
  <c r="C71" i="31"/>
  <c r="C75" i="31"/>
  <c r="D63" i="31"/>
  <c r="D67" i="31"/>
  <c r="D71" i="31"/>
  <c r="D75" i="31"/>
  <c r="C68" i="31"/>
  <c r="C72" i="31"/>
  <c r="C76" i="31"/>
  <c r="V27" i="31"/>
  <c r="V22" i="31"/>
  <c r="H107" i="37"/>
  <c r="K8" i="37"/>
  <c r="AI17" i="37"/>
  <c r="X23" i="37"/>
  <c r="J7" i="37"/>
  <c r="AA22" i="37"/>
  <c r="AC22" i="37" s="1"/>
  <c r="Q14" i="37"/>
  <c r="Q15" i="37"/>
  <c r="Q23" i="37"/>
  <c r="Q25" i="37"/>
  <c r="Q16" i="37"/>
  <c r="Q18" i="37"/>
  <c r="Q19" i="37"/>
  <c r="Q26" i="37"/>
  <c r="Q11" i="37"/>
  <c r="Q12" i="37"/>
  <c r="Q13" i="37"/>
  <c r="Q17" i="37"/>
  <c r="E137" i="37"/>
  <c r="D130" i="37"/>
  <c r="D131" i="37" s="1"/>
  <c r="D132" i="37" s="1"/>
  <c r="D133" i="37" s="1"/>
  <c r="D134" i="37" s="1"/>
  <c r="D135" i="37" s="1"/>
  <c r="D136" i="37" s="1"/>
  <c r="AA19" i="37"/>
  <c r="E188" i="37"/>
  <c r="I9" i="37"/>
  <c r="F8" i="37"/>
  <c r="K9" i="37"/>
  <c r="H9" i="37"/>
  <c r="C8" i="37"/>
  <c r="D188" i="37"/>
  <c r="J8" i="37"/>
  <c r="E8" i="37" s="1"/>
  <c r="Q20" i="37"/>
  <c r="L7" i="37"/>
  <c r="D8" i="37"/>
  <c r="AA20" i="37"/>
  <c r="AC20" i="37" s="1"/>
  <c r="Q22" i="37"/>
  <c r="E7" i="37"/>
  <c r="E239" i="37"/>
  <c r="I239" i="37" s="1"/>
  <c r="E292" i="37"/>
  <c r="D239" i="37"/>
  <c r="H239" i="37"/>
  <c r="D292" i="37"/>
  <c r="H292" i="37" s="1"/>
  <c r="G91" i="30" l="1"/>
  <c r="V21" i="31"/>
  <c r="E58" i="31" s="1"/>
  <c r="E63" i="31"/>
  <c r="E61" i="31"/>
  <c r="E66" i="31"/>
  <c r="E70" i="31"/>
  <c r="E74" i="31"/>
  <c r="E76" i="31"/>
  <c r="E60" i="31"/>
  <c r="E59" i="31"/>
  <c r="E62" i="31"/>
  <c r="E67" i="31"/>
  <c r="E71" i="31"/>
  <c r="E75" i="31"/>
  <c r="E72" i="31"/>
  <c r="E65" i="31"/>
  <c r="E69" i="31"/>
  <c r="E64" i="31"/>
  <c r="E68" i="31"/>
  <c r="E73" i="31"/>
  <c r="F59" i="31"/>
  <c r="F60" i="31"/>
  <c r="F64" i="31"/>
  <c r="F68" i="31"/>
  <c r="F72" i="31"/>
  <c r="F76" i="31"/>
  <c r="F63" i="31"/>
  <c r="F61" i="31"/>
  <c r="F65" i="31"/>
  <c r="F69" i="31"/>
  <c r="F73" i="31"/>
  <c r="F71" i="31"/>
  <c r="F62" i="31"/>
  <c r="F66" i="31"/>
  <c r="F70" i="31"/>
  <c r="F74" i="31"/>
  <c r="F67" i="31"/>
  <c r="F75" i="31"/>
  <c r="F7" i="37"/>
  <c r="T239" i="37"/>
  <c r="K239" i="37"/>
  <c r="J9" i="37"/>
  <c r="E9" i="37" s="1"/>
  <c r="D189" i="37"/>
  <c r="AC188" i="37"/>
  <c r="H189" i="37"/>
  <c r="L8" i="37"/>
  <c r="G8" i="37" s="1"/>
  <c r="K10" i="37"/>
  <c r="D240" i="37"/>
  <c r="H240" i="37" s="1"/>
  <c r="AC239" i="37"/>
  <c r="J292" i="37"/>
  <c r="S292" i="37"/>
  <c r="U292" i="37" s="1"/>
  <c r="I10" i="37"/>
  <c r="D137" i="37"/>
  <c r="J239" i="37"/>
  <c r="S239" i="37"/>
  <c r="U239" i="37" s="1"/>
  <c r="E240" i="37"/>
  <c r="I240" i="37" s="1"/>
  <c r="E189" i="37"/>
  <c r="E138" i="37"/>
  <c r="I138" i="37" s="1"/>
  <c r="H188" i="37"/>
  <c r="H10" i="37"/>
  <c r="C10" i="37" s="1"/>
  <c r="F9" i="37"/>
  <c r="AA23" i="37"/>
  <c r="AC23" i="37" s="1"/>
  <c r="C7" i="37"/>
  <c r="AC19" i="37"/>
  <c r="I137" i="37"/>
  <c r="E293" i="37"/>
  <c r="I293" i="37"/>
  <c r="D7" i="37"/>
  <c r="C9" i="37"/>
  <c r="D293" i="37"/>
  <c r="H293" i="37" s="1"/>
  <c r="AC292" i="37"/>
  <c r="I292" i="37"/>
  <c r="D9" i="37"/>
  <c r="I188" i="37"/>
  <c r="AG292" i="37" l="1"/>
  <c r="G7" i="37"/>
  <c r="L9" i="37"/>
  <c r="S293" i="37"/>
  <c r="U293" i="37" s="1"/>
  <c r="J293" i="37"/>
  <c r="K240" i="37"/>
  <c r="T240" i="37"/>
  <c r="I11" i="37"/>
  <c r="D11" i="37" s="1"/>
  <c r="D10" i="37"/>
  <c r="S240" i="37"/>
  <c r="U240" i="37" s="1"/>
  <c r="J240" i="37"/>
  <c r="E190" i="37"/>
  <c r="D138" i="37"/>
  <c r="AC137" i="37"/>
  <c r="H138" i="37"/>
  <c r="M292" i="37"/>
  <c r="K11" i="37"/>
  <c r="K293" i="37"/>
  <c r="T293" i="37"/>
  <c r="H11" i="37"/>
  <c r="G9" i="37"/>
  <c r="I189" i="37"/>
  <c r="X239" i="37"/>
  <c r="H137" i="37"/>
  <c r="F10" i="37"/>
  <c r="D190" i="37"/>
  <c r="H190" i="37" s="1"/>
  <c r="K188" i="37"/>
  <c r="T188" i="37"/>
  <c r="T137" i="37"/>
  <c r="K137" i="37"/>
  <c r="S188" i="37"/>
  <c r="U188" i="37" s="1"/>
  <c r="J188" i="37"/>
  <c r="T138" i="37"/>
  <c r="K138" i="37"/>
  <c r="M239" i="37"/>
  <c r="L239" i="37"/>
  <c r="J189" i="37"/>
  <c r="S189" i="37"/>
  <c r="U189" i="37" s="1"/>
  <c r="D294" i="37"/>
  <c r="H294" i="37" s="1"/>
  <c r="E241" i="37"/>
  <c r="N239" i="37"/>
  <c r="Y239" i="37" s="1"/>
  <c r="V239" i="37"/>
  <c r="W239" i="37" s="1"/>
  <c r="T292" i="37"/>
  <c r="K292" i="37"/>
  <c r="L292" i="37" s="1"/>
  <c r="E294" i="37"/>
  <c r="E139" i="37"/>
  <c r="I139" i="37" s="1"/>
  <c r="AG239" i="37"/>
  <c r="X292" i="37"/>
  <c r="D241" i="37"/>
  <c r="H241" i="37" s="1"/>
  <c r="J10" i="37"/>
  <c r="AC293" i="37" l="1"/>
  <c r="AG293" i="37"/>
  <c r="O239" i="37"/>
  <c r="J294" i="37"/>
  <c r="S294" i="37"/>
  <c r="U294" i="37" s="1"/>
  <c r="T139" i="37"/>
  <c r="K139" i="37"/>
  <c r="J241" i="37"/>
  <c r="S241" i="37"/>
  <c r="U241" i="37" s="1"/>
  <c r="J11" i="37"/>
  <c r="L11" i="37" s="1"/>
  <c r="E10" i="37"/>
  <c r="E242" i="37"/>
  <c r="I242" i="37" s="1"/>
  <c r="L188" i="37"/>
  <c r="M188" i="37"/>
  <c r="S190" i="37"/>
  <c r="U190" i="37" s="1"/>
  <c r="J190" i="37"/>
  <c r="S137" i="37"/>
  <c r="U137" i="37" s="1"/>
  <c r="J137" i="37"/>
  <c r="AG137" i="37"/>
  <c r="L10" i="37"/>
  <c r="K12" i="37"/>
  <c r="F12" i="37" s="1"/>
  <c r="F11" i="37"/>
  <c r="J138" i="37"/>
  <c r="S138" i="37"/>
  <c r="U138" i="37" s="1"/>
  <c r="E191" i="37"/>
  <c r="I191" i="37"/>
  <c r="E295" i="37"/>
  <c r="I241" i="37"/>
  <c r="N138" i="37"/>
  <c r="Y138" i="37" s="1"/>
  <c r="V138" i="37"/>
  <c r="I294" i="37"/>
  <c r="M189" i="37"/>
  <c r="V137" i="37"/>
  <c r="N137" i="37"/>
  <c r="Y137" i="37" s="1"/>
  <c r="V188" i="37"/>
  <c r="W188" i="37" s="1"/>
  <c r="N188" i="37"/>
  <c r="Y188" i="37" s="1"/>
  <c r="AC240" i="37"/>
  <c r="Z239" i="37"/>
  <c r="H12" i="37"/>
  <c r="C11" i="37"/>
  <c r="D139" i="37"/>
  <c r="AG240" i="37"/>
  <c r="L293" i="37"/>
  <c r="M293" i="37"/>
  <c r="X189" i="37"/>
  <c r="X240" i="37"/>
  <c r="V240" i="37"/>
  <c r="W240" i="37" s="1"/>
  <c r="N240" i="37"/>
  <c r="Y240" i="37" s="1"/>
  <c r="E140" i="37"/>
  <c r="AG189" i="37"/>
  <c r="X188" i="37"/>
  <c r="I12" i="37"/>
  <c r="D242" i="37"/>
  <c r="N292" i="37"/>
  <c r="Y292" i="37" s="1"/>
  <c r="Z292" i="37" s="1"/>
  <c r="V292" i="37"/>
  <c r="W292" i="37" s="1"/>
  <c r="AH292" i="37" s="1"/>
  <c r="AC189" i="37"/>
  <c r="D295" i="37"/>
  <c r="AH239" i="37"/>
  <c r="AG188" i="37"/>
  <c r="D191" i="37"/>
  <c r="T189" i="37"/>
  <c r="K189" i="37"/>
  <c r="L189" i="37" s="1"/>
  <c r="C12" i="37"/>
  <c r="V293" i="37"/>
  <c r="W293" i="37" s="1"/>
  <c r="N293" i="37"/>
  <c r="Y293" i="37" s="1"/>
  <c r="I190" i="37"/>
  <c r="L240" i="37"/>
  <c r="M240" i="37"/>
  <c r="X293" i="37"/>
  <c r="Z293" i="37" s="1"/>
  <c r="N34" i="37" s="1"/>
  <c r="Z240" i="37" l="1"/>
  <c r="M34" i="37" s="1"/>
  <c r="O293" i="37"/>
  <c r="AI239" i="37"/>
  <c r="AH240" i="37"/>
  <c r="D192" i="37"/>
  <c r="H192" i="37"/>
  <c r="D296" i="37"/>
  <c r="I13" i="37"/>
  <c r="D13" i="37" s="1"/>
  <c r="D140" i="37"/>
  <c r="H140" i="37"/>
  <c r="E296" i="37"/>
  <c r="W138" i="37"/>
  <c r="X138" i="37"/>
  <c r="Z138" i="37" s="1"/>
  <c r="K34" i="37" s="1"/>
  <c r="X241" i="37"/>
  <c r="K190" i="37"/>
  <c r="T190" i="37"/>
  <c r="H191" i="37"/>
  <c r="Z188" i="37"/>
  <c r="AH293" i="37"/>
  <c r="H139" i="37"/>
  <c r="AG138" i="37"/>
  <c r="X190" i="37"/>
  <c r="J12" i="37"/>
  <c r="L12" i="37" s="1"/>
  <c r="G12" i="37" s="1"/>
  <c r="AG241" i="37"/>
  <c r="O292" i="37"/>
  <c r="AI292" i="37" s="1"/>
  <c r="AC190" i="37"/>
  <c r="AC138" i="37"/>
  <c r="D12" i="37"/>
  <c r="T294" i="37"/>
  <c r="K294" i="37"/>
  <c r="L294" i="37" s="1"/>
  <c r="T241" i="37"/>
  <c r="K241" i="37"/>
  <c r="L241" i="37" s="1"/>
  <c r="T191" i="37"/>
  <c r="K191" i="37"/>
  <c r="M138" i="37"/>
  <c r="O138" i="37" s="1"/>
  <c r="L138" i="37"/>
  <c r="W137" i="37"/>
  <c r="X137" i="37"/>
  <c r="Z137" i="37" s="1"/>
  <c r="AC294" i="37"/>
  <c r="K242" i="37"/>
  <c r="T242" i="37"/>
  <c r="M241" i="37"/>
  <c r="AG294" i="37"/>
  <c r="E141" i="37"/>
  <c r="I141" i="37" s="1"/>
  <c r="AI293" i="37"/>
  <c r="G34" i="37"/>
  <c r="M190" i="37"/>
  <c r="AH188" i="37"/>
  <c r="H295" i="37"/>
  <c r="D243" i="37"/>
  <c r="H243" i="37"/>
  <c r="I140" i="37"/>
  <c r="K13" i="37"/>
  <c r="F13" i="37"/>
  <c r="L137" i="37"/>
  <c r="M137" i="37"/>
  <c r="O137" i="37" s="1"/>
  <c r="X294" i="37"/>
  <c r="N189" i="37"/>
  <c r="Y189" i="37" s="1"/>
  <c r="Z189" i="37" s="1"/>
  <c r="L34" i="37" s="1"/>
  <c r="V189" i="37"/>
  <c r="W189" i="37" s="1"/>
  <c r="AH189" i="37" s="1"/>
  <c r="H242" i="37"/>
  <c r="O240" i="37"/>
  <c r="H13" i="37"/>
  <c r="C13" i="37" s="1"/>
  <c r="AC241" i="37"/>
  <c r="I295" i="37"/>
  <c r="E192" i="37"/>
  <c r="I192" i="37"/>
  <c r="G11" i="37"/>
  <c r="G10" i="37"/>
  <c r="AG190" i="37"/>
  <c r="O188" i="37"/>
  <c r="E243" i="37"/>
  <c r="E11" i="37"/>
  <c r="V139" i="37"/>
  <c r="N139" i="37"/>
  <c r="Y139" i="37" s="1"/>
  <c r="M294" i="37"/>
  <c r="AI188" i="37" l="1"/>
  <c r="AI137" i="37"/>
  <c r="AH138" i="37"/>
  <c r="E244" i="37"/>
  <c r="I244" i="37" s="1"/>
  <c r="K295" i="37"/>
  <c r="T295" i="37"/>
  <c r="S295" i="37"/>
  <c r="U295" i="37" s="1"/>
  <c r="J295" i="37"/>
  <c r="G62" i="37"/>
  <c r="O34" i="37"/>
  <c r="D297" i="37"/>
  <c r="I243" i="37"/>
  <c r="S242" i="37"/>
  <c r="U242" i="37" s="1"/>
  <c r="J242" i="37"/>
  <c r="AG242" i="37"/>
  <c r="K14" i="37"/>
  <c r="F14" i="37"/>
  <c r="V242" i="37"/>
  <c r="N242" i="37"/>
  <c r="Y242" i="37" s="1"/>
  <c r="I14" i="37"/>
  <c r="T192" i="37"/>
  <c r="K192" i="37"/>
  <c r="J243" i="37"/>
  <c r="S243" i="37"/>
  <c r="U243" i="37" s="1"/>
  <c r="K141" i="37"/>
  <c r="T141" i="37"/>
  <c r="AC295" i="37"/>
  <c r="D34" i="37"/>
  <c r="AI138" i="37"/>
  <c r="E297" i="37"/>
  <c r="I297" i="37"/>
  <c r="J140" i="37"/>
  <c r="S140" i="37"/>
  <c r="U140" i="37" s="1"/>
  <c r="D193" i="37"/>
  <c r="H193" i="37" s="1"/>
  <c r="AI240" i="37"/>
  <c r="F34" i="37"/>
  <c r="T140" i="37"/>
  <c r="K140" i="37"/>
  <c r="S139" i="37"/>
  <c r="U139" i="37" s="1"/>
  <c r="AG139" i="37"/>
  <c r="J139" i="37"/>
  <c r="N241" i="37"/>
  <c r="Y241" i="37" s="1"/>
  <c r="Z241" i="37" s="1"/>
  <c r="M35" i="37" s="1"/>
  <c r="V241" i="37"/>
  <c r="W241" i="37" s="1"/>
  <c r="AH241" i="37" s="1"/>
  <c r="V190" i="37"/>
  <c r="W190" i="37" s="1"/>
  <c r="N190" i="37"/>
  <c r="Y190" i="37" s="1"/>
  <c r="Z190" i="37" s="1"/>
  <c r="L35" i="37" s="1"/>
  <c r="J192" i="37"/>
  <c r="S192" i="37"/>
  <c r="U192" i="37" s="1"/>
  <c r="E193" i="37"/>
  <c r="I193" i="37"/>
  <c r="H14" i="37"/>
  <c r="AH137" i="37"/>
  <c r="O189" i="37"/>
  <c r="D244" i="37"/>
  <c r="L190" i="37"/>
  <c r="AH190" i="37" s="1"/>
  <c r="E142" i="37"/>
  <c r="I142" i="37" s="1"/>
  <c r="V191" i="37"/>
  <c r="N191" i="37"/>
  <c r="Y191" i="37" s="1"/>
  <c r="N294" i="37"/>
  <c r="Y294" i="37" s="1"/>
  <c r="Z294" i="37" s="1"/>
  <c r="N35" i="37" s="1"/>
  <c r="V294" i="37"/>
  <c r="W294" i="37" s="1"/>
  <c r="AH294" i="37" s="1"/>
  <c r="J13" i="37"/>
  <c r="E13" i="37" s="1"/>
  <c r="E12" i="37"/>
  <c r="S191" i="37"/>
  <c r="U191" i="37" s="1"/>
  <c r="J191" i="37"/>
  <c r="AG191" i="37"/>
  <c r="I296" i="37"/>
  <c r="D141" i="37"/>
  <c r="H296" i="37"/>
  <c r="AC139" i="37" l="1"/>
  <c r="AC140" i="37" s="1"/>
  <c r="L13" i="37"/>
  <c r="O294" i="37"/>
  <c r="AI294" i="37" s="1"/>
  <c r="AG140" i="37"/>
  <c r="AG243" i="37"/>
  <c r="AC191" i="37"/>
  <c r="AC192" i="37" s="1"/>
  <c r="O241" i="37"/>
  <c r="AI241" i="37" s="1"/>
  <c r="AG192" i="37"/>
  <c r="O190" i="37"/>
  <c r="AC242" i="37"/>
  <c r="AC243" i="37" s="1"/>
  <c r="AG295" i="37"/>
  <c r="H15" i="37"/>
  <c r="C15" i="37" s="1"/>
  <c r="C14" i="37"/>
  <c r="L139" i="37"/>
  <c r="M139" i="37"/>
  <c r="O139" i="37" s="1"/>
  <c r="S193" i="37"/>
  <c r="U193" i="37" s="1"/>
  <c r="J193" i="37"/>
  <c r="D245" i="37"/>
  <c r="H245" i="37" s="1"/>
  <c r="X192" i="37"/>
  <c r="F62" i="37"/>
  <c r="K297" i="37"/>
  <c r="T297" i="37"/>
  <c r="D62" i="37"/>
  <c r="AI190" i="37"/>
  <c r="E35" i="37"/>
  <c r="E63" i="37" s="1"/>
  <c r="L63" i="37" s="1"/>
  <c r="N192" i="37"/>
  <c r="Y192" i="37" s="1"/>
  <c r="V192" i="37"/>
  <c r="W192" i="37" s="1"/>
  <c r="I15" i="37"/>
  <c r="D15" i="37" s="1"/>
  <c r="D14" i="37"/>
  <c r="T243" i="37"/>
  <c r="K243" i="37"/>
  <c r="L243" i="37" s="1"/>
  <c r="L295" i="37"/>
  <c r="M295" i="37"/>
  <c r="K244" i="37"/>
  <c r="T244" i="37"/>
  <c r="T296" i="37"/>
  <c r="K296" i="37"/>
  <c r="W191" i="37"/>
  <c r="X191" i="37"/>
  <c r="Z191" i="37" s="1"/>
  <c r="L36" i="37" s="1"/>
  <c r="J14" i="37"/>
  <c r="L14" i="37" s="1"/>
  <c r="G14" i="37" s="1"/>
  <c r="E143" i="37"/>
  <c r="H244" i="37"/>
  <c r="E194" i="37"/>
  <c r="I194" i="37" s="1"/>
  <c r="L192" i="37"/>
  <c r="M192" i="37"/>
  <c r="O192" i="37" s="1"/>
  <c r="W139" i="37"/>
  <c r="X139" i="37"/>
  <c r="Z139" i="37" s="1"/>
  <c r="K35" i="37" s="1"/>
  <c r="X140" i="37"/>
  <c r="E298" i="37"/>
  <c r="I298" i="37" s="1"/>
  <c r="X243" i="37"/>
  <c r="L242" i="37"/>
  <c r="M242" i="37"/>
  <c r="O242" i="37" s="1"/>
  <c r="D298" i="37"/>
  <c r="N62" i="37"/>
  <c r="X295" i="37"/>
  <c r="E245" i="37"/>
  <c r="D142" i="37"/>
  <c r="M140" i="37"/>
  <c r="L140" i="37"/>
  <c r="V141" i="37"/>
  <c r="N141" i="37"/>
  <c r="Y141" i="37" s="1"/>
  <c r="M243" i="37"/>
  <c r="V295" i="37"/>
  <c r="W295" i="37" s="1"/>
  <c r="N295" i="37"/>
  <c r="Y295" i="37" s="1"/>
  <c r="H141" i="37"/>
  <c r="L191" i="37"/>
  <c r="AH191" i="37" s="1"/>
  <c r="M191" i="37"/>
  <c r="O191" i="37" s="1"/>
  <c r="T193" i="37"/>
  <c r="K193" i="37"/>
  <c r="J296" i="37"/>
  <c r="S296" i="37"/>
  <c r="U296" i="37" s="1"/>
  <c r="T142" i="37"/>
  <c r="K142" i="37"/>
  <c r="AI189" i="37"/>
  <c r="E34" i="37"/>
  <c r="H34" i="37" s="1"/>
  <c r="G13" i="37"/>
  <c r="N140" i="37"/>
  <c r="Y140" i="37" s="1"/>
  <c r="V140" i="37"/>
  <c r="W140" i="37" s="1"/>
  <c r="D194" i="37"/>
  <c r="H194" i="37" s="1"/>
  <c r="K15" i="37"/>
  <c r="W242" i="37"/>
  <c r="X242" i="37"/>
  <c r="Z242" i="37" s="1"/>
  <c r="M36" i="37" s="1"/>
  <c r="H297" i="37"/>
  <c r="F35" i="37" l="1"/>
  <c r="F63" i="37" s="1"/>
  <c r="M63" i="37" s="1"/>
  <c r="AC193" i="37"/>
  <c r="AG193" i="37"/>
  <c r="G35" i="37"/>
  <c r="G63" i="37" s="1"/>
  <c r="AG296" i="37"/>
  <c r="Z192" i="37"/>
  <c r="L37" i="37" s="1"/>
  <c r="AC296" i="37"/>
  <c r="E14" i="37"/>
  <c r="S245" i="37"/>
  <c r="U245" i="37" s="1"/>
  <c r="J245" i="37"/>
  <c r="S141" i="37"/>
  <c r="AG141" i="37" s="1"/>
  <c r="J141" i="37"/>
  <c r="O140" i="37"/>
  <c r="E246" i="37"/>
  <c r="I246" i="37"/>
  <c r="AI242" i="37"/>
  <c r="F36" i="37"/>
  <c r="F64" i="37" s="1"/>
  <c r="AI192" i="37"/>
  <c r="E37" i="37"/>
  <c r="L193" i="37"/>
  <c r="M193" i="37"/>
  <c r="J194" i="37"/>
  <c r="S194" i="37"/>
  <c r="U194" i="37" s="1"/>
  <c r="E62" i="37"/>
  <c r="V193" i="37"/>
  <c r="N193" i="37"/>
  <c r="Y193" i="37" s="1"/>
  <c r="AC194" i="37"/>
  <c r="I245" i="37"/>
  <c r="AH242" i="37"/>
  <c r="Z140" i="37"/>
  <c r="K36" i="37" s="1"/>
  <c r="AH192" i="37"/>
  <c r="S244" i="37"/>
  <c r="J244" i="37"/>
  <c r="V244" i="37"/>
  <c r="N244" i="37"/>
  <c r="Y244" i="37" s="1"/>
  <c r="N243" i="37"/>
  <c r="Y243" i="37" s="1"/>
  <c r="Z243" i="37" s="1"/>
  <c r="M37" i="37" s="1"/>
  <c r="V243" i="37"/>
  <c r="W243" i="37" s="1"/>
  <c r="I16" i="37"/>
  <c r="M62" i="37"/>
  <c r="W193" i="37"/>
  <c r="X193" i="37"/>
  <c r="Z193" i="37" s="1"/>
  <c r="L38" i="37" s="1"/>
  <c r="H16" i="37"/>
  <c r="N142" i="37"/>
  <c r="Y142" i="37" s="1"/>
  <c r="V142" i="37"/>
  <c r="AH243" i="37"/>
  <c r="AH140" i="37"/>
  <c r="D143" i="37"/>
  <c r="H143" i="37" s="1"/>
  <c r="D299" i="37"/>
  <c r="T298" i="37"/>
  <c r="K298" i="37"/>
  <c r="T194" i="37"/>
  <c r="K194" i="37"/>
  <c r="E144" i="37"/>
  <c r="I144" i="37" s="1"/>
  <c r="AH295" i="37"/>
  <c r="K62" i="37"/>
  <c r="V297" i="37"/>
  <c r="N297" i="37"/>
  <c r="Y297" i="37" s="1"/>
  <c r="AH139" i="37"/>
  <c r="K16" i="37"/>
  <c r="F16" i="37" s="1"/>
  <c r="F15" i="37"/>
  <c r="M296" i="37"/>
  <c r="L296" i="37"/>
  <c r="H62" i="37"/>
  <c r="D246" i="37"/>
  <c r="H246" i="37"/>
  <c r="S297" i="37"/>
  <c r="U297" i="37" s="1"/>
  <c r="J297" i="37"/>
  <c r="D195" i="37"/>
  <c r="X296" i="37"/>
  <c r="AI191" i="37"/>
  <c r="E36" i="37"/>
  <c r="E64" i="37" s="1"/>
  <c r="H142" i="37"/>
  <c r="Z295" i="37"/>
  <c r="N36" i="37" s="1"/>
  <c r="H298" i="37"/>
  <c r="E299" i="37"/>
  <c r="O35" i="37"/>
  <c r="E195" i="37"/>
  <c r="I195" i="37"/>
  <c r="I143" i="37"/>
  <c r="J15" i="37"/>
  <c r="E15" i="37" s="1"/>
  <c r="N296" i="37"/>
  <c r="Y296" i="37" s="1"/>
  <c r="V296" i="37"/>
  <c r="W296" i="37" s="1"/>
  <c r="O295" i="37"/>
  <c r="AI139" i="37"/>
  <c r="D35" i="37"/>
  <c r="L64" i="37" l="1"/>
  <c r="M64" i="37"/>
  <c r="Z296" i="37"/>
  <c r="N37" i="37" s="1"/>
  <c r="AC297" i="37"/>
  <c r="O193" i="37"/>
  <c r="AI193" i="37" s="1"/>
  <c r="E65" i="37"/>
  <c r="K143" i="37"/>
  <c r="T143" i="37"/>
  <c r="D196" i="37"/>
  <c r="H196" i="37"/>
  <c r="L297" i="37"/>
  <c r="M297" i="37"/>
  <c r="O297" i="37" s="1"/>
  <c r="T144" i="37"/>
  <c r="K144" i="37"/>
  <c r="S143" i="37"/>
  <c r="U143" i="37" s="1"/>
  <c r="J143" i="37"/>
  <c r="U244" i="37"/>
  <c r="AC244" i="37"/>
  <c r="AC245" i="37" s="1"/>
  <c r="L62" i="37"/>
  <c r="K246" i="37"/>
  <c r="T246" i="37"/>
  <c r="M245" i="37"/>
  <c r="AI295" i="37"/>
  <c r="G36" i="37"/>
  <c r="K195" i="37"/>
  <c r="T195" i="37"/>
  <c r="E300" i="37"/>
  <c r="I300" i="37"/>
  <c r="J142" i="37"/>
  <c r="S142" i="37"/>
  <c r="U142" i="37" s="1"/>
  <c r="H195" i="37"/>
  <c r="W297" i="37"/>
  <c r="X297" i="37"/>
  <c r="Z297" i="37" s="1"/>
  <c r="N38" i="37" s="1"/>
  <c r="O62" i="37"/>
  <c r="N194" i="37"/>
  <c r="Y194" i="37" s="1"/>
  <c r="V194" i="37"/>
  <c r="D300" i="37"/>
  <c r="H300" i="37"/>
  <c r="H17" i="37"/>
  <c r="C17" i="37" s="1"/>
  <c r="C16" i="37"/>
  <c r="I17" i="37"/>
  <c r="D16" i="37"/>
  <c r="AG244" i="37"/>
  <c r="X194" i="37"/>
  <c r="W194" i="37"/>
  <c r="AH193" i="37"/>
  <c r="E247" i="37"/>
  <c r="I247" i="37" s="1"/>
  <c r="L141" i="37"/>
  <c r="M141" i="37"/>
  <c r="O141" i="37" s="1"/>
  <c r="X245" i="37"/>
  <c r="D63" i="37"/>
  <c r="H35" i="37"/>
  <c r="J16" i="37"/>
  <c r="L16" i="37" s="1"/>
  <c r="E196" i="37"/>
  <c r="I299" i="37"/>
  <c r="J246" i="37"/>
  <c r="S246" i="37"/>
  <c r="U246" i="37" s="1"/>
  <c r="AH296" i="37"/>
  <c r="K17" i="37"/>
  <c r="H299" i="37"/>
  <c r="AG194" i="37"/>
  <c r="D36" i="37"/>
  <c r="AI140" i="37"/>
  <c r="U141" i="37"/>
  <c r="AC141" i="37"/>
  <c r="AG245" i="37"/>
  <c r="J298" i="37"/>
  <c r="S298" i="37"/>
  <c r="U298" i="37" s="1"/>
  <c r="N63" i="37"/>
  <c r="AG297" i="37"/>
  <c r="D247" i="37"/>
  <c r="O296" i="37"/>
  <c r="E145" i="37"/>
  <c r="I145" i="37" s="1"/>
  <c r="N298" i="37"/>
  <c r="Y298" i="37" s="1"/>
  <c r="V298" i="37"/>
  <c r="D144" i="37"/>
  <c r="H144" i="37" s="1"/>
  <c r="L15" i="37"/>
  <c r="L244" i="37"/>
  <c r="M244" i="37"/>
  <c r="O244" i="37" s="1"/>
  <c r="O36" i="37"/>
  <c r="T245" i="37"/>
  <c r="K245" i="37"/>
  <c r="M194" i="37"/>
  <c r="L194" i="37"/>
  <c r="AH194" i="37" s="1"/>
  <c r="O243" i="37"/>
  <c r="L65" i="37" l="1"/>
  <c r="AG246" i="37"/>
  <c r="E16" i="37"/>
  <c r="E38" i="37"/>
  <c r="E66" i="37" s="1"/>
  <c r="AH297" i="37"/>
  <c r="O194" i="37"/>
  <c r="Z194" i="37"/>
  <c r="L39" i="37" s="1"/>
  <c r="AC246" i="37"/>
  <c r="F38" i="37"/>
  <c r="J144" i="37"/>
  <c r="S144" i="37"/>
  <c r="U144" i="37" s="1"/>
  <c r="K145" i="37"/>
  <c r="T145" i="37"/>
  <c r="D248" i="37"/>
  <c r="M246" i="37"/>
  <c r="L246" i="37"/>
  <c r="T247" i="37"/>
  <c r="K247" i="37"/>
  <c r="J300" i="37"/>
  <c r="S300" i="37"/>
  <c r="U300" i="37" s="1"/>
  <c r="S195" i="37"/>
  <c r="J195" i="37"/>
  <c r="K300" i="37"/>
  <c r="T300" i="37"/>
  <c r="G64" i="37"/>
  <c r="X143" i="37"/>
  <c r="AI297" i="37"/>
  <c r="G38" i="37"/>
  <c r="G66" i="37" s="1"/>
  <c r="AI243" i="37"/>
  <c r="F37" i="37"/>
  <c r="N245" i="37"/>
  <c r="Y245" i="37" s="1"/>
  <c r="Z245" i="37" s="1"/>
  <c r="M39" i="37" s="1"/>
  <c r="V245" i="37"/>
  <c r="W245" i="37" s="1"/>
  <c r="D145" i="37"/>
  <c r="E146" i="37"/>
  <c r="H247" i="37"/>
  <c r="X298" i="37"/>
  <c r="Z298" i="37" s="1"/>
  <c r="N39" i="37" s="1"/>
  <c r="W298" i="37"/>
  <c r="H36" i="37"/>
  <c r="H64" i="37" s="1"/>
  <c r="D64" i="37"/>
  <c r="T299" i="37"/>
  <c r="K299" i="37"/>
  <c r="H63" i="37"/>
  <c r="D37" i="37"/>
  <c r="D301" i="37"/>
  <c r="X142" i="37"/>
  <c r="Z142" i="37" s="1"/>
  <c r="K38" i="37" s="1"/>
  <c r="W142" i="37"/>
  <c r="E301" i="37"/>
  <c r="V246" i="37"/>
  <c r="N246" i="37"/>
  <c r="Y246" i="37" s="1"/>
  <c r="W244" i="37"/>
  <c r="AH244" i="37" s="1"/>
  <c r="X244" i="37"/>
  <c r="Z244" i="37" s="1"/>
  <c r="M38" i="37" s="1"/>
  <c r="N144" i="37"/>
  <c r="Y144" i="37" s="1"/>
  <c r="V144" i="37"/>
  <c r="AG298" i="37"/>
  <c r="AC142" i="37"/>
  <c r="AC143" i="37" s="1"/>
  <c r="S299" i="37"/>
  <c r="U299" i="37" s="1"/>
  <c r="J299" i="37"/>
  <c r="E197" i="37"/>
  <c r="I197" i="37" s="1"/>
  <c r="J17" i="37"/>
  <c r="L17" i="37" s="1"/>
  <c r="G17" i="37" s="1"/>
  <c r="K63" i="37"/>
  <c r="H18" i="37"/>
  <c r="AG142" i="37"/>
  <c r="AG143" i="37"/>
  <c r="J196" i="37"/>
  <c r="S196" i="37"/>
  <c r="U196" i="37" s="1"/>
  <c r="E39" i="37"/>
  <c r="G15" i="37"/>
  <c r="G16" i="37"/>
  <c r="AI296" i="37"/>
  <c r="G37" i="37"/>
  <c r="G65" i="37" s="1"/>
  <c r="M298" i="37"/>
  <c r="O298" i="37" s="1"/>
  <c r="L298" i="37"/>
  <c r="W141" i="37"/>
  <c r="AH141" i="37" s="1"/>
  <c r="X141" i="37"/>
  <c r="Z141" i="37" s="1"/>
  <c r="K37" i="37" s="1"/>
  <c r="K18" i="37"/>
  <c r="F17" i="37"/>
  <c r="X246" i="37"/>
  <c r="W246" i="37"/>
  <c r="I196" i="37"/>
  <c r="E248" i="37"/>
  <c r="I248" i="37" s="1"/>
  <c r="I18" i="37"/>
  <c r="D17" i="37"/>
  <c r="M142" i="37"/>
  <c r="O142" i="37" s="1"/>
  <c r="L142" i="37"/>
  <c r="V195" i="37"/>
  <c r="N195" i="37"/>
  <c r="Y195" i="37" s="1"/>
  <c r="L245" i="37"/>
  <c r="AC298" i="37"/>
  <c r="L143" i="37"/>
  <c r="M143" i="37"/>
  <c r="D197" i="37"/>
  <c r="V143" i="37"/>
  <c r="W143" i="37" s="1"/>
  <c r="N143" i="37"/>
  <c r="Y143" i="37" s="1"/>
  <c r="N66" i="37" l="1"/>
  <c r="L66" i="37"/>
  <c r="N65" i="37"/>
  <c r="AI141" i="37"/>
  <c r="K64" i="37"/>
  <c r="E17" i="37"/>
  <c r="AI194" i="37"/>
  <c r="AH298" i="37"/>
  <c r="AC299" i="37"/>
  <c r="AC300" i="37" s="1"/>
  <c r="AG299" i="37"/>
  <c r="AG144" i="37"/>
  <c r="O245" i="37"/>
  <c r="AC144" i="37"/>
  <c r="AH143" i="37"/>
  <c r="K248" i="37"/>
  <c r="T248" i="37"/>
  <c r="O63" i="37"/>
  <c r="K197" i="37"/>
  <c r="T197" i="37"/>
  <c r="E147" i="37"/>
  <c r="I147" i="37"/>
  <c r="U195" i="37"/>
  <c r="AC195" i="37"/>
  <c r="AC196" i="37" s="1"/>
  <c r="M300" i="37"/>
  <c r="L300" i="37"/>
  <c r="AH246" i="37"/>
  <c r="D249" i="37"/>
  <c r="H249" i="37" s="1"/>
  <c r="D198" i="37"/>
  <c r="H198" i="37"/>
  <c r="AH142" i="37"/>
  <c r="E249" i="37"/>
  <c r="Z246" i="37"/>
  <c r="M40" i="37" s="1"/>
  <c r="K19" i="37"/>
  <c r="X196" i="37"/>
  <c r="AI245" i="37"/>
  <c r="F39" i="37"/>
  <c r="F67" i="37" s="1"/>
  <c r="E198" i="37"/>
  <c r="O38" i="37"/>
  <c r="D65" i="37"/>
  <c r="H37" i="37"/>
  <c r="V299" i="37"/>
  <c r="N299" i="37"/>
  <c r="Y299" i="37" s="1"/>
  <c r="I146" i="37"/>
  <c r="V300" i="37"/>
  <c r="W300" i="37" s="1"/>
  <c r="N300" i="37"/>
  <c r="Y300" i="37" s="1"/>
  <c r="N247" i="37"/>
  <c r="Y247" i="37" s="1"/>
  <c r="V247" i="37"/>
  <c r="O246" i="37"/>
  <c r="M144" i="37"/>
  <c r="O144" i="37" s="1"/>
  <c r="L144" i="37"/>
  <c r="H197" i="37"/>
  <c r="AH245" i="37"/>
  <c r="AI142" i="37"/>
  <c r="D38" i="37"/>
  <c r="I19" i="37"/>
  <c r="D18" i="37"/>
  <c r="F18" i="37"/>
  <c r="AI298" i="37"/>
  <c r="G39" i="37"/>
  <c r="G67" i="37" s="1"/>
  <c r="AG196" i="37"/>
  <c r="J18" i="37"/>
  <c r="M299" i="37"/>
  <c r="O299" i="37" s="1"/>
  <c r="L299" i="37"/>
  <c r="E302" i="37"/>
  <c r="I302" i="37"/>
  <c r="D302" i="37"/>
  <c r="H302" i="37"/>
  <c r="D146" i="37"/>
  <c r="H146" i="37"/>
  <c r="AG195" i="37"/>
  <c r="X300" i="37"/>
  <c r="V145" i="37"/>
  <c r="N145" i="37"/>
  <c r="Y145" i="37" s="1"/>
  <c r="F66" i="37"/>
  <c r="O143" i="37"/>
  <c r="T196" i="37"/>
  <c r="K196" i="37"/>
  <c r="L196" i="37" s="1"/>
  <c r="O37" i="37"/>
  <c r="E67" i="37"/>
  <c r="M196" i="37"/>
  <c r="L18" i="37"/>
  <c r="H19" i="37"/>
  <c r="C18" i="37"/>
  <c r="X299" i="37"/>
  <c r="W299" i="37"/>
  <c r="I301" i="37"/>
  <c r="H301" i="37"/>
  <c r="S247" i="37"/>
  <c r="J247" i="37"/>
  <c r="H145" i="37"/>
  <c r="F65" i="37"/>
  <c r="Z143" i="37"/>
  <c r="K39" i="37" s="1"/>
  <c r="O39" i="37" s="1"/>
  <c r="N64" i="37"/>
  <c r="L195" i="37"/>
  <c r="M195" i="37"/>
  <c r="O195" i="37" s="1"/>
  <c r="AG300" i="37"/>
  <c r="H248" i="37"/>
  <c r="X144" i="37"/>
  <c r="Z144" i="37" s="1"/>
  <c r="K40" i="37" s="1"/>
  <c r="W144" i="37"/>
  <c r="AI244" i="37"/>
  <c r="M67" i="37" l="1"/>
  <c r="H88" i="37"/>
  <c r="N67" i="37"/>
  <c r="H89" i="37"/>
  <c r="M66" i="37"/>
  <c r="Z299" i="37"/>
  <c r="N40" i="37" s="1"/>
  <c r="H65" i="37"/>
  <c r="Z300" i="37"/>
  <c r="N41" i="37" s="1"/>
  <c r="S145" i="37"/>
  <c r="AG145" i="37" s="1"/>
  <c r="J145" i="37"/>
  <c r="J302" i="37"/>
  <c r="S302" i="37"/>
  <c r="U302" i="37" s="1"/>
  <c r="AH299" i="37"/>
  <c r="J19" i="37"/>
  <c r="I20" i="37"/>
  <c r="D20" i="37" s="1"/>
  <c r="D19" i="37"/>
  <c r="AI246" i="37"/>
  <c r="F40" i="37"/>
  <c r="F68" i="37" s="1"/>
  <c r="S249" i="37"/>
  <c r="U249" i="37" s="1"/>
  <c r="J249" i="37"/>
  <c r="D303" i="37"/>
  <c r="S197" i="37"/>
  <c r="U197" i="37" s="1"/>
  <c r="J197" i="37"/>
  <c r="T146" i="37"/>
  <c r="K146" i="37"/>
  <c r="E199" i="37"/>
  <c r="I199" i="37" s="1"/>
  <c r="E250" i="37"/>
  <c r="I250" i="37"/>
  <c r="W195" i="37"/>
  <c r="AH195" i="37" s="1"/>
  <c r="X195" i="37"/>
  <c r="Z195" i="37" s="1"/>
  <c r="L40" i="37" s="1"/>
  <c r="S301" i="37"/>
  <c r="J301" i="37"/>
  <c r="L19" i="37"/>
  <c r="H20" i="37"/>
  <c r="AI143" i="37"/>
  <c r="D39" i="37"/>
  <c r="J146" i="37"/>
  <c r="S146" i="37"/>
  <c r="U146" i="37" s="1"/>
  <c r="K302" i="37"/>
  <c r="T302" i="37"/>
  <c r="E19" i="37"/>
  <c r="H38" i="37"/>
  <c r="D66" i="37"/>
  <c r="AH144" i="37"/>
  <c r="K65" i="37"/>
  <c r="I198" i="37"/>
  <c r="K20" i="37"/>
  <c r="F19" i="37"/>
  <c r="I249" i="37"/>
  <c r="D199" i="37"/>
  <c r="H199" i="37" s="1"/>
  <c r="AH300" i="37"/>
  <c r="K147" i="37"/>
  <c r="T147" i="37"/>
  <c r="V197" i="37"/>
  <c r="N197" i="37"/>
  <c r="Y197" i="37" s="1"/>
  <c r="V248" i="37"/>
  <c r="N248" i="37"/>
  <c r="Y248" i="37" s="1"/>
  <c r="O64" i="37"/>
  <c r="G18" i="37"/>
  <c r="L67" i="37"/>
  <c r="AI195" i="37"/>
  <c r="E40" i="37"/>
  <c r="M247" i="37"/>
  <c r="O247" i="37" s="1"/>
  <c r="L247" i="37"/>
  <c r="AI299" i="37"/>
  <c r="G40" i="37"/>
  <c r="J198" i="37"/>
  <c r="S198" i="37"/>
  <c r="U198" i="37" s="1"/>
  <c r="O40" i="37"/>
  <c r="U247" i="37"/>
  <c r="AC247" i="37"/>
  <c r="J248" i="37"/>
  <c r="S248" i="37"/>
  <c r="U248" i="37" s="1"/>
  <c r="M65" i="37"/>
  <c r="AG247" i="37"/>
  <c r="T301" i="37"/>
  <c r="K301" i="37"/>
  <c r="C19" i="37"/>
  <c r="N196" i="37"/>
  <c r="Y196" i="37" s="1"/>
  <c r="Z196" i="37" s="1"/>
  <c r="L41" i="37" s="1"/>
  <c r="V196" i="37"/>
  <c r="W196" i="37" s="1"/>
  <c r="AH196" i="37" s="1"/>
  <c r="D147" i="37"/>
  <c r="E303" i="37"/>
  <c r="E18" i="37"/>
  <c r="D40" i="37"/>
  <c r="AI144" i="37"/>
  <c r="D250" i="37"/>
  <c r="H250" i="37" s="1"/>
  <c r="O300" i="37"/>
  <c r="I148" i="37"/>
  <c r="E148" i="37"/>
  <c r="M68" i="37" l="1"/>
  <c r="K66" i="37"/>
  <c r="O66" i="37" s="1"/>
  <c r="AC248" i="37"/>
  <c r="AC249" i="37" s="1"/>
  <c r="S199" i="37"/>
  <c r="U199" i="37" s="1"/>
  <c r="J199" i="37"/>
  <c r="E304" i="37"/>
  <c r="I304" i="37"/>
  <c r="V301" i="37"/>
  <c r="N301" i="37"/>
  <c r="Y301" i="37" s="1"/>
  <c r="X198" i="37"/>
  <c r="E68" i="37"/>
  <c r="X146" i="37"/>
  <c r="W197" i="37"/>
  <c r="X197" i="37"/>
  <c r="Z197" i="37" s="1"/>
  <c r="L42" i="37" s="1"/>
  <c r="I303" i="37"/>
  <c r="AG198" i="37"/>
  <c r="AG146" i="37"/>
  <c r="M301" i="37"/>
  <c r="L301" i="37"/>
  <c r="D304" i="37"/>
  <c r="H304" i="37"/>
  <c r="X302" i="37"/>
  <c r="J250" i="37"/>
  <c r="S250" i="37"/>
  <c r="U250" i="37" s="1"/>
  <c r="D148" i="37"/>
  <c r="W248" i="37"/>
  <c r="X248" i="37"/>
  <c r="Z248" i="37" s="1"/>
  <c r="M42" i="37" s="1"/>
  <c r="X247" i="37"/>
  <c r="Z247" i="37" s="1"/>
  <c r="M41" i="37" s="1"/>
  <c r="W247" i="37"/>
  <c r="AH247" i="37" s="1"/>
  <c r="M198" i="37"/>
  <c r="G68" i="37"/>
  <c r="AC197" i="37"/>
  <c r="AC198" i="37" s="1"/>
  <c r="M146" i="37"/>
  <c r="L146" i="37"/>
  <c r="O196" i="37"/>
  <c r="U301" i="37"/>
  <c r="AC301" i="37"/>
  <c r="AC302" i="37" s="1"/>
  <c r="K199" i="37"/>
  <c r="T199" i="37"/>
  <c r="AG197" i="37"/>
  <c r="H303" i="37"/>
  <c r="X249" i="37"/>
  <c r="J20" i="37"/>
  <c r="L20" i="37" s="1"/>
  <c r="AG302" i="37"/>
  <c r="U145" i="37"/>
  <c r="AC145" i="37"/>
  <c r="AC146" i="37" s="1"/>
  <c r="T148" i="37"/>
  <c r="K148" i="37"/>
  <c r="H40" i="37"/>
  <c r="H68" i="37" s="1"/>
  <c r="D68" i="37"/>
  <c r="L248" i="37"/>
  <c r="AH248" i="37" s="1"/>
  <c r="M248" i="37"/>
  <c r="O248" i="37" s="1"/>
  <c r="H66" i="37"/>
  <c r="K250" i="37"/>
  <c r="T250" i="37"/>
  <c r="N146" i="37"/>
  <c r="Y146" i="37" s="1"/>
  <c r="V146" i="37"/>
  <c r="W146" i="37" s="1"/>
  <c r="AI300" i="37"/>
  <c r="G41" i="37"/>
  <c r="G69" i="37" s="1"/>
  <c r="D200" i="37"/>
  <c r="H200" i="37" s="1"/>
  <c r="K21" i="37"/>
  <c r="F21" i="37" s="1"/>
  <c r="F20" i="37"/>
  <c r="O65" i="37"/>
  <c r="H21" i="37"/>
  <c r="C20" i="37"/>
  <c r="E251" i="37"/>
  <c r="I251" i="37" s="1"/>
  <c r="M249" i="37"/>
  <c r="L145" i="37"/>
  <c r="M145" i="37"/>
  <c r="O145" i="37" s="1"/>
  <c r="E149" i="37"/>
  <c r="D251" i="37"/>
  <c r="H251" i="37" s="1"/>
  <c r="H147" i="37"/>
  <c r="AG248" i="37"/>
  <c r="F41" i="37"/>
  <c r="V147" i="37"/>
  <c r="N147" i="37"/>
  <c r="Y147" i="37" s="1"/>
  <c r="T249" i="37"/>
  <c r="K249" i="37"/>
  <c r="T198" i="37"/>
  <c r="K198" i="37"/>
  <c r="L198" i="37" s="1"/>
  <c r="V302" i="37"/>
  <c r="W302" i="37" s="1"/>
  <c r="N302" i="37"/>
  <c r="Y302" i="37" s="1"/>
  <c r="D67" i="37"/>
  <c r="H91" i="37" s="1"/>
  <c r="H39" i="37"/>
  <c r="H67" i="37" s="1"/>
  <c r="AG301" i="37"/>
  <c r="I200" i="37"/>
  <c r="E200" i="37"/>
  <c r="L197" i="37"/>
  <c r="M197" i="37"/>
  <c r="O197" i="37" s="1"/>
  <c r="AG249" i="37"/>
  <c r="I21" i="37"/>
  <c r="M302" i="37"/>
  <c r="L302" i="37"/>
  <c r="G19" i="37"/>
  <c r="N69" i="37" l="1"/>
  <c r="K68" i="37"/>
  <c r="H92" i="37"/>
  <c r="H90" i="37"/>
  <c r="O302" i="37"/>
  <c r="AI302" i="37" s="1"/>
  <c r="AH197" i="37"/>
  <c r="O146" i="37"/>
  <c r="D42" i="37" s="1"/>
  <c r="AC250" i="37"/>
  <c r="Z302" i="37"/>
  <c r="N43" i="37" s="1"/>
  <c r="O301" i="37"/>
  <c r="Z146" i="37"/>
  <c r="K42" i="37" s="1"/>
  <c r="AC199" i="37"/>
  <c r="AC200" i="37" s="1"/>
  <c r="S251" i="37"/>
  <c r="U251" i="37" s="1"/>
  <c r="J251" i="37"/>
  <c r="T251" i="37"/>
  <c r="K251" i="37"/>
  <c r="S147" i="37"/>
  <c r="U147" i="37" s="1"/>
  <c r="J147" i="37"/>
  <c r="E150" i="37"/>
  <c r="I150" i="37" s="1"/>
  <c r="H22" i="37"/>
  <c r="C22" i="37" s="1"/>
  <c r="C21" i="37"/>
  <c r="N68" i="37"/>
  <c r="D149" i="37"/>
  <c r="L199" i="37"/>
  <c r="M199" i="37"/>
  <c r="AI248" i="37"/>
  <c r="F42" i="37"/>
  <c r="F70" i="37" s="1"/>
  <c r="W145" i="37"/>
  <c r="AH145" i="37" s="1"/>
  <c r="X145" i="37"/>
  <c r="Z145" i="37" s="1"/>
  <c r="K41" i="37" s="1"/>
  <c r="E305" i="37"/>
  <c r="I305" i="37" s="1"/>
  <c r="I22" i="37"/>
  <c r="I23" i="37" s="1"/>
  <c r="I24" i="37" s="1"/>
  <c r="I25" i="37" s="1"/>
  <c r="I26" i="37" s="1"/>
  <c r="D23" i="37"/>
  <c r="D21" i="37"/>
  <c r="K67" i="37"/>
  <c r="G20" i="37"/>
  <c r="J200" i="37"/>
  <c r="S200" i="37"/>
  <c r="U200" i="37" s="1"/>
  <c r="N148" i="37"/>
  <c r="Y148" i="37" s="1"/>
  <c r="V148" i="37"/>
  <c r="V199" i="37"/>
  <c r="W199" i="37" s="1"/>
  <c r="N199" i="37"/>
  <c r="Y199" i="37" s="1"/>
  <c r="AI196" i="37"/>
  <c r="E41" i="37"/>
  <c r="AG250" i="37"/>
  <c r="J304" i="37"/>
  <c r="S304" i="37"/>
  <c r="U304" i="37" s="1"/>
  <c r="G43" i="37"/>
  <c r="G71" i="37" s="1"/>
  <c r="T200" i="37"/>
  <c r="K200" i="37"/>
  <c r="F69" i="37"/>
  <c r="O68" i="37"/>
  <c r="X301" i="37"/>
  <c r="Z301" i="37" s="1"/>
  <c r="N42" i="37" s="1"/>
  <c r="W301" i="37"/>
  <c r="AH301" i="37" s="1"/>
  <c r="K304" i="37"/>
  <c r="T304" i="37"/>
  <c r="AI197" i="37"/>
  <c r="E42" i="37"/>
  <c r="E70" i="37" s="1"/>
  <c r="N198" i="37"/>
  <c r="Y198" i="37" s="1"/>
  <c r="Z198" i="37" s="1"/>
  <c r="L43" i="37" s="1"/>
  <c r="V198" i="37"/>
  <c r="W198" i="37" s="1"/>
  <c r="AH198" i="37" s="1"/>
  <c r="AI247" i="37"/>
  <c r="D252" i="37"/>
  <c r="H252" i="37"/>
  <c r="D41" i="37"/>
  <c r="E252" i="37"/>
  <c r="I252" i="37"/>
  <c r="K22" i="37"/>
  <c r="V250" i="37"/>
  <c r="N250" i="37"/>
  <c r="Y250" i="37" s="1"/>
  <c r="X250" i="37"/>
  <c r="W250" i="37"/>
  <c r="G42" i="37"/>
  <c r="T303" i="37"/>
  <c r="K303" i="37"/>
  <c r="X199" i="37"/>
  <c r="AH302" i="37"/>
  <c r="E201" i="37"/>
  <c r="I201" i="37"/>
  <c r="N249" i="37"/>
  <c r="Y249" i="37" s="1"/>
  <c r="Z249" i="37" s="1"/>
  <c r="M43" i="37" s="1"/>
  <c r="V249" i="37"/>
  <c r="W249" i="37" s="1"/>
  <c r="I149" i="37"/>
  <c r="L249" i="37"/>
  <c r="D201" i="37"/>
  <c r="J21" i="37"/>
  <c r="E20" i="37"/>
  <c r="S303" i="37"/>
  <c r="U303" i="37" s="1"/>
  <c r="J303" i="37"/>
  <c r="AH146" i="37"/>
  <c r="H148" i="37"/>
  <c r="M250" i="37"/>
  <c r="L250" i="37"/>
  <c r="AH250" i="37" s="1"/>
  <c r="D305" i="37"/>
  <c r="L68" i="37"/>
  <c r="AG199" i="37"/>
  <c r="AC251" i="37" l="1"/>
  <c r="L70" i="37"/>
  <c r="M70" i="37"/>
  <c r="N71" i="37"/>
  <c r="O250" i="37"/>
  <c r="Z250" i="37"/>
  <c r="M44" i="37" s="1"/>
  <c r="AI145" i="37"/>
  <c r="O42" i="37"/>
  <c r="D22" i="37"/>
  <c r="AI301" i="37"/>
  <c r="O249" i="37"/>
  <c r="AI249" i="37" s="1"/>
  <c r="AC147" i="37"/>
  <c r="G70" i="37"/>
  <c r="AI146" i="37"/>
  <c r="T150" i="37"/>
  <c r="K150" i="37"/>
  <c r="D306" i="37"/>
  <c r="H306" i="37"/>
  <c r="X303" i="37"/>
  <c r="J252" i="37"/>
  <c r="S252" i="37"/>
  <c r="U252" i="37" s="1"/>
  <c r="V304" i="37"/>
  <c r="W304" i="37" s="1"/>
  <c r="N304" i="37"/>
  <c r="Y304" i="37" s="1"/>
  <c r="N200" i="37"/>
  <c r="Y200" i="37" s="1"/>
  <c r="V200" i="37"/>
  <c r="W200" i="37" s="1"/>
  <c r="M200" i="37"/>
  <c r="L200" i="37"/>
  <c r="T305" i="37"/>
  <c r="K305" i="37"/>
  <c r="AH199" i="37"/>
  <c r="M251" i="37"/>
  <c r="L251" i="37"/>
  <c r="H305" i="37"/>
  <c r="AG303" i="37"/>
  <c r="Z199" i="37"/>
  <c r="L44" i="37" s="1"/>
  <c r="I253" i="37"/>
  <c r="E253" i="37"/>
  <c r="D253" i="37"/>
  <c r="X304" i="37"/>
  <c r="Z304" i="37" s="1"/>
  <c r="N45" i="37" s="1"/>
  <c r="X251" i="37"/>
  <c r="AC303" i="37"/>
  <c r="AC304" i="37" s="1"/>
  <c r="E21" i="37"/>
  <c r="F22" i="37"/>
  <c r="E202" i="37"/>
  <c r="I202" i="37" s="1"/>
  <c r="D69" i="37"/>
  <c r="H41" i="37"/>
  <c r="AG304" i="37"/>
  <c r="E69" i="37"/>
  <c r="X200" i="37"/>
  <c r="D24" i="37"/>
  <c r="D26" i="37"/>
  <c r="D150" i="37"/>
  <c r="H150" i="37" s="1"/>
  <c r="H23" i="37"/>
  <c r="V251" i="37"/>
  <c r="W251" i="37" s="1"/>
  <c r="N251" i="37"/>
  <c r="Y251" i="37" s="1"/>
  <c r="AG251" i="37"/>
  <c r="J148" i="37"/>
  <c r="S148" i="37"/>
  <c r="U148" i="37" s="1"/>
  <c r="D202" i="37"/>
  <c r="H202" i="37" s="1"/>
  <c r="K149" i="37"/>
  <c r="T149" i="37"/>
  <c r="K252" i="37"/>
  <c r="T252" i="37"/>
  <c r="L147" i="37"/>
  <c r="M147" i="37"/>
  <c r="O147" i="37" s="1"/>
  <c r="J22" i="37"/>
  <c r="J23" i="37" s="1"/>
  <c r="J24" i="37" s="1"/>
  <c r="J25" i="37" s="1"/>
  <c r="J26" i="37" s="1"/>
  <c r="H201" i="37"/>
  <c r="K201" i="37"/>
  <c r="T201" i="37"/>
  <c r="K23" i="37"/>
  <c r="O198" i="37"/>
  <c r="E151" i="37"/>
  <c r="I151" i="37" s="1"/>
  <c r="W147" i="37"/>
  <c r="X147" i="37"/>
  <c r="Z147" i="37" s="1"/>
  <c r="K43" i="37" s="1"/>
  <c r="O43" i="37" s="1"/>
  <c r="AI250" i="37"/>
  <c r="F44" i="37"/>
  <c r="F72" i="37" s="1"/>
  <c r="M303" i="37"/>
  <c r="L303" i="37"/>
  <c r="AH249" i="37"/>
  <c r="D25" i="37"/>
  <c r="V303" i="37"/>
  <c r="W303" i="37" s="1"/>
  <c r="N303" i="37"/>
  <c r="Y303" i="37" s="1"/>
  <c r="M69" i="37"/>
  <c r="M304" i="37"/>
  <c r="L304" i="37"/>
  <c r="AG200" i="37"/>
  <c r="O67" i="37"/>
  <c r="E306" i="37"/>
  <c r="I306" i="37"/>
  <c r="O41" i="37"/>
  <c r="O199" i="37"/>
  <c r="H149" i="37"/>
  <c r="H42" i="37"/>
  <c r="D70" i="37"/>
  <c r="L21" i="37"/>
  <c r="AG147" i="37"/>
  <c r="K70" i="37" l="1"/>
  <c r="F43" i="37"/>
  <c r="F71" i="37" s="1"/>
  <c r="O304" i="37"/>
  <c r="G45" i="37" s="1"/>
  <c r="G73" i="37" s="1"/>
  <c r="M72" i="37"/>
  <c r="H93" i="37"/>
  <c r="N70" i="37"/>
  <c r="H70" i="37"/>
  <c r="Z200" i="37"/>
  <c r="L45" i="37" s="1"/>
  <c r="E23" i="37"/>
  <c r="O70" i="37"/>
  <c r="E22" i="37"/>
  <c r="E24" i="37"/>
  <c r="O200" i="37"/>
  <c r="E45" i="37" s="1"/>
  <c r="T202" i="37"/>
  <c r="K202" i="37"/>
  <c r="S149" i="37"/>
  <c r="U149" i="37" s="1"/>
  <c r="J149" i="37"/>
  <c r="X148" i="37"/>
  <c r="Z148" i="37" s="1"/>
  <c r="K44" i="37" s="1"/>
  <c r="W148" i="37"/>
  <c r="J150" i="37"/>
  <c r="S150" i="37"/>
  <c r="U150" i="37" s="1"/>
  <c r="T253" i="37"/>
  <c r="K253" i="37"/>
  <c r="AI200" i="37"/>
  <c r="AI199" i="37"/>
  <c r="E44" i="37"/>
  <c r="E72" i="37" s="1"/>
  <c r="K151" i="37"/>
  <c r="T151" i="37"/>
  <c r="AH147" i="37"/>
  <c r="AG148" i="37"/>
  <c r="D254" i="37"/>
  <c r="AH251" i="37"/>
  <c r="V305" i="37"/>
  <c r="N305" i="37"/>
  <c r="Y305" i="37" s="1"/>
  <c r="Z303" i="37"/>
  <c r="N44" i="37" s="1"/>
  <c r="AI304" i="37"/>
  <c r="AH303" i="37"/>
  <c r="E152" i="37"/>
  <c r="AC252" i="37"/>
  <c r="V201" i="37"/>
  <c r="N201" i="37"/>
  <c r="Y201" i="37" s="1"/>
  <c r="J202" i="37"/>
  <c r="S202" i="37"/>
  <c r="U202" i="37" s="1"/>
  <c r="M148" i="37"/>
  <c r="O148" i="37" s="1"/>
  <c r="L148" i="37"/>
  <c r="L23" i="37"/>
  <c r="H24" i="37"/>
  <c r="C24" i="37" s="1"/>
  <c r="C23" i="37"/>
  <c r="H69" i="37"/>
  <c r="Z251" i="37"/>
  <c r="M45" i="37" s="1"/>
  <c r="H253" i="37"/>
  <c r="O251" i="37"/>
  <c r="AG252" i="37"/>
  <c r="J306" i="37"/>
  <c r="S306" i="37"/>
  <c r="U306" i="37" s="1"/>
  <c r="K306" i="37"/>
  <c r="T306" i="37"/>
  <c r="K24" i="37"/>
  <c r="K25" i="37" s="1"/>
  <c r="K26" i="37" s="1"/>
  <c r="F23" i="37"/>
  <c r="AI147" i="37"/>
  <c r="D43" i="37"/>
  <c r="E203" i="37"/>
  <c r="S305" i="37"/>
  <c r="U305" i="37" s="1"/>
  <c r="J305" i="37"/>
  <c r="G21" i="37"/>
  <c r="E307" i="37"/>
  <c r="AH304" i="37"/>
  <c r="V149" i="37"/>
  <c r="N149" i="37"/>
  <c r="Y149" i="37" s="1"/>
  <c r="D151" i="37"/>
  <c r="H151" i="37" s="1"/>
  <c r="X252" i="37"/>
  <c r="N150" i="37"/>
  <c r="Y150" i="37" s="1"/>
  <c r="V150" i="37"/>
  <c r="O303" i="37"/>
  <c r="AI198" i="37"/>
  <c r="E43" i="37"/>
  <c r="E71" i="37" s="1"/>
  <c r="S201" i="37"/>
  <c r="AG201" i="37" s="1"/>
  <c r="J201" i="37"/>
  <c r="E26" i="37"/>
  <c r="V252" i="37"/>
  <c r="W252" i="37" s="1"/>
  <c r="N252" i="37"/>
  <c r="Y252" i="37" s="1"/>
  <c r="H203" i="37"/>
  <c r="D203" i="37"/>
  <c r="L22" i="37"/>
  <c r="G22" i="37" s="1"/>
  <c r="L69" i="37"/>
  <c r="K69" i="37"/>
  <c r="E254" i="37"/>
  <c r="I254" i="37"/>
  <c r="AC148" i="37"/>
  <c r="AH200" i="37"/>
  <c r="M252" i="37"/>
  <c r="L252" i="37"/>
  <c r="D307" i="37"/>
  <c r="E25" i="37"/>
  <c r="N73" i="37" l="1"/>
  <c r="AH148" i="37"/>
  <c r="L72" i="37"/>
  <c r="H94" i="37"/>
  <c r="M71" i="37"/>
  <c r="L71" i="37"/>
  <c r="E73" i="37"/>
  <c r="O252" i="37"/>
  <c r="AH252" i="37"/>
  <c r="F24" i="37"/>
  <c r="O44" i="37"/>
  <c r="S151" i="37"/>
  <c r="U151" i="37" s="1"/>
  <c r="J151" i="37"/>
  <c r="AG151" i="37"/>
  <c r="K254" i="37"/>
  <c r="T254" i="37"/>
  <c r="S203" i="37"/>
  <c r="U203" i="37" s="1"/>
  <c r="J203" i="37"/>
  <c r="E308" i="37"/>
  <c r="I308" i="37" s="1"/>
  <c r="M305" i="37"/>
  <c r="O305" i="37" s="1"/>
  <c r="L305" i="37"/>
  <c r="E204" i="37"/>
  <c r="X306" i="37"/>
  <c r="AI251" i="37"/>
  <c r="F45" i="37"/>
  <c r="F73" i="37" s="1"/>
  <c r="L24" i="37"/>
  <c r="H25" i="37"/>
  <c r="X202" i="37"/>
  <c r="D255" i="37"/>
  <c r="H255" i="37" s="1"/>
  <c r="V151" i="37"/>
  <c r="N151" i="37"/>
  <c r="Y151" i="37" s="1"/>
  <c r="X150" i="37"/>
  <c r="Z150" i="37" s="1"/>
  <c r="K46" i="37" s="1"/>
  <c r="W150" i="37"/>
  <c r="W149" i="37"/>
  <c r="X149" i="37"/>
  <c r="Z149" i="37" s="1"/>
  <c r="K45" i="37" s="1"/>
  <c r="O45" i="37" s="1"/>
  <c r="F46" i="37"/>
  <c r="E255" i="37"/>
  <c r="L201" i="37"/>
  <c r="M201" i="37"/>
  <c r="O201" i="37" s="1"/>
  <c r="I307" i="37"/>
  <c r="X305" i="37"/>
  <c r="Z305" i="37" s="1"/>
  <c r="N46" i="37" s="1"/>
  <c r="W305" i="37"/>
  <c r="D71" i="37"/>
  <c r="H43" i="37"/>
  <c r="H71" i="37" s="1"/>
  <c r="AG306" i="37"/>
  <c r="S253" i="37"/>
  <c r="U253" i="37" s="1"/>
  <c r="J253" i="37"/>
  <c r="AG202" i="37"/>
  <c r="V253" i="37"/>
  <c r="N253" i="37"/>
  <c r="Y253" i="37" s="1"/>
  <c r="AG150" i="37"/>
  <c r="N202" i="37"/>
  <c r="Y202" i="37" s="1"/>
  <c r="V202" i="37"/>
  <c r="W202" i="37" s="1"/>
  <c r="D308" i="37"/>
  <c r="H308" i="37"/>
  <c r="U201" i="37"/>
  <c r="AC201" i="37"/>
  <c r="AC202" i="37" s="1"/>
  <c r="AI303" i="37"/>
  <c r="G44" i="37"/>
  <c r="G72" i="37" s="1"/>
  <c r="Z252" i="37"/>
  <c r="M46" i="37" s="1"/>
  <c r="AG305" i="37"/>
  <c r="M306" i="37"/>
  <c r="L306" i="37"/>
  <c r="M202" i="37"/>
  <c r="L202" i="37"/>
  <c r="E153" i="37"/>
  <c r="I153" i="37"/>
  <c r="M150" i="37"/>
  <c r="O150" i="37" s="1"/>
  <c r="L150" i="37"/>
  <c r="AH150" i="37" s="1"/>
  <c r="AG149" i="37"/>
  <c r="H307" i="37"/>
  <c r="AC149" i="37"/>
  <c r="AC150" i="37" s="1"/>
  <c r="AC151" i="37" s="1"/>
  <c r="O69" i="37"/>
  <c r="D204" i="37"/>
  <c r="H204" i="37"/>
  <c r="F25" i="37"/>
  <c r="D152" i="37"/>
  <c r="H152" i="37" s="1"/>
  <c r="G23" i="37"/>
  <c r="I203" i="37"/>
  <c r="V306" i="37"/>
  <c r="W306" i="37" s="1"/>
  <c r="N306" i="37"/>
  <c r="Y306" i="37" s="1"/>
  <c r="C25" i="37"/>
  <c r="D44" i="37"/>
  <c r="AI148" i="37"/>
  <c r="I152" i="37"/>
  <c r="H254" i="37"/>
  <c r="AC305" i="37"/>
  <c r="AC306" i="37" s="1"/>
  <c r="L149" i="37"/>
  <c r="M149" i="37"/>
  <c r="O149" i="37" s="1"/>
  <c r="F26" i="37"/>
  <c r="K71" i="37" l="1"/>
  <c r="O71" i="37" s="1"/>
  <c r="L73" i="37"/>
  <c r="M73" i="37"/>
  <c r="N72" i="37"/>
  <c r="O306" i="37"/>
  <c r="AH202" i="37"/>
  <c r="AC253" i="37"/>
  <c r="AG253" i="37"/>
  <c r="Z306" i="37"/>
  <c r="N47" i="37" s="1"/>
  <c r="H44" i="37"/>
  <c r="H72" i="37" s="1"/>
  <c r="D72" i="37"/>
  <c r="K203" i="37"/>
  <c r="L203" i="37" s="1"/>
  <c r="T203" i="37"/>
  <c r="M203" i="37"/>
  <c r="J204" i="37"/>
  <c r="S204" i="37"/>
  <c r="U204" i="37" s="1"/>
  <c r="O202" i="37"/>
  <c r="J308" i="37"/>
  <c r="S308" i="37"/>
  <c r="U308" i="37" s="1"/>
  <c r="X203" i="37"/>
  <c r="T152" i="37"/>
  <c r="K152" i="37"/>
  <c r="J152" i="37"/>
  <c r="S152" i="37"/>
  <c r="U152" i="37" s="1"/>
  <c r="S307" i="37"/>
  <c r="U307" i="37" s="1"/>
  <c r="J307" i="37"/>
  <c r="W151" i="37"/>
  <c r="X151" i="37"/>
  <c r="Z151" i="37" s="1"/>
  <c r="K47" i="37" s="1"/>
  <c r="AI306" i="37"/>
  <c r="G47" i="37"/>
  <c r="G75" i="37" s="1"/>
  <c r="W201" i="37"/>
  <c r="AH201" i="37" s="1"/>
  <c r="X201" i="37"/>
  <c r="Z201" i="37" s="1"/>
  <c r="L46" i="37" s="1"/>
  <c r="O46" i="37" s="1"/>
  <c r="AI252" i="37"/>
  <c r="S255" i="37"/>
  <c r="U255" i="37" s="1"/>
  <c r="J255" i="37"/>
  <c r="AI305" i="37"/>
  <c r="G46" i="37"/>
  <c r="G74" i="37" s="1"/>
  <c r="J254" i="37"/>
  <c r="S254" i="37"/>
  <c r="U254" i="37" s="1"/>
  <c r="AC152" i="37"/>
  <c r="AI150" i="37"/>
  <c r="D46" i="37"/>
  <c r="E256" i="37"/>
  <c r="E205" i="37"/>
  <c r="I205" i="37" s="1"/>
  <c r="K308" i="37"/>
  <c r="T308" i="37"/>
  <c r="L151" i="37"/>
  <c r="M151" i="37"/>
  <c r="O151" i="37" s="1"/>
  <c r="AI149" i="37"/>
  <c r="D45" i="37"/>
  <c r="D205" i="37"/>
  <c r="K153" i="37"/>
  <c r="T153" i="37"/>
  <c r="G24" i="37"/>
  <c r="D309" i="37"/>
  <c r="M253" i="37"/>
  <c r="O253" i="37" s="1"/>
  <c r="L253" i="37"/>
  <c r="T307" i="37"/>
  <c r="K307" i="37"/>
  <c r="I255" i="37"/>
  <c r="Z202" i="37"/>
  <c r="L47" i="37" s="1"/>
  <c r="I204" i="37"/>
  <c r="E309" i="37"/>
  <c r="AH149" i="37"/>
  <c r="D153" i="37"/>
  <c r="E154" i="37"/>
  <c r="I154" i="37" s="1"/>
  <c r="AH306" i="37"/>
  <c r="AC203" i="37"/>
  <c r="X253" i="37"/>
  <c r="Z253" i="37" s="1"/>
  <c r="M47" i="37" s="1"/>
  <c r="W253" i="37"/>
  <c r="E46" i="37"/>
  <c r="F74" i="37"/>
  <c r="D256" i="37"/>
  <c r="L25" i="37"/>
  <c r="H26" i="37"/>
  <c r="AH305" i="37"/>
  <c r="AG203" i="37"/>
  <c r="V254" i="37"/>
  <c r="N254" i="37"/>
  <c r="Y254" i="37" s="1"/>
  <c r="K72" i="37" l="1"/>
  <c r="O72" i="37" s="1"/>
  <c r="H96" i="37"/>
  <c r="AC204" i="37"/>
  <c r="N75" i="37"/>
  <c r="H95" i="37"/>
  <c r="M74" i="37"/>
  <c r="N74" i="37"/>
  <c r="O47" i="37"/>
  <c r="AG307" i="37"/>
  <c r="AC307" i="37"/>
  <c r="E74" i="37"/>
  <c r="AG255" i="37"/>
  <c r="T154" i="37"/>
  <c r="K154" i="37"/>
  <c r="E310" i="37"/>
  <c r="I310" i="37"/>
  <c r="T255" i="37"/>
  <c r="K255" i="37"/>
  <c r="AI253" i="37"/>
  <c r="F47" i="37"/>
  <c r="F75" i="37" s="1"/>
  <c r="D73" i="37"/>
  <c r="H45" i="37"/>
  <c r="H73" i="37" s="1"/>
  <c r="E257" i="37"/>
  <c r="I257" i="37"/>
  <c r="N152" i="37"/>
  <c r="Y152" i="37" s="1"/>
  <c r="V152" i="37"/>
  <c r="W152" i="37" s="1"/>
  <c r="X308" i="37"/>
  <c r="X204" i="37"/>
  <c r="D257" i="37"/>
  <c r="H257" i="37"/>
  <c r="AI201" i="37"/>
  <c r="G25" i="37"/>
  <c r="D154" i="37"/>
  <c r="H154" i="37"/>
  <c r="I309" i="37"/>
  <c r="V307" i="37"/>
  <c r="W307" i="37" s="1"/>
  <c r="N307" i="37"/>
  <c r="Y307" i="37" s="1"/>
  <c r="D310" i="37"/>
  <c r="H310" i="37"/>
  <c r="V153" i="37"/>
  <c r="N153" i="37"/>
  <c r="Y153" i="37" s="1"/>
  <c r="V308" i="37"/>
  <c r="W308" i="37" s="1"/>
  <c r="N308" i="37"/>
  <c r="Y308" i="37" s="1"/>
  <c r="I256" i="37"/>
  <c r="X254" i="37"/>
  <c r="Z254" i="37" s="1"/>
  <c r="M48" i="37" s="1"/>
  <c r="W254" i="37"/>
  <c r="X152" i="37"/>
  <c r="AG308" i="37"/>
  <c r="AG204" i="37"/>
  <c r="H256" i="37"/>
  <c r="H153" i="37"/>
  <c r="T204" i="37"/>
  <c r="K204" i="37"/>
  <c r="H309" i="37"/>
  <c r="D206" i="37"/>
  <c r="AI151" i="37"/>
  <c r="D47" i="37"/>
  <c r="K205" i="37"/>
  <c r="T205" i="37"/>
  <c r="H46" i="37"/>
  <c r="H74" i="37" s="1"/>
  <c r="D74" i="37"/>
  <c r="AG254" i="37"/>
  <c r="M255" i="37"/>
  <c r="L255" i="37"/>
  <c r="M307" i="37"/>
  <c r="L307" i="37"/>
  <c r="AG152" i="37"/>
  <c r="M308" i="37"/>
  <c r="L308" i="37"/>
  <c r="M204" i="37"/>
  <c r="L204" i="37"/>
  <c r="AC308" i="37"/>
  <c r="L26" i="37"/>
  <c r="G26" i="37" s="1"/>
  <c r="C26" i="37"/>
  <c r="E155" i="37"/>
  <c r="I155" i="37"/>
  <c r="AH253" i="37"/>
  <c r="H205" i="37"/>
  <c r="AH151" i="37"/>
  <c r="E206" i="37"/>
  <c r="I206" i="37" s="1"/>
  <c r="M254" i="37"/>
  <c r="O254" i="37" s="1"/>
  <c r="L254" i="37"/>
  <c r="AH254" i="37" s="1"/>
  <c r="X255" i="37"/>
  <c r="AC254" i="37"/>
  <c r="AC255" i="37" s="1"/>
  <c r="X307" i="37"/>
  <c r="M152" i="37"/>
  <c r="L152" i="37"/>
  <c r="AI202" i="37"/>
  <c r="E47" i="37"/>
  <c r="E75" i="37" s="1"/>
  <c r="V203" i="37"/>
  <c r="W203" i="37" s="1"/>
  <c r="AH203" i="37" s="1"/>
  <c r="N203" i="37"/>
  <c r="Y203" i="37" s="1"/>
  <c r="Z203" i="37" s="1"/>
  <c r="L48" i="37" s="1"/>
  <c r="M75" i="37" l="1"/>
  <c r="L74" i="37"/>
  <c r="L75" i="37"/>
  <c r="K74" i="37"/>
  <c r="O74" i="37" s="1"/>
  <c r="H98" i="37"/>
  <c r="K73" i="37"/>
  <c r="O73" i="37" s="1"/>
  <c r="O308" i="37"/>
  <c r="AI308" i="37" s="1"/>
  <c r="O203" i="37"/>
  <c r="AI203" i="37" s="1"/>
  <c r="O152" i="37"/>
  <c r="Z152" i="37"/>
  <c r="K48" i="37" s="1"/>
  <c r="Z307" i="37"/>
  <c r="N48" i="37" s="1"/>
  <c r="O307" i="37"/>
  <c r="G48" i="37" s="1"/>
  <c r="Z308" i="37"/>
  <c r="N49" i="37" s="1"/>
  <c r="T206" i="37"/>
  <c r="K206" i="37"/>
  <c r="D48" i="37"/>
  <c r="AI152" i="37"/>
  <c r="AH308" i="37"/>
  <c r="V205" i="37"/>
  <c r="N205" i="37"/>
  <c r="Y205" i="37" s="1"/>
  <c r="S153" i="37"/>
  <c r="AG153" i="37" s="1"/>
  <c r="J153" i="37"/>
  <c r="T256" i="37"/>
  <c r="K256" i="37"/>
  <c r="G49" i="37"/>
  <c r="D75" i="37"/>
  <c r="H47" i="37"/>
  <c r="H75" i="37" s="1"/>
  <c r="J310" i="37"/>
  <c r="S310" i="37"/>
  <c r="U310" i="37" s="1"/>
  <c r="E156" i="37"/>
  <c r="I156" i="37" s="1"/>
  <c r="N204" i="37"/>
  <c r="Y204" i="37" s="1"/>
  <c r="V204" i="37"/>
  <c r="W204" i="37" s="1"/>
  <c r="AH204" i="37" s="1"/>
  <c r="H311" i="37"/>
  <c r="D311" i="37"/>
  <c r="J154" i="37"/>
  <c r="S154" i="37"/>
  <c r="U154" i="37" s="1"/>
  <c r="J257" i="37"/>
  <c r="S257" i="37"/>
  <c r="U257" i="37" s="1"/>
  <c r="Z204" i="37"/>
  <c r="L49" i="37" s="1"/>
  <c r="V255" i="37"/>
  <c r="W255" i="37" s="1"/>
  <c r="AH255" i="37" s="1"/>
  <c r="N255" i="37"/>
  <c r="Y255" i="37" s="1"/>
  <c r="Z255" i="37" s="1"/>
  <c r="M49" i="37" s="1"/>
  <c r="N154" i="37"/>
  <c r="Y154" i="37" s="1"/>
  <c r="V154" i="37"/>
  <c r="E48" i="37"/>
  <c r="E76" i="37" s="1"/>
  <c r="E207" i="37"/>
  <c r="I207" i="37"/>
  <c r="AH307" i="37"/>
  <c r="D207" i="37"/>
  <c r="K257" i="37"/>
  <c r="T257" i="37"/>
  <c r="K310" i="37"/>
  <c r="T310" i="37"/>
  <c r="K155" i="37"/>
  <c r="T155" i="37"/>
  <c r="S309" i="37"/>
  <c r="U309" i="37" s="1"/>
  <c r="J309" i="37"/>
  <c r="S256" i="37"/>
  <c r="U256" i="37" s="1"/>
  <c r="J256" i="37"/>
  <c r="T309" i="37"/>
  <c r="K309" i="37"/>
  <c r="E258" i="37"/>
  <c r="E311" i="37"/>
  <c r="AH152" i="37"/>
  <c r="AI254" i="37"/>
  <c r="F48" i="37"/>
  <c r="F76" i="37" s="1"/>
  <c r="S205" i="37"/>
  <c r="AG205" i="37" s="1"/>
  <c r="J205" i="37"/>
  <c r="O204" i="37"/>
  <c r="H206" i="37"/>
  <c r="D155" i="37"/>
  <c r="H155" i="37" s="1"/>
  <c r="D258" i="37"/>
  <c r="L76" i="37" l="1"/>
  <c r="K75" i="37"/>
  <c r="O75" i="37" s="1"/>
  <c r="H99" i="37"/>
  <c r="M76" i="37"/>
  <c r="H97" i="37"/>
  <c r="G77" i="37"/>
  <c r="O48" i="37"/>
  <c r="AC256" i="37"/>
  <c r="AC257" i="37" s="1"/>
  <c r="G76" i="37"/>
  <c r="AG256" i="37"/>
  <c r="AI307" i="37"/>
  <c r="O255" i="37"/>
  <c r="AG310" i="37"/>
  <c r="T156" i="37"/>
  <c r="K156" i="37"/>
  <c r="S155" i="37"/>
  <c r="U155" i="37" s="1"/>
  <c r="J155" i="37"/>
  <c r="E312" i="37"/>
  <c r="I312" i="37"/>
  <c r="V155" i="37"/>
  <c r="N155" i="37"/>
  <c r="Y155" i="37" s="1"/>
  <c r="K207" i="37"/>
  <c r="T207" i="37"/>
  <c r="S311" i="37"/>
  <c r="U311" i="37" s="1"/>
  <c r="J311" i="37"/>
  <c r="V256" i="37"/>
  <c r="W256" i="37" s="1"/>
  <c r="N256" i="37"/>
  <c r="Y256" i="37" s="1"/>
  <c r="M309" i="37"/>
  <c r="L309" i="37"/>
  <c r="D208" i="37"/>
  <c r="H208" i="37"/>
  <c r="E208" i="37"/>
  <c r="I208" i="37" s="1"/>
  <c r="M310" i="37"/>
  <c r="L310" i="37"/>
  <c r="J206" i="37"/>
  <c r="S206" i="37"/>
  <c r="U206" i="37" s="1"/>
  <c r="L205" i="37"/>
  <c r="M205" i="37"/>
  <c r="O205" i="37" s="1"/>
  <c r="E259" i="37"/>
  <c r="I259" i="37"/>
  <c r="L256" i="37"/>
  <c r="M256" i="37"/>
  <c r="X309" i="37"/>
  <c r="AC309" i="37"/>
  <c r="AC310" i="37" s="1"/>
  <c r="AC311" i="37" s="1"/>
  <c r="V310" i="37"/>
  <c r="N310" i="37"/>
  <c r="Y310" i="37" s="1"/>
  <c r="H207" i="37"/>
  <c r="AG257" i="37"/>
  <c r="M154" i="37"/>
  <c r="O154" i="37" s="1"/>
  <c r="L154" i="37"/>
  <c r="N206" i="37"/>
  <c r="Y206" i="37" s="1"/>
  <c r="V206" i="37"/>
  <c r="D156" i="37"/>
  <c r="H156" i="37"/>
  <c r="AI204" i="37"/>
  <c r="E49" i="37"/>
  <c r="E77" i="37" s="1"/>
  <c r="V309" i="37"/>
  <c r="W309" i="37" s="1"/>
  <c r="N309" i="37"/>
  <c r="Y309" i="37" s="1"/>
  <c r="V257" i="37"/>
  <c r="W257" i="37" s="1"/>
  <c r="N257" i="37"/>
  <c r="Y257" i="37" s="1"/>
  <c r="X154" i="37"/>
  <c r="Z154" i="37" s="1"/>
  <c r="K50" i="37" s="1"/>
  <c r="W154" i="37"/>
  <c r="U153" i="37"/>
  <c r="AC153" i="37"/>
  <c r="AC154" i="37" s="1"/>
  <c r="I311" i="37"/>
  <c r="X257" i="37"/>
  <c r="AG154" i="37"/>
  <c r="E157" i="37"/>
  <c r="I157" i="37" s="1"/>
  <c r="H48" i="37"/>
  <c r="H76" i="37" s="1"/>
  <c r="D76" i="37"/>
  <c r="D259" i="37"/>
  <c r="H259" i="37" s="1"/>
  <c r="H258" i="37"/>
  <c r="AI255" i="37"/>
  <c r="F49" i="37"/>
  <c r="F77" i="37" s="1"/>
  <c r="U205" i="37"/>
  <c r="AC205" i="37"/>
  <c r="I258" i="37"/>
  <c r="X256" i="37"/>
  <c r="AG309" i="37"/>
  <c r="L257" i="37"/>
  <c r="M257" i="37"/>
  <c r="D312" i="37"/>
  <c r="H312" i="37" s="1"/>
  <c r="X310" i="37"/>
  <c r="W310" i="37"/>
  <c r="L153" i="37"/>
  <c r="M153" i="37"/>
  <c r="O153" i="37" s="1"/>
  <c r="L77" i="37" l="1"/>
  <c r="N76" i="37"/>
  <c r="M77" i="37"/>
  <c r="K76" i="37"/>
  <c r="O76" i="37" s="1"/>
  <c r="AC206" i="37"/>
  <c r="N77" i="37"/>
  <c r="AH310" i="37"/>
  <c r="O257" i="37"/>
  <c r="Z257" i="37"/>
  <c r="M51" i="37" s="1"/>
  <c r="AG311" i="37"/>
  <c r="T208" i="37"/>
  <c r="K208" i="37"/>
  <c r="K259" i="37"/>
  <c r="T259" i="37"/>
  <c r="D49" i="37"/>
  <c r="J312" i="37"/>
  <c r="S312" i="37"/>
  <c r="U312" i="37" s="1"/>
  <c r="S258" i="37"/>
  <c r="U258" i="37" s="1"/>
  <c r="J258" i="37"/>
  <c r="W153" i="37"/>
  <c r="AH153" i="37" s="1"/>
  <c r="X153" i="37"/>
  <c r="Z153" i="37" s="1"/>
  <c r="K49" i="37" s="1"/>
  <c r="O49" i="37" s="1"/>
  <c r="S207" i="37"/>
  <c r="U207" i="37" s="1"/>
  <c r="J207" i="37"/>
  <c r="J208" i="37"/>
  <c r="S208" i="37"/>
  <c r="U208" i="37" s="1"/>
  <c r="L155" i="37"/>
  <c r="M155" i="37"/>
  <c r="O155" i="37" s="1"/>
  <c r="Z256" i="37"/>
  <c r="M50" i="37" s="1"/>
  <c r="W205" i="37"/>
  <c r="AH205" i="37" s="1"/>
  <c r="X205" i="37"/>
  <c r="Z205" i="37" s="1"/>
  <c r="L50" i="37" s="1"/>
  <c r="J259" i="37"/>
  <c r="S259" i="37"/>
  <c r="U259" i="37" s="1"/>
  <c r="K157" i="37"/>
  <c r="T157" i="37"/>
  <c r="J156" i="37"/>
  <c r="S156" i="37"/>
  <c r="U156" i="37" s="1"/>
  <c r="AH154" i="37"/>
  <c r="Z309" i="37"/>
  <c r="N50" i="37" s="1"/>
  <c r="X206" i="37"/>
  <c r="Z206" i="37" s="1"/>
  <c r="L51" i="37" s="1"/>
  <c r="W206" i="37"/>
  <c r="O310" i="37"/>
  <c r="K312" i="37"/>
  <c r="T312" i="37"/>
  <c r="W155" i="37"/>
  <c r="X155" i="37"/>
  <c r="Z155" i="37" s="1"/>
  <c r="K51" i="37" s="1"/>
  <c r="F51" i="37"/>
  <c r="F79" i="37" s="1"/>
  <c r="T311" i="37"/>
  <c r="K311" i="37"/>
  <c r="L311" i="37" s="1"/>
  <c r="D157" i="37"/>
  <c r="H157" i="37" s="1"/>
  <c r="D50" i="37"/>
  <c r="AI154" i="37"/>
  <c r="O256" i="37"/>
  <c r="AG206" i="37"/>
  <c r="AH309" i="37"/>
  <c r="M311" i="37"/>
  <c r="V207" i="37"/>
  <c r="N207" i="37"/>
  <c r="Y207" i="37" s="1"/>
  <c r="N156" i="37"/>
  <c r="Y156" i="37" s="1"/>
  <c r="V156" i="37"/>
  <c r="Z310" i="37"/>
  <c r="N51" i="37" s="1"/>
  <c r="AH257" i="37"/>
  <c r="T258" i="37"/>
  <c r="K258" i="37"/>
  <c r="AC155" i="37"/>
  <c r="AC312" i="37"/>
  <c r="AH256" i="37"/>
  <c r="E50" i="37"/>
  <c r="M206" i="37"/>
  <c r="O206" i="37" s="1"/>
  <c r="L206" i="37"/>
  <c r="O309" i="37"/>
  <c r="X311" i="37"/>
  <c r="AG155" i="37"/>
  <c r="H100" i="37" l="1"/>
  <c r="M79" i="37"/>
  <c r="AI257" i="37"/>
  <c r="O50" i="37"/>
  <c r="AG259" i="37"/>
  <c r="AG312" i="37"/>
  <c r="AI205" i="37"/>
  <c r="AC258" i="37"/>
  <c r="AC259" i="37" s="1"/>
  <c r="S157" i="37"/>
  <c r="U157" i="37" s="1"/>
  <c r="J157" i="37"/>
  <c r="AI309" i="37"/>
  <c r="G50" i="37"/>
  <c r="G78" i="37" s="1"/>
  <c r="N258" i="37"/>
  <c r="Y258" i="37" s="1"/>
  <c r="V258" i="37"/>
  <c r="M208" i="37"/>
  <c r="L208" i="37"/>
  <c r="X258" i="37"/>
  <c r="Z258" i="37" s="1"/>
  <c r="M52" i="37" s="1"/>
  <c r="W258" i="37"/>
  <c r="AH206" i="37"/>
  <c r="AI256" i="37"/>
  <c r="F50" i="37"/>
  <c r="F78" i="37" s="1"/>
  <c r="AH155" i="37"/>
  <c r="M312" i="37"/>
  <c r="L312" i="37"/>
  <c r="V259" i="37"/>
  <c r="N259" i="37"/>
  <c r="Y259" i="37" s="1"/>
  <c r="AI206" i="37"/>
  <c r="E51" i="37"/>
  <c r="E79" i="37" s="1"/>
  <c r="V312" i="37"/>
  <c r="W312" i="37" s="1"/>
  <c r="N312" i="37"/>
  <c r="Y312" i="37" s="1"/>
  <c r="M156" i="37"/>
  <c r="O156" i="37" s="1"/>
  <c r="L156" i="37"/>
  <c r="X259" i="37"/>
  <c r="W259" i="37"/>
  <c r="X208" i="37"/>
  <c r="AG207" i="37"/>
  <c r="AC207" i="37"/>
  <c r="AC208" i="37" s="1"/>
  <c r="D77" i="37"/>
  <c r="H49" i="37"/>
  <c r="H77" i="37" s="1"/>
  <c r="N208" i="37"/>
  <c r="Y208" i="37" s="1"/>
  <c r="V208" i="37"/>
  <c r="W208" i="37" s="1"/>
  <c r="X156" i="37"/>
  <c r="Z156" i="37" s="1"/>
  <c r="K52" i="37" s="1"/>
  <c r="W156" i="37"/>
  <c r="V157" i="37"/>
  <c r="N157" i="37"/>
  <c r="Y157" i="37" s="1"/>
  <c r="AI155" i="37"/>
  <c r="D51" i="37"/>
  <c r="W207" i="37"/>
  <c r="X207" i="37"/>
  <c r="Z207" i="37" s="1"/>
  <c r="L52" i="37" s="1"/>
  <c r="AG156" i="37"/>
  <c r="AG258" i="37"/>
  <c r="E78" i="37"/>
  <c r="AC156" i="37"/>
  <c r="H50" i="37"/>
  <c r="H78" i="37" s="1"/>
  <c r="D78" i="37"/>
  <c r="V311" i="37"/>
  <c r="W311" i="37" s="1"/>
  <c r="AH311" i="37" s="1"/>
  <c r="N311" i="37"/>
  <c r="Y311" i="37" s="1"/>
  <c r="Z311" i="37" s="1"/>
  <c r="N52" i="37" s="1"/>
  <c r="O51" i="37"/>
  <c r="AI310" i="37"/>
  <c r="G51" i="37"/>
  <c r="G79" i="37" s="1"/>
  <c r="M259" i="37"/>
  <c r="L259" i="37"/>
  <c r="AG208" i="37"/>
  <c r="L207" i="37"/>
  <c r="M207" i="37"/>
  <c r="O207" i="37" s="1"/>
  <c r="M258" i="37"/>
  <c r="O258" i="37" s="1"/>
  <c r="L258" i="37"/>
  <c r="X312" i="37"/>
  <c r="AI153" i="37"/>
  <c r="M78" i="37" l="1"/>
  <c r="L79" i="37"/>
  <c r="N78" i="37"/>
  <c r="K77" i="37"/>
  <c r="O77" i="37" s="1"/>
  <c r="H101" i="37"/>
  <c r="N79" i="37"/>
  <c r="L78" i="37"/>
  <c r="O78" i="37" s="1"/>
  <c r="AH258" i="37"/>
  <c r="K78" i="37"/>
  <c r="AC157" i="37"/>
  <c r="AG157" i="37"/>
  <c r="AH259" i="37"/>
  <c r="AI207" i="37"/>
  <c r="E52" i="37"/>
  <c r="E80" i="37" s="1"/>
  <c r="O259" i="37"/>
  <c r="D79" i="37"/>
  <c r="H51" i="37"/>
  <c r="H79" i="37" s="1"/>
  <c r="AH156" i="37"/>
  <c r="AH312" i="37"/>
  <c r="AH208" i="37"/>
  <c r="L157" i="37"/>
  <c r="M157" i="37"/>
  <c r="O157" i="37" s="1"/>
  <c r="AI258" i="37"/>
  <c r="F52" i="37"/>
  <c r="F80" i="37" s="1"/>
  <c r="Z259" i="37"/>
  <c r="M53" i="37" s="1"/>
  <c r="M54" i="37" s="1"/>
  <c r="Z312" i="37"/>
  <c r="N53" i="37" s="1"/>
  <c r="N54" i="37" s="1"/>
  <c r="AH207" i="37"/>
  <c r="O311" i="37"/>
  <c r="O52" i="37"/>
  <c r="Z208" i="37"/>
  <c r="L53" i="37" s="1"/>
  <c r="L54" i="37" s="1"/>
  <c r="D52" i="37"/>
  <c r="AI156" i="37"/>
  <c r="O312" i="37"/>
  <c r="O208" i="37"/>
  <c r="W157" i="37"/>
  <c r="X157" i="37"/>
  <c r="Z157" i="37" s="1"/>
  <c r="K53" i="37" s="1"/>
  <c r="H102" i="37" l="1"/>
  <c r="M80" i="37"/>
  <c r="K79" i="37"/>
  <c r="O79" i="37" s="1"/>
  <c r="H103" i="37"/>
  <c r="L80" i="37"/>
  <c r="D80" i="37"/>
  <c r="AI157" i="37"/>
  <c r="D53" i="37"/>
  <c r="AI312" i="37"/>
  <c r="G53" i="37"/>
  <c r="AH157" i="37"/>
  <c r="AI259" i="37"/>
  <c r="F53" i="37"/>
  <c r="AI208" i="37"/>
  <c r="E53" i="37"/>
  <c r="O53" i="37"/>
  <c r="O54" i="37" s="1"/>
  <c r="K54" i="37"/>
  <c r="AI311" i="37"/>
  <c r="G52" i="37"/>
  <c r="G80" i="37" s="1"/>
  <c r="K80" i="37" l="1"/>
  <c r="N80" i="37"/>
  <c r="O80" i="37" s="1"/>
  <c r="E81" i="37"/>
  <c r="E54" i="37"/>
  <c r="G81" i="37"/>
  <c r="G54" i="37"/>
  <c r="D81" i="37"/>
  <c r="H53" i="37"/>
  <c r="D54" i="37"/>
  <c r="F81" i="37"/>
  <c r="F54" i="37"/>
  <c r="H52" i="37"/>
  <c r="H80" i="37" s="1"/>
  <c r="H104" i="37" l="1"/>
  <c r="H105" i="37"/>
  <c r="H81" i="37"/>
  <c r="H82" i="37" s="1"/>
  <c r="H54" i="37"/>
  <c r="N81" i="37"/>
  <c r="N82" i="37" s="1"/>
  <c r="G82" i="37"/>
  <c r="G108" i="37" s="1"/>
  <c r="K81" i="37"/>
  <c r="D82" i="37"/>
  <c r="M81" i="37"/>
  <c r="M82" i="37" s="1"/>
  <c r="F82" i="37"/>
  <c r="F108" i="37" s="1"/>
  <c r="L81" i="37"/>
  <c r="L82" i="37" s="1"/>
  <c r="E82" i="37"/>
  <c r="E108" i="37" s="1"/>
  <c r="H106" i="37" l="1"/>
  <c r="H108" i="37" s="1"/>
  <c r="D108" i="37"/>
  <c r="O81" i="37"/>
  <c r="O82" i="37" s="1"/>
  <c r="K82" i="37"/>
  <c r="G59" i="30" l="1"/>
  <c r="F47" i="30"/>
  <c r="F11" i="30"/>
  <c r="F35" i="30"/>
  <c r="F23" i="30"/>
  <c r="G43" i="30"/>
  <c r="I44" i="30" l="1"/>
  <c r="J44" i="30"/>
  <c r="K44" i="30"/>
  <c r="L44" i="30"/>
  <c r="M44" i="30"/>
  <c r="H44" i="30"/>
  <c r="G44" i="30"/>
  <c r="I43" i="30"/>
  <c r="J43" i="30"/>
  <c r="K43" i="30"/>
  <c r="L43" i="30"/>
  <c r="M43" i="30"/>
  <c r="H43" i="30"/>
  <c r="I32" i="30"/>
  <c r="J32" i="30"/>
  <c r="K32" i="30"/>
  <c r="L32" i="30"/>
  <c r="H32" i="30"/>
  <c r="G32" i="30"/>
  <c r="J31" i="30"/>
  <c r="K31" i="30"/>
  <c r="L31" i="30"/>
  <c r="M31" i="30"/>
  <c r="I31" i="30"/>
  <c r="H31" i="30"/>
  <c r="G31" i="30"/>
  <c r="I20" i="30"/>
  <c r="J20" i="30"/>
  <c r="K20" i="30"/>
  <c r="L20" i="30"/>
  <c r="M20" i="30"/>
  <c r="H20" i="30"/>
  <c r="G20" i="30"/>
  <c r="I19" i="30"/>
  <c r="J19" i="30"/>
  <c r="K19" i="30"/>
  <c r="L19" i="30"/>
  <c r="M19" i="30"/>
  <c r="H19" i="30"/>
  <c r="G19" i="30"/>
  <c r="G9" i="30"/>
  <c r="I8" i="30"/>
  <c r="J8" i="30"/>
  <c r="K8" i="30"/>
  <c r="L8" i="30"/>
  <c r="H8" i="30"/>
  <c r="G8" i="30"/>
  <c r="M7" i="30"/>
  <c r="L7" i="30"/>
  <c r="K7" i="30"/>
  <c r="J7" i="30"/>
  <c r="I7" i="30"/>
  <c r="H7" i="30"/>
  <c r="N7" i="30" l="1"/>
  <c r="G55" i="30"/>
  <c r="N43" i="30"/>
  <c r="U35" i="31" l="1"/>
  <c r="U26" i="31" l="1"/>
  <c r="U21" i="31"/>
  <c r="M33" i="30" l="1"/>
  <c r="M45" i="30"/>
  <c r="M21" i="30"/>
  <c r="M9" i="30"/>
  <c r="H33" i="30"/>
  <c r="H45" i="30"/>
  <c r="H9" i="30"/>
  <c r="H21" i="30"/>
  <c r="J45" i="30"/>
  <c r="J21" i="30"/>
  <c r="J9" i="30"/>
  <c r="J33" i="30"/>
  <c r="I33" i="30"/>
  <c r="I21" i="30"/>
  <c r="I9" i="30"/>
  <c r="I45" i="30"/>
  <c r="L21" i="30"/>
  <c r="L9" i="30"/>
  <c r="L33" i="30"/>
  <c r="L45" i="30"/>
  <c r="K21" i="30"/>
  <c r="K9" i="30"/>
  <c r="K45" i="30"/>
  <c r="K33" i="30"/>
  <c r="G45" i="30"/>
  <c r="G21" i="30"/>
  <c r="G33" i="30"/>
  <c r="M57" i="30" l="1"/>
  <c r="I56" i="30"/>
  <c r="H56" i="30"/>
  <c r="G16" i="30"/>
  <c r="N34" i="30"/>
  <c r="H59" i="30"/>
  <c r="I59" i="30"/>
  <c r="D8" i="25" s="1"/>
  <c r="J56" i="30"/>
  <c r="I57" i="30"/>
  <c r="N46" i="30"/>
  <c r="L59" i="30"/>
  <c r="D11" i="25" s="1"/>
  <c r="K59" i="30"/>
  <c r="D10" i="25" s="1"/>
  <c r="K57" i="30"/>
  <c r="L57" i="30"/>
  <c r="L56" i="30"/>
  <c r="N19" i="30"/>
  <c r="J57" i="30"/>
  <c r="H57" i="30"/>
  <c r="T33" i="30"/>
  <c r="Q33" i="30"/>
  <c r="N33" i="30"/>
  <c r="Z33" i="30"/>
  <c r="X33" i="30"/>
  <c r="U33" i="30"/>
  <c r="W33" i="30"/>
  <c r="R33" i="30"/>
  <c r="P33" i="30"/>
  <c r="S33" i="30"/>
  <c r="Y33" i="30"/>
  <c r="O33" i="30"/>
  <c r="G18" i="30"/>
  <c r="O21" i="30"/>
  <c r="W21" i="30"/>
  <c r="Z21" i="30"/>
  <c r="N21" i="30"/>
  <c r="Q21" i="30"/>
  <c r="U21" i="30"/>
  <c r="S21" i="30"/>
  <c r="V21" i="30"/>
  <c r="T21" i="30"/>
  <c r="Y21" i="30"/>
  <c r="P21" i="30"/>
  <c r="X21" i="30"/>
  <c r="R21" i="30"/>
  <c r="P20" i="30"/>
  <c r="P32" i="30"/>
  <c r="V33" i="30"/>
  <c r="N31" i="30"/>
  <c r="R45" i="30"/>
  <c r="G57" i="30"/>
  <c r="Y45" i="30"/>
  <c r="P45" i="30"/>
  <c r="O45" i="30"/>
  <c r="W45" i="30"/>
  <c r="S45" i="30"/>
  <c r="N45" i="30"/>
  <c r="U45" i="30"/>
  <c r="X45" i="30"/>
  <c r="Z45" i="30"/>
  <c r="Q45" i="30"/>
  <c r="T45" i="30"/>
  <c r="V45" i="30"/>
  <c r="R9" i="30"/>
  <c r="P9" i="30"/>
  <c r="O9" i="30"/>
  <c r="T9" i="30"/>
  <c r="N9" i="30"/>
  <c r="Y9" i="30"/>
  <c r="S9" i="30"/>
  <c r="Z9" i="30"/>
  <c r="X9" i="30"/>
  <c r="W9" i="30"/>
  <c r="U9" i="30"/>
  <c r="Q9" i="30"/>
  <c r="V9" i="30"/>
  <c r="L58" i="30"/>
  <c r="F33" i="30" l="1"/>
  <c r="F45" i="30"/>
  <c r="F21" i="30"/>
  <c r="F9" i="30"/>
  <c r="D7" i="25"/>
  <c r="P44" i="30"/>
  <c r="O32" i="30"/>
  <c r="T32" i="30"/>
  <c r="O8" i="30"/>
  <c r="W44" i="30"/>
  <c r="R32" i="30"/>
  <c r="Z57" i="30"/>
  <c r="W8" i="30"/>
  <c r="E33" i="30"/>
  <c r="U8" i="30"/>
  <c r="E9" i="30"/>
  <c r="S57" i="30"/>
  <c r="R8" i="30"/>
  <c r="O44" i="30"/>
  <c r="K56" i="30"/>
  <c r="E21" i="30"/>
  <c r="Q8" i="30"/>
  <c r="T8" i="30"/>
  <c r="Y44" i="30"/>
  <c r="Q44" i="30"/>
  <c r="S8" i="30"/>
  <c r="P8" i="30"/>
  <c r="P56" i="30" s="1"/>
  <c r="W32" i="30"/>
  <c r="J59" i="30"/>
  <c r="D9" i="25" s="1"/>
  <c r="Z44" i="30"/>
  <c r="G56" i="30"/>
  <c r="G54" i="30" s="1"/>
  <c r="V57" i="30"/>
  <c r="W57" i="30"/>
  <c r="S20" i="30"/>
  <c r="U20" i="30"/>
  <c r="V44" i="30"/>
  <c r="U44" i="30"/>
  <c r="N44" i="30"/>
  <c r="S44" i="30"/>
  <c r="O46" i="30"/>
  <c r="Y32" i="30"/>
  <c r="Z32" i="30"/>
  <c r="X32" i="30"/>
  <c r="T57" i="30"/>
  <c r="U57" i="30"/>
  <c r="O57" i="30"/>
  <c r="R57" i="30"/>
  <c r="Z20" i="30"/>
  <c r="O20" i="30"/>
  <c r="Q20" i="30"/>
  <c r="Y8" i="30"/>
  <c r="Z8" i="30"/>
  <c r="X8" i="30"/>
  <c r="Y57" i="30"/>
  <c r="V20" i="30"/>
  <c r="Y20" i="30"/>
  <c r="R20" i="30"/>
  <c r="R44" i="30"/>
  <c r="X57" i="30"/>
  <c r="N32" i="30"/>
  <c r="U32" i="30"/>
  <c r="Q32" i="30"/>
  <c r="T20" i="30"/>
  <c r="S32" i="30"/>
  <c r="N20" i="30"/>
  <c r="T44" i="30"/>
  <c r="X44" i="30"/>
  <c r="M59" i="30"/>
  <c r="V32" i="30"/>
  <c r="E45" i="30"/>
  <c r="N57" i="30"/>
  <c r="P57" i="30"/>
  <c r="W20" i="30"/>
  <c r="X20" i="30"/>
  <c r="N8" i="30"/>
  <c r="V8" i="30"/>
  <c r="Q57" i="30"/>
  <c r="M56" i="30"/>
  <c r="F57" i="30" l="1"/>
  <c r="F20" i="30"/>
  <c r="F32" i="30"/>
  <c r="B6" i="25"/>
  <c r="F8" i="30"/>
  <c r="F44" i="30"/>
  <c r="D6" i="25"/>
  <c r="W56" i="30"/>
  <c r="R56" i="30"/>
  <c r="T56" i="30"/>
  <c r="Q56" i="30"/>
  <c r="S56" i="30"/>
  <c r="E57" i="30"/>
  <c r="E20" i="30"/>
  <c r="O56" i="30"/>
  <c r="Y56" i="30"/>
  <c r="V56" i="30"/>
  <c r="N56" i="30"/>
  <c r="Z56" i="30"/>
  <c r="E32" i="30"/>
  <c r="E44" i="30"/>
  <c r="X56" i="30"/>
  <c r="E8" i="30"/>
  <c r="U56" i="30"/>
  <c r="F56" i="30" l="1"/>
  <c r="E56" i="30"/>
  <c r="H55" i="30" l="1"/>
  <c r="Z7" i="30"/>
  <c r="B7" i="25" l="1"/>
  <c r="G42" i="30"/>
  <c r="L42" i="30"/>
  <c r="M30" i="30"/>
  <c r="M18" i="30"/>
  <c r="N6" i="30"/>
  <c r="H42" i="30"/>
  <c r="G30" i="30"/>
  <c r="G67" i="30" l="1"/>
  <c r="G68" i="30"/>
  <c r="N22" i="30"/>
  <c r="N58" i="30" s="1"/>
  <c r="K42" i="30"/>
  <c r="I42" i="30"/>
  <c r="J42" i="30"/>
  <c r="M42" i="30"/>
  <c r="H18" i="30"/>
  <c r="I18" i="30"/>
  <c r="J18" i="30"/>
  <c r="K18" i="30"/>
  <c r="H30" i="30"/>
  <c r="I30" i="30"/>
  <c r="J30" i="30"/>
  <c r="K30" i="30"/>
  <c r="J6" i="30"/>
  <c r="K6" i="30"/>
  <c r="L30" i="30"/>
  <c r="L55" i="30"/>
  <c r="L18" i="30"/>
  <c r="I6" i="30"/>
  <c r="M6" i="30"/>
  <c r="I58" i="30"/>
  <c r="H6" i="30"/>
  <c r="L6" i="30"/>
  <c r="J58" i="30"/>
  <c r="L54" i="30" l="1"/>
  <c r="B11" i="25"/>
  <c r="F12" i="31"/>
  <c r="E8" i="31"/>
  <c r="E9" i="31"/>
  <c r="E10" i="31"/>
  <c r="E11" i="31"/>
  <c r="E7" i="31"/>
  <c r="C26" i="31" l="1"/>
  <c r="G7" i="31"/>
  <c r="O43" i="30" l="1"/>
  <c r="P43" i="30"/>
  <c r="Q43" i="30"/>
  <c r="R43" i="30"/>
  <c r="S43" i="30"/>
  <c r="T43" i="30"/>
  <c r="U43" i="30"/>
  <c r="V43" i="30"/>
  <c r="W43" i="30"/>
  <c r="X43" i="30"/>
  <c r="Y43" i="30"/>
  <c r="Z43" i="30"/>
  <c r="P46" i="30"/>
  <c r="Q46" i="30"/>
  <c r="R46" i="30"/>
  <c r="S46" i="30"/>
  <c r="T46" i="30"/>
  <c r="U46" i="30"/>
  <c r="V46" i="30"/>
  <c r="W46" i="30"/>
  <c r="X46" i="30"/>
  <c r="Y46" i="30"/>
  <c r="Z46" i="30"/>
  <c r="E13" i="25"/>
  <c r="O31" i="30"/>
  <c r="P31" i="30"/>
  <c r="Q31" i="30"/>
  <c r="R31" i="30"/>
  <c r="S31" i="30"/>
  <c r="T31" i="30"/>
  <c r="U31" i="30"/>
  <c r="V31" i="30"/>
  <c r="W31" i="30"/>
  <c r="X31" i="30"/>
  <c r="Y31" i="30"/>
  <c r="Z31" i="30"/>
  <c r="O34" i="30"/>
  <c r="P34" i="30"/>
  <c r="Q34" i="30"/>
  <c r="R34" i="30"/>
  <c r="S34" i="30"/>
  <c r="T34" i="30"/>
  <c r="U34" i="30"/>
  <c r="V34" i="30"/>
  <c r="W34" i="30"/>
  <c r="X34" i="30"/>
  <c r="Y34" i="30"/>
  <c r="Z34" i="30"/>
  <c r="O19" i="30"/>
  <c r="P19" i="30"/>
  <c r="Q19" i="30"/>
  <c r="R19" i="30"/>
  <c r="S19" i="30"/>
  <c r="T19" i="30"/>
  <c r="U19" i="30"/>
  <c r="V19" i="30"/>
  <c r="W19" i="30"/>
  <c r="X19" i="30"/>
  <c r="Y19" i="30"/>
  <c r="Z19" i="30"/>
  <c r="O22" i="30"/>
  <c r="P22" i="30"/>
  <c r="Q22" i="30"/>
  <c r="R22" i="30"/>
  <c r="S22" i="30"/>
  <c r="T22" i="30"/>
  <c r="U22" i="30"/>
  <c r="V22" i="30"/>
  <c r="W22" i="30"/>
  <c r="X22" i="30"/>
  <c r="Y22" i="30"/>
  <c r="Z22" i="30"/>
  <c r="O10" i="30"/>
  <c r="P10" i="30"/>
  <c r="Q10" i="30"/>
  <c r="R10" i="30"/>
  <c r="S10" i="30"/>
  <c r="T10" i="30"/>
  <c r="U10" i="30"/>
  <c r="V10" i="30"/>
  <c r="W10" i="30"/>
  <c r="X10" i="30"/>
  <c r="Y10" i="30"/>
  <c r="Z10" i="30"/>
  <c r="N18" i="30"/>
  <c r="F22" i="30" l="1"/>
  <c r="F10" i="30"/>
  <c r="F43" i="30"/>
  <c r="F46" i="30"/>
  <c r="F19" i="30"/>
  <c r="F34" i="30"/>
  <c r="F31" i="30"/>
  <c r="N42" i="30"/>
  <c r="N30" i="30"/>
  <c r="V42" i="30"/>
  <c r="Y42" i="30"/>
  <c r="U42" i="30"/>
  <c r="Q42" i="30"/>
  <c r="R42" i="30"/>
  <c r="X42" i="30"/>
  <c r="T42" i="30"/>
  <c r="P42" i="30"/>
  <c r="Z42" i="30"/>
  <c r="W42" i="30"/>
  <c r="S42" i="30"/>
  <c r="O42" i="30"/>
  <c r="P30" i="30"/>
  <c r="W30" i="30"/>
  <c r="T30" i="30"/>
  <c r="O30" i="30"/>
  <c r="Z30" i="30"/>
  <c r="V30" i="30"/>
  <c r="R30" i="30"/>
  <c r="X30" i="30"/>
  <c r="S30" i="30"/>
  <c r="Y30" i="30"/>
  <c r="U30" i="30"/>
  <c r="Q30" i="30"/>
  <c r="V18" i="30"/>
  <c r="Y18" i="30"/>
  <c r="Q18" i="30"/>
  <c r="T18" i="30"/>
  <c r="Z18" i="30"/>
  <c r="R18" i="30"/>
  <c r="U18" i="30"/>
  <c r="X18" i="30"/>
  <c r="P18" i="30"/>
  <c r="W18" i="30"/>
  <c r="S18" i="30"/>
  <c r="O18" i="30"/>
  <c r="F13" i="25"/>
  <c r="G20" i="31"/>
  <c r="H10" i="31"/>
  <c r="H16" i="31"/>
  <c r="J16" i="31"/>
  <c r="L16" i="31"/>
  <c r="N16" i="31"/>
  <c r="H17" i="31"/>
  <c r="J17" i="31"/>
  <c r="L17" i="31"/>
  <c r="N17" i="31"/>
  <c r="H18" i="31"/>
  <c r="J18" i="31"/>
  <c r="L18" i="31"/>
  <c r="N18" i="31"/>
  <c r="H19" i="31"/>
  <c r="J19" i="31"/>
  <c r="L19" i="31"/>
  <c r="N19" i="31"/>
  <c r="H20" i="31"/>
  <c r="J20" i="31"/>
  <c r="L20" i="31"/>
  <c r="N20" i="31"/>
  <c r="H21" i="31"/>
  <c r="J21" i="31"/>
  <c r="L21" i="31"/>
  <c r="N21" i="31"/>
  <c r="H22" i="31"/>
  <c r="J22" i="31"/>
  <c r="L22" i="31"/>
  <c r="N22" i="31"/>
  <c r="H23" i="31"/>
  <c r="J23" i="31"/>
  <c r="L23" i="31"/>
  <c r="N23" i="31"/>
  <c r="H24" i="31"/>
  <c r="J24" i="31"/>
  <c r="L24" i="31"/>
  <c r="N24" i="31"/>
  <c r="H25" i="31"/>
  <c r="J25" i="31"/>
  <c r="L25" i="31"/>
  <c r="N25" i="31"/>
  <c r="G16" i="31"/>
  <c r="G17" i="31"/>
  <c r="G18" i="31"/>
  <c r="G19" i="31"/>
  <c r="G21" i="31"/>
  <c r="G22" i="31"/>
  <c r="G23" i="31"/>
  <c r="G24" i="31"/>
  <c r="G25" i="31"/>
  <c r="G11" i="31"/>
  <c r="G12" i="31"/>
  <c r="D26" i="31"/>
  <c r="E26" i="31"/>
  <c r="F26" i="31"/>
  <c r="F18" i="30" l="1"/>
  <c r="E42" i="30"/>
  <c r="F42" i="30"/>
  <c r="F30" i="30"/>
  <c r="P24" i="31"/>
  <c r="P22" i="31"/>
  <c r="P20" i="31"/>
  <c r="P17" i="31"/>
  <c r="P25" i="31"/>
  <c r="P23" i="31"/>
  <c r="P21" i="31"/>
  <c r="P19" i="31"/>
  <c r="P18" i="31"/>
  <c r="P16" i="31"/>
  <c r="C33" i="31"/>
  <c r="H31" i="31"/>
  <c r="I14" i="30" l="1"/>
  <c r="H14" i="30"/>
  <c r="H12" i="30" s="1"/>
  <c r="I12" i="30" l="1"/>
  <c r="H58" i="30"/>
  <c r="K58" i="30"/>
  <c r="M58" i="30"/>
  <c r="H54" i="30" l="1"/>
  <c r="N12" i="31"/>
  <c r="L12" i="31"/>
  <c r="J12" i="31"/>
  <c r="H12" i="31"/>
  <c r="P12" i="31" s="1"/>
  <c r="N11" i="31"/>
  <c r="L11" i="31"/>
  <c r="J11" i="31"/>
  <c r="H11" i="31"/>
  <c r="P11" i="31" s="1"/>
  <c r="N10" i="31"/>
  <c r="L10" i="31"/>
  <c r="J10" i="31"/>
  <c r="P10" i="31" s="1"/>
  <c r="G10" i="31"/>
  <c r="N9" i="31"/>
  <c r="L9" i="31"/>
  <c r="J9" i="31"/>
  <c r="H9" i="31"/>
  <c r="G9" i="31"/>
  <c r="N8" i="31"/>
  <c r="L8" i="31"/>
  <c r="J8" i="31"/>
  <c r="P8" i="31" s="1"/>
  <c r="G8" i="31"/>
  <c r="N7" i="31"/>
  <c r="O7" i="31" s="1"/>
  <c r="O8" i="31" s="1"/>
  <c r="O9" i="31" s="1"/>
  <c r="O10" i="31" s="1"/>
  <c r="O11" i="31" s="1"/>
  <c r="O12" i="31" s="1"/>
  <c r="O13" i="31" s="1"/>
  <c r="O14" i="31" s="1"/>
  <c r="O15" i="31" s="1"/>
  <c r="O16" i="31" s="1"/>
  <c r="O17" i="31" s="1"/>
  <c r="O18" i="31" s="1"/>
  <c r="O19" i="31" s="1"/>
  <c r="O20" i="31" s="1"/>
  <c r="O21" i="31" s="1"/>
  <c r="O22" i="31" s="1"/>
  <c r="O23" i="31" s="1"/>
  <c r="O24" i="31" s="1"/>
  <c r="O25" i="31" s="1"/>
  <c r="L7" i="31"/>
  <c r="M7" i="31" s="1"/>
  <c r="M8" i="31" s="1"/>
  <c r="M9" i="31" s="1"/>
  <c r="M10" i="31" s="1"/>
  <c r="M11" i="31" s="1"/>
  <c r="M12" i="31" s="1"/>
  <c r="M13" i="31" s="1"/>
  <c r="M14" i="31" s="1"/>
  <c r="M15" i="31" s="1"/>
  <c r="M16" i="31" s="1"/>
  <c r="M17" i="31" s="1"/>
  <c r="M18" i="31" s="1"/>
  <c r="M19" i="31" s="1"/>
  <c r="M20" i="31" s="1"/>
  <c r="M21" i="31" s="1"/>
  <c r="M22" i="31" s="1"/>
  <c r="M23" i="31" s="1"/>
  <c r="M24" i="31" s="1"/>
  <c r="M25" i="31" s="1"/>
  <c r="J7" i="31"/>
  <c r="N6" i="31"/>
  <c r="L6" i="31"/>
  <c r="J6" i="31"/>
  <c r="G6" i="31"/>
  <c r="K7" i="31" l="1"/>
  <c r="K8" i="31" s="1"/>
  <c r="K9" i="31" s="1"/>
  <c r="K10" i="31" s="1"/>
  <c r="K11" i="31" s="1"/>
  <c r="K12" i="31" s="1"/>
  <c r="K13" i="31" s="1"/>
  <c r="K14" i="31" s="1"/>
  <c r="K15" i="31" s="1"/>
  <c r="K16" i="31" s="1"/>
  <c r="K17" i="31" s="1"/>
  <c r="K18" i="31" s="1"/>
  <c r="K19" i="31" s="1"/>
  <c r="K20" i="31" s="1"/>
  <c r="K21" i="31" s="1"/>
  <c r="K22" i="31" s="1"/>
  <c r="K23" i="31" s="1"/>
  <c r="K24" i="31" s="1"/>
  <c r="K25" i="31" s="1"/>
  <c r="P7" i="31"/>
  <c r="Q7" i="31" s="1"/>
  <c r="Q8" i="31" s="1"/>
  <c r="P9" i="31"/>
  <c r="I12" i="31"/>
  <c r="I13" i="31" s="1"/>
  <c r="I14" i="31" s="1"/>
  <c r="I15" i="31" s="1"/>
  <c r="I16" i="31" s="1"/>
  <c r="I17" i="31" s="1"/>
  <c r="I18" i="31" s="1"/>
  <c r="I19" i="31" s="1"/>
  <c r="I20" i="31" s="1"/>
  <c r="I21" i="31" s="1"/>
  <c r="I22" i="31" s="1"/>
  <c r="I23" i="31" s="1"/>
  <c r="I24" i="31" s="1"/>
  <c r="I25" i="31" s="1"/>
  <c r="G26" i="31"/>
  <c r="L26" i="31"/>
  <c r="F31" i="31"/>
  <c r="N26" i="31"/>
  <c r="P6" i="31"/>
  <c r="E10" i="30"/>
  <c r="O58" i="30"/>
  <c r="S58" i="30"/>
  <c r="F18" i="25" s="1"/>
  <c r="W58" i="30"/>
  <c r="F22" i="25" s="1"/>
  <c r="C7" i="25"/>
  <c r="C8" i="25"/>
  <c r="C9" i="25"/>
  <c r="C10" i="25"/>
  <c r="C11" i="25"/>
  <c r="C12" i="25"/>
  <c r="P58" i="30"/>
  <c r="F15" i="25" s="1"/>
  <c r="Q58" i="30"/>
  <c r="F16" i="25" s="1"/>
  <c r="R58" i="30"/>
  <c r="F17" i="25" s="1"/>
  <c r="T58" i="30"/>
  <c r="F19" i="25" s="1"/>
  <c r="U58" i="30"/>
  <c r="F20" i="25" s="1"/>
  <c r="V58" i="30"/>
  <c r="F21" i="25" s="1"/>
  <c r="X58" i="30"/>
  <c r="F23" i="25" s="1"/>
  <c r="Y58" i="30"/>
  <c r="F24" i="25" s="1"/>
  <c r="Z58" i="30"/>
  <c r="F25" i="25" s="1"/>
  <c r="D12" i="25"/>
  <c r="N59" i="30"/>
  <c r="O59" i="30"/>
  <c r="P59" i="30"/>
  <c r="Q59" i="30"/>
  <c r="R59" i="30"/>
  <c r="S59" i="30"/>
  <c r="T59" i="30"/>
  <c r="U59" i="30"/>
  <c r="V59" i="30"/>
  <c r="W59" i="30"/>
  <c r="X59" i="30"/>
  <c r="Y59" i="30"/>
  <c r="Z59" i="30"/>
  <c r="C6" i="25"/>
  <c r="G6" i="25" s="1"/>
  <c r="E59" i="30" l="1"/>
  <c r="F59" i="30"/>
  <c r="F14" i="25"/>
  <c r="F58" i="30"/>
  <c r="Q9" i="31"/>
  <c r="Q10" i="31" s="1"/>
  <c r="Q11" i="31" s="1"/>
  <c r="Q12" i="31" s="1"/>
  <c r="Q13" i="31" s="1"/>
  <c r="Q14" i="31" s="1"/>
  <c r="Q15" i="31" s="1"/>
  <c r="Q16" i="31" s="1"/>
  <c r="Q17" i="31" s="1"/>
  <c r="Q18" i="31" s="1"/>
  <c r="Q19" i="31" s="1"/>
  <c r="Q20" i="31" s="1"/>
  <c r="Q21" i="31" s="1"/>
  <c r="Q22" i="31" s="1"/>
  <c r="Q23" i="31" s="1"/>
  <c r="Q24" i="31" s="1"/>
  <c r="Q25" i="31" s="1"/>
  <c r="J31" i="31"/>
  <c r="G50" i="30"/>
  <c r="G48" i="30" s="1"/>
  <c r="G52" i="30" s="1"/>
  <c r="K31" i="31"/>
  <c r="P26" i="31"/>
  <c r="I31" i="31"/>
  <c r="D32" i="31"/>
  <c r="D33" i="31" s="1"/>
  <c r="F32" i="31"/>
  <c r="E32" i="31"/>
  <c r="G31" i="31"/>
  <c r="I33" i="31" l="1"/>
  <c r="J32" i="31"/>
  <c r="H50" i="30"/>
  <c r="K32" i="31"/>
  <c r="H38" i="30"/>
  <c r="H35" i="31"/>
  <c r="G38" i="30"/>
  <c r="J14" i="30"/>
  <c r="I32" i="31"/>
  <c r="K14" i="30"/>
  <c r="K12" i="30" s="1"/>
  <c r="G26" i="30"/>
  <c r="G24" i="30" s="1"/>
  <c r="G57" i="31"/>
  <c r="F33" i="31"/>
  <c r="E33" i="31"/>
  <c r="J33" i="31" s="1"/>
  <c r="G32" i="31"/>
  <c r="L31" i="31"/>
  <c r="G62" i="30" l="1"/>
  <c r="G36" i="30"/>
  <c r="J12" i="30"/>
  <c r="H48" i="30"/>
  <c r="H36" i="30"/>
  <c r="K33" i="31"/>
  <c r="E34" i="31"/>
  <c r="I50" i="30"/>
  <c r="I48" i="30" s="1"/>
  <c r="I26" i="30"/>
  <c r="H26" i="30"/>
  <c r="G58" i="31"/>
  <c r="H36" i="31"/>
  <c r="D34" i="31"/>
  <c r="I34" i="31" s="1"/>
  <c r="F34" i="31"/>
  <c r="C37" i="31"/>
  <c r="G33" i="31"/>
  <c r="L32" i="31"/>
  <c r="G60" i="30" l="1"/>
  <c r="G40" i="30"/>
  <c r="I24" i="30"/>
  <c r="H62" i="30"/>
  <c r="H24" i="30"/>
  <c r="H60" i="30" s="1"/>
  <c r="J34" i="31"/>
  <c r="K34" i="31"/>
  <c r="H37" i="31"/>
  <c r="L14" i="30"/>
  <c r="G59" i="31"/>
  <c r="I38" i="30"/>
  <c r="F35" i="31"/>
  <c r="K35" i="31" s="1"/>
  <c r="E35" i="31"/>
  <c r="D35" i="31"/>
  <c r="C38" i="31"/>
  <c r="G34" i="31"/>
  <c r="L33" i="31"/>
  <c r="G70" i="30" l="1"/>
  <c r="G69" i="30"/>
  <c r="G64" i="30"/>
  <c r="G73" i="30" s="1"/>
  <c r="L12" i="30"/>
  <c r="I36" i="30"/>
  <c r="K50" i="30"/>
  <c r="K48" i="30" s="1"/>
  <c r="J35" i="31"/>
  <c r="K38" i="30"/>
  <c r="K36" i="30" s="1"/>
  <c r="K26" i="30"/>
  <c r="K24" i="30" s="1"/>
  <c r="H38" i="31"/>
  <c r="M14" i="30"/>
  <c r="M12" i="30" s="1"/>
  <c r="J26" i="30"/>
  <c r="G60" i="31"/>
  <c r="J50" i="30"/>
  <c r="J38" i="30"/>
  <c r="J36" i="30" s="1"/>
  <c r="I35" i="31"/>
  <c r="F36" i="31"/>
  <c r="E36" i="31"/>
  <c r="D36" i="31"/>
  <c r="C39" i="31"/>
  <c r="H6" i="25"/>
  <c r="H7" i="25"/>
  <c r="G35" i="31"/>
  <c r="L34" i="31"/>
  <c r="G78" i="30" l="1"/>
  <c r="G80" i="30"/>
  <c r="G81" i="30"/>
  <c r="G79" i="30"/>
  <c r="J24" i="30"/>
  <c r="I60" i="30"/>
  <c r="J48" i="30"/>
  <c r="I36" i="31"/>
  <c r="G62" i="31"/>
  <c r="L50" i="30"/>
  <c r="L48" i="30" s="1"/>
  <c r="K36" i="31"/>
  <c r="J36" i="31"/>
  <c r="G61" i="31"/>
  <c r="L26" i="30"/>
  <c r="L24" i="30" s="1"/>
  <c r="N14" i="30"/>
  <c r="N12" i="30" s="1"/>
  <c r="I62" i="30"/>
  <c r="G36" i="31"/>
  <c r="C40" i="31"/>
  <c r="E37" i="31"/>
  <c r="F37" i="31"/>
  <c r="D37" i="31"/>
  <c r="L35" i="31"/>
  <c r="E19" i="30"/>
  <c r="J62" i="30"/>
  <c r="H9" i="25" s="1"/>
  <c r="E34" i="30"/>
  <c r="E31" i="30"/>
  <c r="E22" i="30"/>
  <c r="E46" i="30"/>
  <c r="E43" i="30"/>
  <c r="M38" i="30" l="1"/>
  <c r="M36" i="30" s="1"/>
  <c r="J37" i="31"/>
  <c r="H8" i="25"/>
  <c r="H40" i="31"/>
  <c r="L38" i="30"/>
  <c r="I37" i="31"/>
  <c r="O14" i="30"/>
  <c r="O12" i="30" s="1"/>
  <c r="L36" i="31"/>
  <c r="D38" i="31"/>
  <c r="G37" i="31"/>
  <c r="E38" i="31"/>
  <c r="F38" i="31"/>
  <c r="C41" i="31"/>
  <c r="H41" i="31" s="1"/>
  <c r="L36" i="30" l="1"/>
  <c r="J38" i="31"/>
  <c r="K38" i="31"/>
  <c r="N38" i="30"/>
  <c r="N36" i="30" s="1"/>
  <c r="N50" i="30"/>
  <c r="N48" i="30" s="1"/>
  <c r="L37" i="31"/>
  <c r="I38" i="31"/>
  <c r="M26" i="30"/>
  <c r="G63" i="31"/>
  <c r="P14" i="30"/>
  <c r="P12" i="30" s="1"/>
  <c r="M50" i="30"/>
  <c r="F39" i="31"/>
  <c r="D39" i="31"/>
  <c r="G38" i="31"/>
  <c r="E39" i="31"/>
  <c r="C42" i="31"/>
  <c r="H42" i="31" s="1"/>
  <c r="K62" i="30"/>
  <c r="E58" i="30"/>
  <c r="M24" i="30" l="1"/>
  <c r="M48" i="30"/>
  <c r="L38" i="31"/>
  <c r="J39" i="31"/>
  <c r="K39" i="31"/>
  <c r="M62" i="30"/>
  <c r="H12" i="25" s="1"/>
  <c r="O38" i="30"/>
  <c r="I39" i="31"/>
  <c r="Q14" i="30"/>
  <c r="Q12" i="30" s="1"/>
  <c r="N26" i="30"/>
  <c r="G64" i="31"/>
  <c r="L62" i="30"/>
  <c r="H11" i="25" s="1"/>
  <c r="E40" i="31"/>
  <c r="J40" i="31" s="1"/>
  <c r="D40" i="31"/>
  <c r="G39" i="31"/>
  <c r="C43" i="31"/>
  <c r="F40" i="31"/>
  <c r="H10" i="25"/>
  <c r="A6" i="27"/>
  <c r="A7" i="27" s="1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7" i="25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O36" i="30" l="1"/>
  <c r="N62" i="30"/>
  <c r="H13" i="25" s="1"/>
  <c r="N24" i="30"/>
  <c r="H40" i="30"/>
  <c r="I28" i="30"/>
  <c r="L39" i="31"/>
  <c r="K40" i="31"/>
  <c r="P38" i="30"/>
  <c r="P36" i="30" s="1"/>
  <c r="P50" i="30"/>
  <c r="P48" i="30" s="1"/>
  <c r="O50" i="30"/>
  <c r="O48" i="30" s="1"/>
  <c r="O26" i="30"/>
  <c r="O24" i="30" s="1"/>
  <c r="G65" i="31"/>
  <c r="I40" i="31"/>
  <c r="H43" i="31"/>
  <c r="R14" i="30"/>
  <c r="R12" i="30" s="1"/>
  <c r="F41" i="31"/>
  <c r="D41" i="31"/>
  <c r="I41" i="31" s="1"/>
  <c r="G40" i="31"/>
  <c r="C44" i="31"/>
  <c r="E41" i="31"/>
  <c r="O62" i="30" l="1"/>
  <c r="H14" i="25" s="1"/>
  <c r="Q38" i="30"/>
  <c r="Q36" i="30" s="1"/>
  <c r="J41" i="31"/>
  <c r="K41" i="31"/>
  <c r="H44" i="31"/>
  <c r="L40" i="31"/>
  <c r="S14" i="30"/>
  <c r="S12" i="30" s="1"/>
  <c r="P26" i="30"/>
  <c r="G66" i="31"/>
  <c r="E42" i="31"/>
  <c r="J42" i="31" s="1"/>
  <c r="F42" i="31"/>
  <c r="D42" i="31"/>
  <c r="G41" i="31"/>
  <c r="C45" i="31"/>
  <c r="P62" i="30" l="1"/>
  <c r="H15" i="25" s="1"/>
  <c r="P24" i="30"/>
  <c r="K42" i="31"/>
  <c r="R38" i="30"/>
  <c r="R36" i="30" s="1"/>
  <c r="R50" i="30"/>
  <c r="R48" i="30" s="1"/>
  <c r="L41" i="31"/>
  <c r="R26" i="30"/>
  <c r="R24" i="30" s="1"/>
  <c r="Q26" i="30"/>
  <c r="Q24" i="30" s="1"/>
  <c r="G67" i="31"/>
  <c r="U14" i="30"/>
  <c r="U12" i="30" s="1"/>
  <c r="Q50" i="30"/>
  <c r="Q48" i="30" s="1"/>
  <c r="H45" i="31"/>
  <c r="T14" i="30"/>
  <c r="T12" i="30" s="1"/>
  <c r="I42" i="31"/>
  <c r="F43" i="31"/>
  <c r="C46" i="31"/>
  <c r="D43" i="31"/>
  <c r="G42" i="31"/>
  <c r="E43" i="31"/>
  <c r="I40" i="30"/>
  <c r="K43" i="31" l="1"/>
  <c r="J43" i="31"/>
  <c r="G68" i="31"/>
  <c r="S38" i="30"/>
  <c r="S36" i="30" s="1"/>
  <c r="Q62" i="30"/>
  <c r="H16" i="25" s="1"/>
  <c r="V14" i="30"/>
  <c r="V12" i="30" s="1"/>
  <c r="I43" i="31"/>
  <c r="H46" i="31"/>
  <c r="L42" i="31"/>
  <c r="C47" i="31"/>
  <c r="E44" i="31"/>
  <c r="D44" i="31"/>
  <c r="G43" i="31"/>
  <c r="F44" i="31"/>
  <c r="E47" i="30"/>
  <c r="T38" i="30" l="1"/>
  <c r="T36" i="30" s="1"/>
  <c r="J44" i="31"/>
  <c r="K44" i="31"/>
  <c r="L43" i="31"/>
  <c r="H47" i="31"/>
  <c r="T26" i="30"/>
  <c r="T24" i="30" s="1"/>
  <c r="S50" i="30"/>
  <c r="S48" i="30" s="1"/>
  <c r="T50" i="30"/>
  <c r="T48" i="30" s="1"/>
  <c r="I44" i="31"/>
  <c r="S26" i="30"/>
  <c r="S24" i="30" s="1"/>
  <c r="G69" i="31"/>
  <c r="R62" i="30"/>
  <c r="F45" i="31"/>
  <c r="E45" i="31"/>
  <c r="D45" i="31"/>
  <c r="I45" i="31" s="1"/>
  <c r="G44" i="31"/>
  <c r="C48" i="31"/>
  <c r="H48" i="31" s="1"/>
  <c r="E35" i="30"/>
  <c r="E11" i="30"/>
  <c r="J45" i="31" l="1"/>
  <c r="X14" i="30"/>
  <c r="X12" i="30" s="1"/>
  <c r="U50" i="30"/>
  <c r="U48" i="30" s="1"/>
  <c r="K45" i="31"/>
  <c r="S62" i="30"/>
  <c r="H18" i="25" s="1"/>
  <c r="U26" i="30"/>
  <c r="U24" i="30" s="1"/>
  <c r="G70" i="31"/>
  <c r="W14" i="30"/>
  <c r="W12" i="30" s="1"/>
  <c r="L44" i="31"/>
  <c r="H17" i="25"/>
  <c r="E46" i="31"/>
  <c r="C49" i="31"/>
  <c r="H49" i="31" s="1"/>
  <c r="F46" i="31"/>
  <c r="K46" i="31" s="1"/>
  <c r="D46" i="31"/>
  <c r="I46" i="31" s="1"/>
  <c r="G45" i="31"/>
  <c r="V50" i="30" l="1"/>
  <c r="V48" i="30" s="1"/>
  <c r="V38" i="30"/>
  <c r="V36" i="30" s="1"/>
  <c r="J46" i="31"/>
  <c r="L45" i="31"/>
  <c r="Y14" i="30"/>
  <c r="Y12" i="30" s="1"/>
  <c r="G71" i="31"/>
  <c r="U38" i="30"/>
  <c r="T62" i="30"/>
  <c r="C50" i="31"/>
  <c r="F47" i="31"/>
  <c r="E47" i="31"/>
  <c r="D47" i="31"/>
  <c r="G46" i="31"/>
  <c r="U62" i="30" l="1"/>
  <c r="H20" i="25" s="1"/>
  <c r="U36" i="30"/>
  <c r="K47" i="31"/>
  <c r="J47" i="31"/>
  <c r="W50" i="30"/>
  <c r="W48" i="30" s="1"/>
  <c r="W38" i="30"/>
  <c r="W36" i="30" s="1"/>
  <c r="L46" i="31"/>
  <c r="H50" i="31"/>
  <c r="V26" i="30"/>
  <c r="G72" i="31"/>
  <c r="I47" i="31"/>
  <c r="H19" i="25"/>
  <c r="D48" i="31"/>
  <c r="G47" i="31"/>
  <c r="F48" i="31"/>
  <c r="K48" i="31" s="1"/>
  <c r="E48" i="31"/>
  <c r="N40" i="30"/>
  <c r="M40" i="30"/>
  <c r="L40" i="30"/>
  <c r="V62" i="30" l="1"/>
  <c r="H21" i="25" s="1"/>
  <c r="V24" i="30"/>
  <c r="H51" i="31"/>
  <c r="O40" i="30"/>
  <c r="X50" i="30"/>
  <c r="X48" i="30" s="1"/>
  <c r="J48" i="31"/>
  <c r="X38" i="30"/>
  <c r="X36" i="30" s="1"/>
  <c r="I48" i="31"/>
  <c r="Z14" i="30"/>
  <c r="C77" i="31"/>
  <c r="W26" i="30"/>
  <c r="W24" i="30" s="1"/>
  <c r="G73" i="31"/>
  <c r="K40" i="30"/>
  <c r="L47" i="31"/>
  <c r="E49" i="31"/>
  <c r="F49" i="31"/>
  <c r="Y50" i="30" s="1"/>
  <c r="Y48" i="30" s="1"/>
  <c r="D49" i="31"/>
  <c r="G48" i="31"/>
  <c r="Z12" i="30" l="1"/>
  <c r="F14" i="30"/>
  <c r="E14" i="30"/>
  <c r="K49" i="31"/>
  <c r="J49" i="31"/>
  <c r="I49" i="31"/>
  <c r="X26" i="30"/>
  <c r="X24" i="30" s="1"/>
  <c r="G74" i="31"/>
  <c r="Y26" i="30"/>
  <c r="Y24" i="30" s="1"/>
  <c r="L48" i="31"/>
  <c r="W62" i="30"/>
  <c r="D50" i="31"/>
  <c r="G49" i="31"/>
  <c r="F50" i="31"/>
  <c r="K50" i="31" s="1"/>
  <c r="E50" i="31"/>
  <c r="J50" i="31" s="1"/>
  <c r="F12" i="30" l="1"/>
  <c r="E12" i="30"/>
  <c r="Z50" i="30"/>
  <c r="F50" i="30" s="1"/>
  <c r="E77" i="31"/>
  <c r="L49" i="31"/>
  <c r="G75" i="31"/>
  <c r="Y38" i="30"/>
  <c r="D77" i="31"/>
  <c r="I50" i="31"/>
  <c r="L50" i="31" s="1"/>
  <c r="J51" i="31"/>
  <c r="K51" i="31"/>
  <c r="X62" i="30"/>
  <c r="H23" i="25" s="1"/>
  <c r="H22" i="25"/>
  <c r="G50" i="31"/>
  <c r="Z48" i="30" l="1"/>
  <c r="F48" i="30" s="1"/>
  <c r="E50" i="30"/>
  <c r="Y62" i="30"/>
  <c r="H24" i="25" s="1"/>
  <c r="Y36" i="30"/>
  <c r="I51" i="31"/>
  <c r="L51" i="31"/>
  <c r="F77" i="31"/>
  <c r="Z26" i="30"/>
  <c r="F26" i="30" s="1"/>
  <c r="G76" i="31"/>
  <c r="G77" i="31" s="1"/>
  <c r="Z38" i="30"/>
  <c r="Z36" i="30" l="1"/>
  <c r="F38" i="30"/>
  <c r="Z24" i="30"/>
  <c r="F24" i="30" s="1"/>
  <c r="F29" i="30" s="1"/>
  <c r="E26" i="30"/>
  <c r="E38" i="30"/>
  <c r="Z62" i="30"/>
  <c r="E62" i="30" l="1"/>
  <c r="F62" i="30"/>
  <c r="Z60" i="30"/>
  <c r="F36" i="30"/>
  <c r="F41" i="30" s="1"/>
  <c r="H25" i="25"/>
  <c r="Q28" i="30"/>
  <c r="P40" i="30"/>
  <c r="H26" i="25" l="1"/>
  <c r="Q40" i="30"/>
  <c r="R28" i="30" l="1"/>
  <c r="R40" i="30" l="1"/>
  <c r="S40" i="30" l="1"/>
  <c r="S28" i="30" l="1"/>
  <c r="T28" i="30"/>
  <c r="T40" i="30"/>
  <c r="E25" i="30" l="1"/>
  <c r="U28" i="30" l="1"/>
  <c r="U40" i="30"/>
  <c r="V40" i="30" l="1"/>
  <c r="V28" i="30"/>
  <c r="W40" i="30" l="1"/>
  <c r="W28" i="30"/>
  <c r="X28" i="30" l="1"/>
  <c r="X40" i="30"/>
  <c r="E24" i="30" l="1"/>
  <c r="E36" i="30" l="1"/>
  <c r="Y40" i="30"/>
  <c r="Y28" i="30"/>
  <c r="Z40" i="30" l="1"/>
  <c r="Z28" i="30"/>
  <c r="E30" i="30" l="1"/>
  <c r="E37" i="30" l="1"/>
  <c r="J40" i="30" l="1"/>
  <c r="D41" i="30" l="1"/>
  <c r="E40" i="30"/>
  <c r="F40" i="30"/>
  <c r="G28" i="30"/>
  <c r="H28" i="30" l="1"/>
  <c r="J28" i="30" l="1"/>
  <c r="K28" i="30" l="1"/>
  <c r="L28" i="30" l="1"/>
  <c r="M28" i="30" l="1"/>
  <c r="N28" i="30" l="1"/>
  <c r="O28" i="30" l="1"/>
  <c r="E23" i="30" l="1"/>
  <c r="E18" i="30" l="1"/>
  <c r="P28" i="30"/>
  <c r="E28" i="30" l="1"/>
  <c r="F28" i="30"/>
  <c r="D29" i="30"/>
  <c r="E13" i="30"/>
  <c r="I6" i="25" l="1"/>
  <c r="K6" i="25" l="1"/>
  <c r="C5" i="27" s="1"/>
  <c r="R5" i="27" s="1"/>
  <c r="J61" i="30"/>
  <c r="H61" i="30"/>
  <c r="I61" i="30"/>
  <c r="O5" i="27" l="1"/>
  <c r="AA5" i="27" s="1"/>
  <c r="I9" i="25"/>
  <c r="J91" i="30"/>
  <c r="L5" i="27"/>
  <c r="I7" i="25"/>
  <c r="H91" i="30"/>
  <c r="F5" i="27"/>
  <c r="U5" i="27" s="1"/>
  <c r="I8" i="25"/>
  <c r="I91" i="30"/>
  <c r="I5" i="27"/>
  <c r="X5" i="27" s="1"/>
  <c r="H52" i="30"/>
  <c r="I52" i="30"/>
  <c r="K61" i="30"/>
  <c r="J52" i="30"/>
  <c r="J60" i="30"/>
  <c r="K7" i="25" l="1"/>
  <c r="C6" i="27" s="1"/>
  <c r="I6" i="27" s="1"/>
  <c r="X6" i="27" s="1"/>
  <c r="K8" i="25"/>
  <c r="C7" i="27" s="1"/>
  <c r="I10" i="25"/>
  <c r="K91" i="30"/>
  <c r="K9" i="25"/>
  <c r="C8" i="27" s="1"/>
  <c r="R6" i="27"/>
  <c r="L6" i="27"/>
  <c r="F6" i="27"/>
  <c r="U6" i="27" s="1"/>
  <c r="O6" i="27"/>
  <c r="AA6" i="27" s="1"/>
  <c r="J69" i="30"/>
  <c r="J70" i="30"/>
  <c r="H70" i="30"/>
  <c r="H69" i="30"/>
  <c r="K52" i="30"/>
  <c r="K60" i="30"/>
  <c r="I70" i="30"/>
  <c r="I69" i="30"/>
  <c r="R7" i="27" l="1"/>
  <c r="F7" i="27"/>
  <c r="U7" i="27" s="1"/>
  <c r="O7" i="27"/>
  <c r="AA7" i="27" s="1"/>
  <c r="I7" i="27"/>
  <c r="X7" i="27" s="1"/>
  <c r="L7" i="27"/>
  <c r="R8" i="27"/>
  <c r="O8" i="27"/>
  <c r="AA8" i="27" s="1"/>
  <c r="F8" i="27"/>
  <c r="U8" i="27" s="1"/>
  <c r="I8" i="27"/>
  <c r="X8" i="27" s="1"/>
  <c r="L8" i="27"/>
  <c r="K10" i="25"/>
  <c r="C9" i="27" s="1"/>
  <c r="K70" i="30"/>
  <c r="K69" i="30"/>
  <c r="L61" i="30"/>
  <c r="R9" i="27" l="1"/>
  <c r="O9" i="27"/>
  <c r="AA9" i="27" s="1"/>
  <c r="I9" i="27"/>
  <c r="X9" i="27" s="1"/>
  <c r="L9" i="27"/>
  <c r="F9" i="27"/>
  <c r="U9" i="27" s="1"/>
  <c r="I11" i="25"/>
  <c r="L91" i="30"/>
  <c r="M61" i="30"/>
  <c r="L52" i="30"/>
  <c r="L60" i="30"/>
  <c r="I12" i="25" l="1"/>
  <c r="M91" i="30"/>
  <c r="K11" i="25"/>
  <c r="C10" i="27" s="1"/>
  <c r="R10" i="27" s="1"/>
  <c r="N61" i="30"/>
  <c r="M60" i="30"/>
  <c r="M52" i="30"/>
  <c r="L69" i="30"/>
  <c r="L70" i="30"/>
  <c r="N60" i="30"/>
  <c r="N52" i="30"/>
  <c r="L10" i="27" l="1"/>
  <c r="O10" i="27"/>
  <c r="AA10" i="27" s="1"/>
  <c r="F10" i="27"/>
  <c r="U10" i="27" s="1"/>
  <c r="I13" i="25"/>
  <c r="N91" i="30"/>
  <c r="I10" i="27"/>
  <c r="X10" i="27" s="1"/>
  <c r="K12" i="25"/>
  <c r="C11" i="27" s="1"/>
  <c r="M70" i="30"/>
  <c r="M69" i="30"/>
  <c r="N70" i="30"/>
  <c r="N69" i="30"/>
  <c r="R11" i="27" l="1"/>
  <c r="L11" i="27"/>
  <c r="F11" i="27"/>
  <c r="U11" i="27" s="1"/>
  <c r="I11" i="27"/>
  <c r="X11" i="27" s="1"/>
  <c r="O11" i="27"/>
  <c r="AA11" i="27" s="1"/>
  <c r="K13" i="25"/>
  <c r="C12" i="27" s="1"/>
  <c r="O61" i="30"/>
  <c r="Q61" i="30"/>
  <c r="P61" i="30"/>
  <c r="O60" i="30"/>
  <c r="O52" i="30"/>
  <c r="F12" i="27" l="1"/>
  <c r="U12" i="27" s="1"/>
  <c r="O12" i="27"/>
  <c r="AA12" i="27" s="1"/>
  <c r="L12" i="27"/>
  <c r="I12" i="27"/>
  <c r="X12" i="27" s="1"/>
  <c r="R12" i="27"/>
  <c r="I14" i="25"/>
  <c r="O91" i="30"/>
  <c r="I15" i="25"/>
  <c r="P91" i="30"/>
  <c r="I16" i="25"/>
  <c r="Q91" i="30"/>
  <c r="Q52" i="30"/>
  <c r="P60" i="30"/>
  <c r="O70" i="30"/>
  <c r="O69" i="30"/>
  <c r="K15" i="25" l="1"/>
  <c r="C14" i="27" s="1"/>
  <c r="K16" i="25"/>
  <c r="C15" i="27" s="1"/>
  <c r="K14" i="25"/>
  <c r="C13" i="27" s="1"/>
  <c r="P52" i="30"/>
  <c r="Q60" i="30"/>
  <c r="Q70" i="30" s="1"/>
  <c r="P69" i="30"/>
  <c r="P70" i="30"/>
  <c r="R61" i="30"/>
  <c r="R13" i="27" l="1"/>
  <c r="L13" i="27"/>
  <c r="F13" i="27"/>
  <c r="U13" i="27" s="1"/>
  <c r="O13" i="27"/>
  <c r="AA13" i="27" s="1"/>
  <c r="I13" i="27"/>
  <c r="X13" i="27" s="1"/>
  <c r="R15" i="27"/>
  <c r="I15" i="27"/>
  <c r="X15" i="27" s="1"/>
  <c r="O15" i="27"/>
  <c r="AA15" i="27" s="1"/>
  <c r="L15" i="27"/>
  <c r="F15" i="27"/>
  <c r="U15" i="27" s="1"/>
  <c r="R14" i="27"/>
  <c r="O14" i="27"/>
  <c r="AA14" i="27" s="1"/>
  <c r="F14" i="27"/>
  <c r="U14" i="27" s="1"/>
  <c r="I14" i="27"/>
  <c r="X14" i="27" s="1"/>
  <c r="L14" i="27"/>
  <c r="I17" i="25"/>
  <c r="R91" i="30"/>
  <c r="Q69" i="30"/>
  <c r="T61" i="30"/>
  <c r="S61" i="30"/>
  <c r="R60" i="30"/>
  <c r="R52" i="30"/>
  <c r="I18" i="25" l="1"/>
  <c r="S91" i="30"/>
  <c r="I19" i="25"/>
  <c r="T91" i="30"/>
  <c r="K17" i="25"/>
  <c r="C16" i="27" s="1"/>
  <c r="T60" i="30"/>
  <c r="T52" i="30"/>
  <c r="U61" i="30"/>
  <c r="S60" i="30"/>
  <c r="S52" i="30"/>
  <c r="R70" i="30"/>
  <c r="R69" i="30"/>
  <c r="R16" i="27" l="1"/>
  <c r="I16" i="27"/>
  <c r="X16" i="27" s="1"/>
  <c r="L16" i="27"/>
  <c r="F16" i="27"/>
  <c r="U16" i="27" s="1"/>
  <c r="O16" i="27"/>
  <c r="AA16" i="27" s="1"/>
  <c r="K19" i="25"/>
  <c r="C18" i="27" s="1"/>
  <c r="I20" i="25"/>
  <c r="U91" i="30"/>
  <c r="K18" i="25"/>
  <c r="C17" i="27" s="1"/>
  <c r="T70" i="30"/>
  <c r="T69" i="30"/>
  <c r="U52" i="30"/>
  <c r="U60" i="30"/>
  <c r="S69" i="30"/>
  <c r="S70" i="30"/>
  <c r="M16" i="30"/>
  <c r="I16" i="30"/>
  <c r="M55" i="30"/>
  <c r="I55" i="30"/>
  <c r="R17" i="27" l="1"/>
  <c r="F17" i="27"/>
  <c r="U17" i="27" s="1"/>
  <c r="I17" i="27"/>
  <c r="X17" i="27" s="1"/>
  <c r="L17" i="27"/>
  <c r="O17" i="27"/>
  <c r="AA17" i="27" s="1"/>
  <c r="R18" i="27"/>
  <c r="F18" i="27"/>
  <c r="U18" i="27" s="1"/>
  <c r="L18" i="27"/>
  <c r="O18" i="27"/>
  <c r="AA18" i="27" s="1"/>
  <c r="I18" i="27"/>
  <c r="X18" i="27" s="1"/>
  <c r="K20" i="25"/>
  <c r="C19" i="27" s="1"/>
  <c r="U69" i="30"/>
  <c r="U70" i="30"/>
  <c r="W61" i="30"/>
  <c r="I54" i="30"/>
  <c r="B8" i="25"/>
  <c r="G8" i="25" s="1"/>
  <c r="M54" i="30"/>
  <c r="M67" i="30" s="1"/>
  <c r="B12" i="25"/>
  <c r="G12" i="25" s="1"/>
  <c r="L12" i="25" s="1"/>
  <c r="R19" i="27" l="1"/>
  <c r="L19" i="27"/>
  <c r="I19" i="27"/>
  <c r="X19" i="27" s="1"/>
  <c r="O19" i="27"/>
  <c r="AA19" i="27" s="1"/>
  <c r="F19" i="27"/>
  <c r="U19" i="27" s="1"/>
  <c r="I22" i="25"/>
  <c r="W91" i="30"/>
  <c r="M74" i="30"/>
  <c r="M79" i="30"/>
  <c r="M78" i="30"/>
  <c r="I67" i="30"/>
  <c r="I68" i="30"/>
  <c r="M77" i="30"/>
  <c r="I64" i="30"/>
  <c r="I73" i="30" s="1"/>
  <c r="I76" i="30"/>
  <c r="I77" i="30"/>
  <c r="V61" i="30"/>
  <c r="V91" i="30" s="1"/>
  <c r="X61" i="30"/>
  <c r="W60" i="30"/>
  <c r="W52" i="30"/>
  <c r="M64" i="30"/>
  <c r="M73" i="30" s="1"/>
  <c r="M76" i="30"/>
  <c r="M68" i="30"/>
  <c r="B11" i="27"/>
  <c r="H11" i="27" s="1"/>
  <c r="B7" i="27"/>
  <c r="L8" i="25"/>
  <c r="I23" i="25" l="1"/>
  <c r="X91" i="30"/>
  <c r="K22" i="25"/>
  <c r="C21" i="27" s="1"/>
  <c r="M75" i="30"/>
  <c r="M80" i="30"/>
  <c r="M81" i="30"/>
  <c r="I74" i="30"/>
  <c r="I79" i="30"/>
  <c r="I78" i="30"/>
  <c r="J11" i="27"/>
  <c r="W11" i="27"/>
  <c r="Y11" i="27" s="1"/>
  <c r="Z11" i="27"/>
  <c r="AB11" i="27" s="1"/>
  <c r="I75" i="30"/>
  <c r="I80" i="30"/>
  <c r="I81" i="30"/>
  <c r="W69" i="30"/>
  <c r="W70" i="30"/>
  <c r="Y61" i="30"/>
  <c r="I21" i="25"/>
  <c r="K21" i="25" s="1"/>
  <c r="X60" i="30"/>
  <c r="X52" i="30"/>
  <c r="V52" i="30"/>
  <c r="V60" i="30"/>
  <c r="K11" i="27"/>
  <c r="M11" i="27" s="1"/>
  <c r="E11" i="27"/>
  <c r="T11" i="27" s="1"/>
  <c r="V11" i="27" s="1"/>
  <c r="D11" i="27"/>
  <c r="N11" i="27"/>
  <c r="P11" i="27" s="1"/>
  <c r="H7" i="27"/>
  <c r="N7" i="27"/>
  <c r="P7" i="27" s="1"/>
  <c r="K7" i="27"/>
  <c r="M7" i="27" s="1"/>
  <c r="E7" i="27"/>
  <c r="T7" i="27" s="1"/>
  <c r="V7" i="27" s="1"/>
  <c r="D7" i="27"/>
  <c r="K16" i="30"/>
  <c r="L16" i="30"/>
  <c r="J16" i="30"/>
  <c r="H16" i="30"/>
  <c r="T7" i="30"/>
  <c r="J55" i="30"/>
  <c r="G7" i="25"/>
  <c r="K55" i="30"/>
  <c r="P7" i="30"/>
  <c r="G11" i="25"/>
  <c r="R21" i="27" l="1"/>
  <c r="I21" i="27"/>
  <c r="X21" i="27" s="1"/>
  <c r="L21" i="27"/>
  <c r="F21" i="27"/>
  <c r="U21" i="27" s="1"/>
  <c r="O21" i="27"/>
  <c r="AA21" i="27" s="1"/>
  <c r="I24" i="25"/>
  <c r="Y91" i="30"/>
  <c r="K23" i="25"/>
  <c r="C22" i="27" s="1"/>
  <c r="J7" i="27"/>
  <c r="W7" i="27"/>
  <c r="Y7" i="27" s="1"/>
  <c r="Z7" i="27"/>
  <c r="AB7" i="27" s="1"/>
  <c r="G11" i="27"/>
  <c r="Q11" i="27"/>
  <c r="S11" i="27" s="1"/>
  <c r="G7" i="27"/>
  <c r="Q7" i="27"/>
  <c r="S7" i="27" s="1"/>
  <c r="E49" i="30"/>
  <c r="V70" i="30"/>
  <c r="V69" i="30"/>
  <c r="Y60" i="30"/>
  <c r="F60" i="30" s="1"/>
  <c r="Y52" i="30"/>
  <c r="X69" i="30"/>
  <c r="X70" i="30"/>
  <c r="J54" i="30"/>
  <c r="B9" i="25"/>
  <c r="G9" i="25" s="1"/>
  <c r="L9" i="25" s="1"/>
  <c r="K54" i="30"/>
  <c r="K77" i="30" s="1"/>
  <c r="B10" i="25"/>
  <c r="G10" i="25" s="1"/>
  <c r="L10" i="25" s="1"/>
  <c r="P6" i="30"/>
  <c r="P16" i="30" s="1"/>
  <c r="Z6" i="30"/>
  <c r="Z16" i="30" s="1"/>
  <c r="T6" i="30"/>
  <c r="T16" i="30" s="1"/>
  <c r="L76" i="30"/>
  <c r="H77" i="30"/>
  <c r="Z55" i="30"/>
  <c r="Z54" i="30" s="1"/>
  <c r="L11" i="25"/>
  <c r="B10" i="27"/>
  <c r="L7" i="25"/>
  <c r="B6" i="27"/>
  <c r="B5" i="27"/>
  <c r="L6" i="25"/>
  <c r="W7" i="30"/>
  <c r="W6" i="30" s="1"/>
  <c r="X7" i="30"/>
  <c r="X6" i="30" s="1"/>
  <c r="Y7" i="30"/>
  <c r="Y6" i="30" s="1"/>
  <c r="S7" i="30"/>
  <c r="S6" i="30" s="1"/>
  <c r="R7" i="30"/>
  <c r="R6" i="30" s="1"/>
  <c r="U7" i="30"/>
  <c r="U6" i="30" s="1"/>
  <c r="O7" i="30"/>
  <c r="V7" i="30"/>
  <c r="V6" i="30" s="1"/>
  <c r="Q7" i="30"/>
  <c r="Q6" i="30" s="1"/>
  <c r="P55" i="30"/>
  <c r="P54" i="30" s="1"/>
  <c r="T55" i="30"/>
  <c r="T54" i="30" s="1"/>
  <c r="R22" i="27" l="1"/>
  <c r="L22" i="27"/>
  <c r="O22" i="27"/>
  <c r="AA22" i="27" s="1"/>
  <c r="I22" i="27"/>
  <c r="X22" i="27" s="1"/>
  <c r="F22" i="27"/>
  <c r="U22" i="27" s="1"/>
  <c r="K24" i="25"/>
  <c r="C23" i="27" s="1"/>
  <c r="Z64" i="30"/>
  <c r="Z73" i="30" s="1"/>
  <c r="F7" i="30"/>
  <c r="J76" i="30"/>
  <c r="K64" i="30"/>
  <c r="K73" i="30" s="1"/>
  <c r="Z61" i="30"/>
  <c r="I25" i="25" s="1"/>
  <c r="E48" i="30"/>
  <c r="J77" i="30"/>
  <c r="J67" i="30"/>
  <c r="J64" i="30"/>
  <c r="J73" i="30" s="1"/>
  <c r="J68" i="30"/>
  <c r="C20" i="27"/>
  <c r="R20" i="27" s="1"/>
  <c r="Z52" i="30"/>
  <c r="Y70" i="30"/>
  <c r="Y69" i="30"/>
  <c r="K67" i="30"/>
  <c r="K68" i="30"/>
  <c r="K76" i="30"/>
  <c r="O6" i="30"/>
  <c r="E7" i="30"/>
  <c r="B9" i="27"/>
  <c r="H9" i="27" s="1"/>
  <c r="L67" i="30"/>
  <c r="L64" i="30"/>
  <c r="L73" i="30" s="1"/>
  <c r="L77" i="30"/>
  <c r="L68" i="30"/>
  <c r="B8" i="27"/>
  <c r="D8" i="27" s="1"/>
  <c r="H64" i="30"/>
  <c r="H67" i="30"/>
  <c r="H68" i="30"/>
  <c r="H76" i="30"/>
  <c r="Y16" i="30"/>
  <c r="Y55" i="30"/>
  <c r="Y54" i="30" s="1"/>
  <c r="N5" i="27"/>
  <c r="H5" i="27"/>
  <c r="D5" i="27"/>
  <c r="K5" i="27"/>
  <c r="E5" i="27"/>
  <c r="E10" i="27"/>
  <c r="T10" i="27" s="1"/>
  <c r="V10" i="27" s="1"/>
  <c r="N10" i="27"/>
  <c r="P10" i="27" s="1"/>
  <c r="K10" i="27"/>
  <c r="M10" i="27" s="1"/>
  <c r="H10" i="27"/>
  <c r="D10" i="27"/>
  <c r="Q16" i="30"/>
  <c r="Q55" i="30"/>
  <c r="Q54" i="30" s="1"/>
  <c r="O55" i="30"/>
  <c r="O54" i="30" s="1"/>
  <c r="U16" i="30"/>
  <c r="U55" i="30"/>
  <c r="U54" i="30" s="1"/>
  <c r="X16" i="30"/>
  <c r="X55" i="30"/>
  <c r="X54" i="30" s="1"/>
  <c r="R16" i="30"/>
  <c r="R55" i="30"/>
  <c r="R54" i="30" s="1"/>
  <c r="H6" i="27"/>
  <c r="N6" i="27"/>
  <c r="P6" i="27" s="1"/>
  <c r="K6" i="27"/>
  <c r="M6" i="27" s="1"/>
  <c r="E6" i="27"/>
  <c r="T6" i="27" s="1"/>
  <c r="V6" i="27" s="1"/>
  <c r="D6" i="27"/>
  <c r="G77" i="30"/>
  <c r="G76" i="30"/>
  <c r="V16" i="30"/>
  <c r="V55" i="30"/>
  <c r="V54" i="30" s="1"/>
  <c r="S16" i="30"/>
  <c r="S55" i="30"/>
  <c r="S54" i="30" s="1"/>
  <c r="W16" i="30"/>
  <c r="W55" i="30"/>
  <c r="W54" i="30" s="1"/>
  <c r="E61" i="30" l="1"/>
  <c r="R23" i="27"/>
  <c r="O23" i="27"/>
  <c r="AA23" i="27" s="1"/>
  <c r="F23" i="27"/>
  <c r="U23" i="27" s="1"/>
  <c r="I23" i="27"/>
  <c r="X23" i="27" s="1"/>
  <c r="L23" i="27"/>
  <c r="Z91" i="30"/>
  <c r="F61" i="30"/>
  <c r="K25" i="25"/>
  <c r="K26" i="25" s="1"/>
  <c r="I26" i="25"/>
  <c r="K74" i="30"/>
  <c r="K78" i="30"/>
  <c r="K79" i="30"/>
  <c r="E6" i="30"/>
  <c r="F6" i="30"/>
  <c r="F17" i="30" s="1"/>
  <c r="J74" i="30"/>
  <c r="J79" i="30"/>
  <c r="J78" i="30"/>
  <c r="Z5" i="27"/>
  <c r="W5" i="27"/>
  <c r="L74" i="30"/>
  <c r="L78" i="30"/>
  <c r="L79" i="30"/>
  <c r="F55" i="30"/>
  <c r="J6" i="27"/>
  <c r="Z6" i="27"/>
  <c r="AB6" i="27" s="1"/>
  <c r="W6" i="27"/>
  <c r="Y6" i="27" s="1"/>
  <c r="J10" i="27"/>
  <c r="W10" i="27"/>
  <c r="Y10" i="27" s="1"/>
  <c r="Z10" i="27"/>
  <c r="AB10" i="27" s="1"/>
  <c r="Q5" i="27"/>
  <c r="T5" i="27"/>
  <c r="L75" i="30"/>
  <c r="L81" i="30"/>
  <c r="L80" i="30"/>
  <c r="J9" i="27"/>
  <c r="W9" i="27"/>
  <c r="Y9" i="27" s="1"/>
  <c r="Z9" i="27"/>
  <c r="AB9" i="27" s="1"/>
  <c r="K75" i="30"/>
  <c r="K80" i="30"/>
  <c r="K81" i="30"/>
  <c r="J75" i="30"/>
  <c r="J81" i="30"/>
  <c r="J80" i="30"/>
  <c r="F52" i="30"/>
  <c r="D53" i="30"/>
  <c r="E52" i="30"/>
  <c r="G6" i="27"/>
  <c r="Q6" i="27"/>
  <c r="S6" i="27" s="1"/>
  <c r="G10" i="27"/>
  <c r="Q10" i="27"/>
  <c r="S10" i="27" s="1"/>
  <c r="H75" i="30"/>
  <c r="H81" i="30"/>
  <c r="H80" i="30"/>
  <c r="H74" i="30"/>
  <c r="H78" i="30"/>
  <c r="H79" i="30"/>
  <c r="F53" i="30"/>
  <c r="Z67" i="30"/>
  <c r="Z69" i="30"/>
  <c r="F20" i="27"/>
  <c r="U20" i="27" s="1"/>
  <c r="L20" i="27"/>
  <c r="I20" i="27"/>
  <c r="X20" i="27" s="1"/>
  <c r="O20" i="27"/>
  <c r="AA20" i="27" s="1"/>
  <c r="N54" i="30"/>
  <c r="E14" i="25"/>
  <c r="E15" i="25" s="1"/>
  <c r="O16" i="30"/>
  <c r="H73" i="30"/>
  <c r="K9" i="27"/>
  <c r="M9" i="27" s="1"/>
  <c r="N8" i="27"/>
  <c r="P8" i="27" s="1"/>
  <c r="E8" i="27"/>
  <c r="T8" i="27" s="1"/>
  <c r="V8" i="27" s="1"/>
  <c r="K8" i="27"/>
  <c r="M8" i="27" s="1"/>
  <c r="D9" i="27"/>
  <c r="N9" i="27"/>
  <c r="P9" i="27" s="1"/>
  <c r="H8" i="27"/>
  <c r="E9" i="27"/>
  <c r="T9" i="27" s="1"/>
  <c r="V9" i="27" s="1"/>
  <c r="Z68" i="30"/>
  <c r="T67" i="30"/>
  <c r="T68" i="30"/>
  <c r="T64" i="30"/>
  <c r="T73" i="30" s="1"/>
  <c r="T76" i="30"/>
  <c r="T77" i="30"/>
  <c r="G5" i="27"/>
  <c r="J5" i="27"/>
  <c r="G74" i="30"/>
  <c r="P5" i="27"/>
  <c r="E55" i="30"/>
  <c r="M5" i="27"/>
  <c r="G75" i="30"/>
  <c r="P68" i="30"/>
  <c r="P77" i="30"/>
  <c r="P67" i="30"/>
  <c r="P76" i="30"/>
  <c r="P64" i="30"/>
  <c r="P73" i="30" s="1"/>
  <c r="N16" i="30"/>
  <c r="F54" i="30" l="1"/>
  <c r="E73" i="30" s="1"/>
  <c r="E54" i="30"/>
  <c r="P75" i="30"/>
  <c r="P80" i="30"/>
  <c r="P81" i="30"/>
  <c r="V5" i="27"/>
  <c r="Y5" i="27"/>
  <c r="T74" i="30"/>
  <c r="T79" i="30"/>
  <c r="T78" i="30"/>
  <c r="P74" i="30"/>
  <c r="P78" i="30"/>
  <c r="P79" i="30"/>
  <c r="T75" i="30"/>
  <c r="T81" i="30"/>
  <c r="T80" i="30"/>
  <c r="J8" i="27"/>
  <c r="Z8" i="27"/>
  <c r="AB8" i="27" s="1"/>
  <c r="W8" i="27"/>
  <c r="Y8" i="27" s="1"/>
  <c r="AB5" i="27"/>
  <c r="D17" i="30"/>
  <c r="F16" i="30"/>
  <c r="E16" i="30"/>
  <c r="E69" i="30"/>
  <c r="F69" i="30"/>
  <c r="G9" i="27"/>
  <c r="Q9" i="27"/>
  <c r="S9" i="27" s="1"/>
  <c r="G8" i="27"/>
  <c r="Q8" i="27"/>
  <c r="S8" i="27" s="1"/>
  <c r="S5" i="27"/>
  <c r="Z78" i="30"/>
  <c r="Z80" i="30"/>
  <c r="Z75" i="30"/>
  <c r="E60" i="30"/>
  <c r="Z70" i="30"/>
  <c r="Z74" i="30"/>
  <c r="G13" i="25"/>
  <c r="Z76" i="30"/>
  <c r="C24" i="27"/>
  <c r="G14" i="25"/>
  <c r="L14" i="25" s="1"/>
  <c r="E16" i="25"/>
  <c r="G15" i="25"/>
  <c r="W64" i="30"/>
  <c r="W73" i="30" s="1"/>
  <c r="W67" i="30"/>
  <c r="W76" i="30"/>
  <c r="W77" i="30"/>
  <c r="W68" i="30"/>
  <c r="Y68" i="30"/>
  <c r="Y64" i="30"/>
  <c r="Y73" i="30" s="1"/>
  <c r="Y67" i="30"/>
  <c r="Y76" i="30"/>
  <c r="Y77" i="30"/>
  <c r="S67" i="30"/>
  <c r="S68" i="30"/>
  <c r="S64" i="30"/>
  <c r="S73" i="30" s="1"/>
  <c r="S76" i="30"/>
  <c r="S77" i="30"/>
  <c r="N67" i="30"/>
  <c r="N64" i="30"/>
  <c r="N68" i="30"/>
  <c r="N77" i="30"/>
  <c r="N76" i="30"/>
  <c r="V68" i="30"/>
  <c r="V64" i="30"/>
  <c r="V73" i="30" s="1"/>
  <c r="V76" i="30"/>
  <c r="V77" i="30"/>
  <c r="V67" i="30"/>
  <c r="U68" i="30"/>
  <c r="U77" i="30"/>
  <c r="U67" i="30"/>
  <c r="U76" i="30"/>
  <c r="U64" i="30"/>
  <c r="U73" i="30" s="1"/>
  <c r="O67" i="30"/>
  <c r="O77" i="30"/>
  <c r="O76" i="30"/>
  <c r="O68" i="30"/>
  <c r="O64" i="30"/>
  <c r="O73" i="30" s="1"/>
  <c r="Q68" i="30"/>
  <c r="Q67" i="30"/>
  <c r="Q64" i="30"/>
  <c r="Q73" i="30" s="1"/>
  <c r="Q76" i="30"/>
  <c r="Q77" i="30"/>
  <c r="R64" i="30"/>
  <c r="R73" i="30" s="1"/>
  <c r="R67" i="30"/>
  <c r="R68" i="30"/>
  <c r="R77" i="30"/>
  <c r="R76" i="30"/>
  <c r="X67" i="30"/>
  <c r="X68" i="30"/>
  <c r="X77" i="30"/>
  <c r="X76" i="30"/>
  <c r="X64" i="30"/>
  <c r="X73" i="30" s="1"/>
  <c r="E76" i="30" l="1"/>
  <c r="F65" i="30"/>
  <c r="U75" i="30"/>
  <c r="U81" i="30"/>
  <c r="U80" i="30"/>
  <c r="W74" i="30"/>
  <c r="W79" i="30"/>
  <c r="W78" i="30"/>
  <c r="Q74" i="30"/>
  <c r="Q79" i="30"/>
  <c r="Q78" i="30"/>
  <c r="V74" i="30"/>
  <c r="V78" i="30"/>
  <c r="V79" i="30"/>
  <c r="V75" i="30"/>
  <c r="V81" i="30"/>
  <c r="V80" i="30"/>
  <c r="W75" i="30"/>
  <c r="W81" i="30"/>
  <c r="W80" i="30"/>
  <c r="X74" i="30"/>
  <c r="X78" i="30"/>
  <c r="X79" i="30"/>
  <c r="Q75" i="30"/>
  <c r="Q81" i="30"/>
  <c r="Q80" i="30"/>
  <c r="U74" i="30"/>
  <c r="U78" i="30"/>
  <c r="U79" i="30"/>
  <c r="S75" i="30"/>
  <c r="S80" i="30"/>
  <c r="S81" i="30"/>
  <c r="R74" i="30"/>
  <c r="R79" i="30"/>
  <c r="R78" i="30"/>
  <c r="O75" i="30"/>
  <c r="O80" i="30"/>
  <c r="O81" i="30"/>
  <c r="Y75" i="30"/>
  <c r="Y80" i="30"/>
  <c r="Y81" i="30"/>
  <c r="Y74" i="30"/>
  <c r="Y79" i="30"/>
  <c r="Y78" i="30"/>
  <c r="X75" i="30"/>
  <c r="X80" i="30"/>
  <c r="X81" i="30"/>
  <c r="R75" i="30"/>
  <c r="R81" i="30"/>
  <c r="R80" i="30"/>
  <c r="O74" i="30"/>
  <c r="O79" i="30"/>
  <c r="O78" i="30"/>
  <c r="S74" i="30"/>
  <c r="S78" i="30"/>
  <c r="S79" i="30"/>
  <c r="L13" i="25"/>
  <c r="Z77" i="30"/>
  <c r="D77" i="30" s="1"/>
  <c r="F70" i="30"/>
  <c r="E77" i="30" s="1"/>
  <c r="Z79" i="30"/>
  <c r="Z81" i="30"/>
  <c r="R24" i="27"/>
  <c r="C25" i="27"/>
  <c r="F64" i="30"/>
  <c r="D65" i="30"/>
  <c r="E64" i="30"/>
  <c r="N79" i="30"/>
  <c r="N78" i="30"/>
  <c r="N81" i="30"/>
  <c r="N80" i="30"/>
  <c r="F67" i="30"/>
  <c r="F68" i="30"/>
  <c r="F76" i="30"/>
  <c r="D76" i="30"/>
  <c r="E70" i="30"/>
  <c r="B12" i="27"/>
  <c r="B13" i="27"/>
  <c r="E13" i="27" s="1"/>
  <c r="T13" i="27" s="1"/>
  <c r="V13" i="27" s="1"/>
  <c r="I24" i="27"/>
  <c r="F24" i="27"/>
  <c r="L24" i="27"/>
  <c r="L25" i="27" s="1"/>
  <c r="O24" i="27"/>
  <c r="B14" i="27"/>
  <c r="L15" i="25"/>
  <c r="E17" i="25"/>
  <c r="G16" i="25"/>
  <c r="N75" i="30"/>
  <c r="E68" i="30"/>
  <c r="N73" i="30"/>
  <c r="F73" i="30" s="1"/>
  <c r="N74" i="30"/>
  <c r="E67" i="30"/>
  <c r="F75" i="30" l="1"/>
  <c r="D74" i="30"/>
  <c r="F77" i="30"/>
  <c r="F25" i="27"/>
  <c r="U24" i="27"/>
  <c r="O25" i="27"/>
  <c r="AA24" i="27"/>
  <c r="I25" i="27"/>
  <c r="X24" i="27"/>
  <c r="R25" i="27"/>
  <c r="G13" i="27"/>
  <c r="Q13" i="27"/>
  <c r="S13" i="27" s="1"/>
  <c r="D12" i="27"/>
  <c r="F74" i="30"/>
  <c r="D75" i="30"/>
  <c r="D80" i="30"/>
  <c r="F80" i="30"/>
  <c r="D79" i="30"/>
  <c r="F79" i="30"/>
  <c r="D73" i="30"/>
  <c r="E75" i="30"/>
  <c r="E80" i="30"/>
  <c r="E81" i="30"/>
  <c r="D81" i="30"/>
  <c r="F81" i="30"/>
  <c r="E79" i="30"/>
  <c r="E78" i="30"/>
  <c r="E74" i="30"/>
  <c r="F78" i="30"/>
  <c r="D78" i="30"/>
  <c r="N12" i="27"/>
  <c r="P12" i="27" s="1"/>
  <c r="K13" i="27"/>
  <c r="M13" i="27" s="1"/>
  <c r="N13" i="27"/>
  <c r="P13" i="27" s="1"/>
  <c r="E12" i="27"/>
  <c r="T12" i="27" s="1"/>
  <c r="K12" i="27"/>
  <c r="H12" i="27"/>
  <c r="H13" i="27"/>
  <c r="D13" i="27"/>
  <c r="L16" i="25"/>
  <c r="B15" i="27"/>
  <c r="E18" i="25"/>
  <c r="G17" i="25"/>
  <c r="H14" i="27"/>
  <c r="N14" i="27"/>
  <c r="P14" i="27" s="1"/>
  <c r="D14" i="27"/>
  <c r="E14" i="27"/>
  <c r="T14" i="27" s="1"/>
  <c r="V14" i="27" s="1"/>
  <c r="K14" i="27"/>
  <c r="M14" i="27" s="1"/>
  <c r="J13" i="27" l="1"/>
  <c r="Z13" i="27"/>
  <c r="AB13" i="27" s="1"/>
  <c r="W13" i="27"/>
  <c r="Y13" i="27" s="1"/>
  <c r="Z12" i="27"/>
  <c r="W12" i="27"/>
  <c r="V12" i="27"/>
  <c r="J14" i="27"/>
  <c r="W14" i="27"/>
  <c r="Y14" i="27" s="1"/>
  <c r="Z14" i="27"/>
  <c r="AB14" i="27" s="1"/>
  <c r="AA25" i="27"/>
  <c r="X25" i="27"/>
  <c r="U25" i="27"/>
  <c r="G14" i="27"/>
  <c r="Q14" i="27"/>
  <c r="S14" i="27" s="1"/>
  <c r="G12" i="27"/>
  <c r="Q12" i="27"/>
  <c r="J12" i="27"/>
  <c r="M12" i="27"/>
  <c r="E19" i="25"/>
  <c r="G18" i="25"/>
  <c r="E15" i="27"/>
  <c r="T15" i="27" s="1"/>
  <c r="V15" i="27" s="1"/>
  <c r="K15" i="27"/>
  <c r="N15" i="27"/>
  <c r="D15" i="27"/>
  <c r="H15" i="27"/>
  <c r="L17" i="25"/>
  <c r="B16" i="27"/>
  <c r="AB12" i="27" l="1"/>
  <c r="W15" i="27"/>
  <c r="Y15" i="27" s="1"/>
  <c r="Z15" i="27"/>
  <c r="AB15" i="27" s="1"/>
  <c r="Y12" i="27"/>
  <c r="G15" i="27"/>
  <c r="Q15" i="27"/>
  <c r="S15" i="27" s="1"/>
  <c r="S12" i="27"/>
  <c r="M15" i="27"/>
  <c r="J15" i="27"/>
  <c r="P15" i="27"/>
  <c r="L18" i="25"/>
  <c r="B17" i="27"/>
  <c r="H16" i="27"/>
  <c r="N16" i="27"/>
  <c r="P16" i="27" s="1"/>
  <c r="K16" i="27"/>
  <c r="M16" i="27" s="1"/>
  <c r="D16" i="27"/>
  <c r="E16" i="27"/>
  <c r="T16" i="27" s="1"/>
  <c r="E20" i="25"/>
  <c r="G19" i="25"/>
  <c r="V16" i="27" l="1"/>
  <c r="Z16" i="27"/>
  <c r="AB16" i="27" s="1"/>
  <c r="W16" i="27"/>
  <c r="G16" i="27"/>
  <c r="Q16" i="27"/>
  <c r="S16" i="27" s="1"/>
  <c r="J16" i="27"/>
  <c r="E21" i="25"/>
  <c r="G20" i="25"/>
  <c r="H17" i="27"/>
  <c r="D17" i="27"/>
  <c r="K17" i="27"/>
  <c r="M17" i="27" s="1"/>
  <c r="N17" i="27"/>
  <c r="P17" i="27" s="1"/>
  <c r="E17" i="27"/>
  <c r="T17" i="27" s="1"/>
  <c r="V17" i="27" s="1"/>
  <c r="L19" i="25"/>
  <c r="B18" i="27"/>
  <c r="J17" i="27" l="1"/>
  <c r="W17" i="27"/>
  <c r="Y17" i="27" s="1"/>
  <c r="Z17" i="27"/>
  <c r="AB17" i="27" s="1"/>
  <c r="Y16" i="27"/>
  <c r="G17" i="27"/>
  <c r="Q17" i="27"/>
  <c r="L20" i="25"/>
  <c r="B19" i="27"/>
  <c r="H18" i="27"/>
  <c r="K18" i="27"/>
  <c r="M18" i="27" s="1"/>
  <c r="D18" i="27"/>
  <c r="N18" i="27"/>
  <c r="P18" i="27" s="1"/>
  <c r="E18" i="27"/>
  <c r="T18" i="27" s="1"/>
  <c r="V18" i="27" s="1"/>
  <c r="E22" i="25"/>
  <c r="G21" i="25"/>
  <c r="J18" i="27" l="1"/>
  <c r="Z18" i="27"/>
  <c r="AB18" i="27" s="1"/>
  <c r="W18" i="27"/>
  <c r="Y18" i="27" s="1"/>
  <c r="G18" i="27"/>
  <c r="Q18" i="27"/>
  <c r="S18" i="27" s="1"/>
  <c r="S17" i="27"/>
  <c r="E23" i="25"/>
  <c r="G22" i="25"/>
  <c r="N19" i="27"/>
  <c r="P19" i="27" s="1"/>
  <c r="D19" i="27"/>
  <c r="H19" i="27"/>
  <c r="K19" i="27"/>
  <c r="E19" i="27"/>
  <c r="T19" i="27" s="1"/>
  <c r="V19" i="27" s="1"/>
  <c r="L21" i="25"/>
  <c r="B20" i="27"/>
  <c r="J19" i="27" l="1"/>
  <c r="W19" i="27"/>
  <c r="Y19" i="27" s="1"/>
  <c r="Z19" i="27"/>
  <c r="AB19" i="27" s="1"/>
  <c r="G19" i="27"/>
  <c r="Q19" i="27"/>
  <c r="M19" i="27"/>
  <c r="L22" i="25"/>
  <c r="B21" i="27"/>
  <c r="K20" i="27"/>
  <c r="M20" i="27" s="1"/>
  <c r="E20" i="27"/>
  <c r="T20" i="27" s="1"/>
  <c r="V20" i="27" s="1"/>
  <c r="D20" i="27"/>
  <c r="N20" i="27"/>
  <c r="H20" i="27"/>
  <c r="E24" i="25"/>
  <c r="G23" i="25"/>
  <c r="J20" i="27" l="1"/>
  <c r="Z20" i="27"/>
  <c r="AB20" i="27" s="1"/>
  <c r="W20" i="27"/>
  <c r="Y20" i="27" s="1"/>
  <c r="S19" i="27"/>
  <c r="G20" i="27"/>
  <c r="Q20" i="27"/>
  <c r="S20" i="27" s="1"/>
  <c r="P20" i="27"/>
  <c r="E25" i="25"/>
  <c r="G25" i="25" s="1"/>
  <c r="G24" i="25"/>
  <c r="N21" i="27"/>
  <c r="P21" i="27" s="1"/>
  <c r="K21" i="27"/>
  <c r="M21" i="27" s="1"/>
  <c r="D21" i="27"/>
  <c r="H21" i="27"/>
  <c r="E21" i="27"/>
  <c r="T21" i="27" s="1"/>
  <c r="V21" i="27" s="1"/>
  <c r="B22" i="27"/>
  <c r="L23" i="25"/>
  <c r="G26" i="25" l="1"/>
  <c r="L27" i="25" s="1"/>
  <c r="J21" i="27"/>
  <c r="W21" i="27"/>
  <c r="Y21" i="27" s="1"/>
  <c r="Z21" i="27"/>
  <c r="AB21" i="27" s="1"/>
  <c r="G21" i="27"/>
  <c r="Q21" i="27"/>
  <c r="S21" i="27" s="1"/>
  <c r="H22" i="27"/>
  <c r="D22" i="27"/>
  <c r="N22" i="27"/>
  <c r="P22" i="27" s="1"/>
  <c r="E22" i="27"/>
  <c r="T22" i="27" s="1"/>
  <c r="V22" i="27" s="1"/>
  <c r="K22" i="27"/>
  <c r="M22" i="27" s="1"/>
  <c r="B23" i="27"/>
  <c r="L24" i="25"/>
  <c r="L25" i="25"/>
  <c r="B24" i="27"/>
  <c r="L26" i="25" l="1"/>
  <c r="J22" i="27"/>
  <c r="W22" i="27"/>
  <c r="Y22" i="27" s="1"/>
  <c r="Z22" i="27"/>
  <c r="AB22" i="27" s="1"/>
  <c r="D24" i="27"/>
  <c r="B25" i="27"/>
  <c r="D26" i="27" s="1"/>
  <c r="G22" i="27"/>
  <c r="Q22" i="27"/>
  <c r="S22" i="27" s="1"/>
  <c r="L28" i="25"/>
  <c r="N23" i="27"/>
  <c r="P23" i="27" s="1"/>
  <c r="H23" i="27"/>
  <c r="D23" i="27"/>
  <c r="K23" i="27"/>
  <c r="M23" i="27" s="1"/>
  <c r="E23" i="27"/>
  <c r="T23" i="27" s="1"/>
  <c r="V23" i="27" s="1"/>
  <c r="N24" i="27"/>
  <c r="E24" i="27"/>
  <c r="T24" i="27" s="1"/>
  <c r="K24" i="27"/>
  <c r="K25" i="27" s="1"/>
  <c r="H24" i="27"/>
  <c r="V24" i="27" l="1"/>
  <c r="T25" i="27"/>
  <c r="V26" i="27" s="1"/>
  <c r="J23" i="27"/>
  <c r="W23" i="27"/>
  <c r="Y23" i="27" s="1"/>
  <c r="Z23" i="27"/>
  <c r="AB23" i="27" s="1"/>
  <c r="H25" i="27"/>
  <c r="J26" i="27" s="1"/>
  <c r="Z24" i="27"/>
  <c r="W24" i="27"/>
  <c r="G23" i="27"/>
  <c r="Q23" i="27"/>
  <c r="S23" i="27" s="1"/>
  <c r="Q24" i="27"/>
  <c r="E25" i="27"/>
  <c r="G26" i="27" s="1"/>
  <c r="N25" i="27"/>
  <c r="P26" i="27" s="1"/>
  <c r="D25" i="27"/>
  <c r="G24" i="27"/>
  <c r="P24" i="27"/>
  <c r="P25" i="27" s="1"/>
  <c r="D27" i="27"/>
  <c r="J24" i="27"/>
  <c r="M24" i="27"/>
  <c r="M25" i="27" s="1"/>
  <c r="M26" i="27"/>
  <c r="J25" i="27" l="1"/>
  <c r="Y24" i="27"/>
  <c r="W25" i="27"/>
  <c r="Y26" i="27" s="1"/>
  <c r="AB24" i="27"/>
  <c r="Z25" i="27"/>
  <c r="AB26" i="27" s="1"/>
  <c r="V25" i="27"/>
  <c r="V27" i="27"/>
  <c r="G25" i="27"/>
  <c r="S24" i="27"/>
  <c r="Q25" i="27"/>
  <c r="S26" i="27" s="1"/>
  <c r="J27" i="27"/>
  <c r="P27" i="27"/>
  <c r="M27" i="27"/>
  <c r="G27" i="27"/>
  <c r="AB27" i="27" l="1"/>
  <c r="AB25" i="27"/>
  <c r="Y25" i="27"/>
  <c r="Y27" i="27"/>
  <c r="S25" i="27"/>
  <c r="S27" i="27"/>
</calcChain>
</file>

<file path=xl/sharedStrings.xml><?xml version="1.0" encoding="utf-8"?>
<sst xmlns="http://schemas.openxmlformats.org/spreadsheetml/2006/main" count="724" uniqueCount="303">
  <si>
    <t>Total Cost</t>
    <phoneticPr fontId="1"/>
  </si>
  <si>
    <t>Total Benefit</t>
    <phoneticPr fontId="1"/>
  </si>
  <si>
    <t>Others</t>
    <phoneticPr fontId="1"/>
  </si>
  <si>
    <t>Balance of cost and benefit</t>
    <phoneticPr fontId="1"/>
  </si>
  <si>
    <t>Total</t>
    <phoneticPr fontId="1"/>
  </si>
  <si>
    <t>EIRR of the whole project</t>
    <phoneticPr fontId="1"/>
  </si>
  <si>
    <t>Items</t>
    <phoneticPr fontId="1"/>
  </si>
  <si>
    <t>Year</t>
    <phoneticPr fontId="1"/>
  </si>
  <si>
    <t>Cost</t>
    <phoneticPr fontId="1"/>
  </si>
  <si>
    <t>IRR</t>
    <phoneticPr fontId="1"/>
  </si>
  <si>
    <t>Total Cost</t>
    <phoneticPr fontId="1"/>
  </si>
  <si>
    <t>Balance</t>
    <phoneticPr fontId="1"/>
  </si>
  <si>
    <t>Benefit</t>
    <phoneticPr fontId="1"/>
  </si>
  <si>
    <t>-10%</t>
    <phoneticPr fontId="1"/>
  </si>
  <si>
    <t>-20%</t>
    <phoneticPr fontId="1"/>
  </si>
  <si>
    <t>+10%</t>
    <phoneticPr fontId="1"/>
  </si>
  <si>
    <t>+20%</t>
    <phoneticPr fontId="1"/>
  </si>
  <si>
    <t>Case1</t>
    <phoneticPr fontId="1"/>
  </si>
  <si>
    <t>Case2</t>
    <phoneticPr fontId="1"/>
  </si>
  <si>
    <t>Cost +10%</t>
    <phoneticPr fontId="1"/>
  </si>
  <si>
    <t>Benefit -10%</t>
    <phoneticPr fontId="1"/>
  </si>
  <si>
    <t>NPV</t>
    <phoneticPr fontId="1"/>
  </si>
  <si>
    <t>B/C</t>
    <phoneticPr fontId="1"/>
  </si>
  <si>
    <t>Base</t>
    <phoneticPr fontId="1"/>
  </si>
  <si>
    <t>Year</t>
    <phoneticPr fontId="1"/>
  </si>
  <si>
    <t>Project Cost</t>
    <phoneticPr fontId="1"/>
  </si>
  <si>
    <t>Benefit</t>
    <phoneticPr fontId="1"/>
  </si>
  <si>
    <t>NPV</t>
    <phoneticPr fontId="1"/>
  </si>
  <si>
    <t>B/C</t>
    <phoneticPr fontId="1"/>
  </si>
  <si>
    <t>EIRR</t>
    <phoneticPr fontId="1"/>
  </si>
  <si>
    <t>Case 1: Cost 10% Up</t>
    <phoneticPr fontId="1"/>
  </si>
  <si>
    <t>Total Benefit</t>
    <phoneticPr fontId="1"/>
  </si>
  <si>
    <t>Case 2: Cost 20% Up</t>
    <phoneticPr fontId="1"/>
  </si>
  <si>
    <t>Case 0: Base Case</t>
    <phoneticPr fontId="1"/>
  </si>
  <si>
    <t>Total Cost</t>
    <phoneticPr fontId="1"/>
  </si>
  <si>
    <t>Total Benefit</t>
    <phoneticPr fontId="1"/>
  </si>
  <si>
    <t>Balance</t>
    <phoneticPr fontId="1"/>
  </si>
  <si>
    <t>(1) Whole Project</t>
    <phoneticPr fontId="1"/>
  </si>
  <si>
    <t>NPV</t>
    <phoneticPr fontId="1"/>
  </si>
  <si>
    <t>Cost +20%</t>
    <phoneticPr fontId="1"/>
  </si>
  <si>
    <t>Benefit -20%</t>
    <phoneticPr fontId="1"/>
  </si>
  <si>
    <t>Case3</t>
    <phoneticPr fontId="1"/>
  </si>
  <si>
    <t>Case4</t>
    <phoneticPr fontId="1"/>
  </si>
  <si>
    <t>Yield increase</t>
    <phoneticPr fontId="1"/>
  </si>
  <si>
    <t>Reduction of GHG emission</t>
    <phoneticPr fontId="1"/>
  </si>
  <si>
    <t>Watershed</t>
    <phoneticPr fontId="1"/>
  </si>
  <si>
    <t>Laclo</t>
    <phoneticPr fontId="1"/>
  </si>
  <si>
    <t>Comoro</t>
    <phoneticPr fontId="1"/>
  </si>
  <si>
    <t>Tafara</t>
    <phoneticPr fontId="1"/>
  </si>
  <si>
    <t>Reduction of CO2 emission</t>
    <phoneticPr fontId="1"/>
  </si>
  <si>
    <t>EIRR of the project in Laclo</t>
    <phoneticPr fontId="1"/>
  </si>
  <si>
    <t>EIRR of the project in Comoro</t>
    <phoneticPr fontId="1"/>
  </si>
  <si>
    <t>EIRR of the project in Tafara</t>
    <phoneticPr fontId="1"/>
  </si>
  <si>
    <t>Others</t>
    <phoneticPr fontId="1"/>
  </si>
  <si>
    <t>Number of villages for MP</t>
    <phoneticPr fontId="53"/>
  </si>
  <si>
    <t>Number of beneficiary</t>
    <phoneticPr fontId="53"/>
  </si>
  <si>
    <t>Laclo</t>
    <phoneticPr fontId="53"/>
  </si>
  <si>
    <t>Comoro</t>
    <phoneticPr fontId="53"/>
  </si>
  <si>
    <t>Tafara</t>
    <phoneticPr fontId="53"/>
  </si>
  <si>
    <t>Caraulun</t>
    <phoneticPr fontId="53"/>
  </si>
  <si>
    <t xml:space="preserve"> 4 WS</t>
    <phoneticPr fontId="53"/>
  </si>
  <si>
    <t>ha</t>
    <phoneticPr fontId="53"/>
  </si>
  <si>
    <t>ton/ha</t>
    <phoneticPr fontId="53"/>
  </si>
  <si>
    <t>Crop price</t>
    <phoneticPr fontId="53"/>
  </si>
  <si>
    <t>1st year</t>
    <phoneticPr fontId="53"/>
  </si>
  <si>
    <t>2nd year</t>
    <phoneticPr fontId="53"/>
  </si>
  <si>
    <t>Total</t>
    <phoneticPr fontId="53"/>
  </si>
  <si>
    <t>Yield increase (ton)</t>
    <phoneticPr fontId="53"/>
  </si>
  <si>
    <t>Four WS</t>
    <phoneticPr fontId="53"/>
  </si>
  <si>
    <t>Benefit of MP (USD)</t>
    <phoneticPr fontId="53"/>
  </si>
  <si>
    <t>Effect of CBNRM (%)</t>
    <phoneticPr fontId="53"/>
  </si>
  <si>
    <t>Area</t>
    <phoneticPr fontId="53"/>
  </si>
  <si>
    <t>Benefits from reduction of CO2 emission (USD)</t>
    <phoneticPr fontId="53"/>
  </si>
  <si>
    <t>Effect of CB-NRM</t>
    <phoneticPr fontId="53"/>
  </si>
  <si>
    <t>3rd year</t>
    <phoneticPr fontId="53"/>
  </si>
  <si>
    <t xml:space="preserve">Average price </t>
    <phoneticPr fontId="53"/>
  </si>
  <si>
    <t>USD/ton-CO2</t>
    <phoneticPr fontId="53"/>
  </si>
  <si>
    <t>Year</t>
    <phoneticPr fontId="59"/>
  </si>
  <si>
    <t>Forest area</t>
    <phoneticPr fontId="59"/>
  </si>
  <si>
    <t>Dense</t>
    <phoneticPr fontId="53"/>
  </si>
  <si>
    <t>Comoro</t>
  </si>
  <si>
    <t>Forest area</t>
    <phoneticPr fontId="53"/>
  </si>
  <si>
    <t>Laclo</t>
  </si>
  <si>
    <t>Tafara</t>
  </si>
  <si>
    <t>Caraulun</t>
  </si>
  <si>
    <t>Year</t>
    <phoneticPr fontId="53"/>
  </si>
  <si>
    <r>
      <t>DF</t>
    </r>
    <r>
      <rPr>
        <sz val="11"/>
        <color theme="1"/>
        <rFont val="ＭＳ Ｐ明朝"/>
        <family val="1"/>
        <charset val="128"/>
      </rPr>
      <t>→</t>
    </r>
    <r>
      <rPr>
        <sz val="11"/>
        <color theme="1"/>
        <rFont val="Times New Roman"/>
        <family val="1"/>
      </rPr>
      <t>SF</t>
    </r>
    <phoneticPr fontId="59"/>
  </si>
  <si>
    <r>
      <t>SF</t>
    </r>
    <r>
      <rPr>
        <sz val="11"/>
        <color theme="1"/>
        <rFont val="ＭＳ Ｐ明朝"/>
        <family val="1"/>
        <charset val="128"/>
      </rPr>
      <t>→</t>
    </r>
    <r>
      <rPr>
        <sz val="11"/>
        <color theme="1"/>
        <rFont val="Times New Roman"/>
        <family val="1"/>
      </rPr>
      <t>NF</t>
    </r>
    <phoneticPr fontId="59"/>
  </si>
  <si>
    <t>Total</t>
    <phoneticPr fontId="59"/>
  </si>
  <si>
    <t>Sparse</t>
    <phoneticPr fontId="53"/>
  </si>
  <si>
    <t>Difference</t>
    <phoneticPr fontId="53"/>
  </si>
  <si>
    <t>Total</t>
  </si>
  <si>
    <t>Sparse Forest</t>
    <phoneticPr fontId="53"/>
  </si>
  <si>
    <t>USD/ton</t>
    <phoneticPr fontId="53"/>
  </si>
  <si>
    <t>O&amp;M Cost</t>
    <phoneticPr fontId="1"/>
  </si>
  <si>
    <t>HH/village</t>
    <phoneticPr fontId="53"/>
  </si>
  <si>
    <t>Pre FS (6.2.5)</t>
    <phoneticPr fontId="53"/>
  </si>
  <si>
    <t>Pre FS(5.3)</t>
    <phoneticPr fontId="53"/>
  </si>
  <si>
    <t xml:space="preserve"> Total Benefit</t>
    <phoneticPr fontId="1"/>
  </si>
  <si>
    <t>10 villages</t>
    <phoneticPr fontId="1"/>
  </si>
  <si>
    <t>Ratio</t>
    <phoneticPr fontId="1"/>
  </si>
  <si>
    <t>ha</t>
    <phoneticPr fontId="1"/>
  </si>
  <si>
    <t>villages</t>
    <phoneticPr fontId="1"/>
  </si>
  <si>
    <t>Caraulun R. watershed</t>
  </si>
  <si>
    <t>Tafara R. watershed</t>
  </si>
  <si>
    <t>Laclo R. watershed</t>
  </si>
  <si>
    <t>Comoro R. watershed</t>
  </si>
  <si>
    <t>Villages</t>
    <phoneticPr fontId="1"/>
  </si>
  <si>
    <t>20 villages</t>
    <phoneticPr fontId="1"/>
  </si>
  <si>
    <t>10 villages</t>
    <phoneticPr fontId="1"/>
  </si>
  <si>
    <t>11 villages</t>
    <phoneticPr fontId="1"/>
  </si>
  <si>
    <t>11 villages</t>
    <phoneticPr fontId="1"/>
  </si>
  <si>
    <t>28 villages</t>
    <phoneticPr fontId="1"/>
  </si>
  <si>
    <r>
      <t>Reduction of 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emission</t>
    </r>
    <phoneticPr fontId="1"/>
  </si>
  <si>
    <t>3rd year</t>
    <phoneticPr fontId="1"/>
  </si>
  <si>
    <t>4th year</t>
    <phoneticPr fontId="1"/>
  </si>
  <si>
    <t>5th year</t>
    <phoneticPr fontId="1"/>
  </si>
  <si>
    <t>6th year</t>
    <phoneticPr fontId="1"/>
  </si>
  <si>
    <t>Average</t>
    <phoneticPr fontId="1"/>
  </si>
  <si>
    <t>30 villages</t>
    <phoneticPr fontId="1"/>
  </si>
  <si>
    <t>14 villages</t>
    <phoneticPr fontId="1"/>
  </si>
  <si>
    <t>4 WMC</t>
    <phoneticPr fontId="1"/>
  </si>
  <si>
    <t>14 WMC</t>
    <phoneticPr fontId="1"/>
  </si>
  <si>
    <t>4.83 WMC</t>
    <phoneticPr fontId="1"/>
  </si>
  <si>
    <t>2.83 WMC</t>
    <phoneticPr fontId="1"/>
  </si>
  <si>
    <t>2.34 WMC</t>
    <phoneticPr fontId="1"/>
  </si>
  <si>
    <t>Sub-total</t>
  </si>
  <si>
    <t>Laclo</t>
    <phoneticPr fontId="1"/>
  </si>
  <si>
    <t>Comoro</t>
    <phoneticPr fontId="1"/>
  </si>
  <si>
    <t>Tafara</t>
    <phoneticPr fontId="1"/>
  </si>
  <si>
    <t>Caraulun</t>
    <phoneticPr fontId="1"/>
  </si>
  <si>
    <t>Effect of MP (Comoro&amp;Laclo)</t>
    <phoneticPr fontId="53"/>
  </si>
  <si>
    <t>Dense forest</t>
    <phoneticPr fontId="1"/>
  </si>
  <si>
    <t>19 villages</t>
    <phoneticPr fontId="1"/>
  </si>
  <si>
    <t>68 villages</t>
    <phoneticPr fontId="1"/>
  </si>
  <si>
    <t>74 villages</t>
    <phoneticPr fontId="1"/>
  </si>
  <si>
    <t>Contingency</t>
  </si>
  <si>
    <t>Total including contingency</t>
  </si>
  <si>
    <t>Sub-total including Contingency</t>
  </si>
  <si>
    <t>Reduction of CO2 emission (tCO2) x (1-discounting Factor)</t>
    <phoneticPr fontId="53"/>
  </si>
  <si>
    <t>Discount Factor</t>
    <phoneticPr fontId="1"/>
  </si>
  <si>
    <t>Total</t>
    <phoneticPr fontId="1"/>
  </si>
  <si>
    <t>PM Sub-component</t>
    <phoneticPr fontId="59"/>
  </si>
  <si>
    <t>Consulting service</t>
    <phoneticPr fontId="59"/>
  </si>
  <si>
    <t>Contingency</t>
    <phoneticPr fontId="59"/>
  </si>
  <si>
    <t>Sub-total</t>
    <phoneticPr fontId="59"/>
  </si>
  <si>
    <t>Sub-total including Contingency</t>
    <phoneticPr fontId="59"/>
  </si>
  <si>
    <t>Table 11 (2) Results of the Cash Flow Analysis of the Proposed Project</t>
    <phoneticPr fontId="1"/>
  </si>
  <si>
    <t>Table 11 (1) Results of the Cash Flow Analysis of the Proposed Project</t>
    <phoneticPr fontId="1"/>
  </si>
  <si>
    <t>Table 12 Results of Sensitivity Analyses</t>
    <phoneticPr fontId="1"/>
  </si>
  <si>
    <t>Output</t>
    <phoneticPr fontId="1"/>
  </si>
  <si>
    <t>Component</t>
    <phoneticPr fontId="1"/>
  </si>
  <si>
    <t>2.1 &amp; 2.2</t>
    <phoneticPr fontId="1"/>
  </si>
  <si>
    <t>Annex 3: Detailed Budget Plan</t>
    <phoneticPr fontId="1"/>
  </si>
  <si>
    <t>Number of villages to be introduced PLUP</t>
    <phoneticPr fontId="53"/>
  </si>
  <si>
    <t>Assumptions</t>
    <phoneticPr fontId="1"/>
  </si>
  <si>
    <t>Forest Degradation</t>
    <phoneticPr fontId="1"/>
  </si>
  <si>
    <t>Caron stock (t C/ha))</t>
    <phoneticPr fontId="1"/>
  </si>
  <si>
    <t>Dense forest</t>
    <phoneticPr fontId="53"/>
  </si>
  <si>
    <t>Total watershed Area (ha)</t>
    <phoneticPr fontId="1"/>
  </si>
  <si>
    <t>Area of Dense forest (ha)</t>
    <phoneticPr fontId="1"/>
  </si>
  <si>
    <t>Target village in the Watershed</t>
    <phoneticPr fontId="1"/>
  </si>
  <si>
    <t>Target village in the Watersheds</t>
    <phoneticPr fontId="1"/>
  </si>
  <si>
    <t xml:space="preserve">Deforestation </t>
    <phoneticPr fontId="1"/>
  </si>
  <si>
    <t>Grassland</t>
    <phoneticPr fontId="1"/>
  </si>
  <si>
    <t>Difference</t>
    <phoneticPr fontId="1"/>
  </si>
  <si>
    <t>Baseline emission  (tCO2)</t>
    <phoneticPr fontId="53"/>
  </si>
  <si>
    <t>Project emission  (tCO2)</t>
    <phoneticPr fontId="53"/>
  </si>
  <si>
    <t>Reduction of CO2 emission (tCO2) (Baseline emission - Project emission)</t>
    <phoneticPr fontId="53"/>
  </si>
  <si>
    <t>Baseline Scenario &amp; Project Scenario</t>
    <phoneticPr fontId="1"/>
  </si>
  <si>
    <t>a) Laclo Watershed</t>
    <phoneticPr fontId="53"/>
  </si>
  <si>
    <t>Forest area (ha)</t>
    <phoneticPr fontId="59"/>
  </si>
  <si>
    <t>Dense Forest</t>
    <phoneticPr fontId="59"/>
  </si>
  <si>
    <t>Baseline emission in Laclo Watershed</t>
    <phoneticPr fontId="53"/>
  </si>
  <si>
    <t>Project emission in Laclo Watershed</t>
    <phoneticPr fontId="53"/>
  </si>
  <si>
    <t>Area of dense forest protected by the project</t>
    <phoneticPr fontId="53"/>
  </si>
  <si>
    <t>Forest area (ha)</t>
    <phoneticPr fontId="61"/>
  </si>
  <si>
    <t>Carbon emission (C-ton)</t>
    <phoneticPr fontId="61"/>
  </si>
  <si>
    <r>
      <t>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emission (tCO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)</t>
    </r>
    <phoneticPr fontId="61"/>
  </si>
  <si>
    <r>
      <t>CO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 xml:space="preserve"> emission (tCO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)</t>
    </r>
    <phoneticPr fontId="61"/>
  </si>
  <si>
    <t>Dense forest (ha)</t>
    <phoneticPr fontId="59"/>
  </si>
  <si>
    <t>Carbon emission (C-ton)</t>
    <phoneticPr fontId="59"/>
  </si>
  <si>
    <t>CO2 emission (tCO2)</t>
    <phoneticPr fontId="59"/>
  </si>
  <si>
    <r>
      <t>DF</t>
    </r>
    <r>
      <rPr>
        <sz val="9"/>
        <color theme="1"/>
        <rFont val="ＭＳ Ｐ明朝"/>
        <family val="1"/>
        <charset val="128"/>
      </rPr>
      <t>→</t>
    </r>
    <r>
      <rPr>
        <sz val="9"/>
        <color theme="1"/>
        <rFont val="Times New Roman"/>
        <family val="1"/>
      </rPr>
      <t>SF</t>
    </r>
    <phoneticPr fontId="59"/>
  </si>
  <si>
    <r>
      <t>SF</t>
    </r>
    <r>
      <rPr>
        <sz val="9"/>
        <color theme="1"/>
        <rFont val="ＭＳ Ｐ明朝"/>
        <family val="1"/>
        <charset val="128"/>
      </rPr>
      <t>→</t>
    </r>
    <r>
      <rPr>
        <sz val="9"/>
        <color theme="1"/>
        <rFont val="Times New Roman"/>
        <family val="1"/>
      </rPr>
      <t>NF</t>
    </r>
    <phoneticPr fontId="59"/>
  </si>
  <si>
    <t>b) Comoro Watershed</t>
    <phoneticPr fontId="53"/>
  </si>
  <si>
    <t>Baseline emission in Comoro Watershed</t>
    <phoneticPr fontId="53"/>
  </si>
  <si>
    <t>Project emission in Comoro Watershed</t>
    <phoneticPr fontId="53"/>
  </si>
  <si>
    <t>c) Tafara Watershed</t>
    <phoneticPr fontId="53"/>
  </si>
  <si>
    <t>Baseline emission in Tafara Watershed</t>
    <phoneticPr fontId="53"/>
  </si>
  <si>
    <t>Project emission in Tafara Watershed</t>
    <phoneticPr fontId="53"/>
  </si>
  <si>
    <t>d) Caraulun Watershed</t>
    <phoneticPr fontId="53"/>
  </si>
  <si>
    <t>Baseline emission in Caraulun Watershed</t>
    <phoneticPr fontId="53"/>
  </si>
  <si>
    <t>Project emission in Caraulun Watershed</t>
    <phoneticPr fontId="53"/>
  </si>
  <si>
    <t>Items</t>
  </si>
  <si>
    <t>Under the with-project condition</t>
  </si>
  <si>
    <t>Under the without-project condition</t>
  </si>
  <si>
    <t>Production cost</t>
  </si>
  <si>
    <t>Family labor</t>
  </si>
  <si>
    <t>40 MD</t>
  </si>
  <si>
    <t>22MD</t>
  </si>
  <si>
    <t>Gross Profits</t>
  </si>
  <si>
    <t>Total production &amp; sales</t>
    <phoneticPr fontId="1"/>
  </si>
  <si>
    <t>Q’ty (kg/ha)</t>
    <phoneticPr fontId="1"/>
  </si>
  <si>
    <t>Price
(USD)</t>
    <phoneticPr fontId="1"/>
  </si>
  <si>
    <t>Value (USD/ha)</t>
    <phoneticPr fontId="1"/>
  </si>
  <si>
    <t>Land size (ha/HH)</t>
    <phoneticPr fontId="1"/>
  </si>
  <si>
    <t>Opportunity cost of giving up shifting cultivation***</t>
    <phoneticPr fontId="1"/>
  </si>
  <si>
    <t xml:space="preserve">*** The value from land that should have been expanded/ used for shifting cultivation. </t>
    <phoneticPr fontId="1"/>
  </si>
  <si>
    <t>1) Value
(USD/hh)</t>
    <phoneticPr fontId="1"/>
  </si>
  <si>
    <t>2) Value
(USD/hh)</t>
    <phoneticPr fontId="1"/>
  </si>
  <si>
    <t>3) Value
(USD/hh)</t>
    <phoneticPr fontId="1"/>
  </si>
  <si>
    <t>Value from the existing land</t>
    <phoneticPr fontId="1"/>
  </si>
  <si>
    <t>Area for climate-resilient agriculture</t>
    <phoneticPr fontId="53"/>
  </si>
  <si>
    <t>3rd year on wards (100%)**</t>
    <phoneticPr fontId="1"/>
  </si>
  <si>
    <t>1. Northern (Comoro &amp; Laclo WSs)</t>
    <phoneticPr fontId="1"/>
  </si>
  <si>
    <t>Incre. Benefit (USD/HH)</t>
    <phoneticPr fontId="1"/>
  </si>
  <si>
    <t>Incremental Benefit
=1)-2)-3)
(USD/hh)</t>
    <phoneticPr fontId="1"/>
  </si>
  <si>
    <r>
      <rPr>
        <sz val="10"/>
        <color rgb="FFFF0000"/>
        <rFont val="Century Gothic"/>
        <family val="2"/>
      </rPr>
      <t>Incremental</t>
    </r>
    <r>
      <rPr>
        <sz val="10"/>
        <color theme="1"/>
        <rFont val="Century Gothic"/>
        <family val="2"/>
        <charset val="128"/>
      </rPr>
      <t xml:space="preserve"> Yield increase</t>
    </r>
    <phoneticPr fontId="53"/>
  </si>
  <si>
    <t>Area developed for climate-resilient agriculture (ha)</t>
    <phoneticPr fontId="53"/>
  </si>
  <si>
    <t>Laclo</t>
    <phoneticPr fontId="1"/>
  </si>
  <si>
    <t>Increment</t>
    <phoneticPr fontId="1"/>
  </si>
  <si>
    <t>Acmlted*</t>
    <phoneticPr fontId="1"/>
  </si>
  <si>
    <t>Note:*Acmlted= Accumulated</t>
    <phoneticPr fontId="1"/>
  </si>
  <si>
    <t>Tafara</t>
    <phoneticPr fontId="1"/>
  </si>
  <si>
    <t>Caraulun</t>
    <phoneticPr fontId="1"/>
  </si>
  <si>
    <t>4WS</t>
    <phoneticPr fontId="1"/>
  </si>
  <si>
    <t>Number of beneficiary households</t>
    <phoneticPr fontId="53"/>
  </si>
  <si>
    <t>2. Southern (Tafara and Caraulum WSs)</t>
    <phoneticPr fontId="1"/>
  </si>
  <si>
    <t>Value from land with Climate-resilient agriculture</t>
  </si>
  <si>
    <t xml:space="preserve">Plan Vivo </t>
    <phoneticPr fontId="59"/>
  </si>
  <si>
    <t>Age
 (Years)</t>
    <phoneticPr fontId="1"/>
  </si>
  <si>
    <t>Net Benefit 
(tCO2/ha)</t>
    <phoneticPr fontId="1"/>
  </si>
  <si>
    <t>Annual Benefit 
(tCO2/ha/year)</t>
    <phoneticPr fontId="1"/>
  </si>
  <si>
    <t>Benefits from Carbon offset project  (tCO2)</t>
    <phoneticPr fontId="53"/>
  </si>
  <si>
    <t>Total Village</t>
    <phoneticPr fontId="1"/>
  </si>
  <si>
    <t>Number of villages</t>
    <phoneticPr fontId="1"/>
  </si>
  <si>
    <t>Planting area</t>
    <phoneticPr fontId="1"/>
  </si>
  <si>
    <t>Source: State of the Voluntary Carbon Markets 2017</t>
    <phoneticPr fontId="59"/>
  </si>
  <si>
    <t>Plan Vivo</t>
    <phoneticPr fontId="1"/>
  </si>
  <si>
    <t xml:space="preserve"> village</t>
    <phoneticPr fontId="1"/>
  </si>
  <si>
    <t>village</t>
    <phoneticPr fontId="1"/>
  </si>
  <si>
    <t xml:space="preserve">Source: </t>
    <phoneticPr fontId="59"/>
  </si>
  <si>
    <t>Halo Verde PDD (2020)</t>
    <phoneticPr fontId="59"/>
  </si>
  <si>
    <t>Benefits from Carbon offset project  (USD)</t>
    <phoneticPr fontId="53"/>
  </si>
  <si>
    <t>CO2 absorption by afforestation</t>
    <phoneticPr fontId="1"/>
  </si>
  <si>
    <t>NPV (D.R.=11.87%)</t>
    <phoneticPr fontId="1"/>
  </si>
  <si>
    <t>Case5</t>
    <phoneticPr fontId="1"/>
  </si>
  <si>
    <t>Cost +10% &amp; Benefit-10%</t>
    <phoneticPr fontId="1"/>
  </si>
  <si>
    <t>Case6</t>
    <phoneticPr fontId="1"/>
  </si>
  <si>
    <t>Cost +10% &amp; Benefit-20%</t>
    <phoneticPr fontId="1"/>
  </si>
  <si>
    <t>Case7</t>
    <phoneticPr fontId="1"/>
  </si>
  <si>
    <t>Cost +20% &amp; Benefit-10%</t>
    <phoneticPr fontId="1"/>
  </si>
  <si>
    <t>Case8</t>
    <phoneticPr fontId="1"/>
  </si>
  <si>
    <t>Cost +20% &amp; Benefit-20%</t>
    <phoneticPr fontId="1"/>
  </si>
  <si>
    <t>Case 3: Benefit 10% Down</t>
    <phoneticPr fontId="1"/>
  </si>
  <si>
    <t>Case 4: Benefit 20% Down</t>
    <phoneticPr fontId="1"/>
  </si>
  <si>
    <t>CO2 absorption by afforestation</t>
    <phoneticPr fontId="1"/>
  </si>
  <si>
    <t>Case 5: Cost +10% &amp; Benefit-10%</t>
    <phoneticPr fontId="1"/>
  </si>
  <si>
    <t>Case 6: Cost +10% &amp; Benefit-20%</t>
    <phoneticPr fontId="1"/>
  </si>
  <si>
    <t>Case 7: Cost +20% &amp; Benefit-10%</t>
    <phoneticPr fontId="1"/>
  </si>
  <si>
    <t>Case 8: Cost +20% &amp; Benefit-20%</t>
    <phoneticPr fontId="1"/>
  </si>
  <si>
    <t>2nd year (50%)*</t>
    <phoneticPr fontId="1"/>
  </si>
  <si>
    <t>Note: * Baseline value (300kg)+ Incremental effects (1200kg) x 50%  ** Baseline value (300kg) +Incremental effects (1200kg) x 100%</t>
    <phoneticPr fontId="1"/>
  </si>
  <si>
    <t>Note:* Baseline value (1000kg)+ Incremental effects (1400kg) x 50%  ** Baseline value (1000kg) +Incremental effects (1400kg) x 100%</t>
    <phoneticPr fontId="1"/>
  </si>
  <si>
    <t>Reduction of CO2 emission &amp; CO2 absorption by afforestation</t>
    <phoneticPr fontId="1"/>
  </si>
  <si>
    <t>2.1/2.2</t>
    <phoneticPr fontId="1"/>
  </si>
  <si>
    <t>Project Management</t>
    <phoneticPr fontId="1"/>
  </si>
  <si>
    <t>Impact Assessment</t>
    <phoneticPr fontId="59"/>
  </si>
  <si>
    <t>Contingency</t>
    <phoneticPr fontId="1"/>
  </si>
  <si>
    <t>Project Management</t>
  </si>
  <si>
    <t>10 villages</t>
  </si>
  <si>
    <t>Carillon</t>
  </si>
  <si>
    <t>EIRR of the project in Carillon</t>
  </si>
  <si>
    <t>Sensitivity Analysis</t>
  </si>
  <si>
    <t>Project area (ha)</t>
  </si>
  <si>
    <t>Average village area</t>
  </si>
  <si>
    <t>Forest transition in Laclo Watershed</t>
  </si>
  <si>
    <t>Forest area with project condition</t>
  </si>
  <si>
    <t>Forest transition in Comoro Watershed</t>
  </si>
  <si>
    <t>Forest transition in Tafara Watershed</t>
  </si>
  <si>
    <t>Forest transition in Caraulun Watershed</t>
  </si>
  <si>
    <t>Actitivies
1-1.1, 1.2.1 and 1.2.2</t>
    <phoneticPr fontId="1"/>
  </si>
  <si>
    <t>Activity
 2.1.1</t>
    <phoneticPr fontId="1"/>
  </si>
  <si>
    <t>Activity</t>
    <phoneticPr fontId="1"/>
  </si>
  <si>
    <t>1.1.1</t>
    <phoneticPr fontId="1"/>
  </si>
  <si>
    <t>1.2.1</t>
    <phoneticPr fontId="1"/>
  </si>
  <si>
    <t>1.2.2</t>
    <phoneticPr fontId="1"/>
  </si>
  <si>
    <t>2.1.1</t>
    <phoneticPr fontId="1"/>
  </si>
  <si>
    <t>2.2.1</t>
    <phoneticPr fontId="1"/>
  </si>
  <si>
    <t>2.3.1</t>
    <phoneticPr fontId="1"/>
  </si>
  <si>
    <t>2.4.1</t>
    <phoneticPr fontId="1"/>
  </si>
  <si>
    <t>3.1.1</t>
    <phoneticPr fontId="1"/>
  </si>
  <si>
    <t>3.2.1</t>
    <phoneticPr fontId="1"/>
  </si>
  <si>
    <t>3.3.1</t>
    <phoneticPr fontId="1"/>
  </si>
  <si>
    <t>3.4.1</t>
    <phoneticPr fontId="1"/>
  </si>
  <si>
    <t>4.1.1</t>
    <phoneticPr fontId="1"/>
  </si>
  <si>
    <t>4.1.2</t>
    <phoneticPr fontId="1"/>
  </si>
  <si>
    <t>4.2.1</t>
    <phoneticPr fontId="1"/>
  </si>
  <si>
    <t>Activity 1.1.1</t>
    <phoneticPr fontId="1"/>
  </si>
  <si>
    <t>Activity 1.2.1</t>
    <phoneticPr fontId="1"/>
  </si>
  <si>
    <t>Activity 1.2.2</t>
    <phoneticPr fontId="1"/>
  </si>
  <si>
    <t>Activity 2.1.1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</si>
</sst>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 * #,##0.00_ ;_ * \-#,##0.00_ ;_ * &quot;-&quot;??_ ;_ @_ "/>
    <numFmt numFmtId="176" formatCode="0.0%"/>
    <numFmt numFmtId="177" formatCode="_(* #,##0_);_(* \(#,##0\);_(* &quot;-&quot;_);_(@_)"/>
    <numFmt numFmtId="178" formatCode="0.000"/>
    <numFmt numFmtId="179" formatCode="_(* #,##0.000_);_(* \(#,##0.000\);_(* &quot;-&quot;???_);_(@_)"/>
    <numFmt numFmtId="180" formatCode="0.00_ "/>
    <numFmt numFmtId="181" formatCode="#,##0_ "/>
    <numFmt numFmtId="182" formatCode="0_ "/>
    <numFmt numFmtId="183" formatCode="#,##0_);[Red]\(#,##0\)"/>
    <numFmt numFmtId="184" formatCode="_(* #,##0.00_);_(* \(#,##0.00\);_(* &quot;-&quot;??_);_(@_)"/>
    <numFmt numFmtId="185" formatCode="#,##0.0_);[Red]\(#,##0.0\)"/>
    <numFmt numFmtId="186" formatCode="0_);[Red]\(0\)"/>
    <numFmt numFmtId="187" formatCode="_(&quot;$&quot;* #,##0.00_);_(&quot;$&quot;* \(#,##0.00\);_(&quot;$&quot;* &quot;-&quot;??_);_(@_)"/>
    <numFmt numFmtId="188" formatCode="_-* #,##0.00_-;\-* #,##0.00_-;_-* &quot;-&quot;??_-;_-@_-"/>
    <numFmt numFmtId="189" formatCode="#,##0.0;[Red]\-#,##0.0"/>
    <numFmt numFmtId="190" formatCode="0.0"/>
    <numFmt numFmtId="191" formatCode="0.0_ "/>
    <numFmt numFmtId="192" formatCode="#,##0.0_ "/>
  </numFmts>
  <fonts count="8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 Narrow"/>
      <family val="2"/>
    </font>
    <font>
      <sz val="10"/>
      <name val="Arial"/>
      <family val="2"/>
    </font>
    <font>
      <sz val="13"/>
      <color indexed="8"/>
      <name val="Times New Roman"/>
      <family val="1"/>
    </font>
    <font>
      <sz val="11"/>
      <color indexed="8"/>
      <name val="Cambria"/>
      <family val="1"/>
      <charset val="238"/>
    </font>
    <font>
      <sz val="13"/>
      <color indexed="9"/>
      <name val="Times New Roman"/>
      <family val="1"/>
    </font>
    <font>
      <sz val="11"/>
      <color indexed="9"/>
      <name val="Cambria"/>
      <family val="1"/>
      <charset val="238"/>
    </font>
    <font>
      <sz val="13"/>
      <color indexed="20"/>
      <name val="Times New Roman"/>
      <family val="1"/>
    </font>
    <font>
      <b/>
      <sz val="13"/>
      <color indexed="52"/>
      <name val="Times New Roman"/>
      <family val="1"/>
    </font>
    <font>
      <b/>
      <sz val="13"/>
      <color indexed="9"/>
      <name val="Times New Roman"/>
      <family val="1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VNI-Times"/>
      <family val="2"/>
    </font>
    <font>
      <sz val="11"/>
      <color indexed="62"/>
      <name val="Cambria"/>
      <family val="1"/>
      <charset val="238"/>
    </font>
    <font>
      <b/>
      <sz val="11"/>
      <color indexed="63"/>
      <name val="Cambria"/>
      <family val="1"/>
      <charset val="238"/>
    </font>
    <font>
      <sz val="11"/>
      <color indexed="17"/>
      <name val="Cambria"/>
      <family val="1"/>
      <charset val="238"/>
    </font>
    <font>
      <i/>
      <sz val="13"/>
      <color indexed="23"/>
      <name val="Times New Roman"/>
      <family val="1"/>
    </font>
    <font>
      <sz val="13"/>
      <color indexed="17"/>
      <name val="Times New Roman"/>
      <family val="1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56"/>
      <name val="Times New Roman"/>
      <family val="1"/>
    </font>
    <font>
      <sz val="13"/>
      <color indexed="62"/>
      <name val="Times New Roman"/>
      <family val="1"/>
    </font>
    <font>
      <sz val="11"/>
      <color indexed="53"/>
      <name val="Cambria"/>
      <family val="1"/>
      <charset val="238"/>
    </font>
    <font>
      <b/>
      <sz val="11"/>
      <color indexed="9"/>
      <name val="Cambria"/>
      <family val="1"/>
      <charset val="238"/>
    </font>
    <font>
      <sz val="13"/>
      <color indexed="52"/>
      <name val="Times New Roman"/>
      <family val="1"/>
    </font>
    <font>
      <b/>
      <sz val="15"/>
      <color indexed="40"/>
      <name val="Cambria"/>
      <family val="1"/>
      <charset val="238"/>
    </font>
    <font>
      <b/>
      <sz val="13"/>
      <color indexed="40"/>
      <name val="Cambria"/>
      <family val="1"/>
      <charset val="238"/>
    </font>
    <font>
      <b/>
      <sz val="11"/>
      <color indexed="40"/>
      <name val="Cambria"/>
      <family val="1"/>
      <charset val="238"/>
    </font>
    <font>
      <sz val="13"/>
      <color indexed="60"/>
      <name val="Times New Roman"/>
      <family val="1"/>
    </font>
    <font>
      <sz val="11"/>
      <color indexed="60"/>
      <name val="Cambria"/>
      <family val="1"/>
      <charset val="238"/>
    </font>
    <font>
      <sz val="11"/>
      <name val="VNI-Times"/>
      <family val="2"/>
    </font>
    <font>
      <b/>
      <sz val="11"/>
      <color indexed="53"/>
      <name val="Cambria"/>
      <family val="1"/>
      <charset val="238"/>
    </font>
    <font>
      <b/>
      <sz val="13"/>
      <color indexed="63"/>
      <name val="Times New Roman"/>
      <family val="1"/>
    </font>
    <font>
      <b/>
      <sz val="11"/>
      <color indexed="8"/>
      <name val="Cambria"/>
      <family val="1"/>
      <charset val="238"/>
    </font>
    <font>
      <i/>
      <sz val="11"/>
      <color indexed="23"/>
      <name val="Cambria"/>
      <family val="1"/>
      <charset val="238"/>
    </font>
    <font>
      <sz val="11"/>
      <color indexed="10"/>
      <name val="Cambria"/>
      <family val="1"/>
      <charset val="238"/>
    </font>
    <font>
      <b/>
      <sz val="18"/>
      <color indexed="56"/>
      <name val="Cambria"/>
      <family val="1"/>
    </font>
    <font>
      <b/>
      <sz val="18"/>
      <color indexed="40"/>
      <name val="Cambria"/>
      <family val="1"/>
      <charset val="238"/>
    </font>
    <font>
      <sz val="10"/>
      <name val="Arial"/>
      <family val="2"/>
      <charset val="238"/>
    </font>
    <font>
      <sz val="13"/>
      <color indexed="10"/>
      <name val="Times New Roman"/>
      <family val="1"/>
    </font>
    <font>
      <sz val="11"/>
      <color indexed="20"/>
      <name val="Cambria"/>
      <family val="1"/>
      <charset val="238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6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sz val="12"/>
      <color rgb="FF006100"/>
      <name val="ＭＳ Ｐゴシック"/>
      <family val="2"/>
      <charset val="128"/>
      <scheme val="minor"/>
    </font>
    <font>
      <sz val="10"/>
      <color theme="1"/>
      <name val="Century Gothic"/>
      <family val="2"/>
      <charset val="128"/>
    </font>
    <font>
      <sz val="6"/>
      <name val="Century Gothic"/>
      <family val="2"/>
      <charset val="128"/>
    </font>
    <font>
      <sz val="10"/>
      <color rgb="FFFF0000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rgb="FFFF0000"/>
      <name val="ＭＳ Ｐゴシック"/>
      <family val="3"/>
      <charset val="128"/>
    </font>
    <font>
      <sz val="10"/>
      <name val="Century Gothic"/>
      <family val="2"/>
    </font>
    <font>
      <sz val="10"/>
      <color theme="1"/>
      <name val="Century Gothic"/>
      <family val="2"/>
    </font>
    <font>
      <sz val="6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vertAlign val="subscript"/>
      <sz val="10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0"/>
      <name val="Century Gothic"/>
      <family val="2"/>
      <charset val="128"/>
    </font>
    <font>
      <sz val="10"/>
      <color rgb="FFFF0000"/>
      <name val="Century Gothic"/>
      <family val="2"/>
      <charset val="128"/>
    </font>
    <font>
      <sz val="11"/>
      <color theme="1"/>
      <name val="ＭＳ Ｐゴシック"/>
      <family val="2"/>
      <scheme val="minor"/>
    </font>
    <font>
      <vertAlign val="subscript"/>
      <sz val="11"/>
      <color theme="1"/>
      <name val="Times New Roman"/>
      <family val="1"/>
    </font>
    <font>
      <sz val="11"/>
      <color indexed="8"/>
      <name val="ＭＳ Ｐゴシック"/>
      <family val="3"/>
      <charset val="128"/>
    </font>
    <font>
      <sz val="9"/>
      <color theme="1"/>
      <name val="Times New Roman"/>
      <family val="1"/>
    </font>
    <font>
      <sz val="12"/>
      <color theme="1"/>
      <name val="ＭＳ ゴシック"/>
      <family val="3"/>
      <charset val="128"/>
    </font>
    <font>
      <sz val="9"/>
      <color theme="1"/>
      <name val="ＭＳ Ｐ明朝"/>
      <family val="1"/>
      <charset val="128"/>
    </font>
    <font>
      <sz val="12"/>
      <color theme="1"/>
      <name val="ＭＳ Ｐゴシック"/>
      <family val="2"/>
      <scheme val="minor"/>
    </font>
    <font>
      <u/>
      <sz val="14"/>
      <color theme="1"/>
      <name val="Century Gothic"/>
      <family val="2"/>
      <charset val="128"/>
    </font>
    <font>
      <sz val="11"/>
      <color theme="1"/>
      <name val="Century Gothic"/>
      <family val="2"/>
      <charset val="128"/>
    </font>
    <font>
      <sz val="11"/>
      <color theme="1"/>
      <name val="Century Gothic"/>
      <family val="2"/>
    </font>
    <font>
      <sz val="14"/>
      <color theme="1"/>
      <name val="Century Gothic"/>
      <family val="2"/>
      <charset val="128"/>
    </font>
    <font>
      <sz val="12"/>
      <color theme="1"/>
      <name val="Century Gothic"/>
      <family val="2"/>
    </font>
    <font>
      <sz val="9"/>
      <color theme="1"/>
      <name val="Century Gothic"/>
      <family val="2"/>
      <charset val="128"/>
    </font>
    <font>
      <vertAlign val="subscript"/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name val="Times New Roman"/>
      <family val="1"/>
    </font>
    <font>
      <sz val="10"/>
      <color rgb="FFFF0000"/>
      <name val="Century Gothic"/>
      <family val="2"/>
    </font>
    <font>
      <sz val="8"/>
      <color theme="1"/>
      <name val="Century Gothic"/>
      <family val="2"/>
      <charset val="128"/>
    </font>
    <font>
      <sz val="8"/>
      <color theme="1"/>
      <name val="Century Gothic"/>
      <family val="2"/>
    </font>
    <font>
      <sz val="11"/>
      <name val="ＭＳ Ｐゴシック"/>
      <family val="2"/>
      <charset val="128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4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8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3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3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/>
    <xf numFmtId="177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3" borderId="0" applyNumberFormat="0" applyBorder="0" applyAlignment="0" applyProtection="0"/>
    <xf numFmtId="0" fontId="8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8" fillId="7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7" borderId="0" applyNumberFormat="0" applyBorder="0" applyAlignment="0" applyProtection="0"/>
    <xf numFmtId="0" fontId="8" fillId="12" borderId="0" applyNumberFormat="0" applyBorder="0" applyAlignment="0" applyProtection="0"/>
    <xf numFmtId="0" fontId="9" fillId="21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10" fillId="7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7" borderId="0" applyNumberFormat="0" applyBorder="0" applyAlignment="0" applyProtection="0"/>
    <xf numFmtId="0" fontId="10" fillId="1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1" fillId="8" borderId="0" applyNumberFormat="0" applyBorder="0" applyAlignment="0" applyProtection="0"/>
    <xf numFmtId="0" fontId="12" fillId="20" borderId="32" applyNumberFormat="0" applyAlignment="0" applyProtection="0"/>
    <xf numFmtId="0" fontId="13" fillId="31" borderId="33" applyNumberFormat="0" applyAlignment="0" applyProtection="0"/>
    <xf numFmtId="38" fontId="14" fillId="0" borderId="0" applyFont="0" applyFill="0" applyBorder="0" applyAlignment="0" applyProtection="0"/>
    <xf numFmtId="38" fontId="15" fillId="0" borderId="0" applyFont="0" applyFill="0" applyBorder="0" applyAlignment="0" applyProtection="0"/>
    <xf numFmtId="3" fontId="6" fillId="0" borderId="0" applyFont="0" applyFill="0" applyBorder="0" applyAlignment="0" applyProtection="0"/>
    <xf numFmtId="178" fontId="16" fillId="0" borderId="0" applyFont="0" applyFill="0" applyBorder="0" applyAlignment="0" applyProtection="0"/>
    <xf numFmtId="0" fontId="17" fillId="12" borderId="32" applyNumberFormat="0" applyAlignment="0" applyProtection="0"/>
    <xf numFmtId="0" fontId="18" fillId="15" borderId="34" applyNumberFormat="0" applyAlignment="0" applyProtection="0"/>
    <xf numFmtId="0" fontId="6" fillId="0" borderId="0" applyFont="0" applyFill="0" applyBorder="0" applyAlignment="0" applyProtection="0"/>
    <xf numFmtId="0" fontId="19" fillId="9" borderId="0" applyNumberFormat="0" applyBorder="0" applyAlignment="0" applyProtection="0"/>
    <xf numFmtId="38" fontId="15" fillId="0" borderId="0" applyFont="0" applyFill="0" applyBorder="0" applyAlignment="0" applyProtection="0"/>
    <xf numFmtId="0" fontId="20" fillId="0" borderId="0" applyNumberFormat="0" applyFill="0" applyBorder="0" applyAlignment="0" applyProtection="0"/>
    <xf numFmtId="2" fontId="6" fillId="0" borderId="0" applyFont="0" applyFill="0" applyBorder="0" applyAlignment="0" applyProtection="0"/>
    <xf numFmtId="0" fontId="21" fillId="9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35" applyNumberFormat="0" applyFill="0" applyAlignment="0" applyProtection="0"/>
    <xf numFmtId="0" fontId="24" fillId="0" borderId="0" applyNumberFormat="0" applyFill="0" applyBorder="0" applyAlignment="0" applyProtection="0"/>
    <xf numFmtId="0" fontId="25" fillId="12" borderId="32" applyNumberFormat="0" applyAlignment="0" applyProtection="0"/>
    <xf numFmtId="0" fontId="26" fillId="0" borderId="36" applyNumberFormat="0" applyFill="0" applyAlignment="0" applyProtection="0"/>
    <xf numFmtId="0" fontId="27" fillId="31" borderId="33" applyNumberFormat="0" applyAlignment="0" applyProtection="0"/>
    <xf numFmtId="0" fontId="28" fillId="0" borderId="37" applyNumberFormat="0" applyFill="0" applyAlignment="0" applyProtection="0"/>
    <xf numFmtId="0" fontId="29" fillId="0" borderId="38" applyNumberFormat="0" applyFill="0" applyAlignment="0" applyProtection="0"/>
    <xf numFmtId="0" fontId="30" fillId="0" borderId="39" applyNumberFormat="0" applyFill="0" applyAlignment="0" applyProtection="0"/>
    <xf numFmtId="0" fontId="31" fillId="0" borderId="40" applyNumberFormat="0" applyFill="0" applyAlignment="0" applyProtection="0"/>
    <xf numFmtId="0" fontId="31" fillId="0" borderId="0" applyNumberFormat="0" applyFill="0" applyBorder="0" applyAlignment="0" applyProtection="0"/>
    <xf numFmtId="0" fontId="32" fillId="19" borderId="0" applyNumberFormat="0" applyBorder="0" applyAlignment="0" applyProtection="0"/>
    <xf numFmtId="0" fontId="33" fillId="19" borderId="0" applyNumberFormat="0" applyBorder="0" applyAlignment="0" applyProtection="0"/>
    <xf numFmtId="179" fontId="34" fillId="0" borderId="0"/>
    <xf numFmtId="0" fontId="14" fillId="0" borderId="0"/>
    <xf numFmtId="0" fontId="7" fillId="14" borderId="41" applyNumberFormat="0" applyFont="0" applyAlignment="0" applyProtection="0"/>
    <xf numFmtId="0" fontId="35" fillId="15" borderId="32" applyNumberFormat="0" applyAlignment="0" applyProtection="0"/>
    <xf numFmtId="0" fontId="36" fillId="20" borderId="34" applyNumberFormat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 applyNumberFormat="0" applyFill="0" applyBorder="0" applyAlignment="0"/>
    <xf numFmtId="0" fontId="37" fillId="0" borderId="42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" fillId="0" borderId="43" applyNumberFormat="0" applyFont="0" applyFill="0" applyAlignment="0" applyProtection="0"/>
    <xf numFmtId="0" fontId="41" fillId="0" borderId="0" applyNumberFormat="0" applyFill="0" applyBorder="0" applyAlignment="0" applyProtection="0"/>
    <xf numFmtId="0" fontId="42" fillId="14" borderId="41" applyNumberFormat="0" applyFont="0" applyAlignment="0" applyProtection="0"/>
    <xf numFmtId="0" fontId="43" fillId="0" borderId="0" applyNumberFormat="0" applyFill="0" applyBorder="0" applyAlignment="0" applyProtection="0"/>
    <xf numFmtId="0" fontId="44" fillId="8" borderId="0" applyNumberFormat="0" applyBorder="0" applyAlignment="0" applyProtection="0"/>
    <xf numFmtId="0" fontId="51" fillId="32" borderId="0" applyNumberFormat="0" applyBorder="0" applyAlignment="0" applyProtection="0"/>
    <xf numFmtId="0" fontId="52" fillId="0" borderId="0"/>
    <xf numFmtId="9" fontId="52" fillId="0" borderId="0" applyFont="0" applyFill="0" applyBorder="0" applyAlignment="0" applyProtection="0">
      <alignment vertical="center"/>
    </xf>
    <xf numFmtId="0" fontId="66" fillId="0" borderId="0"/>
    <xf numFmtId="184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68" fillId="0" borderId="0"/>
    <xf numFmtId="187" fontId="68" fillId="0" borderId="0" applyFont="0" applyFill="0" applyBorder="0" applyAlignment="0" applyProtection="0"/>
    <xf numFmtId="38" fontId="68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70" fillId="0" borderId="0">
      <alignment vertical="center"/>
    </xf>
    <xf numFmtId="38" fontId="66" fillId="0" borderId="0" applyFont="0" applyFill="0" applyBorder="0" applyAlignment="0" applyProtection="0">
      <alignment vertical="center"/>
    </xf>
    <xf numFmtId="0" fontId="72" fillId="0" borderId="0"/>
    <xf numFmtId="188" fontId="72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38" fontId="66" fillId="0" borderId="0" applyFont="0" applyFill="0" applyBorder="0" applyAlignment="0" applyProtection="0">
      <alignment vertical="center"/>
    </xf>
    <xf numFmtId="38" fontId="66" fillId="0" borderId="0" applyFont="0" applyFill="0" applyBorder="0" applyAlignment="0" applyProtection="0">
      <alignment vertical="center"/>
    </xf>
  </cellStyleXfs>
  <cellXfs count="50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38" fontId="3" fillId="0" borderId="1" xfId="1" applyFont="1" applyBorder="1">
      <alignment vertical="center"/>
    </xf>
    <xf numFmtId="38" fontId="3" fillId="0" borderId="0" xfId="1" applyFont="1">
      <alignment vertical="center"/>
    </xf>
    <xf numFmtId="0" fontId="3" fillId="0" borderId="5" xfId="0" applyFont="1" applyBorder="1">
      <alignment vertical="center"/>
    </xf>
    <xf numFmtId="0" fontId="3" fillId="3" borderId="5" xfId="0" applyFont="1" applyFill="1" applyBorder="1">
      <alignment vertical="center"/>
    </xf>
    <xf numFmtId="0" fontId="3" fillId="5" borderId="5" xfId="0" applyFont="1" applyFill="1" applyBorder="1">
      <alignment vertical="center"/>
    </xf>
    <xf numFmtId="38" fontId="3" fillId="0" borderId="29" xfId="0" applyNumberFormat="1" applyFont="1" applyBorder="1">
      <alignment vertical="center"/>
    </xf>
    <xf numFmtId="38" fontId="3" fillId="0" borderId="27" xfId="1" applyFont="1" applyBorder="1">
      <alignment vertical="center"/>
    </xf>
    <xf numFmtId="0" fontId="3" fillId="0" borderId="29" xfId="0" applyFont="1" applyBorder="1">
      <alignment vertical="center"/>
    </xf>
    <xf numFmtId="0" fontId="3" fillId="3" borderId="29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27" xfId="0" applyFont="1" applyBorder="1">
      <alignment vertical="center"/>
    </xf>
    <xf numFmtId="0" fontId="3" fillId="0" borderId="5" xfId="0" quotePrefix="1" applyFont="1" applyBorder="1">
      <alignment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5" borderId="29" xfId="0" applyNumberFormat="1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3" fillId="0" borderId="5" xfId="0" applyFont="1" applyFill="1" applyBorder="1">
      <alignment vertical="center"/>
    </xf>
    <xf numFmtId="38" fontId="3" fillId="0" borderId="7" xfId="1" applyFont="1" applyBorder="1" applyAlignment="1">
      <alignment vertical="center" shrinkToFit="1"/>
    </xf>
    <xf numFmtId="38" fontId="3" fillId="0" borderId="1" xfId="1" applyFont="1" applyBorder="1" applyAlignment="1">
      <alignment vertical="center" shrinkToFit="1"/>
    </xf>
    <xf numFmtId="38" fontId="3" fillId="0" borderId="1" xfId="1" applyFont="1" applyFill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38" fontId="3" fillId="0" borderId="7" xfId="0" applyNumberFormat="1" applyFont="1" applyFill="1" applyBorder="1" applyAlignment="1">
      <alignment vertical="center" shrinkToFit="1"/>
    </xf>
    <xf numFmtId="38" fontId="3" fillId="0" borderId="7" xfId="0" applyNumberFormat="1" applyFont="1" applyBorder="1" applyAlignment="1">
      <alignment vertical="center" shrinkToFit="1"/>
    </xf>
    <xf numFmtId="40" fontId="4" fillId="5" borderId="27" xfId="1" applyNumberFormat="1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right" vertical="center"/>
    </xf>
    <xf numFmtId="40" fontId="4" fillId="5" borderId="1" xfId="1" applyNumberFormat="1" applyFont="1" applyFill="1" applyBorder="1" applyAlignment="1">
      <alignment horizontal="center" vertical="center"/>
    </xf>
    <xf numFmtId="38" fontId="4" fillId="5" borderId="27" xfId="1" applyFont="1" applyFill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38" fontId="3" fillId="0" borderId="0" xfId="1" applyFont="1" applyBorder="1" applyAlignment="1">
      <alignment vertical="center" shrinkToFit="1"/>
    </xf>
    <xf numFmtId="20" fontId="3" fillId="0" borderId="0" xfId="0" applyNumberFormat="1" applyFont="1">
      <alignment vertical="center"/>
    </xf>
    <xf numFmtId="20" fontId="47" fillId="0" borderId="0" xfId="0" applyNumberFormat="1" applyFont="1">
      <alignment vertical="center"/>
    </xf>
    <xf numFmtId="20" fontId="3" fillId="0" borderId="1" xfId="0" applyNumberFormat="1" applyFont="1" applyBorder="1">
      <alignment vertical="center"/>
    </xf>
    <xf numFmtId="20" fontId="4" fillId="0" borderId="0" xfId="0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vertical="center" wrapText="1"/>
    </xf>
    <xf numFmtId="0" fontId="46" fillId="0" borderId="0" xfId="0" applyFont="1">
      <alignment vertical="center"/>
    </xf>
    <xf numFmtId="38" fontId="46" fillId="0" borderId="0" xfId="0" applyNumberFormat="1" applyFont="1">
      <alignment vertical="center"/>
    </xf>
    <xf numFmtId="38" fontId="46" fillId="0" borderId="3" xfId="0" applyNumberFormat="1" applyFont="1" applyBorder="1">
      <alignment vertical="center"/>
    </xf>
    <xf numFmtId="38" fontId="46" fillId="0" borderId="46" xfId="0" applyNumberFormat="1" applyFont="1" applyBorder="1">
      <alignment vertical="center"/>
    </xf>
    <xf numFmtId="38" fontId="46" fillId="0" borderId="48" xfId="0" applyNumberFormat="1" applyFont="1" applyBorder="1">
      <alignment vertical="center"/>
    </xf>
    <xf numFmtId="0" fontId="48" fillId="0" borderId="1" xfId="0" applyFont="1" applyBorder="1" applyAlignment="1">
      <alignment horizontal="left" vertical="center"/>
    </xf>
    <xf numFmtId="176" fontId="48" fillId="0" borderId="1" xfId="0" applyNumberFormat="1" applyFont="1" applyBorder="1">
      <alignment vertical="center"/>
    </xf>
    <xf numFmtId="0" fontId="48" fillId="0" borderId="51" xfId="0" applyFont="1" applyBorder="1" applyAlignment="1">
      <alignment horizontal="center" vertical="center"/>
    </xf>
    <xf numFmtId="0" fontId="48" fillId="0" borderId="52" xfId="0" applyFont="1" applyBorder="1" applyAlignment="1">
      <alignment horizontal="center" vertical="center"/>
    </xf>
    <xf numFmtId="38" fontId="46" fillId="0" borderId="54" xfId="0" applyNumberFormat="1" applyFont="1" applyBorder="1">
      <alignment vertical="center"/>
    </xf>
    <xf numFmtId="38" fontId="46" fillId="0" borderId="56" xfId="0" applyNumberFormat="1" applyFont="1" applyBorder="1">
      <alignment vertical="center"/>
    </xf>
    <xf numFmtId="0" fontId="48" fillId="0" borderId="57" xfId="0" applyFont="1" applyBorder="1" applyAlignment="1">
      <alignment horizontal="center" vertical="center"/>
    </xf>
    <xf numFmtId="0" fontId="48" fillId="0" borderId="58" xfId="0" applyFont="1" applyBorder="1" applyAlignment="1">
      <alignment horizontal="center" vertical="center"/>
    </xf>
    <xf numFmtId="0" fontId="46" fillId="0" borderId="59" xfId="0" applyFont="1" applyBorder="1" applyAlignment="1">
      <alignment horizontal="center" vertical="center"/>
    </xf>
    <xf numFmtId="0" fontId="46" fillId="0" borderId="60" xfId="0" applyFont="1" applyBorder="1" applyAlignment="1">
      <alignment horizontal="center" vertical="center"/>
    </xf>
    <xf numFmtId="0" fontId="48" fillId="0" borderId="62" xfId="0" applyFont="1" applyBorder="1" applyAlignment="1">
      <alignment horizontal="center" vertical="center"/>
    </xf>
    <xf numFmtId="38" fontId="46" fillId="0" borderId="53" xfId="0" applyNumberFormat="1" applyFont="1" applyBorder="1">
      <alignment vertical="center"/>
    </xf>
    <xf numFmtId="38" fontId="46" fillId="0" borderId="55" xfId="0" applyNumberFormat="1" applyFont="1" applyBorder="1">
      <alignment vertical="center"/>
    </xf>
    <xf numFmtId="0" fontId="48" fillId="0" borderId="4" xfId="0" applyFont="1" applyBorder="1" applyAlignment="1">
      <alignment horizontal="left" vertical="center"/>
    </xf>
    <xf numFmtId="2" fontId="48" fillId="0" borderId="4" xfId="0" applyNumberFormat="1" applyFont="1" applyBorder="1">
      <alignment vertical="center"/>
    </xf>
    <xf numFmtId="38" fontId="46" fillId="0" borderId="63" xfId="1" applyFont="1" applyBorder="1">
      <alignment vertical="center"/>
    </xf>
    <xf numFmtId="38" fontId="46" fillId="0" borderId="64" xfId="0" applyNumberFormat="1" applyFont="1" applyBorder="1">
      <alignment vertical="center"/>
    </xf>
    <xf numFmtId="38" fontId="46" fillId="0" borderId="53" xfId="1" applyFont="1" applyBorder="1">
      <alignment vertical="center"/>
    </xf>
    <xf numFmtId="38" fontId="46" fillId="0" borderId="55" xfId="1" applyFont="1" applyBorder="1">
      <alignment vertical="center"/>
    </xf>
    <xf numFmtId="0" fontId="48" fillId="0" borderId="65" xfId="0" applyFont="1" applyBorder="1" applyAlignment="1">
      <alignment horizontal="center" vertical="center"/>
    </xf>
    <xf numFmtId="20" fontId="49" fillId="0" borderId="0" xfId="0" applyNumberFormat="1" applyFont="1">
      <alignment vertical="center"/>
    </xf>
    <xf numFmtId="38" fontId="3" fillId="0" borderId="29" xfId="1" applyFont="1" applyFill="1" applyBorder="1">
      <alignment vertical="center"/>
    </xf>
    <xf numFmtId="38" fontId="46" fillId="0" borderId="7" xfId="1" applyFont="1" applyBorder="1" applyAlignment="1">
      <alignment vertical="center" shrinkToFit="1"/>
    </xf>
    <xf numFmtId="38" fontId="48" fillId="0" borderId="67" xfId="1" applyFont="1" applyFill="1" applyBorder="1">
      <alignment vertical="center"/>
    </xf>
    <xf numFmtId="38" fontId="48" fillId="0" borderId="66" xfId="1" applyFont="1" applyFill="1" applyBorder="1">
      <alignment vertical="center"/>
    </xf>
    <xf numFmtId="38" fontId="48" fillId="0" borderId="68" xfId="1" applyFont="1" applyFill="1" applyBorder="1">
      <alignment vertical="center"/>
    </xf>
    <xf numFmtId="0" fontId="3" fillId="0" borderId="69" xfId="0" applyFont="1" applyBorder="1">
      <alignment vertical="center"/>
    </xf>
    <xf numFmtId="0" fontId="3" fillId="0" borderId="70" xfId="0" applyFont="1" applyBorder="1">
      <alignment vertical="center"/>
    </xf>
    <xf numFmtId="0" fontId="3" fillId="0" borderId="75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1" xfId="0" applyFont="1" applyBorder="1">
      <alignment vertical="center"/>
    </xf>
    <xf numFmtId="38" fontId="50" fillId="0" borderId="28" xfId="0" applyNumberFormat="1" applyFont="1" applyBorder="1">
      <alignment vertical="center"/>
    </xf>
    <xf numFmtId="0" fontId="3" fillId="4" borderId="67" xfId="0" applyFont="1" applyFill="1" applyBorder="1">
      <alignment vertical="center"/>
    </xf>
    <xf numFmtId="0" fontId="3" fillId="4" borderId="77" xfId="0" applyFont="1" applyFill="1" applyBorder="1">
      <alignment vertical="center"/>
    </xf>
    <xf numFmtId="0" fontId="3" fillId="4" borderId="78" xfId="0" applyFont="1" applyFill="1" applyBorder="1">
      <alignment vertical="center"/>
    </xf>
    <xf numFmtId="0" fontId="4" fillId="0" borderId="71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 wrapText="1"/>
    </xf>
    <xf numFmtId="0" fontId="3" fillId="2" borderId="67" xfId="0" applyFont="1" applyFill="1" applyBorder="1">
      <alignment vertical="center"/>
    </xf>
    <xf numFmtId="0" fontId="3" fillId="2" borderId="77" xfId="0" applyFont="1" applyFill="1" applyBorder="1">
      <alignment vertical="center"/>
    </xf>
    <xf numFmtId="0" fontId="3" fillId="2" borderId="78" xfId="0" applyFont="1" applyFill="1" applyBorder="1">
      <alignment vertical="center"/>
    </xf>
    <xf numFmtId="0" fontId="3" fillId="5" borderId="70" xfId="0" applyFont="1" applyFill="1" applyBorder="1">
      <alignment vertical="center"/>
    </xf>
    <xf numFmtId="176" fontId="4" fillId="5" borderId="75" xfId="0" applyNumberFormat="1" applyFont="1" applyFill="1" applyBorder="1">
      <alignment vertical="center"/>
    </xf>
    <xf numFmtId="0" fontId="50" fillId="0" borderId="75" xfId="0" applyFont="1" applyBorder="1">
      <alignment vertical="center"/>
    </xf>
    <xf numFmtId="0" fontId="50" fillId="4" borderId="78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52" fillId="0" borderId="0" xfId="106"/>
    <xf numFmtId="0" fontId="52" fillId="33" borderId="69" xfId="106" applyFill="1" applyBorder="1" applyAlignment="1">
      <alignment horizontal="center"/>
    </xf>
    <xf numFmtId="0" fontId="52" fillId="0" borderId="0" xfId="106" applyAlignment="1">
      <alignment vertical="center"/>
    </xf>
    <xf numFmtId="0" fontId="52" fillId="5" borderId="0" xfId="106" applyFill="1"/>
    <xf numFmtId="0" fontId="52" fillId="33" borderId="4" xfId="106" applyFill="1" applyBorder="1" applyAlignment="1">
      <alignment horizontal="center"/>
    </xf>
    <xf numFmtId="0" fontId="52" fillId="33" borderId="1" xfId="106" applyFill="1" applyBorder="1" applyAlignment="1">
      <alignment horizontal="center"/>
    </xf>
    <xf numFmtId="0" fontId="52" fillId="33" borderId="7" xfId="106" applyFill="1" applyBorder="1" applyAlignment="1">
      <alignment horizontal="center"/>
    </xf>
    <xf numFmtId="0" fontId="52" fillId="0" borderId="1" xfId="106" applyBorder="1"/>
    <xf numFmtId="181" fontId="52" fillId="0" borderId="1" xfId="106" applyNumberFormat="1" applyBorder="1"/>
    <xf numFmtId="182" fontId="52" fillId="0" borderId="1" xfId="106" applyNumberFormat="1" applyBorder="1"/>
    <xf numFmtId="181" fontId="52" fillId="5" borderId="0" xfId="106" applyNumberFormat="1" applyFill="1"/>
    <xf numFmtId="9" fontId="52" fillId="0" borderId="0" xfId="106" applyNumberFormat="1"/>
    <xf numFmtId="0" fontId="52" fillId="0" borderId="24" xfId="106" applyBorder="1"/>
    <xf numFmtId="0" fontId="52" fillId="0" borderId="1" xfId="106" applyBorder="1" applyAlignment="1">
      <alignment horizontal="right"/>
    </xf>
    <xf numFmtId="0" fontId="52" fillId="0" borderId="0" xfId="106" applyAlignment="1">
      <alignment horizontal="right"/>
    </xf>
    <xf numFmtId="181" fontId="52" fillId="0" borderId="0" xfId="106" applyNumberFormat="1"/>
    <xf numFmtId="182" fontId="52" fillId="0" borderId="0" xfId="106" applyNumberFormat="1"/>
    <xf numFmtId="181" fontId="52" fillId="0" borderId="7" xfId="106" applyNumberFormat="1" applyBorder="1"/>
    <xf numFmtId="0" fontId="52" fillId="33" borderId="7" xfId="106" applyFill="1" applyBorder="1"/>
    <xf numFmtId="0" fontId="55" fillId="0" borderId="0" xfId="106" applyFont="1"/>
    <xf numFmtId="0" fontId="52" fillId="0" borderId="0" xfId="106" applyAlignment="1">
      <alignment horizontal="center"/>
    </xf>
    <xf numFmtId="0" fontId="52" fillId="0" borderId="5" xfId="106" applyBorder="1" applyAlignment="1">
      <alignment horizontal="center"/>
    </xf>
    <xf numFmtId="181" fontId="52" fillId="5" borderId="1" xfId="106" applyNumberFormat="1" applyFill="1" applyBorder="1"/>
    <xf numFmtId="0" fontId="52" fillId="0" borderId="87" xfId="106" applyBorder="1"/>
    <xf numFmtId="0" fontId="52" fillId="0" borderId="88" xfId="106" applyBorder="1"/>
    <xf numFmtId="0" fontId="52" fillId="0" borderId="89" xfId="106" applyBorder="1"/>
    <xf numFmtId="0" fontId="46" fillId="0" borderId="0" xfId="106" applyFont="1" applyAlignment="1">
      <alignment horizontal="center" vertical="distributed"/>
    </xf>
    <xf numFmtId="10" fontId="52" fillId="0" borderId="0" xfId="106" applyNumberFormat="1"/>
    <xf numFmtId="0" fontId="60" fillId="35" borderId="1" xfId="106" applyFont="1" applyFill="1" applyBorder="1" applyAlignment="1">
      <alignment horizontal="center" vertical="center"/>
    </xf>
    <xf numFmtId="10" fontId="60" fillId="35" borderId="1" xfId="107" applyNumberFormat="1" applyFont="1" applyFill="1" applyBorder="1" applyAlignment="1">
      <alignment horizontal="center" vertical="center"/>
    </xf>
    <xf numFmtId="0" fontId="52" fillId="5" borderId="1" xfId="106" applyFill="1" applyBorder="1"/>
    <xf numFmtId="0" fontId="3" fillId="33" borderId="1" xfId="106" applyFont="1" applyFill="1" applyBorder="1" applyAlignment="1">
      <alignment horizontal="center" vertical="center"/>
    </xf>
    <xf numFmtId="183" fontId="52" fillId="0" borderId="85" xfId="106" applyNumberFormat="1" applyBorder="1"/>
    <xf numFmtId="183" fontId="52" fillId="0" borderId="1" xfId="106" applyNumberFormat="1" applyBorder="1"/>
    <xf numFmtId="183" fontId="64" fillId="0" borderId="1" xfId="106" applyNumberFormat="1" applyFont="1" applyBorder="1"/>
    <xf numFmtId="183" fontId="52" fillId="0" borderId="5" xfId="106" applyNumberFormat="1" applyBorder="1"/>
    <xf numFmtId="183" fontId="52" fillId="0" borderId="4" xfId="106" applyNumberFormat="1" applyBorder="1"/>
    <xf numFmtId="0" fontId="65" fillId="0" borderId="0" xfId="106" applyFont="1"/>
    <xf numFmtId="183" fontId="52" fillId="0" borderId="86" xfId="106" applyNumberFormat="1" applyBorder="1"/>
    <xf numFmtId="183" fontId="52" fillId="0" borderId="7" xfId="106" applyNumberFormat="1" applyBorder="1"/>
    <xf numFmtId="183" fontId="52" fillId="0" borderId="23" xfId="106" applyNumberFormat="1" applyBorder="1"/>
    <xf numFmtId="0" fontId="52" fillId="0" borderId="90" xfId="106" applyBorder="1"/>
    <xf numFmtId="0" fontId="52" fillId="0" borderId="91" xfId="106" applyBorder="1"/>
    <xf numFmtId="0" fontId="52" fillId="0" borderId="92" xfId="106" applyBorder="1"/>
    <xf numFmtId="0" fontId="52" fillId="0" borderId="93" xfId="106" applyBorder="1"/>
    <xf numFmtId="0" fontId="52" fillId="0" borderId="94" xfId="106" applyBorder="1"/>
    <xf numFmtId="183" fontId="52" fillId="0" borderId="0" xfId="106" applyNumberFormat="1"/>
    <xf numFmtId="38" fontId="46" fillId="2" borderId="67" xfId="1" applyFont="1" applyFill="1" applyBorder="1">
      <alignment vertical="center"/>
    </xf>
    <xf numFmtId="38" fontId="46" fillId="2" borderId="77" xfId="1" applyFont="1" applyFill="1" applyBorder="1">
      <alignment vertical="center"/>
    </xf>
    <xf numFmtId="38" fontId="46" fillId="2" borderId="83" xfId="1" applyFont="1" applyFill="1" applyBorder="1" applyAlignment="1">
      <alignment vertical="center" shrinkToFit="1"/>
    </xf>
    <xf numFmtId="38" fontId="46" fillId="2" borderId="67" xfId="1" applyFont="1" applyFill="1" applyBorder="1" applyAlignment="1">
      <alignment vertical="center" shrinkToFit="1"/>
    </xf>
    <xf numFmtId="38" fontId="46" fillId="0" borderId="4" xfId="1" applyFont="1" applyBorder="1">
      <alignment vertical="center"/>
    </xf>
    <xf numFmtId="38" fontId="46" fillId="0" borderId="11" xfId="1" applyFont="1" applyBorder="1">
      <alignment vertical="center"/>
    </xf>
    <xf numFmtId="38" fontId="46" fillId="0" borderId="4" xfId="1" applyFont="1" applyFill="1" applyBorder="1" applyAlignment="1">
      <alignment vertical="center" shrinkToFit="1"/>
    </xf>
    <xf numFmtId="38" fontId="46" fillId="0" borderId="4" xfId="1" applyFont="1" applyBorder="1" applyAlignment="1">
      <alignment vertical="center" shrinkToFit="1"/>
    </xf>
    <xf numFmtId="38" fontId="46" fillId="0" borderId="1" xfId="1" applyFont="1" applyBorder="1">
      <alignment vertical="center"/>
    </xf>
    <xf numFmtId="38" fontId="46" fillId="0" borderId="5" xfId="1" applyFont="1" applyBorder="1">
      <alignment vertical="center"/>
    </xf>
    <xf numFmtId="38" fontId="46" fillId="0" borderId="1" xfId="1" applyFont="1" applyFill="1" applyBorder="1" applyAlignment="1">
      <alignment vertical="center" shrinkToFit="1"/>
    </xf>
    <xf numFmtId="38" fontId="46" fillId="0" borderId="69" xfId="1" applyFont="1" applyBorder="1">
      <alignment vertical="center"/>
    </xf>
    <xf numFmtId="38" fontId="46" fillId="0" borderId="73" xfId="1" applyFont="1" applyFill="1" applyBorder="1" applyAlignment="1">
      <alignment vertical="center" shrinkToFit="1"/>
    </xf>
    <xf numFmtId="38" fontId="46" fillId="4" borderId="67" xfId="1" applyFont="1" applyFill="1" applyBorder="1">
      <alignment vertical="center"/>
    </xf>
    <xf numFmtId="38" fontId="46" fillId="4" borderId="79" xfId="1" applyFont="1" applyFill="1" applyBorder="1">
      <alignment vertical="center"/>
    </xf>
    <xf numFmtId="38" fontId="46" fillId="4" borderId="80" xfId="1" applyFont="1" applyFill="1" applyBorder="1" applyAlignment="1">
      <alignment vertical="center" shrinkToFit="1"/>
    </xf>
    <xf numFmtId="38" fontId="46" fillId="4" borderId="67" xfId="1" applyFont="1" applyFill="1" applyBorder="1" applyAlignment="1">
      <alignment vertical="center" shrinkToFit="1"/>
    </xf>
    <xf numFmtId="38" fontId="46" fillId="0" borderId="76" xfId="1" applyFont="1" applyBorder="1">
      <alignment vertical="center"/>
    </xf>
    <xf numFmtId="38" fontId="46" fillId="0" borderId="23" xfId="1" applyFont="1" applyBorder="1" applyAlignment="1">
      <alignment vertical="center" shrinkToFit="1"/>
    </xf>
    <xf numFmtId="38" fontId="46" fillId="0" borderId="23" xfId="1" applyFont="1" applyFill="1" applyBorder="1" applyAlignment="1">
      <alignment vertical="center" shrinkToFit="1"/>
    </xf>
    <xf numFmtId="38" fontId="46" fillId="0" borderId="27" xfId="1" applyFont="1" applyBorder="1">
      <alignment vertical="center"/>
    </xf>
    <xf numFmtId="38" fontId="46" fillId="3" borderId="1" xfId="1" applyFont="1" applyFill="1" applyBorder="1">
      <alignment vertical="center"/>
    </xf>
    <xf numFmtId="38" fontId="46" fillId="3" borderId="27" xfId="1" applyFont="1" applyFill="1" applyBorder="1">
      <alignment vertical="center"/>
    </xf>
    <xf numFmtId="38" fontId="46" fillId="3" borderId="7" xfId="1" applyFont="1" applyFill="1" applyBorder="1" applyAlignment="1">
      <alignment vertical="center" shrinkToFit="1"/>
    </xf>
    <xf numFmtId="38" fontId="46" fillId="3" borderId="1" xfId="1" applyFont="1" applyFill="1" applyBorder="1" applyAlignment="1">
      <alignment vertical="center" shrinkToFit="1"/>
    </xf>
    <xf numFmtId="0" fontId="46" fillId="5" borderId="0" xfId="0" applyFont="1" applyFill="1" applyBorder="1" applyAlignment="1">
      <alignment horizontal="right" vertical="center"/>
    </xf>
    <xf numFmtId="40" fontId="48" fillId="5" borderId="82" xfId="1" applyNumberFormat="1" applyFont="1" applyFill="1" applyBorder="1" applyAlignment="1">
      <alignment horizontal="center" vertical="center"/>
    </xf>
    <xf numFmtId="0" fontId="46" fillId="0" borderId="71" xfId="0" applyFont="1" applyBorder="1" applyAlignment="1">
      <alignment vertical="center" shrinkToFit="1"/>
    </xf>
    <xf numFmtId="0" fontId="46" fillId="0" borderId="69" xfId="0" applyFont="1" applyBorder="1" applyAlignment="1">
      <alignment vertical="center" shrinkToFit="1"/>
    </xf>
    <xf numFmtId="38" fontId="46" fillId="0" borderId="71" xfId="1" applyFont="1" applyBorder="1" applyAlignment="1">
      <alignment vertical="center" shrinkToFit="1"/>
    </xf>
    <xf numFmtId="38" fontId="46" fillId="0" borderId="69" xfId="1" applyFont="1" applyBorder="1" applyAlignment="1">
      <alignment vertical="center" shrinkToFit="1"/>
    </xf>
    <xf numFmtId="38" fontId="46" fillId="2" borderId="79" xfId="1" applyFont="1" applyFill="1" applyBorder="1">
      <alignment vertical="center"/>
    </xf>
    <xf numFmtId="38" fontId="46" fillId="2" borderId="80" xfId="1" applyFont="1" applyFill="1" applyBorder="1" applyAlignment="1">
      <alignment vertical="center" shrinkToFit="1"/>
    </xf>
    <xf numFmtId="38" fontId="46" fillId="4" borderId="78" xfId="1" applyFont="1" applyFill="1" applyBorder="1" applyAlignment="1">
      <alignment vertical="center" shrinkToFit="1"/>
    </xf>
    <xf numFmtId="38" fontId="46" fillId="2" borderId="78" xfId="1" applyFont="1" applyFill="1" applyBorder="1" applyAlignment="1">
      <alignment vertical="center" shrinkToFit="1"/>
    </xf>
    <xf numFmtId="0" fontId="46" fillId="5" borderId="69" xfId="0" applyFont="1" applyFill="1" applyBorder="1" applyAlignment="1">
      <alignment horizontal="right" vertical="center"/>
    </xf>
    <xf numFmtId="38" fontId="46" fillId="0" borderId="4" xfId="1" applyFont="1" applyFill="1" applyBorder="1">
      <alignment vertical="center"/>
    </xf>
    <xf numFmtId="38" fontId="46" fillId="0" borderId="76" xfId="1" applyFont="1" applyFill="1" applyBorder="1">
      <alignment vertical="center"/>
    </xf>
    <xf numFmtId="38" fontId="46" fillId="0" borderId="7" xfId="1" applyFont="1" applyFill="1" applyBorder="1" applyAlignment="1">
      <alignment vertical="center" shrinkToFit="1"/>
    </xf>
    <xf numFmtId="0" fontId="52" fillId="0" borderId="0" xfId="106" applyBorder="1" applyAlignment="1">
      <alignment vertical="center"/>
    </xf>
    <xf numFmtId="0" fontId="52" fillId="5" borderId="0" xfId="106" applyFill="1" applyBorder="1"/>
    <xf numFmtId="0" fontId="52" fillId="0" borderId="0" xfId="106" applyBorder="1"/>
    <xf numFmtId="0" fontId="52" fillId="0" borderId="0" xfId="106" applyBorder="1" applyAlignment="1">
      <alignment horizontal="left"/>
    </xf>
    <xf numFmtId="181" fontId="52" fillId="5" borderId="0" xfId="106" applyNumberFormat="1" applyFill="1" applyBorder="1"/>
    <xf numFmtId="0" fontId="56" fillId="0" borderId="0" xfId="106" applyFont="1" applyBorder="1" applyAlignment="1">
      <alignment horizontal="left"/>
    </xf>
    <xf numFmtId="9" fontId="52" fillId="0" borderId="0" xfId="106" applyNumberFormat="1" applyBorder="1"/>
    <xf numFmtId="0" fontId="54" fillId="0" borderId="93" xfId="106" applyFont="1" applyBorder="1"/>
    <xf numFmtId="181" fontId="52" fillId="0" borderId="84" xfId="106" applyNumberFormat="1" applyBorder="1"/>
    <xf numFmtId="0" fontId="52" fillId="0" borderId="84" xfId="106" applyBorder="1" applyAlignment="1">
      <alignment horizontal="right"/>
    </xf>
    <xf numFmtId="9" fontId="52" fillId="5" borderId="0" xfId="106" applyNumberFormat="1" applyFill="1" applyBorder="1"/>
    <xf numFmtId="0" fontId="52" fillId="0" borderId="0" xfId="106" applyFill="1" applyBorder="1"/>
    <xf numFmtId="9" fontId="52" fillId="5" borderId="0" xfId="106" applyNumberFormat="1" applyFill="1" applyBorder="1" applyAlignment="1">
      <alignment wrapText="1"/>
    </xf>
    <xf numFmtId="0" fontId="48" fillId="36" borderId="0" xfId="0" applyFont="1" applyFill="1" applyAlignment="1">
      <alignment horizontal="left" vertical="center"/>
    </xf>
    <xf numFmtId="0" fontId="46" fillId="36" borderId="0" xfId="0" applyFont="1" applyFill="1" applyAlignment="1">
      <alignment vertical="center" wrapText="1"/>
    </xf>
    <xf numFmtId="0" fontId="46" fillId="36" borderId="0" xfId="0" applyFont="1" applyFill="1">
      <alignment vertical="center"/>
    </xf>
    <xf numFmtId="0" fontId="46" fillId="36" borderId="8" xfId="0" applyFont="1" applyFill="1" applyBorder="1" applyAlignment="1">
      <alignment horizontal="center" vertical="center"/>
    </xf>
    <xf numFmtId="0" fontId="46" fillId="36" borderId="6" xfId="0" applyFont="1" applyFill="1" applyBorder="1" applyAlignment="1">
      <alignment horizontal="center" vertical="center" wrapText="1"/>
    </xf>
    <xf numFmtId="0" fontId="46" fillId="36" borderId="2" xfId="0" applyFont="1" applyFill="1" applyBorder="1" applyAlignment="1">
      <alignment horizontal="center" vertical="center"/>
    </xf>
    <xf numFmtId="0" fontId="46" fillId="36" borderId="22" xfId="0" applyFont="1" applyFill="1" applyBorder="1" applyAlignment="1">
      <alignment horizontal="center" vertical="center"/>
    </xf>
    <xf numFmtId="0" fontId="46" fillId="36" borderId="11" xfId="0" applyFont="1" applyFill="1" applyBorder="1" applyAlignment="1">
      <alignment horizontal="center" vertical="center"/>
    </xf>
    <xf numFmtId="0" fontId="46" fillId="36" borderId="21" xfId="0" applyFont="1" applyFill="1" applyBorder="1" applyAlignment="1">
      <alignment horizontal="center" vertical="center" wrapText="1"/>
    </xf>
    <xf numFmtId="0" fontId="46" fillId="36" borderId="4" xfId="0" applyFont="1" applyFill="1" applyBorder="1" applyAlignment="1">
      <alignment horizontal="center" vertical="center" wrapText="1"/>
    </xf>
    <xf numFmtId="0" fontId="46" fillId="36" borderId="23" xfId="0" applyFont="1" applyFill="1" applyBorder="1" applyAlignment="1">
      <alignment horizontal="center" vertical="center"/>
    </xf>
    <xf numFmtId="0" fontId="46" fillId="36" borderId="14" xfId="0" applyFont="1" applyFill="1" applyBorder="1" applyAlignment="1">
      <alignment horizontal="center" vertical="center"/>
    </xf>
    <xf numFmtId="38" fontId="46" fillId="36" borderId="74" xfId="0" applyNumberFormat="1" applyFont="1" applyFill="1" applyBorder="1" applyAlignment="1">
      <alignment vertical="center" wrapText="1"/>
    </xf>
    <xf numFmtId="38" fontId="46" fillId="36" borderId="9" xfId="0" applyNumberFormat="1" applyFont="1" applyFill="1" applyBorder="1" applyAlignment="1">
      <alignment vertical="center" wrapText="1"/>
    </xf>
    <xf numFmtId="38" fontId="46" fillId="36" borderId="74" xfId="0" applyNumberFormat="1" applyFont="1" applyFill="1" applyBorder="1">
      <alignment vertical="center"/>
    </xf>
    <xf numFmtId="0" fontId="46" fillId="36" borderId="10" xfId="0" applyFont="1" applyFill="1" applyBorder="1">
      <alignment vertical="center"/>
    </xf>
    <xf numFmtId="38" fontId="46" fillId="36" borderId="45" xfId="0" applyNumberFormat="1" applyFont="1" applyFill="1" applyBorder="1">
      <alignment vertical="center"/>
    </xf>
    <xf numFmtId="38" fontId="46" fillId="36" borderId="14" xfId="0" applyNumberFormat="1" applyFont="1" applyFill="1" applyBorder="1">
      <alignment vertical="center"/>
    </xf>
    <xf numFmtId="38" fontId="46" fillId="36" borderId="31" xfId="0" applyNumberFormat="1" applyFont="1" applyFill="1" applyBorder="1">
      <alignment vertical="center"/>
    </xf>
    <xf numFmtId="0" fontId="46" fillId="36" borderId="15" xfId="0" applyFont="1" applyFill="1" applyBorder="1" applyAlignment="1">
      <alignment horizontal="center" vertical="center"/>
    </xf>
    <xf numFmtId="38" fontId="46" fillId="36" borderId="72" xfId="0" applyNumberFormat="1" applyFont="1" applyFill="1" applyBorder="1" applyAlignment="1">
      <alignment vertical="center" wrapText="1"/>
    </xf>
    <xf numFmtId="38" fontId="46" fillId="36" borderId="17" xfId="0" applyNumberFormat="1" applyFont="1" applyFill="1" applyBorder="1" applyAlignment="1">
      <alignment vertical="center" wrapText="1"/>
    </xf>
    <xf numFmtId="38" fontId="46" fillId="36" borderId="16" xfId="0" applyNumberFormat="1" applyFont="1" applyFill="1" applyBorder="1">
      <alignment vertical="center"/>
    </xf>
    <xf numFmtId="0" fontId="45" fillId="36" borderId="18" xfId="0" applyFont="1" applyFill="1" applyBorder="1">
      <alignment vertical="center"/>
    </xf>
    <xf numFmtId="38" fontId="45" fillId="36" borderId="46" xfId="0" applyNumberFormat="1" applyFont="1" applyFill="1" applyBorder="1">
      <alignment vertical="center"/>
    </xf>
    <xf numFmtId="38" fontId="45" fillId="36" borderId="17" xfId="0" applyNumberFormat="1" applyFont="1" applyFill="1" applyBorder="1">
      <alignment vertical="center"/>
    </xf>
    <xf numFmtId="38" fontId="45" fillId="36" borderId="18" xfId="0" applyNumberFormat="1" applyFont="1" applyFill="1" applyBorder="1">
      <alignment vertical="center"/>
    </xf>
    <xf numFmtId="38" fontId="45" fillId="36" borderId="25" xfId="0" applyNumberFormat="1" applyFont="1" applyFill="1" applyBorder="1">
      <alignment vertical="center"/>
    </xf>
    <xf numFmtId="0" fontId="46" fillId="36" borderId="16" xfId="0" applyFont="1" applyFill="1" applyBorder="1" applyAlignment="1">
      <alignment vertical="center" wrapText="1"/>
    </xf>
    <xf numFmtId="0" fontId="46" fillId="36" borderId="17" xfId="0" applyFont="1" applyFill="1" applyBorder="1" applyAlignment="1">
      <alignment vertical="center" wrapText="1"/>
    </xf>
    <xf numFmtId="181" fontId="45" fillId="36" borderId="18" xfId="0" applyNumberFormat="1" applyFont="1" applyFill="1" applyBorder="1">
      <alignment vertical="center"/>
    </xf>
    <xf numFmtId="0" fontId="46" fillId="36" borderId="19" xfId="0" applyFont="1" applyFill="1" applyBorder="1" applyAlignment="1">
      <alignment horizontal="center" vertical="center"/>
    </xf>
    <xf numFmtId="0" fontId="46" fillId="36" borderId="12" xfId="0" applyFont="1" applyFill="1" applyBorder="1" applyAlignment="1">
      <alignment vertical="center" wrapText="1"/>
    </xf>
    <xf numFmtId="0" fontId="46" fillId="36" borderId="13" xfId="0" applyFont="1" applyFill="1" applyBorder="1" applyAlignment="1">
      <alignment vertical="center" wrapText="1"/>
    </xf>
    <xf numFmtId="38" fontId="46" fillId="36" borderId="12" xfId="0" applyNumberFormat="1" applyFont="1" applyFill="1" applyBorder="1">
      <alignment vertical="center"/>
    </xf>
    <xf numFmtId="38" fontId="45" fillId="36" borderId="47" xfId="0" applyNumberFormat="1" applyFont="1" applyFill="1" applyBorder="1">
      <alignment vertical="center"/>
    </xf>
    <xf numFmtId="38" fontId="45" fillId="36" borderId="13" xfId="0" applyNumberFormat="1" applyFont="1" applyFill="1" applyBorder="1">
      <alignment vertical="center"/>
    </xf>
    <xf numFmtId="38" fontId="45" fillId="36" borderId="30" xfId="0" applyNumberFormat="1" applyFont="1" applyFill="1" applyBorder="1">
      <alignment vertical="center"/>
    </xf>
    <xf numFmtId="0" fontId="46" fillId="36" borderId="0" xfId="0" applyFont="1" applyFill="1" applyAlignment="1">
      <alignment horizontal="center" vertical="center"/>
    </xf>
    <xf numFmtId="0" fontId="45" fillId="36" borderId="1" xfId="0" applyFont="1" applyFill="1" applyBorder="1">
      <alignment vertical="center"/>
    </xf>
    <xf numFmtId="38" fontId="45" fillId="36" borderId="4" xfId="1" applyFont="1" applyFill="1" applyBorder="1">
      <alignment vertical="center"/>
    </xf>
    <xf numFmtId="0" fontId="45" fillId="36" borderId="0" xfId="0" applyFont="1" applyFill="1">
      <alignment vertical="center"/>
    </xf>
    <xf numFmtId="0" fontId="45" fillId="36" borderId="4" xfId="0" applyFont="1" applyFill="1" applyBorder="1">
      <alignment vertical="center"/>
    </xf>
    <xf numFmtId="38" fontId="46" fillId="36" borderId="0" xfId="0" applyNumberFormat="1" applyFont="1" applyFill="1" applyAlignment="1">
      <alignment vertical="center" wrapText="1"/>
    </xf>
    <xf numFmtId="180" fontId="45" fillId="36" borderId="1" xfId="0" applyNumberFormat="1" applyFont="1" applyFill="1" applyBorder="1">
      <alignment vertical="center"/>
    </xf>
    <xf numFmtId="176" fontId="45" fillId="36" borderId="1" xfId="0" applyNumberFormat="1" applyFont="1" applyFill="1" applyBorder="1">
      <alignment vertical="center"/>
    </xf>
    <xf numFmtId="38" fontId="46" fillId="36" borderId="16" xfId="0" applyNumberFormat="1" applyFont="1" applyFill="1" applyBorder="1" applyAlignment="1">
      <alignment vertical="center" wrapText="1"/>
    </xf>
    <xf numFmtId="0" fontId="46" fillId="36" borderId="69" xfId="0" applyFont="1" applyFill="1" applyBorder="1" applyAlignment="1">
      <alignment vertical="center"/>
    </xf>
    <xf numFmtId="0" fontId="46" fillId="36" borderId="4" xfId="0" applyFont="1" applyFill="1" applyBorder="1" applyAlignment="1">
      <alignment vertical="center"/>
    </xf>
    <xf numFmtId="38" fontId="46" fillId="36" borderId="95" xfId="0" applyNumberFormat="1" applyFont="1" applyFill="1" applyBorder="1">
      <alignment vertical="center"/>
    </xf>
    <xf numFmtId="38" fontId="45" fillId="36" borderId="96" xfId="0" applyNumberFormat="1" applyFont="1" applyFill="1" applyBorder="1">
      <alignment vertical="center"/>
    </xf>
    <xf numFmtId="38" fontId="45" fillId="36" borderId="97" xfId="0" applyNumberFormat="1" applyFont="1" applyFill="1" applyBorder="1">
      <alignment vertical="center"/>
    </xf>
    <xf numFmtId="0" fontId="52" fillId="0" borderId="0" xfId="106" applyFill="1"/>
    <xf numFmtId="181" fontId="52" fillId="0" borderId="1" xfId="106" applyNumberFormat="1" applyFill="1" applyBorder="1"/>
    <xf numFmtId="176" fontId="52" fillId="0" borderId="0" xfId="106" applyNumberFormat="1"/>
    <xf numFmtId="9" fontId="65" fillId="0" borderId="0" xfId="106" applyNumberFormat="1" applyFont="1" applyAlignment="1">
      <alignment horizontal="left"/>
    </xf>
    <xf numFmtId="38" fontId="46" fillId="0" borderId="51" xfId="1" applyFont="1" applyBorder="1" applyAlignment="1">
      <alignment vertical="center" shrinkToFit="1"/>
    </xf>
    <xf numFmtId="38" fontId="46" fillId="4" borderId="77" xfId="1" applyFont="1" applyFill="1" applyBorder="1">
      <alignment vertical="center"/>
    </xf>
    <xf numFmtId="38" fontId="46" fillId="3" borderId="5" xfId="1" applyFont="1" applyFill="1" applyBorder="1">
      <alignment vertical="center"/>
    </xf>
    <xf numFmtId="40" fontId="48" fillId="5" borderId="70" xfId="1" applyNumberFormat="1" applyFont="1" applyFill="1" applyBorder="1" applyAlignment="1">
      <alignment horizontal="center" vertical="center"/>
    </xf>
    <xf numFmtId="0" fontId="4" fillId="0" borderId="75" xfId="0" applyFont="1" applyFill="1" applyBorder="1" applyAlignment="1">
      <alignment horizontal="center" vertical="center" wrapText="1"/>
    </xf>
    <xf numFmtId="38" fontId="46" fillId="0" borderId="28" xfId="1" applyFont="1" applyBorder="1" applyAlignment="1">
      <alignment vertical="center" shrinkToFit="1"/>
    </xf>
    <xf numFmtId="38" fontId="46" fillId="0" borderId="29" xfId="1" applyFont="1" applyBorder="1" applyAlignment="1">
      <alignment vertical="center" shrinkToFit="1"/>
    </xf>
    <xf numFmtId="38" fontId="46" fillId="3" borderId="29" xfId="1" applyFont="1" applyFill="1" applyBorder="1" applyAlignment="1">
      <alignment vertical="center" shrinkToFit="1"/>
    </xf>
    <xf numFmtId="0" fontId="46" fillId="0" borderId="100" xfId="0" applyFont="1" applyBorder="1" applyAlignment="1">
      <alignment vertical="center" shrinkToFit="1"/>
    </xf>
    <xf numFmtId="0" fontId="46" fillId="0" borderId="51" xfId="0" applyFont="1" applyBorder="1" applyAlignment="1">
      <alignment vertical="center" shrinkToFit="1"/>
    </xf>
    <xf numFmtId="38" fontId="46" fillId="0" borderId="99" xfId="1" applyFont="1" applyBorder="1" applyAlignment="1">
      <alignment vertical="center" shrinkToFit="1"/>
    </xf>
    <xf numFmtId="38" fontId="46" fillId="0" borderId="49" xfId="1" applyFont="1" applyFill="1" applyBorder="1" applyAlignment="1">
      <alignment vertical="center" shrinkToFit="1"/>
    </xf>
    <xf numFmtId="38" fontId="46" fillId="0" borderId="49" xfId="1" applyFont="1" applyBorder="1" applyAlignment="1">
      <alignment vertical="center" shrinkToFit="1"/>
    </xf>
    <xf numFmtId="38" fontId="46" fillId="0" borderId="51" xfId="1" applyFont="1" applyFill="1" applyBorder="1" applyAlignment="1">
      <alignment vertical="center" shrinkToFit="1"/>
    </xf>
    <xf numFmtId="38" fontId="46" fillId="0" borderId="101" xfId="1" applyFont="1" applyFill="1" applyBorder="1" applyAlignment="1">
      <alignment vertical="center" shrinkToFit="1"/>
    </xf>
    <xf numFmtId="0" fontId="0" fillId="0" borderId="0" xfId="0" applyAlignment="1"/>
    <xf numFmtId="181" fontId="0" fillId="0" borderId="0" xfId="0" applyNumberFormat="1" applyAlignment="1"/>
    <xf numFmtId="38" fontId="46" fillId="0" borderId="24" xfId="1" applyFont="1" applyFill="1" applyBorder="1" applyAlignment="1">
      <alignment vertical="center" shrinkToFit="1"/>
    </xf>
    <xf numFmtId="9" fontId="52" fillId="5" borderId="0" xfId="106" applyNumberFormat="1" applyFill="1"/>
    <xf numFmtId="0" fontId="52" fillId="33" borderId="7" xfId="106" applyFill="1" applyBorder="1" applyAlignment="1">
      <alignment horizontal="center"/>
    </xf>
    <xf numFmtId="185" fontId="52" fillId="0" borderId="0" xfId="106" applyNumberFormat="1"/>
    <xf numFmtId="183" fontId="0" fillId="0" borderId="0" xfId="0" applyNumberFormat="1" applyAlignment="1"/>
    <xf numFmtId="38" fontId="46" fillId="0" borderId="102" xfId="1" applyFont="1" applyFill="1" applyBorder="1" applyAlignment="1">
      <alignment vertical="center" shrinkToFit="1"/>
    </xf>
    <xf numFmtId="38" fontId="46" fillId="0" borderId="98" xfId="1" applyFont="1" applyBorder="1" applyAlignment="1">
      <alignment vertical="center" shrinkToFit="1"/>
    </xf>
    <xf numFmtId="38" fontId="46" fillId="0" borderId="3" xfId="1" applyFont="1" applyBorder="1" applyAlignment="1">
      <alignment vertical="center" shrinkToFit="1"/>
    </xf>
    <xf numFmtId="38" fontId="46" fillId="0" borderId="1" xfId="1" applyFont="1" applyBorder="1" applyAlignment="1">
      <alignment vertical="center" shrinkToFit="1"/>
    </xf>
    <xf numFmtId="38" fontId="46" fillId="0" borderId="44" xfId="1" applyFont="1" applyFill="1" applyBorder="1" applyAlignment="1">
      <alignment vertical="center" shrinkToFit="1"/>
    </xf>
    <xf numFmtId="0" fontId="3" fillId="0" borderId="75" xfId="0" applyFont="1" applyFill="1" applyBorder="1">
      <alignment vertical="center"/>
    </xf>
    <xf numFmtId="181" fontId="45" fillId="36" borderId="103" xfId="0" applyNumberFormat="1" applyFont="1" applyFill="1" applyBorder="1">
      <alignment vertical="center"/>
    </xf>
    <xf numFmtId="186" fontId="52" fillId="0" borderId="1" xfId="106" applyNumberFormat="1" applyFill="1" applyBorder="1"/>
    <xf numFmtId="38" fontId="46" fillId="0" borderId="84" xfId="1" applyFont="1" applyFill="1" applyBorder="1" applyAlignment="1">
      <alignment vertical="center" shrinkToFit="1"/>
    </xf>
    <xf numFmtId="38" fontId="50" fillId="0" borderId="28" xfId="0" applyNumberFormat="1" applyFont="1" applyFill="1" applyBorder="1">
      <alignment vertical="center"/>
    </xf>
    <xf numFmtId="38" fontId="3" fillId="0" borderId="29" xfId="0" applyNumberFormat="1" applyFont="1" applyFill="1" applyBorder="1">
      <alignment vertical="center"/>
    </xf>
    <xf numFmtId="0" fontId="52" fillId="33" borderId="5" xfId="106" applyFill="1" applyBorder="1" applyAlignment="1">
      <alignment horizontal="center"/>
    </xf>
    <xf numFmtId="0" fontId="52" fillId="33" borderId="7" xfId="106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108" applyFont="1" applyFill="1" applyBorder="1" applyAlignment="1">
      <alignment horizontal="left" vertical="center"/>
    </xf>
    <xf numFmtId="0" fontId="3" fillId="0" borderId="0" xfId="0" applyFont="1" applyAlignment="1"/>
    <xf numFmtId="0" fontId="0" fillId="0" borderId="1" xfId="0" applyBorder="1" applyAlignment="1"/>
    <xf numFmtId="0" fontId="0" fillId="0" borderId="1" xfId="0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/>
    <xf numFmtId="0" fontId="4" fillId="33" borderId="1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4" xfId="0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0" fillId="0" borderId="51" xfId="0" applyBorder="1" applyAlignment="1"/>
    <xf numFmtId="0" fontId="52" fillId="33" borderId="2" xfId="106" applyFill="1" applyBorder="1" applyAlignment="1">
      <alignment horizontal="center"/>
    </xf>
    <xf numFmtId="0" fontId="52" fillId="0" borderId="104" xfId="106" applyBorder="1"/>
    <xf numFmtId="0" fontId="52" fillId="0" borderId="105" xfId="106" applyBorder="1"/>
    <xf numFmtId="0" fontId="52" fillId="0" borderId="106" xfId="106" applyBorder="1"/>
    <xf numFmtId="0" fontId="52" fillId="0" borderId="107" xfId="106" applyBorder="1"/>
    <xf numFmtId="0" fontId="73" fillId="0" borderId="0" xfId="106" applyFont="1"/>
    <xf numFmtId="0" fontId="52" fillId="0" borderId="108" xfId="106" applyBorder="1"/>
    <xf numFmtId="176" fontId="52" fillId="0" borderId="1" xfId="106" applyNumberFormat="1" applyBorder="1"/>
    <xf numFmtId="186" fontId="52" fillId="0" borderId="1" xfId="106" applyNumberFormat="1" applyBorder="1"/>
    <xf numFmtId="0" fontId="52" fillId="37" borderId="1" xfId="106" applyFill="1" applyBorder="1" applyAlignment="1">
      <alignment horizontal="center"/>
    </xf>
    <xf numFmtId="180" fontId="52" fillId="0" borderId="1" xfId="106" applyNumberFormat="1" applyBorder="1"/>
    <xf numFmtId="0" fontId="52" fillId="0" borderId="0" xfId="106" applyAlignment="1">
      <alignment horizontal="center" vertical="center" wrapText="1"/>
    </xf>
    <xf numFmtId="0" fontId="52" fillId="37" borderId="1" xfId="106" applyFill="1" applyBorder="1" applyAlignment="1">
      <alignment horizontal="center" vertical="center"/>
    </xf>
    <xf numFmtId="181" fontId="52" fillId="0" borderId="107" xfId="106" applyNumberFormat="1" applyBorder="1"/>
    <xf numFmtId="0" fontId="64" fillId="0" borderId="0" xfId="106" applyFont="1"/>
    <xf numFmtId="0" fontId="74" fillId="0" borderId="0" xfId="106" applyFont="1"/>
    <xf numFmtId="0" fontId="75" fillId="0" borderId="0" xfId="106" applyFont="1"/>
    <xf numFmtId="0" fontId="75" fillId="0" borderId="0" xfId="106" applyFont="1" applyAlignment="1">
      <alignment vertical="center"/>
    </xf>
    <xf numFmtId="0" fontId="52" fillId="0" borderId="109" xfId="106" applyBorder="1"/>
    <xf numFmtId="0" fontId="52" fillId="0" borderId="110" xfId="106" applyBorder="1"/>
    <xf numFmtId="0" fontId="52" fillId="0" borderId="111" xfId="106" applyBorder="1"/>
    <xf numFmtId="0" fontId="52" fillId="0" borderId="70" xfId="106" applyBorder="1"/>
    <xf numFmtId="0" fontId="52" fillId="0" borderId="84" xfId="106" applyBorder="1"/>
    <xf numFmtId="0" fontId="52" fillId="0" borderId="71" xfId="106" applyBorder="1"/>
    <xf numFmtId="0" fontId="52" fillId="0" borderId="85" xfId="106" applyBorder="1"/>
    <xf numFmtId="0" fontId="52" fillId="0" borderId="86" xfId="106" applyBorder="1"/>
    <xf numFmtId="0" fontId="76" fillId="0" borderId="0" xfId="106" applyFont="1"/>
    <xf numFmtId="10" fontId="60" fillId="0" borderId="0" xfId="107" applyNumberFormat="1" applyFont="1" applyBorder="1" applyAlignment="1">
      <alignment horizontal="center" vertical="center"/>
    </xf>
    <xf numFmtId="0" fontId="77" fillId="0" borderId="0" xfId="106" applyFont="1"/>
    <xf numFmtId="0" fontId="78" fillId="33" borderId="2" xfId="106" applyFont="1" applyFill="1" applyBorder="1" applyAlignment="1">
      <alignment horizontal="center"/>
    </xf>
    <xf numFmtId="0" fontId="78" fillId="33" borderId="4" xfId="106" applyFont="1" applyFill="1" applyBorder="1" applyAlignment="1">
      <alignment horizontal="center"/>
    </xf>
    <xf numFmtId="0" fontId="69" fillId="33" borderId="1" xfId="106" applyFont="1" applyFill="1" applyBorder="1" applyAlignment="1">
      <alignment horizontal="center" vertical="center"/>
    </xf>
    <xf numFmtId="0" fontId="69" fillId="33" borderId="5" xfId="106" applyFont="1" applyFill="1" applyBorder="1" applyAlignment="1">
      <alignment horizontal="center" vertical="center"/>
    </xf>
    <xf numFmtId="183" fontId="52" fillId="0" borderId="2" xfId="106" applyNumberFormat="1" applyBorder="1"/>
    <xf numFmtId="0" fontId="52" fillId="0" borderId="11" xfId="106" applyBorder="1"/>
    <xf numFmtId="181" fontId="52" fillId="0" borderId="24" xfId="106" applyNumberFormat="1" applyBorder="1"/>
    <xf numFmtId="183" fontId="52" fillId="0" borderId="24" xfId="106" applyNumberFormat="1" applyBorder="1"/>
    <xf numFmtId="0" fontId="65" fillId="0" borderId="24" xfId="106" applyFont="1" applyBorder="1"/>
    <xf numFmtId="0" fontId="52" fillId="0" borderId="23" xfId="106" applyBorder="1"/>
    <xf numFmtId="0" fontId="76" fillId="0" borderId="84" xfId="106" applyFont="1" applyBorder="1"/>
    <xf numFmtId="183" fontId="52" fillId="0" borderId="84" xfId="106" applyNumberFormat="1" applyBorder="1"/>
    <xf numFmtId="0" fontId="65" fillId="41" borderId="0" xfId="106" applyFont="1" applyFill="1" applyBorder="1"/>
    <xf numFmtId="0" fontId="58" fillId="41" borderId="0" xfId="106" applyFont="1" applyFill="1" applyBorder="1"/>
    <xf numFmtId="181" fontId="52" fillId="0" borderId="0" xfId="106" applyNumberFormat="1" applyFill="1" applyBorder="1"/>
    <xf numFmtId="181" fontId="52" fillId="0" borderId="0" xfId="106" applyNumberFormat="1" applyFill="1" applyBorder="1" applyAlignment="1">
      <alignment horizontal="center"/>
    </xf>
    <xf numFmtId="0" fontId="52" fillId="0" borderId="0" xfId="106" applyBorder="1" applyAlignment="1">
      <alignment horizontal="right"/>
    </xf>
    <xf numFmtId="181" fontId="52" fillId="0" borderId="0" xfId="106" applyNumberFormat="1" applyBorder="1"/>
    <xf numFmtId="0" fontId="81" fillId="38" borderId="1" xfId="0" applyFont="1" applyFill="1" applyBorder="1" applyAlignment="1">
      <alignment horizontal="center" vertical="center" wrapText="1"/>
    </xf>
    <xf numFmtId="0" fontId="82" fillId="39" borderId="1" xfId="0" applyFont="1" applyFill="1" applyBorder="1" applyAlignment="1">
      <alignment horizontal="justify" vertical="center" wrapText="1"/>
    </xf>
    <xf numFmtId="0" fontId="69" fillId="39" borderId="1" xfId="0" applyFont="1" applyFill="1" applyBorder="1" applyAlignment="1">
      <alignment horizontal="justify" vertical="center" wrapText="1"/>
    </xf>
    <xf numFmtId="0" fontId="3" fillId="2" borderId="1" xfId="0" applyFont="1" applyFill="1" applyBorder="1">
      <alignment vertical="center"/>
    </xf>
    <xf numFmtId="0" fontId="69" fillId="0" borderId="1" xfId="0" applyFont="1" applyBorder="1" applyAlignment="1">
      <alignment horizontal="justify" vertical="center" wrapText="1"/>
    </xf>
    <xf numFmtId="0" fontId="83" fillId="0" borderId="1" xfId="0" applyFont="1" applyBorder="1" applyAlignment="1">
      <alignment horizontal="justify" vertical="center" wrapText="1"/>
    </xf>
    <xf numFmtId="0" fontId="69" fillId="2" borderId="1" xfId="0" applyFont="1" applyFill="1" applyBorder="1" applyAlignment="1">
      <alignment horizontal="justify" vertical="center" wrapText="1"/>
    </xf>
    <xf numFmtId="0" fontId="83" fillId="0" borderId="1" xfId="0" applyFont="1" applyBorder="1" applyAlignment="1">
      <alignment horizontal="right" vertical="center" wrapText="1"/>
    </xf>
    <xf numFmtId="0" fontId="69" fillId="0" borderId="1" xfId="0" applyFont="1" applyBorder="1" applyAlignment="1">
      <alignment horizontal="right" vertical="center" wrapText="1"/>
    </xf>
    <xf numFmtId="38" fontId="69" fillId="0" borderId="1" xfId="1" applyFont="1" applyBorder="1" applyAlignment="1">
      <alignment horizontal="right" vertical="center" wrapText="1"/>
    </xf>
    <xf numFmtId="189" fontId="69" fillId="0" borderId="1" xfId="1" applyNumberFormat="1" applyFont="1" applyBorder="1" applyAlignment="1">
      <alignment horizontal="right" vertical="center" wrapText="1"/>
    </xf>
    <xf numFmtId="38" fontId="69" fillId="0" borderId="1" xfId="1" applyFont="1" applyBorder="1" applyAlignment="1">
      <alignment horizontal="right" vertical="center"/>
    </xf>
    <xf numFmtId="0" fontId="69" fillId="39" borderId="1" xfId="0" applyFont="1" applyFill="1" applyBorder="1" applyAlignment="1">
      <alignment horizontal="right" vertical="center" wrapText="1"/>
    </xf>
    <xf numFmtId="38" fontId="69" fillId="39" borderId="1" xfId="1" applyFont="1" applyFill="1" applyBorder="1" applyAlignment="1">
      <alignment horizontal="right" vertical="center" wrapText="1"/>
    </xf>
    <xf numFmtId="38" fontId="69" fillId="2" borderId="1" xfId="1" applyFont="1" applyFill="1" applyBorder="1" applyAlignment="1">
      <alignment horizontal="right" vertical="center" wrapText="1"/>
    </xf>
    <xf numFmtId="38" fontId="69" fillId="2" borderId="1" xfId="1" applyFont="1" applyFill="1" applyBorder="1" applyAlignment="1">
      <alignment horizontal="right" vertical="center"/>
    </xf>
    <xf numFmtId="38" fontId="69" fillId="0" borderId="1" xfId="1" applyFont="1" applyFill="1" applyBorder="1" applyAlignment="1">
      <alignment horizontal="right" vertical="center" wrapText="1"/>
    </xf>
    <xf numFmtId="0" fontId="52" fillId="33" borderId="5" xfId="106" applyFill="1" applyBorder="1" applyAlignment="1">
      <alignment horizontal="center"/>
    </xf>
    <xf numFmtId="0" fontId="52" fillId="33" borderId="6" xfId="106" applyFill="1" applyBorder="1" applyAlignment="1">
      <alignment horizontal="center"/>
    </xf>
    <xf numFmtId="0" fontId="52" fillId="33" borderId="7" xfId="106" applyFill="1" applyBorder="1" applyAlignment="1">
      <alignment horizontal="center"/>
    </xf>
    <xf numFmtId="0" fontId="52" fillId="33" borderId="5" xfId="106" applyFill="1" applyBorder="1" applyAlignment="1">
      <alignment horizontal="center"/>
    </xf>
    <xf numFmtId="0" fontId="52" fillId="33" borderId="7" xfId="106" applyFill="1" applyBorder="1" applyAlignment="1">
      <alignment horizontal="center"/>
    </xf>
    <xf numFmtId="190" fontId="52" fillId="5" borderId="0" xfId="106" applyNumberFormat="1" applyFill="1" applyBorder="1"/>
    <xf numFmtId="38" fontId="69" fillId="0" borderId="1" xfId="1" applyFont="1" applyFill="1" applyBorder="1" applyAlignment="1">
      <alignment horizontal="right" vertical="center"/>
    </xf>
    <xf numFmtId="38" fontId="83" fillId="0" borderId="1" xfId="1" applyFont="1" applyFill="1" applyBorder="1" applyAlignment="1">
      <alignment horizontal="right" vertical="center"/>
    </xf>
    <xf numFmtId="38" fontId="52" fillId="5" borderId="0" xfId="106" applyNumberFormat="1" applyFill="1" applyBorder="1"/>
    <xf numFmtId="0" fontId="65" fillId="0" borderId="0" xfId="106" applyFont="1" applyFill="1" applyBorder="1" applyAlignment="1">
      <alignment wrapText="1"/>
    </xf>
    <xf numFmtId="182" fontId="52" fillId="0" borderId="4" xfId="106" applyNumberFormat="1" applyBorder="1"/>
    <xf numFmtId="0" fontId="52" fillId="33" borderId="3" xfId="106" applyFill="1" applyBorder="1" applyAlignment="1">
      <alignment horizontal="center"/>
    </xf>
    <xf numFmtId="0" fontId="85" fillId="33" borderId="1" xfId="106" applyFont="1" applyFill="1" applyBorder="1" applyAlignment="1">
      <alignment horizontal="center"/>
    </xf>
    <xf numFmtId="0" fontId="52" fillId="0" borderId="0" xfId="106" applyAlignment="1">
      <alignment horizontal="left"/>
    </xf>
    <xf numFmtId="0" fontId="52" fillId="0" borderId="0" xfId="106" applyFill="1" applyBorder="1" applyAlignment="1">
      <alignment horizontal="center"/>
    </xf>
    <xf numFmtId="0" fontId="65" fillId="41" borderId="0" xfId="106" applyFont="1" applyFill="1" applyBorder="1" applyAlignment="1"/>
    <xf numFmtId="0" fontId="86" fillId="41" borderId="1" xfId="106" applyFont="1" applyFill="1" applyBorder="1" applyAlignment="1">
      <alignment horizontal="center"/>
    </xf>
    <xf numFmtId="181" fontId="52" fillId="41" borderId="1" xfId="106" applyNumberFormat="1" applyFill="1" applyBorder="1"/>
    <xf numFmtId="181" fontId="52" fillId="41" borderId="7" xfId="106" applyNumberFormat="1" applyFill="1" applyBorder="1"/>
    <xf numFmtId="0" fontId="52" fillId="0" borderId="112" xfId="106" applyBorder="1"/>
    <xf numFmtId="0" fontId="0" fillId="0" borderId="112" xfId="0" applyBorder="1">
      <alignment vertical="center"/>
    </xf>
    <xf numFmtId="0" fontId="0" fillId="0" borderId="113" xfId="0" applyBorder="1">
      <alignment vertical="center"/>
    </xf>
    <xf numFmtId="0" fontId="0" fillId="0" borderId="114" xfId="0" applyBorder="1">
      <alignment vertical="center"/>
    </xf>
    <xf numFmtId="0" fontId="0" fillId="33" borderId="1" xfId="0" applyFill="1" applyBorder="1" applyAlignment="1">
      <alignment horizontal="center" vertical="center" wrapText="1"/>
    </xf>
    <xf numFmtId="0" fontId="52" fillId="5" borderId="0" xfId="106" applyFill="1" applyAlignment="1">
      <alignment vertical="center"/>
    </xf>
    <xf numFmtId="0" fontId="0" fillId="0" borderId="1" xfId="0" applyBorder="1" applyAlignment="1">
      <alignment horizontal="center" vertical="center"/>
    </xf>
    <xf numFmtId="191" fontId="0" fillId="0" borderId="1" xfId="0" applyNumberFormat="1" applyBorder="1" applyAlignment="1">
      <alignment horizontal="center" vertical="center"/>
    </xf>
    <xf numFmtId="0" fontId="52" fillId="33" borderId="5" xfId="106" applyFill="1" applyBorder="1" applyAlignment="1">
      <alignment horizontal="center" vertical="center"/>
    </xf>
    <xf numFmtId="0" fontId="52" fillId="33" borderId="1" xfId="106" applyFill="1" applyBorder="1" applyAlignment="1">
      <alignment horizontal="center" vertical="center"/>
    </xf>
    <xf numFmtId="0" fontId="52" fillId="33" borderId="7" xfId="106" applyFill="1" applyBorder="1" applyAlignment="1">
      <alignment horizontal="center" vertical="center"/>
    </xf>
    <xf numFmtId="0" fontId="52" fillId="0" borderId="5" xfId="106" applyBorder="1" applyAlignment="1">
      <alignment horizontal="center" vertical="center"/>
    </xf>
    <xf numFmtId="186" fontId="52" fillId="0" borderId="1" xfId="106" applyNumberFormat="1" applyBorder="1" applyAlignment="1">
      <alignment vertical="center"/>
    </xf>
    <xf numFmtId="186" fontId="52" fillId="0" borderId="7" xfId="106" applyNumberFormat="1" applyBorder="1" applyAlignment="1">
      <alignment vertical="center"/>
    </xf>
    <xf numFmtId="192" fontId="52" fillId="5" borderId="0" xfId="106" applyNumberFormat="1" applyFill="1" applyAlignment="1">
      <alignment vertical="center"/>
    </xf>
    <xf numFmtId="181" fontId="52" fillId="5" borderId="0" xfId="106" applyNumberFormat="1" applyFill="1" applyAlignment="1">
      <alignment vertical="center"/>
    </xf>
    <xf numFmtId="0" fontId="0" fillId="0" borderId="0" xfId="0" applyAlignment="1">
      <alignment horizontal="right"/>
    </xf>
    <xf numFmtId="183" fontId="52" fillId="0" borderId="1" xfId="106" applyNumberFormat="1" applyBorder="1" applyAlignment="1">
      <alignment vertical="center"/>
    </xf>
    <xf numFmtId="183" fontId="52" fillId="0" borderId="7" xfId="106" applyNumberFormat="1" applyBorder="1" applyAlignment="1">
      <alignment vertical="center"/>
    </xf>
    <xf numFmtId="181" fontId="0" fillId="0" borderId="0" xfId="0" applyNumberFormat="1">
      <alignment vertical="center"/>
    </xf>
    <xf numFmtId="0" fontId="0" fillId="0" borderId="115" xfId="0" applyBorder="1">
      <alignment vertical="center"/>
    </xf>
    <xf numFmtId="0" fontId="0" fillId="0" borderId="58" xfId="0" applyBorder="1">
      <alignment vertical="center"/>
    </xf>
    <xf numFmtId="0" fontId="0" fillId="0" borderId="116" xfId="0" applyBorder="1">
      <alignment vertical="center"/>
    </xf>
    <xf numFmtId="0" fontId="0" fillId="0" borderId="117" xfId="0" applyBorder="1">
      <alignment vertical="center"/>
    </xf>
    <xf numFmtId="191" fontId="0" fillId="0" borderId="0" xfId="0" applyNumberFormat="1" applyAlignment="1">
      <alignment horizontal="center" vertical="center"/>
    </xf>
    <xf numFmtId="191" fontId="0" fillId="0" borderId="0" xfId="0" applyNumberFormat="1">
      <alignment vertical="center"/>
    </xf>
    <xf numFmtId="181" fontId="52" fillId="0" borderId="1" xfId="106" applyNumberFormat="1" applyBorder="1" applyAlignment="1">
      <alignment vertical="center"/>
    </xf>
    <xf numFmtId="181" fontId="52" fillId="0" borderId="7" xfId="106" applyNumberFormat="1" applyBorder="1" applyAlignment="1">
      <alignment vertical="center"/>
    </xf>
    <xf numFmtId="10" fontId="46" fillId="0" borderId="0" xfId="0" applyNumberFormat="1" applyFont="1">
      <alignment vertical="center"/>
    </xf>
    <xf numFmtId="0" fontId="46" fillId="36" borderId="118" xfId="0" applyFont="1" applyFill="1" applyBorder="1" applyAlignment="1">
      <alignment horizontal="center" vertical="center" wrapText="1"/>
    </xf>
    <xf numFmtId="0" fontId="46" fillId="36" borderId="119" xfId="0" applyFont="1" applyFill="1" applyBorder="1" applyAlignment="1">
      <alignment horizontal="center" vertical="center" wrapText="1"/>
    </xf>
    <xf numFmtId="38" fontId="3" fillId="0" borderId="0" xfId="0" applyNumberFormat="1" applyFont="1">
      <alignment vertical="center"/>
    </xf>
    <xf numFmtId="0" fontId="0" fillId="0" borderId="69" xfId="0" applyBorder="1" applyAlignment="1"/>
    <xf numFmtId="0" fontId="0" fillId="0" borderId="69" xfId="0" applyBorder="1" applyAlignment="1">
      <alignment horizontal="left"/>
    </xf>
    <xf numFmtId="0" fontId="3" fillId="0" borderId="69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left"/>
    </xf>
    <xf numFmtId="183" fontId="50" fillId="0" borderId="1" xfId="0" applyNumberFormat="1" applyFont="1" applyFill="1" applyBorder="1" applyAlignment="1"/>
    <xf numFmtId="183" fontId="50" fillId="0" borderId="1" xfId="0" applyNumberFormat="1" applyFont="1" applyBorder="1" applyAlignment="1"/>
    <xf numFmtId="183" fontId="50" fillId="0" borderId="69" xfId="0" applyNumberFormat="1" applyFont="1" applyFill="1" applyBorder="1" applyAlignment="1"/>
    <xf numFmtId="183" fontId="87" fillId="0" borderId="51" xfId="0" applyNumberFormat="1" applyFont="1" applyBorder="1" applyAlignment="1"/>
    <xf numFmtId="183" fontId="50" fillId="0" borderId="4" xfId="0" applyNumberFormat="1" applyFont="1" applyFill="1" applyBorder="1" applyAlignment="1"/>
    <xf numFmtId="20" fontId="4" fillId="0" borderId="71" xfId="0" applyNumberFormat="1" applyFont="1" applyBorder="1" applyAlignment="1">
      <alignment horizontal="center" vertical="center" wrapText="1"/>
    </xf>
    <xf numFmtId="20" fontId="4" fillId="0" borderId="86" xfId="0" applyNumberFormat="1" applyFont="1" applyBorder="1" applyAlignment="1">
      <alignment horizontal="center" vertical="center" wrapText="1"/>
    </xf>
    <xf numFmtId="20" fontId="4" fillId="0" borderId="23" xfId="0" applyNumberFormat="1" applyFont="1" applyBorder="1" applyAlignment="1">
      <alignment horizontal="center" vertical="center" wrapText="1"/>
    </xf>
    <xf numFmtId="20" fontId="4" fillId="0" borderId="2" xfId="0" applyNumberFormat="1" applyFont="1" applyBorder="1" applyAlignment="1">
      <alignment horizontal="center" vertical="center" wrapText="1"/>
    </xf>
    <xf numFmtId="20" fontId="4" fillId="0" borderId="3" xfId="0" applyNumberFormat="1" applyFont="1" applyBorder="1" applyAlignment="1">
      <alignment horizontal="center" vertical="center" wrapText="1"/>
    </xf>
    <xf numFmtId="20" fontId="4" fillId="0" borderId="4" xfId="0" applyNumberFormat="1" applyFont="1" applyBorder="1" applyAlignment="1">
      <alignment horizontal="center" vertical="center" wrapText="1"/>
    </xf>
    <xf numFmtId="20" fontId="4" fillId="0" borderId="2" xfId="0" applyNumberFormat="1" applyFont="1" applyBorder="1" applyAlignment="1">
      <alignment horizontal="center" vertical="center"/>
    </xf>
    <xf numFmtId="20" fontId="4" fillId="0" borderId="3" xfId="0" applyNumberFormat="1" applyFont="1" applyBorder="1" applyAlignment="1">
      <alignment horizontal="center" vertical="center"/>
    </xf>
    <xf numFmtId="20" fontId="4" fillId="0" borderId="4" xfId="0" applyNumberFormat="1" applyFont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70" xfId="0" applyFont="1" applyFill="1" applyBorder="1" applyAlignment="1">
      <alignment horizontal="center" vertical="center" wrapText="1"/>
    </xf>
    <xf numFmtId="38" fontId="4" fillId="6" borderId="44" xfId="1" applyFont="1" applyFill="1" applyBorder="1" applyAlignment="1">
      <alignment horizontal="center" vertical="center"/>
    </xf>
    <xf numFmtId="38" fontId="4" fillId="6" borderId="6" xfId="1" applyFont="1" applyFill="1" applyBorder="1" applyAlignment="1">
      <alignment horizontal="center" vertical="center"/>
    </xf>
    <xf numFmtId="20" fontId="4" fillId="6" borderId="2" xfId="0" applyNumberFormat="1" applyFont="1" applyFill="1" applyBorder="1" applyAlignment="1">
      <alignment horizontal="center" vertical="center" wrapText="1"/>
    </xf>
    <xf numFmtId="20" fontId="4" fillId="6" borderId="4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69" xfId="0" applyFont="1" applyFill="1" applyBorder="1" applyAlignment="1">
      <alignment horizontal="center" vertical="center"/>
    </xf>
    <xf numFmtId="0" fontId="4" fillId="6" borderId="70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 wrapText="1"/>
    </xf>
    <xf numFmtId="0" fontId="4" fillId="6" borderId="81" xfId="0" applyFont="1" applyFill="1" applyBorder="1" applyAlignment="1">
      <alignment horizontal="center" vertical="center" wrapText="1"/>
    </xf>
    <xf numFmtId="0" fontId="48" fillId="0" borderId="61" xfId="0" applyFont="1" applyBorder="1" applyAlignment="1">
      <alignment horizontal="center" vertical="center"/>
    </xf>
    <xf numFmtId="0" fontId="48" fillId="0" borderId="49" xfId="0" applyFont="1" applyBorder="1" applyAlignment="1">
      <alignment horizontal="center" vertical="center"/>
    </xf>
    <xf numFmtId="0" fontId="48" fillId="0" borderId="50" xfId="0" applyFont="1" applyBorder="1" applyAlignment="1">
      <alignment horizontal="center" vertical="center"/>
    </xf>
    <xf numFmtId="0" fontId="48" fillId="0" borderId="61" xfId="0" applyFont="1" applyBorder="1" applyAlignment="1">
      <alignment horizontal="center" vertical="center" wrapText="1"/>
    </xf>
    <xf numFmtId="0" fontId="48" fillId="0" borderId="49" xfId="0" applyFont="1" applyBorder="1" applyAlignment="1">
      <alignment horizontal="center" vertical="center" wrapText="1"/>
    </xf>
    <xf numFmtId="0" fontId="48" fillId="0" borderId="50" xfId="0" applyFont="1" applyBorder="1" applyAlignment="1">
      <alignment horizontal="center" vertical="center" wrapText="1"/>
    </xf>
    <xf numFmtId="0" fontId="46" fillId="36" borderId="5" xfId="0" applyFont="1" applyFill="1" applyBorder="1" applyAlignment="1">
      <alignment horizontal="center" vertical="center" wrapText="1"/>
    </xf>
    <xf numFmtId="0" fontId="46" fillId="36" borderId="6" xfId="0" applyFont="1" applyFill="1" applyBorder="1" applyAlignment="1">
      <alignment horizontal="center" vertical="center" wrapText="1"/>
    </xf>
    <xf numFmtId="0" fontId="46" fillId="36" borderId="5" xfId="0" applyFont="1" applyFill="1" applyBorder="1" applyAlignment="1">
      <alignment horizontal="center" vertical="center"/>
    </xf>
    <xf numFmtId="0" fontId="46" fillId="36" borderId="6" xfId="0" applyFont="1" applyFill="1" applyBorder="1" applyAlignment="1">
      <alignment horizontal="center" vertical="center"/>
    </xf>
    <xf numFmtId="0" fontId="46" fillId="36" borderId="7" xfId="0" applyFont="1" applyFill="1" applyBorder="1" applyAlignment="1">
      <alignment horizontal="center" vertical="center"/>
    </xf>
    <xf numFmtId="0" fontId="52" fillId="33" borderId="5" xfId="106" applyFill="1" applyBorder="1" applyAlignment="1">
      <alignment horizontal="center"/>
    </xf>
    <xf numFmtId="0" fontId="52" fillId="33" borderId="6" xfId="106" applyFill="1" applyBorder="1" applyAlignment="1">
      <alignment horizontal="center"/>
    </xf>
    <xf numFmtId="0" fontId="52" fillId="33" borderId="7" xfId="106" applyFill="1" applyBorder="1" applyAlignment="1">
      <alignment horizontal="center"/>
    </xf>
    <xf numFmtId="0" fontId="65" fillId="41" borderId="5" xfId="106" applyFont="1" applyFill="1" applyBorder="1" applyAlignment="1">
      <alignment horizontal="center"/>
    </xf>
    <xf numFmtId="0" fontId="84" fillId="41" borderId="6" xfId="106" applyFont="1" applyFill="1" applyBorder="1" applyAlignment="1">
      <alignment horizontal="center"/>
    </xf>
    <xf numFmtId="0" fontId="84" fillId="41" borderId="7" xfId="106" applyFont="1" applyFill="1" applyBorder="1" applyAlignment="1">
      <alignment horizontal="center"/>
    </xf>
    <xf numFmtId="0" fontId="57" fillId="33" borderId="5" xfId="106" applyFont="1" applyFill="1" applyBorder="1" applyAlignment="1">
      <alignment horizontal="center"/>
    </xf>
    <xf numFmtId="0" fontId="57" fillId="33" borderId="6" xfId="106" applyFont="1" applyFill="1" applyBorder="1" applyAlignment="1">
      <alignment horizontal="center"/>
    </xf>
    <xf numFmtId="0" fontId="57" fillId="33" borderId="7" xfId="106" applyFont="1" applyFill="1" applyBorder="1" applyAlignment="1">
      <alignment horizontal="center"/>
    </xf>
    <xf numFmtId="0" fontId="52" fillId="41" borderId="1" xfId="106" applyFill="1" applyBorder="1" applyAlignment="1">
      <alignment horizontal="center"/>
    </xf>
    <xf numFmtId="0" fontId="69" fillId="0" borderId="0" xfId="0" applyFont="1" applyFill="1" applyBorder="1" applyAlignment="1">
      <alignment horizontal="left" vertical="center" wrapText="1"/>
    </xf>
    <xf numFmtId="0" fontId="81" fillId="38" borderId="5" xfId="0" applyFont="1" applyFill="1" applyBorder="1" applyAlignment="1">
      <alignment horizontal="center" vertical="center" wrapText="1"/>
    </xf>
    <xf numFmtId="0" fontId="81" fillId="38" borderId="6" xfId="0" applyFont="1" applyFill="1" applyBorder="1" applyAlignment="1">
      <alignment horizontal="center" vertical="center" wrapText="1"/>
    </xf>
    <xf numFmtId="0" fontId="81" fillId="38" borderId="7" xfId="0" applyFont="1" applyFill="1" applyBorder="1" applyAlignment="1">
      <alignment horizontal="center" vertical="center" wrapText="1"/>
    </xf>
    <xf numFmtId="0" fontId="80" fillId="38" borderId="1" xfId="0" applyFont="1" applyFill="1" applyBorder="1" applyAlignment="1">
      <alignment horizontal="center" vertical="center" wrapText="1"/>
    </xf>
    <xf numFmtId="0" fontId="81" fillId="38" borderId="1" xfId="0" applyFont="1" applyFill="1" applyBorder="1" applyAlignment="1">
      <alignment horizontal="center" vertical="center" wrapText="1"/>
    </xf>
    <xf numFmtId="0" fontId="80" fillId="40" borderId="1" xfId="0" applyFont="1" applyFill="1" applyBorder="1" applyAlignment="1">
      <alignment horizontal="center" vertical="center" wrapText="1"/>
    </xf>
    <xf numFmtId="0" fontId="80" fillId="38" borderId="69" xfId="0" applyFont="1" applyFill="1" applyBorder="1" applyAlignment="1">
      <alignment horizontal="center" vertical="center" wrapText="1"/>
    </xf>
    <xf numFmtId="0" fontId="80" fillId="38" borderId="3" xfId="0" applyFont="1" applyFill="1" applyBorder="1" applyAlignment="1">
      <alignment horizontal="center" vertical="center" wrapText="1"/>
    </xf>
    <xf numFmtId="0" fontId="80" fillId="38" borderId="4" xfId="0" applyFont="1" applyFill="1" applyBorder="1" applyAlignment="1">
      <alignment horizontal="center" vertical="center" wrapText="1"/>
    </xf>
    <xf numFmtId="0" fontId="83" fillId="0" borderId="0" xfId="0" applyFont="1" applyFill="1" applyBorder="1" applyAlignment="1">
      <alignment horizontal="left" vertical="center" wrapText="1"/>
    </xf>
    <xf numFmtId="0" fontId="78" fillId="33" borderId="2" xfId="106" applyFont="1" applyFill="1" applyBorder="1" applyAlignment="1">
      <alignment horizontal="center" vertical="center"/>
    </xf>
    <xf numFmtId="0" fontId="78" fillId="33" borderId="4" xfId="106" applyFont="1" applyFill="1" applyBorder="1" applyAlignment="1">
      <alignment horizontal="center" vertical="center"/>
    </xf>
    <xf numFmtId="0" fontId="69" fillId="33" borderId="71" xfId="106" applyFont="1" applyFill="1" applyBorder="1" applyAlignment="1">
      <alignment horizontal="center" vertical="center" wrapText="1"/>
    </xf>
    <xf numFmtId="0" fontId="69" fillId="33" borderId="23" xfId="106" applyFont="1" applyFill="1" applyBorder="1" applyAlignment="1">
      <alignment horizontal="center" vertical="center" wrapText="1"/>
    </xf>
    <xf numFmtId="0" fontId="69" fillId="33" borderId="2" xfId="106" applyFont="1" applyFill="1" applyBorder="1" applyAlignment="1">
      <alignment horizontal="center" vertical="center" wrapText="1"/>
    </xf>
    <xf numFmtId="0" fontId="69" fillId="33" borderId="4" xfId="106" applyFont="1" applyFill="1" applyBorder="1" applyAlignment="1">
      <alignment horizontal="center" vertical="center" wrapText="1"/>
    </xf>
    <xf numFmtId="0" fontId="46" fillId="34" borderId="1" xfId="106" applyFont="1" applyFill="1" applyBorder="1" applyAlignment="1">
      <alignment horizontal="center" vertical="distributed"/>
    </xf>
    <xf numFmtId="0" fontId="46" fillId="34" borderId="5" xfId="106" applyFont="1" applyFill="1" applyBorder="1" applyAlignment="1">
      <alignment horizontal="center" vertical="distributed"/>
    </xf>
    <xf numFmtId="0" fontId="46" fillId="34" borderId="7" xfId="106" applyFont="1" applyFill="1" applyBorder="1" applyAlignment="1">
      <alignment horizontal="center" vertical="distributed"/>
    </xf>
    <xf numFmtId="0" fontId="46" fillId="33" borderId="5" xfId="106" applyFont="1" applyFill="1" applyBorder="1" applyAlignment="1">
      <alignment horizontal="center" vertical="center"/>
    </xf>
    <xf numFmtId="0" fontId="46" fillId="33" borderId="7" xfId="106" applyFont="1" applyFill="1" applyBorder="1" applyAlignment="1">
      <alignment horizontal="center" vertical="center"/>
    </xf>
    <xf numFmtId="0" fontId="46" fillId="33" borderId="6" xfId="106" applyFont="1" applyFill="1" applyBorder="1" applyAlignment="1">
      <alignment horizontal="center" vertical="center"/>
    </xf>
    <xf numFmtId="0" fontId="69" fillId="33" borderId="5" xfId="106" applyFont="1" applyFill="1" applyBorder="1" applyAlignment="1">
      <alignment horizontal="center" vertical="center"/>
    </xf>
    <xf numFmtId="0" fontId="69" fillId="33" borderId="7" xfId="106" applyFont="1" applyFill="1" applyBorder="1" applyAlignment="1">
      <alignment horizontal="center" vertical="center"/>
    </xf>
    <xf numFmtId="0" fontId="69" fillId="33" borderId="6" xfId="106" applyFont="1" applyFill="1" applyBorder="1" applyAlignment="1">
      <alignment horizontal="center" vertical="center"/>
    </xf>
    <xf numFmtId="0" fontId="52" fillId="37" borderId="1" xfId="106" applyFill="1" applyBorder="1" applyAlignment="1">
      <alignment horizontal="center" vertical="center" wrapText="1"/>
    </xf>
    <xf numFmtId="0" fontId="52" fillId="33" borderId="5" xfId="106" applyFill="1" applyBorder="1" applyAlignment="1">
      <alignment horizontal="center" wrapText="1"/>
    </xf>
    <xf numFmtId="0" fontId="52" fillId="33" borderId="6" xfId="106" applyFill="1" applyBorder="1" applyAlignment="1">
      <alignment horizontal="center" wrapText="1"/>
    </xf>
    <xf numFmtId="0" fontId="52" fillId="33" borderId="7" xfId="106" applyFill="1" applyBorder="1" applyAlignment="1">
      <alignment horizontal="center" wrapText="1"/>
    </xf>
    <xf numFmtId="0" fontId="58" fillId="33" borderId="5" xfId="106" applyFont="1" applyFill="1" applyBorder="1" applyAlignment="1">
      <alignment horizontal="center" wrapText="1"/>
    </xf>
    <xf numFmtId="0" fontId="58" fillId="33" borderId="6" xfId="106" applyFont="1" applyFill="1" applyBorder="1" applyAlignment="1">
      <alignment horizontal="center" wrapText="1"/>
    </xf>
    <xf numFmtId="0" fontId="58" fillId="33" borderId="7" xfId="106" applyFont="1" applyFill="1" applyBorder="1" applyAlignment="1">
      <alignment horizontal="center" wrapText="1"/>
    </xf>
    <xf numFmtId="0" fontId="52" fillId="37" borderId="1" xfId="106" applyFill="1" applyBorder="1" applyAlignment="1">
      <alignment horizontal="center" vertical="center"/>
    </xf>
    <xf numFmtId="0" fontId="52" fillId="37" borderId="1" xfId="106" applyFill="1" applyBorder="1" applyAlignment="1">
      <alignment horizontal="center" wrapText="1"/>
    </xf>
    <xf numFmtId="0" fontId="45" fillId="36" borderId="20" xfId="0" applyFont="1" applyFill="1" applyBorder="1" applyAlignment="1">
      <alignment horizontal="center" vertical="center" wrapText="1"/>
    </xf>
    <xf numFmtId="0" fontId="45" fillId="36" borderId="21" xfId="0" applyFont="1" applyFill="1" applyBorder="1" applyAlignment="1">
      <alignment horizontal="center" vertical="center" wrapText="1"/>
    </xf>
  </cellXfs>
  <cellStyles count="133">
    <cellStyle name="20% - Accent1" xfId="11" xr:uid="{00000000-0005-0000-0000-000000000000}"/>
    <cellStyle name="20% - Accent2" xfId="12" xr:uid="{00000000-0005-0000-0000-000001000000}"/>
    <cellStyle name="20% - Accent3" xfId="13" xr:uid="{00000000-0005-0000-0000-000002000000}"/>
    <cellStyle name="20% - Accent4" xfId="14" xr:uid="{00000000-0005-0000-0000-000003000000}"/>
    <cellStyle name="20% - Accent5" xfId="15" xr:uid="{00000000-0005-0000-0000-000004000000}"/>
    <cellStyle name="20% - Accent6" xfId="16" xr:uid="{00000000-0005-0000-0000-000005000000}"/>
    <cellStyle name="20% - akcent 1" xfId="17" xr:uid="{00000000-0005-0000-0000-000006000000}"/>
    <cellStyle name="20% - akcent 2" xfId="18" xr:uid="{00000000-0005-0000-0000-000007000000}"/>
    <cellStyle name="20% - akcent 3" xfId="19" xr:uid="{00000000-0005-0000-0000-000008000000}"/>
    <cellStyle name="20% - akcent 4" xfId="20" xr:uid="{00000000-0005-0000-0000-000009000000}"/>
    <cellStyle name="20% - akcent 5" xfId="21" xr:uid="{00000000-0005-0000-0000-00000A000000}"/>
    <cellStyle name="20% - akcent 6" xfId="22" xr:uid="{00000000-0005-0000-0000-00000B000000}"/>
    <cellStyle name="40% - Accent1" xfId="23" xr:uid="{00000000-0005-0000-0000-00000C000000}"/>
    <cellStyle name="40% - Accent2" xfId="24" xr:uid="{00000000-0005-0000-0000-00000D000000}"/>
    <cellStyle name="40% - Accent3" xfId="25" xr:uid="{00000000-0005-0000-0000-00000E000000}"/>
    <cellStyle name="40% - Accent4" xfId="26" xr:uid="{00000000-0005-0000-0000-00000F000000}"/>
    <cellStyle name="40% - Accent5" xfId="27" xr:uid="{00000000-0005-0000-0000-000010000000}"/>
    <cellStyle name="40% - Accent6" xfId="28" xr:uid="{00000000-0005-0000-0000-000011000000}"/>
    <cellStyle name="40% - akcent 1" xfId="29" xr:uid="{00000000-0005-0000-0000-000012000000}"/>
    <cellStyle name="40% - akcent 2" xfId="30" xr:uid="{00000000-0005-0000-0000-000013000000}"/>
    <cellStyle name="40% - akcent 3" xfId="31" xr:uid="{00000000-0005-0000-0000-000014000000}"/>
    <cellStyle name="40% - akcent 4" xfId="32" xr:uid="{00000000-0005-0000-0000-000015000000}"/>
    <cellStyle name="40% - akcent 5" xfId="33" xr:uid="{00000000-0005-0000-0000-000016000000}"/>
    <cellStyle name="40% - akcent 6" xfId="34" xr:uid="{00000000-0005-0000-0000-000017000000}"/>
    <cellStyle name="60% - Accent1" xfId="35" xr:uid="{00000000-0005-0000-0000-000018000000}"/>
    <cellStyle name="60% - Accent2" xfId="36" xr:uid="{00000000-0005-0000-0000-000019000000}"/>
    <cellStyle name="60% - Accent3" xfId="37" xr:uid="{00000000-0005-0000-0000-00001A000000}"/>
    <cellStyle name="60% - Accent4" xfId="38" xr:uid="{00000000-0005-0000-0000-00001B000000}"/>
    <cellStyle name="60% - Accent5" xfId="39" xr:uid="{00000000-0005-0000-0000-00001C000000}"/>
    <cellStyle name="60% - Accent6" xfId="40" xr:uid="{00000000-0005-0000-0000-00001D000000}"/>
    <cellStyle name="60% - akcent 1" xfId="41" xr:uid="{00000000-0005-0000-0000-00001E000000}"/>
    <cellStyle name="60% - akcent 2" xfId="42" xr:uid="{00000000-0005-0000-0000-00001F000000}"/>
    <cellStyle name="60% - akcent 3" xfId="43" xr:uid="{00000000-0005-0000-0000-000020000000}"/>
    <cellStyle name="60% - akcent 4" xfId="44" xr:uid="{00000000-0005-0000-0000-000021000000}"/>
    <cellStyle name="60% - akcent 5" xfId="45" xr:uid="{00000000-0005-0000-0000-000022000000}"/>
    <cellStyle name="60% - akcent 6" xfId="46" xr:uid="{00000000-0005-0000-0000-000023000000}"/>
    <cellStyle name="Accent1" xfId="47" xr:uid="{00000000-0005-0000-0000-000024000000}"/>
    <cellStyle name="Accent2" xfId="48" xr:uid="{00000000-0005-0000-0000-000025000000}"/>
    <cellStyle name="Accent3" xfId="49" xr:uid="{00000000-0005-0000-0000-000026000000}"/>
    <cellStyle name="Accent4" xfId="50" xr:uid="{00000000-0005-0000-0000-000027000000}"/>
    <cellStyle name="Accent5" xfId="51" xr:uid="{00000000-0005-0000-0000-000028000000}"/>
    <cellStyle name="Accent6" xfId="52" xr:uid="{00000000-0005-0000-0000-000029000000}"/>
    <cellStyle name="Akcent 1" xfId="53" xr:uid="{00000000-0005-0000-0000-00002A000000}"/>
    <cellStyle name="Akcent 2" xfId="54" xr:uid="{00000000-0005-0000-0000-00002B000000}"/>
    <cellStyle name="Akcent 3" xfId="55" xr:uid="{00000000-0005-0000-0000-00002C000000}"/>
    <cellStyle name="Akcent 4" xfId="56" xr:uid="{00000000-0005-0000-0000-00002D000000}"/>
    <cellStyle name="Akcent 5" xfId="57" xr:uid="{00000000-0005-0000-0000-00002E000000}"/>
    <cellStyle name="Akcent 6" xfId="58" xr:uid="{00000000-0005-0000-0000-00002F000000}"/>
    <cellStyle name="Bad" xfId="59" xr:uid="{00000000-0005-0000-0000-000030000000}"/>
    <cellStyle name="Calculation" xfId="60" xr:uid="{00000000-0005-0000-0000-000031000000}"/>
    <cellStyle name="Check Cell" xfId="61" xr:uid="{00000000-0005-0000-0000-000032000000}"/>
    <cellStyle name="Comma [0] 2" xfId="62" xr:uid="{00000000-0005-0000-0000-000033000000}"/>
    <cellStyle name="Comma [0] 3" xfId="63" xr:uid="{00000000-0005-0000-0000-000034000000}"/>
    <cellStyle name="Comma 2" xfId="112" xr:uid="{2C03E257-FC08-4042-849B-145513D76424}"/>
    <cellStyle name="Comma 2 2" xfId="127" xr:uid="{D90FDAEE-47A0-4FB4-9661-304DFF27734B}"/>
    <cellStyle name="Comma 3" xfId="114" xr:uid="{BA61B341-C5DE-4C42-9948-BE14E88D989C}"/>
    <cellStyle name="Comma 3 2" xfId="129" xr:uid="{48A9F7DC-946F-4D49-853A-8C9D36C81F2B}"/>
    <cellStyle name="Comma0" xfId="64" xr:uid="{00000000-0005-0000-0000-000036000000}"/>
    <cellStyle name="Currency 2" xfId="117" xr:uid="{CCB111BF-6B4F-4B18-B7A7-DC2EFBBBBE05}"/>
    <cellStyle name="Currency0" xfId="65" xr:uid="{00000000-0005-0000-0000-000037000000}"/>
    <cellStyle name="Dane wejściowe" xfId="66" xr:uid="{00000000-0005-0000-0000-000038000000}"/>
    <cellStyle name="Dane wyjściowe" xfId="67" xr:uid="{00000000-0005-0000-0000-000039000000}"/>
    <cellStyle name="Date" xfId="68" xr:uid="{00000000-0005-0000-0000-00003A000000}"/>
    <cellStyle name="Dobre" xfId="69" xr:uid="{00000000-0005-0000-0000-00003B000000}"/>
    <cellStyle name="Dziesiętny [0] 2" xfId="70" xr:uid="{00000000-0005-0000-0000-00003C000000}"/>
    <cellStyle name="Explanatory Text" xfId="71" xr:uid="{00000000-0005-0000-0000-00003D000000}"/>
    <cellStyle name="Fixed" xfId="72" xr:uid="{00000000-0005-0000-0000-00003E000000}"/>
    <cellStyle name="Good" xfId="73" xr:uid="{00000000-0005-0000-0000-00003F000000}"/>
    <cellStyle name="Heading 1" xfId="74" xr:uid="{00000000-0005-0000-0000-000040000000}"/>
    <cellStyle name="Heading 2" xfId="75" xr:uid="{00000000-0005-0000-0000-000041000000}"/>
    <cellStyle name="Heading 3" xfId="76" xr:uid="{00000000-0005-0000-0000-000042000000}"/>
    <cellStyle name="Heading 4" xfId="77" xr:uid="{00000000-0005-0000-0000-000043000000}"/>
    <cellStyle name="Input" xfId="78" xr:uid="{00000000-0005-0000-0000-000044000000}"/>
    <cellStyle name="Komórka połączona" xfId="79" xr:uid="{00000000-0005-0000-0000-000045000000}"/>
    <cellStyle name="Komórka zaznaczona" xfId="80" xr:uid="{00000000-0005-0000-0000-000046000000}"/>
    <cellStyle name="Linked Cell" xfId="81" xr:uid="{00000000-0005-0000-0000-000047000000}"/>
    <cellStyle name="Nagłówek 1" xfId="82" xr:uid="{00000000-0005-0000-0000-000048000000}"/>
    <cellStyle name="Nagłówek 2" xfId="83" xr:uid="{00000000-0005-0000-0000-000049000000}"/>
    <cellStyle name="Nagłówek 3" xfId="84" xr:uid="{00000000-0005-0000-0000-00004A000000}"/>
    <cellStyle name="Nagłówek 4" xfId="85" xr:uid="{00000000-0005-0000-0000-00004B000000}"/>
    <cellStyle name="Neutral" xfId="86" xr:uid="{00000000-0005-0000-0000-00004C000000}"/>
    <cellStyle name="Neutralne" xfId="87" xr:uid="{00000000-0005-0000-0000-00004D000000}"/>
    <cellStyle name="Normal - Style1" xfId="88" xr:uid="{00000000-0005-0000-0000-00004E000000}"/>
    <cellStyle name="Normal 2" xfId="89" xr:uid="{00000000-0005-0000-0000-00004F000000}"/>
    <cellStyle name="Normal 2 2" xfId="111" xr:uid="{F2181F33-0E9B-4549-B56E-68449E15ECE2}"/>
    <cellStyle name="Normal 3" xfId="113" xr:uid="{75930377-CEB6-4C65-9A6C-D936EBF1C77C}"/>
    <cellStyle name="Normal 3 2" xfId="128" xr:uid="{A826170F-7172-45E1-A025-4B8C03A219DB}"/>
    <cellStyle name="Note" xfId="90" xr:uid="{00000000-0005-0000-0000-000051000000}"/>
    <cellStyle name="Obliczenia" xfId="91" xr:uid="{00000000-0005-0000-0000-000052000000}"/>
    <cellStyle name="Output" xfId="92" xr:uid="{00000000-0005-0000-0000-000053000000}"/>
    <cellStyle name="Percent 2" xfId="93" xr:uid="{00000000-0005-0000-0000-000054000000}"/>
    <cellStyle name="Percent 3" xfId="94" xr:uid="{00000000-0005-0000-0000-000055000000}"/>
    <cellStyle name="PgLen" xfId="95" xr:uid="{00000000-0005-0000-0000-000056000000}"/>
    <cellStyle name="Suma" xfId="96" xr:uid="{00000000-0005-0000-0000-000057000000}"/>
    <cellStyle name="Tekst objaśnienia" xfId="97" xr:uid="{00000000-0005-0000-0000-000058000000}"/>
    <cellStyle name="Tekst ostrzeżenia" xfId="98" xr:uid="{00000000-0005-0000-0000-000059000000}"/>
    <cellStyle name="Title" xfId="99" xr:uid="{00000000-0005-0000-0000-00005A000000}"/>
    <cellStyle name="Total" xfId="100" xr:uid="{00000000-0005-0000-0000-00005B000000}"/>
    <cellStyle name="Tytuł" xfId="101" xr:uid="{00000000-0005-0000-0000-00005C000000}"/>
    <cellStyle name="Uwaga" xfId="102" xr:uid="{00000000-0005-0000-0000-00005D000000}"/>
    <cellStyle name="Warning Text" xfId="103" xr:uid="{00000000-0005-0000-0000-00005E000000}"/>
    <cellStyle name="Złe" xfId="104" xr:uid="{00000000-0005-0000-0000-00005F000000}"/>
    <cellStyle name="パーセント 2" xfId="4" xr:uid="{00000000-0005-0000-0000-000060000000}"/>
    <cellStyle name="パーセント 2 2" xfId="10" xr:uid="{00000000-0005-0000-0000-000061000000}"/>
    <cellStyle name="パーセント 3" xfId="5" xr:uid="{00000000-0005-0000-0000-000062000000}"/>
    <cellStyle name="パーセント 4" xfId="107" xr:uid="{18EB870F-9573-4844-BA80-FABFE21CE87C}"/>
    <cellStyle name="桁区切り" xfId="1" builtinId="6"/>
    <cellStyle name="桁区切り [0.00] 2" xfId="109" xr:uid="{79734D4F-8250-46CC-8905-1F960490F44A}"/>
    <cellStyle name="桁区切り [0.00] 2 2" xfId="130" xr:uid="{A5F856D6-E5DD-4108-85D0-5CA631D1E122}"/>
    <cellStyle name="桁区切り [0.00] 2 3" xfId="116" xr:uid="{9BDFFBE9-71DE-443D-A3C7-075C5631A74D}"/>
    <cellStyle name="桁区切り [0.00] 3" xfId="125" xr:uid="{7D866BD1-070A-456B-80D0-5235018E0A3D}"/>
    <cellStyle name="桁区切り [0.00] 4" xfId="126" xr:uid="{720E3C29-2EB6-48BA-8396-2C754220D347}"/>
    <cellStyle name="桁区切り [0.00] 5" xfId="110" xr:uid="{447EAAB7-BA2C-4DFD-9097-300548E9F078}"/>
    <cellStyle name="桁区切り 2" xfId="3" xr:uid="{00000000-0005-0000-0000-000064000000}"/>
    <cellStyle name="桁区切り 2 2" xfId="9" xr:uid="{00000000-0005-0000-0000-000065000000}"/>
    <cellStyle name="桁区切り 2 2 2" xfId="121" xr:uid="{0E1442C6-DBB4-4282-976A-5B7183D83EDE}"/>
    <cellStyle name="桁区切り 2 3" xfId="120" xr:uid="{293CB733-078D-4810-BF47-4C41D0FACB64}"/>
    <cellStyle name="桁区切り 3" xfId="6" xr:uid="{00000000-0005-0000-0000-000066000000}"/>
    <cellStyle name="桁区切り 4" xfId="123" xr:uid="{FBD657A0-A9B6-4D2F-83C8-C571A582BE61}"/>
    <cellStyle name="桁区切り 5" xfId="132" xr:uid="{279A5C77-4EB0-4F38-9FFE-4DAFF546B268}"/>
    <cellStyle name="桁区切り 6" xfId="131" xr:uid="{2250E127-8FD5-4BCC-90B4-BC46ED371806}"/>
    <cellStyle name="通貨 [0.00] 2" xfId="115" xr:uid="{83717D52-0F76-49C2-822E-B0288A056357}"/>
    <cellStyle name="通貨 [0.00] 3" xfId="119" xr:uid="{3573B73D-C112-4C61-A4D0-47F6A818F55A}"/>
    <cellStyle name="標準" xfId="0" builtinId="0"/>
    <cellStyle name="標準 2" xfId="2" xr:uid="{00000000-0005-0000-0000-000068000000}"/>
    <cellStyle name="標準 2 2" xfId="8" xr:uid="{00000000-0005-0000-0000-000069000000}"/>
    <cellStyle name="標準 3" xfId="7" xr:uid="{00000000-0005-0000-0000-00006A000000}"/>
    <cellStyle name="標準 3 2" xfId="118" xr:uid="{56AA5FCF-42E6-48AD-A753-3BA7417DED42}"/>
    <cellStyle name="標準 4" xfId="106" xr:uid="{58D0F748-510F-46EB-BEBC-145962DD37F1}"/>
    <cellStyle name="標準 4 2" xfId="122" xr:uid="{33898627-C6A4-46DC-8CFD-161DA9BD8AA8}"/>
    <cellStyle name="標準 5" xfId="108" xr:uid="{E5F6F96E-F215-4866-9D79-4A28305F23D2}"/>
    <cellStyle name="標準 5 2" xfId="124" xr:uid="{AA1F11F5-6696-4B8A-9CC1-2D0AC506933D}"/>
    <cellStyle name="良い 2" xfId="105" xr:uid="{00000000-0005-0000-0000-00006C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97703718479421"/>
          <c:y val="8.8004295394937898E-2"/>
          <c:w val="0.60301361982152246"/>
          <c:h val="0.8239914092101241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E8-4D02-AC03-7878AF30F4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FE8-4D02-AC03-7878AF30F4A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CCF-41FA-AA58-86593D6BB55A}"/>
              </c:ext>
            </c:extLst>
          </c:dPt>
          <c:dLbls>
            <c:dLbl>
              <c:idx val="0"/>
              <c:layout>
                <c:manualLayout>
                  <c:x val="-0.2329617980441471"/>
                  <c:y val="0.196688738303023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E8-4D02-AC03-7878AF30F4A8}"/>
                </c:ext>
              </c:extLst>
            </c:dLbl>
            <c:dLbl>
              <c:idx val="1"/>
              <c:layout>
                <c:manualLayout>
                  <c:x val="0.24347135284313109"/>
                  <c:y val="-0.1456953617059436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E8-4D02-AC03-7878AF30F4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2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'Table 11 (2) Result of EIRR'!$E$91:$E$92</c:f>
              <c:strCache>
                <c:ptCount val="2"/>
                <c:pt idx="0">
                  <c:v>Reduction of CO2 emission &amp; CO2 absorption by afforestation</c:v>
                </c:pt>
                <c:pt idx="1">
                  <c:v>Yield increase</c:v>
                </c:pt>
              </c:strCache>
            </c:strRef>
          </c:cat>
          <c:val>
            <c:numRef>
              <c:f>'Table 11 (2) Result of EIRR'!$F$91:$F$92</c:f>
              <c:numCache>
                <c:formatCode>#,##0_);[Red]\(#,##0\)</c:formatCode>
                <c:ptCount val="2"/>
                <c:pt idx="0">
                  <c:v>6496201.9909122325</c:v>
                </c:pt>
                <c:pt idx="1">
                  <c:v>9591972.4813252464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E8-4D02-AC03-7878AF30F4A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'Table 11 (2) Result of EIRR'!$E$91</c:f>
              <c:strCache>
                <c:ptCount val="1"/>
                <c:pt idx="0">
                  <c:v>Reduction of CO2 emission &amp; CO2 absorption by afforestation</c:v>
                </c:pt>
              </c:strCache>
            </c:strRef>
          </c:tx>
          <c:invertIfNegative val="0"/>
          <c:val>
            <c:numRef>
              <c:f>'Table 11 (2) Result of EIRR'!$G$91:$Z$91</c:f>
              <c:numCache>
                <c:formatCode>#,##0_);[Red]\(#,##0\)</c:formatCode>
                <c:ptCount val="20"/>
                <c:pt idx="0">
                  <c:v>0</c:v>
                </c:pt>
                <c:pt idx="1">
                  <c:v>71800</c:v>
                </c:pt>
                <c:pt idx="2">
                  <c:v>247992</c:v>
                </c:pt>
                <c:pt idx="3">
                  <c:v>513348</c:v>
                </c:pt>
                <c:pt idx="4">
                  <c:v>849277</c:v>
                </c:pt>
                <c:pt idx="5">
                  <c:v>1148263</c:v>
                </c:pt>
                <c:pt idx="6">
                  <c:v>1365208</c:v>
                </c:pt>
                <c:pt idx="7">
                  <c:v>1458902</c:v>
                </c:pt>
                <c:pt idx="8">
                  <c:v>1452807</c:v>
                </c:pt>
                <c:pt idx="9">
                  <c:v>1375117</c:v>
                </c:pt>
                <c:pt idx="10">
                  <c:v>1293062</c:v>
                </c:pt>
                <c:pt idx="11">
                  <c:v>1222157</c:v>
                </c:pt>
                <c:pt idx="12">
                  <c:v>1156224</c:v>
                </c:pt>
                <c:pt idx="13">
                  <c:v>1088518</c:v>
                </c:pt>
                <c:pt idx="14">
                  <c:v>1031580</c:v>
                </c:pt>
                <c:pt idx="15">
                  <c:v>975912</c:v>
                </c:pt>
                <c:pt idx="16">
                  <c:v>924652</c:v>
                </c:pt>
                <c:pt idx="17">
                  <c:v>877641</c:v>
                </c:pt>
                <c:pt idx="18">
                  <c:v>827938</c:v>
                </c:pt>
                <c:pt idx="19">
                  <c:v>785761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DB-4D3D-85AA-B47DAB3FC04C}"/>
            </c:ext>
          </c:extLst>
        </c:ser>
        <c:ser>
          <c:idx val="1"/>
          <c:order val="1"/>
          <c:tx>
            <c:strRef>
              <c:f>'Table 11 (2) Result of EIRR'!$B$62</c:f>
              <c:strCache>
                <c:ptCount val="1"/>
                <c:pt idx="0">
                  <c:v>Yield increase</c:v>
                </c:pt>
              </c:strCache>
            </c:strRef>
          </c:tx>
          <c:invertIfNegative val="0"/>
          <c:val>
            <c:numRef>
              <c:f>'Table 11 (2) Result of EIRR'!$G$62:$Z$62</c:f>
              <c:numCache>
                <c:formatCode>#,##0_);[Red]\(#,##0\)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5760</c:v>
                </c:pt>
                <c:pt idx="3">
                  <c:v>236160</c:v>
                </c:pt>
                <c:pt idx="4">
                  <c:v>728820</c:v>
                </c:pt>
                <c:pt idx="5">
                  <c:v>1382520</c:v>
                </c:pt>
                <c:pt idx="6">
                  <c:v>1995780</c:v>
                </c:pt>
                <c:pt idx="7">
                  <c:v>2166780</c:v>
                </c:pt>
                <c:pt idx="8">
                  <c:v>2166780</c:v>
                </c:pt>
                <c:pt idx="9">
                  <c:v>2166780</c:v>
                </c:pt>
                <c:pt idx="10">
                  <c:v>2166780</c:v>
                </c:pt>
                <c:pt idx="11">
                  <c:v>2166780</c:v>
                </c:pt>
                <c:pt idx="12">
                  <c:v>2166780</c:v>
                </c:pt>
                <c:pt idx="13">
                  <c:v>2166780</c:v>
                </c:pt>
                <c:pt idx="14">
                  <c:v>2166780</c:v>
                </c:pt>
                <c:pt idx="15">
                  <c:v>2166780</c:v>
                </c:pt>
                <c:pt idx="16">
                  <c:v>2166780</c:v>
                </c:pt>
                <c:pt idx="17">
                  <c:v>2166780</c:v>
                </c:pt>
                <c:pt idx="18">
                  <c:v>2166780</c:v>
                </c:pt>
                <c:pt idx="19">
                  <c:v>2166780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DB-4D3D-85AA-B47DAB3FC04C}"/>
            </c:ext>
          </c:extLst>
        </c:ser>
        <c:ser>
          <c:idx val="2"/>
          <c:order val="2"/>
          <c:tx>
            <c:strRef>
              <c:f>'Table 11 (2) Result of EIRR'!$B$54</c:f>
              <c:strCache>
                <c:ptCount val="1"/>
                <c:pt idx="0">
                  <c:v>Total Cost</c:v>
                </c:pt>
              </c:strCache>
            </c:strRef>
          </c:tx>
          <c:invertIfNegative val="0"/>
          <c:val>
            <c:numRef>
              <c:f>'Table 11 (2) Result of EIRR'!$G$54:$Z$54</c:f>
              <c:numCache>
                <c:formatCode>#,##0_);[Red]\(#,##0\)</c:formatCode>
                <c:ptCount val="20"/>
                <c:pt idx="0">
                  <c:v>-771204.58287878789</c:v>
                </c:pt>
                <c:pt idx="1">
                  <c:v>-1955225.8757575762</c:v>
                </c:pt>
                <c:pt idx="2">
                  <c:v>-2625380.5168181825</c:v>
                </c:pt>
                <c:pt idx="3">
                  <c:v>-3616023.9107575752</c:v>
                </c:pt>
                <c:pt idx="4">
                  <c:v>-3505925.4012878789</c:v>
                </c:pt>
                <c:pt idx="5">
                  <c:v>-1910985.1950000001</c:v>
                </c:pt>
                <c:pt idx="6">
                  <c:v>-1013423.4450000001</c:v>
                </c:pt>
                <c:pt idx="7">
                  <c:v>-111987.72612500002</c:v>
                </c:pt>
                <c:pt idx="8">
                  <c:v>-111987.72612500002</c:v>
                </c:pt>
                <c:pt idx="9">
                  <c:v>-111987.72612500002</c:v>
                </c:pt>
                <c:pt idx="10">
                  <c:v>-111987.72612500002</c:v>
                </c:pt>
                <c:pt idx="11">
                  <c:v>-111987.72612500002</c:v>
                </c:pt>
                <c:pt idx="12">
                  <c:v>-111987.72612500002</c:v>
                </c:pt>
                <c:pt idx="13">
                  <c:v>-111987.72612500002</c:v>
                </c:pt>
                <c:pt idx="14">
                  <c:v>-111987.72612500002</c:v>
                </c:pt>
                <c:pt idx="15">
                  <c:v>-111987.72612500002</c:v>
                </c:pt>
                <c:pt idx="16">
                  <c:v>-111987.72612500002</c:v>
                </c:pt>
                <c:pt idx="17">
                  <c:v>-111987.72612500002</c:v>
                </c:pt>
                <c:pt idx="18">
                  <c:v>-111987.72612500002</c:v>
                </c:pt>
                <c:pt idx="19">
                  <c:v>-111987.72612500002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DB-4D3D-85AA-B47DAB3FC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298040"/>
        <c:axId val="553298432"/>
      </c:barChart>
      <c:catAx>
        <c:axId val="5532980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553298432"/>
        <c:crosses val="autoZero"/>
        <c:auto val="1"/>
        <c:lblAlgn val="ctr"/>
        <c:lblOffset val="100"/>
        <c:noMultiLvlLbl val="0"/>
      </c:catAx>
      <c:valAx>
        <c:axId val="55329843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55329804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553357</xdr:colOff>
      <xdr:row>94</xdr:row>
      <xdr:rowOff>159162</xdr:rowOff>
    </xdr:from>
    <xdr:to>
      <xdr:col>6</xdr:col>
      <xdr:colOff>276265</xdr:colOff>
      <xdr:row>125</xdr:row>
      <xdr:rowOff>20616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3270D00-7707-40F6-A699-E7CB1F3F2B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41975</xdr:colOff>
      <xdr:row>95</xdr:row>
      <xdr:rowOff>4124</xdr:rowOff>
    </xdr:from>
    <xdr:to>
      <xdr:col>23</xdr:col>
      <xdr:colOff>154459</xdr:colOff>
      <xdr:row>111</xdr:row>
      <xdr:rowOff>35873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265AFCF3-F2C6-4014-B883-9BF45D066E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0.84713</cdr:x>
      <cdr:y>0.00088</cdr:y>
    </cdr:from>
    <cdr:to>
      <cdr:x>1</cdr:x>
      <cdr:y>0.09272</cdr:y>
    </cdr:to>
    <cdr:sp macro="" textlink="">
      <cdr:nvSpPr>
        <cdr:cNvPr id="2" name="テキスト ボックス 16">
          <a:extLst xmlns:a="http://schemas.openxmlformats.org/drawingml/2006/main">
            <a:ext uri="{FF2B5EF4-FFF2-40B4-BE49-F238E27FC236}">
              <a16:creationId xmlns:a16="http://schemas.microsoft.com/office/drawing/2014/main" id="{A5A30272-3FAE-4358-A759-B9EB050CE2A4}"/>
            </a:ext>
          </a:extLst>
        </cdr:cNvPr>
        <cdr:cNvSpPr txBox="1"/>
      </cdr:nvSpPr>
      <cdr:spPr>
        <a:xfrm xmlns:a="http://schemas.openxmlformats.org/drawingml/2006/main">
          <a:off x="6142181" y="4618"/>
          <a:ext cx="1108364" cy="480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800"/>
            <a:t>unit:</a:t>
          </a:r>
          <a:r>
            <a:rPr kumimoji="1" lang="en-US" altLang="ja-JP" sz="1800" baseline="0"/>
            <a:t> USD</a:t>
          </a:r>
          <a:endParaRPr kumimoji="1" lang="ja-JP" altLang="en-US" sz="18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0.8814</cdr:x>
      <cdr:y>0</cdr:y>
    </cdr:from>
    <cdr:to>
      <cdr:x>1</cdr:x>
      <cdr:y>0.17141</cdr:y>
    </cdr:to>
    <cdr:sp macro="" textlink="">
      <cdr:nvSpPr>
        <cdr:cNvPr id="2" name="テキスト ボックス 16">
          <a:extLst xmlns:a="http://schemas.openxmlformats.org/drawingml/2006/main">
            <a:ext uri="{FF2B5EF4-FFF2-40B4-BE49-F238E27FC236}">
              <a16:creationId xmlns:a16="http://schemas.microsoft.com/office/drawing/2014/main" id="{F4AFD939-F818-422B-80DF-2916723DA50A}"/>
            </a:ext>
          </a:extLst>
        </cdr:cNvPr>
        <cdr:cNvSpPr txBox="1"/>
      </cdr:nvSpPr>
      <cdr:spPr>
        <a:xfrm xmlns:a="http://schemas.openxmlformats.org/drawingml/2006/main">
          <a:off x="6559550" y="0"/>
          <a:ext cx="882649" cy="503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1400"/>
            <a:t>unit:</a:t>
          </a:r>
          <a:r>
            <a:rPr kumimoji="1" lang="en-US" altLang="ja-JP" sz="1400" baseline="0"/>
            <a:t> USD</a:t>
          </a:r>
          <a:endParaRPr kumimoji="1" lang="ja-JP" altLang="en-US" sz="14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y%20Documents\XTie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akura.i/AppData/Local/Microsoft/Windows/INetCache/Content.Outlook/4RI0WF0G/&#26481;&#12486;&#12451;&#12514;&#12540;&#12523;&#26989;&#21209;&#31649;&#29702;/1_&#26989;&#21209;&#31649;&#29702;/4_GCF/202004/1_Cost/Simplified_Approval_Process_-_Annex_3_TL_2004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hau"/>
      <sheetName val="1-2-4"/>
      <sheetName val="CPXL"/>
      <sheetName val="Sheet1"/>
      <sheetName val="CPTB"/>
      <sheetName val="TN"/>
      <sheetName val="TH"/>
      <sheetName val="DTCT"/>
      <sheetName val="Daysu"/>
      <sheetName val="GIA"/>
      <sheetName val="NCONG"/>
      <sheetName val="00000000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ed Budget Plan"/>
      <sheetName val="Detailed Budget Notes"/>
      <sheetName val="A1_UnitCost_PLUP"/>
      <sheetName val="A2_UnitCost_WMC"/>
      <sheetName val="A4_UnitCost_CF"/>
      <sheetName val="B1_UnitCost_MP_SU"/>
      <sheetName val="B1_UnitCost_MP_SP"/>
      <sheetName val="B1_UnitCost_MP_IG"/>
      <sheetName val="A3_UnitCost_Allowance"/>
      <sheetName val="B2_UnitCost_Workshop"/>
      <sheetName val="C4_UnitCost_COP"/>
      <sheetName val="D2_UnitCost_M&amp;E"/>
      <sheetName val="D1_UnitCost_equipment"/>
      <sheetName val="Consultant_fee(JICA)"/>
      <sheetName val="Instructions"/>
      <sheetName val="Title Lists"/>
      <sheetName val="Dashboar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B1" t="str">
            <v>Components</v>
          </cell>
          <cell r="D1" t="str">
            <v>Outputs</v>
          </cell>
          <cell r="F1" t="str">
            <v>Budget Categories</v>
          </cell>
          <cell r="H1" t="str">
            <v>List of Funding Source</v>
          </cell>
        </row>
        <row r="2">
          <cell r="B2" t="str">
            <v>Component 1:Enhancement of local leaders’ capacity for sustainable protection and management of natural resources to maintain and improve forest ecosystem services in the watersheds through introduction of CBNRM and CF</v>
          </cell>
          <cell r="D2" t="str">
            <v>Output 1.1 : Improved management and protection of existing forests through introduction of PLUP and community-based NRM monitoring</v>
          </cell>
          <cell r="F2" t="str">
            <v>Consultant - Individual - International</v>
          </cell>
          <cell r="H2" t="str">
            <v>GCF</v>
          </cell>
        </row>
        <row r="3">
          <cell r="B3" t="str">
            <v>Component 2: Improvement of local livelihood resilience and reduction of climate change vulnerability of local communities through introduction of climate resilient agriculture, sustainable land and forest management, and livelihood improvement through hands-on training courses</v>
          </cell>
          <cell r="D3" t="str">
            <v>Output 1.2 : Rehabilitated degraded forests and lands through reforestation and sustainable forest management with introduction of CF</v>
          </cell>
          <cell r="F3" t="str">
            <v>Consultant - Individual - Local</v>
          </cell>
          <cell r="H3" t="str">
            <v>Timor-Leste</v>
          </cell>
        </row>
        <row r="4">
          <cell r="B4" t="str">
            <v>Component 3: Development of an enabling environment for promotion of sustainable natural resource management and climate change adaptation measures</v>
          </cell>
          <cell r="D4" t="str">
            <v>Output 1.3 : Enhanced governance capacity of local leaders in the post-administratives for sustainable forest and natural resource management</v>
          </cell>
          <cell r="F4" t="str">
            <v>Equipment</v>
          </cell>
          <cell r="H4" t="str">
            <v>JICA</v>
          </cell>
        </row>
        <row r="5">
          <cell r="B5" t="str">
            <v>Component 4 :Project Management Component</v>
          </cell>
          <cell r="D5" t="str">
            <v>Output 2.1: Enhanced adaptive capacity of vulnerable communities living in hills and mountains in the 4 target watersheds through continuous hands-on training on climate resilient agriculture, agroforestry, and livelihood development</v>
          </cell>
          <cell r="F5" t="str">
            <v>Materials &amp; Goods</v>
          </cell>
          <cell r="H5" t="str">
            <v>FAO</v>
          </cell>
        </row>
        <row r="6">
          <cell r="B6" t="str">
            <v>Consulting service</v>
          </cell>
          <cell r="D6" t="str">
            <v>Output 2.2 : Enhanced capacity of MAF field officials for provision of hands-on training and coaching on relevant adaptation measures, such as climate resilient agriculture, agroforestry, and livelihood development</v>
          </cell>
          <cell r="F6" t="str">
            <v>Office Supplies</v>
          </cell>
          <cell r="H6" t="str">
            <v>GEF</v>
          </cell>
        </row>
        <row r="7">
          <cell r="B7" t="str">
            <v>Monitoring &amp; Evaluation</v>
          </cell>
          <cell r="D7" t="str">
            <v>Output 3.1 : Strengthened institutional and regulatory systems for implementation of the CBNRM and CF approaches in other watersheds</v>
          </cell>
          <cell r="F7" t="str">
            <v>Professional Services – Companies/Firm</v>
          </cell>
          <cell r="H7"/>
        </row>
        <row r="8">
          <cell r="B8"/>
          <cell r="D8" t="str">
            <v>Output 3.2: Enhanced MAF technical officials’ capacity for implementation of the CBNRM and CF approaches, particularly PLUP, CCVA, enhancement of local governance capacity, CF, and climate change adaptation measures</v>
          </cell>
          <cell r="F8" t="str">
            <v>Travel</v>
          </cell>
          <cell r="H8"/>
        </row>
        <row r="9">
          <cell r="B9"/>
          <cell r="D9"/>
          <cell r="F9" t="str">
            <v xml:space="preserve">Workshop/Training </v>
          </cell>
          <cell r="H9"/>
        </row>
        <row r="10">
          <cell r="B10"/>
          <cell r="D10"/>
          <cell r="F10" t="str">
            <v>Participatory Land Use Planning</v>
          </cell>
          <cell r="H10"/>
        </row>
        <row r="11">
          <cell r="B11"/>
          <cell r="D11"/>
          <cell r="F11" t="str">
            <v>Watershed Management Council</v>
          </cell>
          <cell r="H11"/>
        </row>
        <row r="12">
          <cell r="B12"/>
          <cell r="D12"/>
          <cell r="F12" t="str">
            <v>Micro Program</v>
          </cell>
          <cell r="H12"/>
        </row>
        <row r="13">
          <cell r="B13"/>
          <cell r="D13" t="str">
            <v>Program Management Sub-component</v>
          </cell>
          <cell r="F13" t="str">
            <v>International Consultant</v>
          </cell>
          <cell r="H13"/>
        </row>
        <row r="14">
          <cell r="B14"/>
          <cell r="D14" t="str">
            <v>Monitoring and Environment</v>
          </cell>
          <cell r="F14" t="str">
            <v>Monitoring &amp; Evaluation</v>
          </cell>
          <cell r="H14"/>
        </row>
        <row r="15">
          <cell r="B15"/>
          <cell r="D15" t="str">
            <v>PMC</v>
          </cell>
          <cell r="F15" t="str">
            <v>Project Management Cost</v>
          </cell>
          <cell r="H15"/>
        </row>
        <row r="16">
          <cell r="B16"/>
          <cell r="D16"/>
          <cell r="F16" t="str">
            <v xml:space="preserve">Staff time contribution to activity </v>
          </cell>
          <cell r="H16"/>
        </row>
        <row r="17">
          <cell r="B17"/>
          <cell r="D17"/>
          <cell r="F17" t="str">
            <v>Maintenance Cost</v>
          </cell>
          <cell r="H17"/>
        </row>
        <row r="18">
          <cell r="B18"/>
          <cell r="D18"/>
          <cell r="F18" t="str">
            <v>Management Cost</v>
          </cell>
          <cell r="H18"/>
        </row>
        <row r="19">
          <cell r="B19"/>
          <cell r="D19"/>
          <cell r="F19"/>
          <cell r="H19"/>
        </row>
        <row r="20">
          <cell r="B20"/>
          <cell r="D20"/>
          <cell r="F20"/>
          <cell r="H20"/>
        </row>
        <row r="21">
          <cell r="B21"/>
          <cell r="D21"/>
          <cell r="F21"/>
          <cell r="H21"/>
        </row>
        <row r="22">
          <cell r="B22"/>
          <cell r="D22"/>
          <cell r="F22"/>
          <cell r="H22"/>
        </row>
        <row r="23">
          <cell r="B23"/>
          <cell r="D23"/>
          <cell r="F23"/>
          <cell r="H23"/>
        </row>
        <row r="24">
          <cell r="B24"/>
          <cell r="D24"/>
          <cell r="F24"/>
          <cell r="H24"/>
        </row>
        <row r="25">
          <cell r="B25"/>
          <cell r="D25"/>
          <cell r="F25"/>
          <cell r="H25"/>
        </row>
        <row r="26">
          <cell r="B26"/>
          <cell r="D26"/>
          <cell r="F26"/>
          <cell r="H26"/>
        </row>
        <row r="27">
          <cell r="B27"/>
          <cell r="D27"/>
          <cell r="F27"/>
          <cell r="H27"/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0B5F4-D629-45A8-B46D-0F37C96EF932}">
  <sheetPr>
    <tabColor rgb="FF92D050"/>
  </sheetPr>
  <dimension ref="C1:O52"/>
  <sheetViews>
    <sheetView showGridLines="0" view="pageBreakPreview" zoomScale="70" zoomScaleNormal="40" zoomScaleSheetLayoutView="70" workbookViewId="0">
      <selection activeCell="D45" sqref="D45"/>
    </sheetView>
  </sheetViews>
  <sheetFormatPr defaultColWidth="8.81640625" defaultRowHeight="13"/>
  <cols>
    <col min="1" max="1" width="1.6328125" style="265" customWidth="1"/>
    <col min="2" max="2" width="9.36328125" style="265" customWidth="1"/>
    <col min="3" max="3" width="19.6328125" style="265" customWidth="1"/>
    <col min="4" max="4" width="12.90625" style="265" customWidth="1"/>
    <col min="5" max="5" width="40.36328125" style="265" customWidth="1"/>
    <col min="6" max="6" width="12.36328125" style="265" customWidth="1"/>
    <col min="7" max="7" width="12.1796875" style="265" customWidth="1"/>
    <col min="8" max="9" width="11.6328125" style="265" customWidth="1"/>
    <col min="10" max="10" width="11.90625" style="265" customWidth="1"/>
    <col min="11" max="11" width="12.54296875" style="265" customWidth="1"/>
    <col min="12" max="12" width="9.453125" style="265" customWidth="1"/>
    <col min="13" max="13" width="13.1796875" style="265" customWidth="1"/>
    <col min="14" max="14" width="11.453125" style="265" customWidth="1"/>
    <col min="15" max="15" width="11.36328125" style="265" bestFit="1" customWidth="1"/>
    <col min="16" max="16" width="11.453125" style="265" bestFit="1" customWidth="1"/>
    <col min="17" max="16384" width="8.81640625" style="265"/>
  </cols>
  <sheetData>
    <row r="1" spans="3:15" ht="14">
      <c r="C1" s="288" t="s">
        <v>153</v>
      </c>
    </row>
    <row r="3" spans="3:15" ht="14">
      <c r="C3" s="295" t="s">
        <v>151</v>
      </c>
      <c r="D3" s="295" t="s">
        <v>150</v>
      </c>
      <c r="E3" s="295" t="s">
        <v>284</v>
      </c>
      <c r="F3" s="295">
        <v>2021</v>
      </c>
      <c r="G3" s="295">
        <v>2022</v>
      </c>
      <c r="H3" s="295">
        <v>2023</v>
      </c>
      <c r="I3" s="295">
        <v>2024</v>
      </c>
      <c r="J3" s="295">
        <v>2025</v>
      </c>
      <c r="K3" s="295">
        <v>2026</v>
      </c>
      <c r="L3" s="295">
        <v>2027</v>
      </c>
      <c r="M3" s="295" t="s">
        <v>141</v>
      </c>
    </row>
    <row r="4" spans="3:15" ht="14">
      <c r="C4" s="286">
        <v>1</v>
      </c>
      <c r="D4" s="285">
        <v>1.1000000000000001</v>
      </c>
      <c r="E4" s="287" t="s">
        <v>285</v>
      </c>
      <c r="F4" s="419">
        <v>249044.06711418182</v>
      </c>
      <c r="G4" s="419">
        <v>615568.83806436369</v>
      </c>
      <c r="H4" s="419">
        <v>608540.28701127274</v>
      </c>
      <c r="I4" s="419">
        <v>622003.56430436368</v>
      </c>
      <c r="J4" s="419">
        <v>207382.2887778182</v>
      </c>
      <c r="K4" s="419">
        <v>32200</v>
      </c>
      <c r="L4" s="419">
        <v>32200</v>
      </c>
      <c r="M4" s="419">
        <v>2366939.0452720001</v>
      </c>
    </row>
    <row r="5" spans="3:15" ht="14">
      <c r="C5" s="286"/>
      <c r="D5" s="285">
        <v>1.2</v>
      </c>
      <c r="E5" s="287" t="s">
        <v>286</v>
      </c>
      <c r="F5" s="419">
        <v>82504.284629818183</v>
      </c>
      <c r="G5" s="419">
        <v>172382.12572763636</v>
      </c>
      <c r="H5" s="419">
        <v>231041.72836472726</v>
      </c>
      <c r="I5" s="419">
        <v>325429.51084763638</v>
      </c>
      <c r="J5" s="419">
        <v>316431.3121661818</v>
      </c>
      <c r="K5" s="419">
        <v>109830</v>
      </c>
      <c r="L5" s="419">
        <v>0</v>
      </c>
      <c r="M5" s="419">
        <v>1237618.9617360001</v>
      </c>
    </row>
    <row r="6" spans="3:15" ht="14">
      <c r="C6" s="286"/>
      <c r="D6" s="285"/>
      <c r="E6" s="287" t="s">
        <v>287</v>
      </c>
      <c r="F6" s="419">
        <v>28368.734074181819</v>
      </c>
      <c r="G6" s="419">
        <v>89463.27184436364</v>
      </c>
      <c r="H6" s="419">
        <v>144816.87335127272</v>
      </c>
      <c r="I6" s="419">
        <v>159365.32048436365</v>
      </c>
      <c r="J6" s="419">
        <v>154214.9212378182</v>
      </c>
      <c r="K6" s="419">
        <v>69804</v>
      </c>
      <c r="L6" s="419">
        <v>63000</v>
      </c>
      <c r="M6" s="419">
        <v>709033.1209920001</v>
      </c>
    </row>
    <row r="7" spans="3:15" ht="14" hidden="1">
      <c r="C7" s="289"/>
      <c r="D7" s="290"/>
      <c r="E7" s="287"/>
      <c r="F7" s="419"/>
      <c r="G7" s="419"/>
      <c r="H7" s="419"/>
      <c r="I7" s="419"/>
      <c r="J7" s="419"/>
      <c r="K7" s="419"/>
      <c r="L7" s="419"/>
      <c r="M7" s="419"/>
    </row>
    <row r="8" spans="3:15" ht="14" hidden="1">
      <c r="C8" s="289"/>
      <c r="D8" s="290"/>
      <c r="E8" s="287"/>
      <c r="F8" s="419"/>
      <c r="G8" s="419"/>
      <c r="H8" s="419"/>
      <c r="I8" s="419"/>
      <c r="J8" s="419"/>
      <c r="K8" s="419"/>
      <c r="L8" s="419"/>
      <c r="M8" s="419"/>
    </row>
    <row r="9" spans="3:15" ht="14" hidden="1">
      <c r="C9" s="289"/>
      <c r="D9" s="290"/>
      <c r="E9" s="287" t="s">
        <v>136</v>
      </c>
      <c r="F9" s="419">
        <v>4330.9250000000002</v>
      </c>
      <c r="G9" s="419">
        <v>12076.442500000001</v>
      </c>
      <c r="H9" s="419">
        <v>15086.3025</v>
      </c>
      <c r="I9" s="419">
        <v>16620.002499999999</v>
      </c>
      <c r="J9" s="419">
        <v>6593.3774999999996</v>
      </c>
      <c r="K9" s="419">
        <v>2915.8500000000004</v>
      </c>
      <c r="L9" s="419">
        <v>0</v>
      </c>
      <c r="M9" s="419">
        <v>57622.9</v>
      </c>
    </row>
    <row r="10" spans="3:15" ht="14" hidden="1">
      <c r="C10" s="289"/>
      <c r="D10" s="290"/>
      <c r="E10" s="287" t="s">
        <v>126</v>
      </c>
      <c r="F10" s="419">
        <v>372233.21081818186</v>
      </c>
      <c r="G10" s="420">
        <v>913777.61063636362</v>
      </c>
      <c r="H10" s="420">
        <v>1044809.5137272726</v>
      </c>
      <c r="I10" s="420">
        <v>1167209.0206363637</v>
      </c>
      <c r="J10" s="420">
        <v>750170.27218181815</v>
      </c>
      <c r="K10" s="420">
        <v>283975.75</v>
      </c>
      <c r="L10" s="420">
        <v>167341.75</v>
      </c>
      <c r="M10" s="420">
        <v>4699517.1280000005</v>
      </c>
    </row>
    <row r="11" spans="3:15" ht="14" hidden="1">
      <c r="C11" s="289"/>
      <c r="D11" s="290"/>
      <c r="E11" s="287" t="s">
        <v>138</v>
      </c>
      <c r="F11" s="419">
        <v>376564.13581818179</v>
      </c>
      <c r="G11" s="420">
        <v>925854.05313636363</v>
      </c>
      <c r="H11" s="420">
        <v>1059895.8162272726</v>
      </c>
      <c r="I11" s="420">
        <v>1183829.0231363636</v>
      </c>
      <c r="J11" s="420">
        <v>756763.64968181821</v>
      </c>
      <c r="K11" s="420">
        <v>286891.59999999998</v>
      </c>
      <c r="L11" s="420">
        <v>167341.75</v>
      </c>
      <c r="M11" s="420">
        <v>4757140.0279999999</v>
      </c>
    </row>
    <row r="12" spans="3:15" ht="14" hidden="1">
      <c r="C12" s="286">
        <v>2</v>
      </c>
      <c r="D12" s="285" t="s">
        <v>266</v>
      </c>
      <c r="E12" s="291" t="s">
        <v>152</v>
      </c>
      <c r="F12" s="419">
        <v>70272.099999999991</v>
      </c>
      <c r="G12" s="419">
        <v>483012.30000000005</v>
      </c>
      <c r="H12" s="419">
        <v>1255119.5</v>
      </c>
      <c r="I12" s="419">
        <v>1956793</v>
      </c>
      <c r="J12" s="419">
        <v>2383427.1</v>
      </c>
      <c r="K12" s="419">
        <v>1763649.1</v>
      </c>
      <c r="L12" s="419">
        <v>813569.60000000009</v>
      </c>
      <c r="M12" s="419">
        <v>8725842.6999999993</v>
      </c>
      <c r="O12" s="266"/>
    </row>
    <row r="13" spans="3:15" ht="14">
      <c r="C13" s="286">
        <v>2</v>
      </c>
      <c r="D13" s="285">
        <v>2.1</v>
      </c>
      <c r="E13" s="291" t="s">
        <v>288</v>
      </c>
      <c r="F13" s="419">
        <v>77222.154333333325</v>
      </c>
      <c r="G13" s="419">
        <v>496020.37591666664</v>
      </c>
      <c r="H13" s="419">
        <v>1144378.94025</v>
      </c>
      <c r="I13" s="419">
        <v>1738310.3659166666</v>
      </c>
      <c r="J13" s="419">
        <v>1912336.1480833334</v>
      </c>
      <c r="K13" s="419">
        <v>1127096.5</v>
      </c>
      <c r="L13" s="419">
        <v>389817</v>
      </c>
      <c r="M13" s="419">
        <v>6885181.4845000003</v>
      </c>
      <c r="O13" s="266"/>
    </row>
    <row r="14" spans="3:15" ht="14">
      <c r="C14" s="286"/>
      <c r="D14" s="285">
        <v>2.2000000000000002</v>
      </c>
      <c r="E14" s="291" t="s">
        <v>289</v>
      </c>
      <c r="F14" s="419">
        <v>26784.641666666666</v>
      </c>
      <c r="G14" s="419">
        <v>54544.227083333339</v>
      </c>
      <c r="H14" s="419">
        <v>44818.618750000009</v>
      </c>
      <c r="I14" s="419">
        <v>54271.977083333339</v>
      </c>
      <c r="J14" s="419">
        <v>49409.17291666667</v>
      </c>
      <c r="K14" s="419">
        <v>0</v>
      </c>
      <c r="L14" s="419">
        <v>0</v>
      </c>
      <c r="M14" s="419">
        <v>229828.63750000001</v>
      </c>
      <c r="O14" s="266"/>
    </row>
    <row r="15" spans="3:15" ht="14">
      <c r="C15" s="286"/>
      <c r="D15" s="285">
        <v>2.2999999999999998</v>
      </c>
      <c r="E15" s="291" t="s">
        <v>290</v>
      </c>
      <c r="F15" s="419">
        <v>16820.754966666667</v>
      </c>
      <c r="G15" s="419">
        <v>34253.774608333333</v>
      </c>
      <c r="H15" s="419">
        <v>63023.092575000002</v>
      </c>
      <c r="I15" s="419">
        <v>210236.80160833334</v>
      </c>
      <c r="J15" s="419">
        <v>409742.96059166669</v>
      </c>
      <c r="K15" s="419">
        <v>405120</v>
      </c>
      <c r="L15" s="419">
        <v>192320</v>
      </c>
      <c r="M15" s="419">
        <v>1331517.3843499999</v>
      </c>
      <c r="O15" s="266"/>
    </row>
    <row r="16" spans="3:15" ht="14">
      <c r="C16" s="289"/>
      <c r="D16" s="285">
        <v>2.4</v>
      </c>
      <c r="E16" s="291" t="s">
        <v>291</v>
      </c>
      <c r="F16" s="419">
        <v>16251.4157</v>
      </c>
      <c r="G16" s="419">
        <v>654.53072500000007</v>
      </c>
      <c r="H16" s="419">
        <v>6622.8234250000005</v>
      </c>
      <c r="I16" s="419">
        <v>651.26372500000002</v>
      </c>
      <c r="J16" s="419">
        <v>592.91007500000001</v>
      </c>
      <c r="K16" s="419">
        <v>0</v>
      </c>
      <c r="L16" s="419">
        <v>0</v>
      </c>
      <c r="M16" s="419">
        <v>24772.943650000001</v>
      </c>
    </row>
    <row r="17" spans="3:15" ht="14" hidden="1">
      <c r="C17" s="289"/>
      <c r="D17" s="292"/>
      <c r="E17" s="287"/>
      <c r="F17" s="419">
        <v>16251.4157</v>
      </c>
      <c r="G17" s="419">
        <v>654.53072500000007</v>
      </c>
      <c r="H17" s="419">
        <v>6622.8234250000005</v>
      </c>
      <c r="I17" s="419">
        <v>651.26372500000002</v>
      </c>
      <c r="J17" s="419">
        <v>592.91007500000001</v>
      </c>
      <c r="K17" s="419">
        <v>0</v>
      </c>
      <c r="L17" s="419">
        <v>0</v>
      </c>
      <c r="M17" s="419">
        <v>24772.943650000001</v>
      </c>
    </row>
    <row r="18" spans="3:15" ht="14" hidden="1">
      <c r="C18" s="289"/>
      <c r="D18" s="292"/>
      <c r="E18" s="293"/>
      <c r="F18" s="419"/>
      <c r="G18" s="419"/>
      <c r="H18" s="419"/>
      <c r="I18" s="419"/>
      <c r="J18" s="419"/>
      <c r="K18" s="419"/>
      <c r="L18" s="419"/>
      <c r="M18" s="419"/>
    </row>
    <row r="19" spans="3:15" ht="14" hidden="1">
      <c r="C19" s="289"/>
      <c r="D19" s="292"/>
      <c r="E19" s="291" t="s">
        <v>136</v>
      </c>
      <c r="F19" s="419">
        <v>398.25</v>
      </c>
      <c r="G19" s="419">
        <v>6804.9000000000005</v>
      </c>
      <c r="H19" s="419">
        <v>22746.100000000002</v>
      </c>
      <c r="I19" s="419">
        <v>40135.8125</v>
      </c>
      <c r="J19" s="419">
        <v>49044.862500000003</v>
      </c>
      <c r="K19" s="419">
        <v>33550.412499999999</v>
      </c>
      <c r="L19" s="419">
        <v>9798.4250000000011</v>
      </c>
      <c r="M19" s="419">
        <v>162478.76250000001</v>
      </c>
    </row>
    <row r="20" spans="3:15" ht="14" hidden="1">
      <c r="C20" s="289"/>
      <c r="D20" s="292"/>
      <c r="E20" s="291" t="s">
        <v>126</v>
      </c>
      <c r="F20" s="419">
        <v>204912.89166666666</v>
      </c>
      <c r="G20" s="419">
        <v>735320.88333333342</v>
      </c>
      <c r="H20" s="419">
        <v>1497170.1</v>
      </c>
      <c r="I20" s="419">
        <v>2230572.0333333332</v>
      </c>
      <c r="J20" s="419">
        <v>2648742.1416666671</v>
      </c>
      <c r="K20" s="419">
        <v>1831327.4500000002</v>
      </c>
      <c r="L20" s="419">
        <v>881247.95000000007</v>
      </c>
      <c r="M20" s="419">
        <v>10029293.449999999</v>
      </c>
    </row>
    <row r="21" spans="3:15" ht="14" hidden="1">
      <c r="C21" s="289"/>
      <c r="D21" s="292"/>
      <c r="E21" s="291" t="s">
        <v>138</v>
      </c>
      <c r="F21" s="419">
        <v>205311.14166666666</v>
      </c>
      <c r="G21" s="419">
        <v>742125.78333333344</v>
      </c>
      <c r="H21" s="419">
        <v>1519916.2000000002</v>
      </c>
      <c r="I21" s="419">
        <v>2270707.8458333332</v>
      </c>
      <c r="J21" s="419">
        <v>2697787.0041666669</v>
      </c>
      <c r="K21" s="419">
        <v>1864877.8625000003</v>
      </c>
      <c r="L21" s="419">
        <v>891046.37500000012</v>
      </c>
      <c r="M21" s="419">
        <v>10191772.212499999</v>
      </c>
    </row>
    <row r="22" spans="3:15" ht="14">
      <c r="C22" s="286">
        <v>3</v>
      </c>
      <c r="D22" s="285">
        <v>3.1</v>
      </c>
      <c r="E22" s="291" t="s">
        <v>292</v>
      </c>
      <c r="F22" s="419">
        <v>23278.288575757575</v>
      </c>
      <c r="G22" s="420">
        <v>55953.891901515155</v>
      </c>
      <c r="H22" s="420">
        <v>38951.454113636362</v>
      </c>
      <c r="I22" s="420">
        <v>55717.281901515154</v>
      </c>
      <c r="J22" s="420">
        <v>42941.063007575751</v>
      </c>
      <c r="K22" s="420">
        <v>0</v>
      </c>
      <c r="L22" s="420">
        <v>0</v>
      </c>
      <c r="M22" s="420">
        <v>216841.97950000002</v>
      </c>
    </row>
    <row r="23" spans="3:15" ht="14">
      <c r="C23" s="289"/>
      <c r="D23" s="285">
        <v>3.2</v>
      </c>
      <c r="E23" s="291" t="s">
        <v>293</v>
      </c>
      <c r="F23" s="419">
        <v>23278.288575757575</v>
      </c>
      <c r="G23" s="420">
        <v>63346.391901515155</v>
      </c>
      <c r="H23" s="420">
        <v>54774.579113636362</v>
      </c>
      <c r="I23" s="420">
        <v>76715.406901515147</v>
      </c>
      <c r="J23" s="420">
        <v>42941.063007575751</v>
      </c>
      <c r="K23" s="420">
        <v>0</v>
      </c>
      <c r="L23" s="420">
        <v>0</v>
      </c>
      <c r="M23" s="420">
        <v>261055.72950000002</v>
      </c>
    </row>
    <row r="24" spans="3:15" ht="14">
      <c r="C24" s="289"/>
      <c r="D24" s="285">
        <v>3.3</v>
      </c>
      <c r="E24" s="291" t="s">
        <v>294</v>
      </c>
      <c r="F24" s="419">
        <v>23278.288575757575</v>
      </c>
      <c r="G24" s="420">
        <v>47403.891901515148</v>
      </c>
      <c r="H24" s="420">
        <v>38951.454113636362</v>
      </c>
      <c r="I24" s="420">
        <v>47167.281901515147</v>
      </c>
      <c r="J24" s="420">
        <v>42941.063007575751</v>
      </c>
      <c r="K24" s="420">
        <v>0</v>
      </c>
      <c r="L24" s="420">
        <v>0</v>
      </c>
      <c r="M24" s="420">
        <v>199741.97949999999</v>
      </c>
    </row>
    <row r="25" spans="3:15" ht="14">
      <c r="C25" s="289"/>
      <c r="D25" s="285">
        <v>3.4</v>
      </c>
      <c r="E25" s="291" t="s">
        <v>295</v>
      </c>
      <c r="F25" s="419">
        <v>23278.288575757575</v>
      </c>
      <c r="G25" s="420">
        <v>98738.891901515148</v>
      </c>
      <c r="H25" s="420">
        <v>38951.454113636362</v>
      </c>
      <c r="I25" s="420">
        <v>47167.281901515147</v>
      </c>
      <c r="J25" s="420">
        <v>83501.063007575751</v>
      </c>
      <c r="K25" s="420">
        <v>0</v>
      </c>
      <c r="L25" s="420">
        <v>51335</v>
      </c>
      <c r="M25" s="420">
        <v>342971.97950000002</v>
      </c>
    </row>
    <row r="26" spans="3:15" ht="14" hidden="1">
      <c r="C26" s="289"/>
      <c r="D26" s="292"/>
      <c r="E26" s="287"/>
      <c r="F26" s="419"/>
      <c r="G26" s="419"/>
      <c r="H26" s="419"/>
      <c r="I26" s="419"/>
      <c r="J26" s="419"/>
      <c r="K26" s="419"/>
      <c r="L26" s="419"/>
      <c r="M26" s="419"/>
    </row>
    <row r="27" spans="3:15" ht="14" hidden="1">
      <c r="C27" s="289"/>
      <c r="D27" s="292"/>
      <c r="E27" s="293"/>
      <c r="F27" s="419"/>
      <c r="G27" s="419"/>
      <c r="H27" s="419"/>
      <c r="I27" s="419"/>
      <c r="J27" s="419"/>
      <c r="K27" s="419"/>
      <c r="L27" s="419"/>
      <c r="M27" s="419"/>
    </row>
    <row r="28" spans="3:15" ht="14" hidden="1">
      <c r="C28" s="289"/>
      <c r="D28" s="292"/>
      <c r="E28" s="291" t="s">
        <v>136</v>
      </c>
      <c r="F28" s="419">
        <v>0</v>
      </c>
      <c r="G28" s="419">
        <v>1283.375</v>
      </c>
      <c r="H28" s="419">
        <v>0</v>
      </c>
      <c r="I28" s="419">
        <v>0</v>
      </c>
      <c r="J28" s="419">
        <v>1014</v>
      </c>
      <c r="K28" s="419">
        <v>0</v>
      </c>
      <c r="L28" s="419">
        <v>1283.375</v>
      </c>
      <c r="M28" s="419">
        <v>3580.75</v>
      </c>
    </row>
    <row r="29" spans="3:15" ht="14" hidden="1">
      <c r="C29" s="289"/>
      <c r="D29" s="292"/>
      <c r="E29" s="291" t="s">
        <v>126</v>
      </c>
      <c r="F29" s="419">
        <v>109953.67930303031</v>
      </c>
      <c r="G29" s="419">
        <v>315379.6426060606</v>
      </c>
      <c r="H29" s="419">
        <v>254661.56645454545</v>
      </c>
      <c r="I29" s="419">
        <v>309799.87760606059</v>
      </c>
      <c r="J29" s="419">
        <v>311612.40203030303</v>
      </c>
      <c r="K29" s="419">
        <v>99288.15</v>
      </c>
      <c r="L29" s="419">
        <v>150623.15</v>
      </c>
      <c r="M29" s="419">
        <v>1551318.4679999999</v>
      </c>
      <c r="O29" s="266"/>
    </row>
    <row r="30" spans="3:15" ht="14" hidden="1">
      <c r="C30" s="289"/>
      <c r="D30" s="292"/>
      <c r="E30" s="291" t="s">
        <v>138</v>
      </c>
      <c r="F30" s="419">
        <v>109953.67930303031</v>
      </c>
      <c r="G30" s="419">
        <v>316663.0176060606</v>
      </c>
      <c r="H30" s="419">
        <v>254661.56645454545</v>
      </c>
      <c r="I30" s="419">
        <v>309799.87760606059</v>
      </c>
      <c r="J30" s="419">
        <v>312626.40203030303</v>
      </c>
      <c r="K30" s="419">
        <v>99288.15</v>
      </c>
      <c r="L30" s="419">
        <v>151906.52499999999</v>
      </c>
      <c r="M30" s="419">
        <v>1554899.2179999999</v>
      </c>
      <c r="O30" s="266"/>
    </row>
    <row r="31" spans="3:15" ht="14" hidden="1">
      <c r="C31" s="286"/>
      <c r="D31" s="292"/>
      <c r="E31" s="291" t="s">
        <v>142</v>
      </c>
      <c r="F31" s="419">
        <v>11042.8</v>
      </c>
      <c r="G31" s="419">
        <v>11042.8</v>
      </c>
      <c r="H31" s="419">
        <v>11042.8</v>
      </c>
      <c r="I31" s="419">
        <v>11042.8</v>
      </c>
      <c r="J31" s="419">
        <v>11042.8</v>
      </c>
      <c r="K31" s="419">
        <v>11042.8</v>
      </c>
      <c r="L31" s="419">
        <v>11042.8</v>
      </c>
      <c r="M31" s="419">
        <v>77299.600000000006</v>
      </c>
    </row>
    <row r="32" spans="3:15" ht="14" hidden="1">
      <c r="C32" s="286">
        <v>4</v>
      </c>
      <c r="D32" s="292"/>
      <c r="E32" s="291" t="s">
        <v>268</v>
      </c>
      <c r="F32" s="419">
        <v>28350</v>
      </c>
      <c r="G32" s="419">
        <v>1000</v>
      </c>
      <c r="H32" s="419">
        <v>1000</v>
      </c>
      <c r="I32" s="419">
        <v>1000</v>
      </c>
      <c r="J32" s="419">
        <v>1000</v>
      </c>
      <c r="K32" s="419">
        <v>1000</v>
      </c>
      <c r="L32" s="419">
        <v>123270</v>
      </c>
      <c r="M32" s="419">
        <v>156620</v>
      </c>
    </row>
    <row r="33" spans="3:13" ht="14">
      <c r="C33" s="286">
        <v>4</v>
      </c>
      <c r="D33" s="285">
        <v>4.0999999999999996</v>
      </c>
      <c r="E33" s="418" t="s">
        <v>296</v>
      </c>
      <c r="F33" s="419">
        <v>28350</v>
      </c>
      <c r="G33" s="419">
        <v>0</v>
      </c>
      <c r="H33" s="419">
        <v>0</v>
      </c>
      <c r="I33" s="419">
        <v>0</v>
      </c>
      <c r="J33" s="419">
        <v>0</v>
      </c>
      <c r="K33" s="419">
        <v>0</v>
      </c>
      <c r="L33" s="419">
        <v>0</v>
      </c>
      <c r="M33" s="419">
        <v>28350</v>
      </c>
    </row>
    <row r="34" spans="3:13" ht="14">
      <c r="C34" s="286"/>
      <c r="D34" s="285"/>
      <c r="E34" s="418" t="s">
        <v>297</v>
      </c>
      <c r="F34" s="419">
        <v>0</v>
      </c>
      <c r="G34" s="419">
        <v>18438.5</v>
      </c>
      <c r="H34" s="419">
        <v>18438.5</v>
      </c>
      <c r="I34" s="419">
        <v>35877</v>
      </c>
      <c r="J34" s="419">
        <v>18438.5</v>
      </c>
      <c r="K34" s="419">
        <v>18438.5</v>
      </c>
      <c r="L34" s="419">
        <v>158147</v>
      </c>
      <c r="M34" s="419">
        <v>267778</v>
      </c>
    </row>
    <row r="35" spans="3:13" ht="14">
      <c r="C35" s="286"/>
      <c r="D35" s="285">
        <v>4.2</v>
      </c>
      <c r="E35" s="418" t="s">
        <v>298</v>
      </c>
      <c r="F35" s="419">
        <v>16362.981090909092</v>
      </c>
      <c r="G35" s="419">
        <v>33321.564181818183</v>
      </c>
      <c r="H35" s="419">
        <v>27380.101636363641</v>
      </c>
      <c r="I35" s="419">
        <v>33155.244181818183</v>
      </c>
      <c r="J35" s="419">
        <v>30184.512909090914</v>
      </c>
      <c r="K35" s="419">
        <v>0</v>
      </c>
      <c r="L35" s="419">
        <v>0</v>
      </c>
      <c r="M35" s="419">
        <v>140404.40400000001</v>
      </c>
    </row>
    <row r="36" spans="3:13" ht="14" hidden="1">
      <c r="C36" s="289"/>
      <c r="D36" s="292"/>
      <c r="E36" s="287"/>
      <c r="F36" s="419"/>
      <c r="G36" s="419"/>
      <c r="H36" s="419"/>
      <c r="I36" s="419"/>
      <c r="J36" s="419"/>
      <c r="K36" s="419"/>
      <c r="L36" s="419"/>
      <c r="M36" s="419"/>
    </row>
    <row r="37" spans="3:13" ht="14" hidden="1">
      <c r="C37" s="289"/>
      <c r="D37" s="292"/>
      <c r="E37" s="293"/>
      <c r="F37" s="419"/>
      <c r="G37" s="419"/>
      <c r="H37" s="419"/>
      <c r="I37" s="419"/>
      <c r="J37" s="419"/>
      <c r="K37" s="419"/>
      <c r="L37" s="419"/>
      <c r="M37" s="419"/>
    </row>
    <row r="38" spans="3:13" ht="14" hidden="1">
      <c r="C38" s="289"/>
      <c r="D38" s="292"/>
      <c r="E38" s="293" t="s">
        <v>144</v>
      </c>
      <c r="F38" s="419">
        <v>276.07</v>
      </c>
      <c r="G38" s="419">
        <v>301.07</v>
      </c>
      <c r="H38" s="419">
        <v>301.07</v>
      </c>
      <c r="I38" s="419">
        <v>301.07</v>
      </c>
      <c r="J38" s="419">
        <v>301.07</v>
      </c>
      <c r="K38" s="419">
        <v>301.07</v>
      </c>
      <c r="L38" s="419">
        <v>3357.8199999999997</v>
      </c>
      <c r="M38" s="419">
        <v>5139.2400000000007</v>
      </c>
    </row>
    <row r="39" spans="3:13" ht="14" hidden="1">
      <c r="C39" s="289"/>
      <c r="D39" s="292"/>
      <c r="E39" s="291" t="s">
        <v>145</v>
      </c>
      <c r="F39" s="419">
        <v>65571.906090909091</v>
      </c>
      <c r="G39" s="419">
        <v>74227.739181818179</v>
      </c>
      <c r="H39" s="419">
        <v>87333.526636363647</v>
      </c>
      <c r="I39" s="419">
        <v>93108.669181818186</v>
      </c>
      <c r="J39" s="419">
        <v>99369.062909090921</v>
      </c>
      <c r="K39" s="419">
        <v>69184.55</v>
      </c>
      <c r="L39" s="419">
        <v>191454.55</v>
      </c>
      <c r="M39" s="419">
        <v>680250.00399999996</v>
      </c>
    </row>
    <row r="40" spans="3:13" ht="14" hidden="1">
      <c r="C40" s="289"/>
      <c r="D40" s="292"/>
      <c r="E40" s="293" t="s">
        <v>146</v>
      </c>
      <c r="F40" s="419">
        <v>65847.976090909084</v>
      </c>
      <c r="G40" s="419">
        <v>74528.809181818186</v>
      </c>
      <c r="H40" s="419">
        <v>87634.59663636364</v>
      </c>
      <c r="I40" s="419">
        <v>93409.739181818179</v>
      </c>
      <c r="J40" s="419">
        <v>99670.132909090928</v>
      </c>
      <c r="K40" s="419">
        <v>69485.62000000001</v>
      </c>
      <c r="L40" s="419">
        <v>194812.37</v>
      </c>
      <c r="M40" s="419">
        <v>685389.24399999995</v>
      </c>
    </row>
    <row r="41" spans="3:13" ht="14" hidden="1">
      <c r="C41" s="286" t="s">
        <v>267</v>
      </c>
      <c r="D41" s="292"/>
      <c r="E41" s="293" t="s">
        <v>143</v>
      </c>
      <c r="F41" s="419">
        <v>159200</v>
      </c>
      <c r="G41" s="419">
        <v>159200</v>
      </c>
      <c r="H41" s="419">
        <v>63200</v>
      </c>
      <c r="I41" s="419">
        <v>127200</v>
      </c>
      <c r="J41" s="419">
        <v>63200</v>
      </c>
      <c r="K41" s="419">
        <v>31200</v>
      </c>
      <c r="L41" s="419">
        <v>63200</v>
      </c>
      <c r="M41" s="419">
        <v>666400</v>
      </c>
    </row>
    <row r="42" spans="3:13" ht="14" hidden="1">
      <c r="C42" s="289"/>
      <c r="D42" s="292"/>
      <c r="E42" s="291" t="s">
        <v>136</v>
      </c>
      <c r="F42" s="419">
        <v>3680</v>
      </c>
      <c r="G42" s="419">
        <v>3680</v>
      </c>
      <c r="H42" s="419">
        <v>1280</v>
      </c>
      <c r="I42" s="419">
        <v>2880</v>
      </c>
      <c r="J42" s="419">
        <v>1280</v>
      </c>
      <c r="K42" s="419">
        <v>480</v>
      </c>
      <c r="L42" s="419">
        <v>1280</v>
      </c>
      <c r="M42" s="419">
        <v>14560</v>
      </c>
    </row>
    <row r="43" spans="3:13" ht="14" hidden="1">
      <c r="C43" s="289"/>
      <c r="D43" s="292"/>
      <c r="E43" s="291" t="s">
        <v>126</v>
      </c>
      <c r="F43" s="419">
        <v>159200</v>
      </c>
      <c r="G43" s="419">
        <v>159200</v>
      </c>
      <c r="H43" s="419">
        <v>63200</v>
      </c>
      <c r="I43" s="419">
        <v>127200</v>
      </c>
      <c r="J43" s="419">
        <v>63200</v>
      </c>
      <c r="K43" s="419">
        <v>31200</v>
      </c>
      <c r="L43" s="419">
        <v>63200</v>
      </c>
      <c r="M43" s="419">
        <v>666400</v>
      </c>
    </row>
    <row r="44" spans="3:13" ht="14" hidden="1">
      <c r="C44" s="289"/>
      <c r="D44" s="292"/>
      <c r="E44" s="291" t="s">
        <v>138</v>
      </c>
      <c r="F44" s="419">
        <v>162880</v>
      </c>
      <c r="G44" s="419">
        <v>162880</v>
      </c>
      <c r="H44" s="419">
        <v>64480</v>
      </c>
      <c r="I44" s="419">
        <v>130080</v>
      </c>
      <c r="J44" s="419">
        <v>64480</v>
      </c>
      <c r="K44" s="419">
        <v>31680</v>
      </c>
      <c r="L44" s="419">
        <v>64480</v>
      </c>
      <c r="M44" s="419">
        <v>680960</v>
      </c>
    </row>
    <row r="45" spans="3:13" ht="14">
      <c r="C45" s="286" t="s">
        <v>267</v>
      </c>
      <c r="D45" s="416"/>
      <c r="E45" s="417" t="s">
        <v>270</v>
      </c>
      <c r="F45" s="421">
        <v>129022.15</v>
      </c>
      <c r="G45" s="421">
        <v>151878.85</v>
      </c>
      <c r="H45" s="421">
        <v>124735.55</v>
      </c>
      <c r="I45" s="421">
        <v>149735.54999999999</v>
      </c>
      <c r="J45" s="421">
        <v>135812.9</v>
      </c>
      <c r="K45" s="421">
        <v>110812.9</v>
      </c>
      <c r="L45" s="421">
        <v>110812.9</v>
      </c>
      <c r="M45" s="421">
        <v>912810.79999999993</v>
      </c>
    </row>
    <row r="46" spans="3:13" ht="14">
      <c r="C46" s="415"/>
      <c r="D46" s="416"/>
      <c r="E46" s="417" t="s">
        <v>269</v>
      </c>
      <c r="F46" s="421">
        <v>7360.2449999998789</v>
      </c>
      <c r="G46" s="421">
        <v>23256.750000000233</v>
      </c>
      <c r="H46" s="421">
        <v>39955.060000000522</v>
      </c>
      <c r="I46" s="421">
        <v>60220.05999999959</v>
      </c>
      <c r="J46" s="421">
        <v>59055.522500000428</v>
      </c>
      <c r="K46" s="421">
        <v>37683.295000000158</v>
      </c>
      <c r="L46" s="421">
        <v>15791.545000000042</v>
      </c>
      <c r="M46" s="421">
        <v>243322.47749999724</v>
      </c>
    </row>
    <row r="47" spans="3:13" ht="14">
      <c r="C47" s="415"/>
      <c r="D47" s="416"/>
      <c r="E47" s="417"/>
      <c r="F47" s="421"/>
      <c r="G47" s="421"/>
      <c r="H47" s="421"/>
      <c r="I47" s="421"/>
      <c r="J47" s="421"/>
      <c r="K47" s="421"/>
      <c r="L47" s="421"/>
      <c r="M47" s="421"/>
    </row>
    <row r="48" spans="3:13" ht="13.5" thickBot="1">
      <c r="C48" s="299"/>
      <c r="D48" s="299"/>
      <c r="E48" s="299"/>
      <c r="F48" s="422"/>
      <c r="G48" s="422"/>
      <c r="H48" s="422"/>
      <c r="I48" s="422"/>
      <c r="J48" s="422"/>
      <c r="K48" s="422"/>
      <c r="L48" s="422"/>
      <c r="M48" s="422"/>
    </row>
    <row r="49" spans="3:14" ht="14">
      <c r="C49" s="296"/>
      <c r="D49" s="297"/>
      <c r="E49" s="298" t="s">
        <v>91</v>
      </c>
      <c r="F49" s="423">
        <v>763844.33787878801</v>
      </c>
      <c r="G49" s="423">
        <v>1931969.1257575757</v>
      </c>
      <c r="H49" s="423">
        <v>2585425.4568181816</v>
      </c>
      <c r="I49" s="423">
        <v>3555803.8507575756</v>
      </c>
      <c r="J49" s="423">
        <v>3446869.8787878784</v>
      </c>
      <c r="K49" s="423">
        <v>1873301.9</v>
      </c>
      <c r="L49" s="423">
        <v>997631.9</v>
      </c>
      <c r="M49" s="423">
        <v>15154846.450000001</v>
      </c>
    </row>
    <row r="50" spans="3:14" ht="14">
      <c r="C50" s="289"/>
      <c r="D50" s="289"/>
      <c r="E50" s="294" t="s">
        <v>137</v>
      </c>
      <c r="F50" s="419">
        <v>771204.58287878789</v>
      </c>
      <c r="G50" s="419">
        <v>1955225.875757576</v>
      </c>
      <c r="H50" s="419">
        <v>2625380.5168181821</v>
      </c>
      <c r="I50" s="419">
        <v>3616023.9107575752</v>
      </c>
      <c r="J50" s="419">
        <v>3505925.4012878789</v>
      </c>
      <c r="K50" s="419">
        <v>1910985.1950000001</v>
      </c>
      <c r="L50" s="419">
        <v>1013423.4450000001</v>
      </c>
      <c r="M50" s="419">
        <v>15398168.927499998</v>
      </c>
    </row>
    <row r="51" spans="3:14">
      <c r="N51" s="271"/>
    </row>
    <row r="52" spans="3:14">
      <c r="F52" s="271"/>
    </row>
  </sheetData>
  <phoneticPr fontId="1"/>
  <pageMargins left="3.937007874015748E-2" right="3.937007874015748E-2" top="0.74803149606299213" bottom="0.74803149606299213" header="0.31496062992125984" footer="0.31496062992125984"/>
  <pageSetup paperSize="8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AF92"/>
  <sheetViews>
    <sheetView tabSelected="1" view="pageBreakPreview" zoomScale="85" zoomScaleNormal="40" zoomScaleSheetLayoutView="85" workbookViewId="0">
      <pane ySplit="1" topLeftCell="A2" activePane="bottomLeft" state="frozen"/>
      <selection activeCell="B7" sqref="B7"/>
      <selection pane="bottomLeft" activeCell="B3" sqref="B3"/>
    </sheetView>
  </sheetViews>
  <sheetFormatPr defaultColWidth="9" defaultRowHeight="14"/>
  <cols>
    <col min="1" max="1" width="11.08984375" style="39" customWidth="1"/>
    <col min="2" max="2" width="27.1796875" style="1" customWidth="1"/>
    <col min="3" max="3" width="27.90625" style="1" customWidth="1"/>
    <col min="4" max="4" width="14.08984375" style="1" customWidth="1"/>
    <col min="5" max="5" width="18.08984375" style="1" customWidth="1"/>
    <col min="6" max="6" width="12.54296875" style="1" customWidth="1"/>
    <col min="7" max="7" width="6.453125" style="1" customWidth="1"/>
    <col min="8" max="8" width="7.36328125" style="1" bestFit="1" customWidth="1"/>
    <col min="9" max="9" width="6.453125" style="1" customWidth="1"/>
    <col min="10" max="26" width="6.453125" style="6" customWidth="1"/>
    <col min="27" max="16384" width="9" style="1"/>
  </cols>
  <sheetData>
    <row r="1" spans="1:32" ht="7.25" customHeight="1"/>
    <row r="2" spans="1:32" ht="17" customHeight="1">
      <c r="A2" s="40" t="s">
        <v>147</v>
      </c>
    </row>
    <row r="3" spans="1:32" ht="17" customHeight="1">
      <c r="A3" s="70"/>
    </row>
    <row r="4" spans="1:32">
      <c r="A4" s="437" t="s">
        <v>45</v>
      </c>
      <c r="B4" s="439" t="s">
        <v>6</v>
      </c>
      <c r="C4" s="440"/>
      <c r="D4" s="443"/>
      <c r="E4" s="439" t="s">
        <v>4</v>
      </c>
      <c r="F4" s="433" t="s">
        <v>246</v>
      </c>
      <c r="G4" s="435" t="s">
        <v>7</v>
      </c>
      <c r="H4" s="436"/>
      <c r="I4" s="436"/>
      <c r="J4" s="436"/>
      <c r="K4" s="436"/>
      <c r="L4" s="436"/>
      <c r="M4" s="436"/>
      <c r="N4" s="436"/>
      <c r="O4" s="436"/>
      <c r="P4" s="436"/>
      <c r="Q4" s="436"/>
      <c r="R4" s="436"/>
      <c r="S4" s="436"/>
      <c r="T4" s="436"/>
      <c r="U4" s="436"/>
      <c r="V4" s="436"/>
      <c r="W4" s="436"/>
      <c r="X4" s="436"/>
      <c r="Y4" s="436"/>
      <c r="Z4" s="436"/>
    </row>
    <row r="5" spans="1:32" s="2" customFormat="1" ht="14.25" customHeight="1" thickBot="1">
      <c r="A5" s="438"/>
      <c r="B5" s="441"/>
      <c r="C5" s="442"/>
      <c r="D5" s="444"/>
      <c r="E5" s="441"/>
      <c r="F5" s="434"/>
      <c r="G5" s="254">
        <v>2021</v>
      </c>
      <c r="H5" s="86">
        <v>2022</v>
      </c>
      <c r="I5" s="86">
        <v>2023</v>
      </c>
      <c r="J5" s="86">
        <v>2024</v>
      </c>
      <c r="K5" s="85">
        <v>2025</v>
      </c>
      <c r="L5" s="86">
        <v>2026</v>
      </c>
      <c r="M5" s="86">
        <v>2027</v>
      </c>
      <c r="N5" s="86">
        <v>2028</v>
      </c>
      <c r="O5" s="86">
        <v>2029</v>
      </c>
      <c r="P5" s="86">
        <v>2030</v>
      </c>
      <c r="Q5" s="86">
        <v>2031</v>
      </c>
      <c r="R5" s="86">
        <v>2032</v>
      </c>
      <c r="S5" s="86">
        <v>2033</v>
      </c>
      <c r="T5" s="86">
        <v>2034</v>
      </c>
      <c r="U5" s="86">
        <v>2035</v>
      </c>
      <c r="V5" s="86">
        <v>2036</v>
      </c>
      <c r="W5" s="86">
        <v>2037</v>
      </c>
      <c r="X5" s="86">
        <v>2038</v>
      </c>
      <c r="Y5" s="86">
        <v>2039</v>
      </c>
      <c r="Z5" s="86">
        <v>2040</v>
      </c>
      <c r="AF5" s="1"/>
    </row>
    <row r="6" spans="1:32" ht="14.5" thickBot="1">
      <c r="A6" s="427" t="s">
        <v>46</v>
      </c>
      <c r="B6" s="87" t="s">
        <v>0</v>
      </c>
      <c r="C6" s="88"/>
      <c r="D6" s="89"/>
      <c r="E6" s="142">
        <f>SUM(G6:Z6)</f>
        <v>-6877500.2901322404</v>
      </c>
      <c r="F6" s="143">
        <f t="shared" ref="F6:F16" si="0">G6+NPV(0.1187,H6:Z6)</f>
        <v>-4658714.1769094709</v>
      </c>
      <c r="G6" s="144">
        <f t="shared" ref="G6:Z6" si="1">SUM(G7:G11)</f>
        <v>-315136.1285208927</v>
      </c>
      <c r="H6" s="145">
        <f t="shared" si="1"/>
        <v>-798023.78889856534</v>
      </c>
      <c r="I6" s="145">
        <f t="shared" si="1"/>
        <v>-1069901.1166074141</v>
      </c>
      <c r="J6" s="145">
        <f t="shared" si="1"/>
        <v>-1476241.539283117</v>
      </c>
      <c r="K6" s="145">
        <f t="shared" si="1"/>
        <v>-1431307.946053281</v>
      </c>
      <c r="L6" s="145">
        <f t="shared" si="1"/>
        <v>-781517.37126391102</v>
      </c>
      <c r="M6" s="145">
        <f t="shared" si="1"/>
        <v>-413085.83029411768</v>
      </c>
      <c r="N6" s="145">
        <f t="shared" si="1"/>
        <v>-45560.505323918878</v>
      </c>
      <c r="O6" s="145">
        <f t="shared" si="1"/>
        <v>-45560.505323918878</v>
      </c>
      <c r="P6" s="145">
        <f t="shared" si="1"/>
        <v>-45560.505323918878</v>
      </c>
      <c r="Q6" s="145">
        <f t="shared" si="1"/>
        <v>-45560.505323918878</v>
      </c>
      <c r="R6" s="145">
        <f t="shared" si="1"/>
        <v>-45560.505323918878</v>
      </c>
      <c r="S6" s="145">
        <f t="shared" si="1"/>
        <v>-45560.505323918878</v>
      </c>
      <c r="T6" s="145">
        <f t="shared" si="1"/>
        <v>-45560.505323918878</v>
      </c>
      <c r="U6" s="145">
        <f t="shared" si="1"/>
        <v>-45560.505323918878</v>
      </c>
      <c r="V6" s="145">
        <f t="shared" si="1"/>
        <v>-45560.505323918878</v>
      </c>
      <c r="W6" s="145">
        <f t="shared" si="1"/>
        <v>-45560.505323918878</v>
      </c>
      <c r="X6" s="145">
        <f t="shared" si="1"/>
        <v>-45560.505323918878</v>
      </c>
      <c r="Y6" s="145">
        <f t="shared" si="1"/>
        <v>-45560.505323918878</v>
      </c>
      <c r="Z6" s="145">
        <f t="shared" si="1"/>
        <v>-45560.505323918878</v>
      </c>
    </row>
    <row r="7" spans="1:32" ht="14.5" customHeight="1">
      <c r="A7" s="428"/>
      <c r="B7" s="79"/>
      <c r="C7" s="80" t="s">
        <v>299</v>
      </c>
      <c r="D7" s="81" t="s">
        <v>112</v>
      </c>
      <c r="E7" s="146">
        <f>SUM(G7:Z7)</f>
        <v>-1101322.8145942071</v>
      </c>
      <c r="F7" s="147">
        <f t="shared" si="0"/>
        <v>-813277.32319946447</v>
      </c>
      <c r="G7" s="272">
        <f>-Annex3_BudgetPlan!F4*28/68</f>
        <v>-102547.55704701605</v>
      </c>
      <c r="H7" s="261">
        <f>-Annex3_BudgetPlan!G4*28/68</f>
        <v>-253469.52155591449</v>
      </c>
      <c r="I7" s="261">
        <f>-Annex3_BudgetPlan!H4*28/68</f>
        <v>-250575.41229875933</v>
      </c>
      <c r="J7" s="261">
        <f>-Annex3_BudgetPlan!I4*28/68</f>
        <v>-256119.11471356149</v>
      </c>
      <c r="K7" s="261">
        <f>-Annex3_BudgetPlan!J4*28/68</f>
        <v>-85392.707143807493</v>
      </c>
      <c r="L7" s="261">
        <f>-Annex3_BudgetPlan!K4*28/68</f>
        <v>-13258.823529411764</v>
      </c>
      <c r="M7" s="261">
        <f>-Annex3_BudgetPlan!L4*28/68</f>
        <v>-13258.823529411764</v>
      </c>
      <c r="N7" s="273">
        <f>SUM($G$7:$M$7)*0.01</f>
        <v>-9746.2195981788245</v>
      </c>
      <c r="O7" s="273">
        <f t="shared" ref="O7:Y7" si="2">SUM($G$7:$M$7)*0.01</f>
        <v>-9746.2195981788245</v>
      </c>
      <c r="P7" s="273">
        <f t="shared" si="2"/>
        <v>-9746.2195981788245</v>
      </c>
      <c r="Q7" s="273">
        <f t="shared" si="2"/>
        <v>-9746.2195981788245</v>
      </c>
      <c r="R7" s="273">
        <f t="shared" si="2"/>
        <v>-9746.2195981788245</v>
      </c>
      <c r="S7" s="274">
        <f t="shared" si="2"/>
        <v>-9746.2195981788245</v>
      </c>
      <c r="T7" s="274">
        <f t="shared" si="2"/>
        <v>-9746.2195981788245</v>
      </c>
      <c r="U7" s="274">
        <f t="shared" si="2"/>
        <v>-9746.2195981788245</v>
      </c>
      <c r="V7" s="274">
        <f t="shared" si="2"/>
        <v>-9746.2195981788245</v>
      </c>
      <c r="W7" s="274">
        <f t="shared" si="2"/>
        <v>-9746.2195981788245</v>
      </c>
      <c r="X7" s="274">
        <f t="shared" si="2"/>
        <v>-9746.2195981788245</v>
      </c>
      <c r="Y7" s="274">
        <f t="shared" si="2"/>
        <v>-9746.2195981788245</v>
      </c>
      <c r="Z7" s="274">
        <f>SUM($G$7:$M$7)*0.01</f>
        <v>-9746.2195981788245</v>
      </c>
    </row>
    <row r="8" spans="1:32" ht="14.5" customHeight="1">
      <c r="A8" s="428"/>
      <c r="B8" s="79"/>
      <c r="C8" s="80" t="s">
        <v>300</v>
      </c>
      <c r="D8" s="81" t="s">
        <v>119</v>
      </c>
      <c r="E8" s="146">
        <f t="shared" ref="E8:E9" si="3">SUM(G8:Z8)</f>
        <v>-566963.28111959982</v>
      </c>
      <c r="F8" s="147">
        <f t="shared" si="0"/>
        <v>-388859.43274762837</v>
      </c>
      <c r="G8" s="276">
        <f>-Annex3_BudgetPlan!F5*30/74</f>
        <v>-33447.682958034398</v>
      </c>
      <c r="H8" s="152">
        <f>-Annex3_BudgetPlan!G5*30/74</f>
        <v>-69884.64556525799</v>
      </c>
      <c r="I8" s="152">
        <f>-Annex3_BudgetPlan!H5*30/74</f>
        <v>-93665.565553267807</v>
      </c>
      <c r="J8" s="152">
        <f>-Annex3_BudgetPlan!I5*30/74</f>
        <v>-131930.88277606881</v>
      </c>
      <c r="K8" s="152">
        <f>-Annex3_BudgetPlan!J5*30/74</f>
        <v>-128282.96439169534</v>
      </c>
      <c r="L8" s="152">
        <f>-Annex3_BudgetPlan!K5*30/74</f>
        <v>-44525.675675675673</v>
      </c>
      <c r="M8" s="152">
        <f>-Annex3_BudgetPlan!L5*30/74</f>
        <v>0</v>
      </c>
      <c r="N8" s="275">
        <f>SUM($G$8:$M$8)*0.01</f>
        <v>-5017.3741692000003</v>
      </c>
      <c r="O8" s="275">
        <f t="shared" ref="O8:Z8" si="4">SUM($G$8:$M$8)*0.01</f>
        <v>-5017.3741692000003</v>
      </c>
      <c r="P8" s="275">
        <f t="shared" si="4"/>
        <v>-5017.3741692000003</v>
      </c>
      <c r="Q8" s="275">
        <f t="shared" si="4"/>
        <v>-5017.3741692000003</v>
      </c>
      <c r="R8" s="275">
        <f t="shared" si="4"/>
        <v>-5017.3741692000003</v>
      </c>
      <c r="S8" s="275">
        <f t="shared" si="4"/>
        <v>-5017.3741692000003</v>
      </c>
      <c r="T8" s="275">
        <f t="shared" si="4"/>
        <v>-5017.3741692000003</v>
      </c>
      <c r="U8" s="275">
        <f t="shared" si="4"/>
        <v>-5017.3741692000003</v>
      </c>
      <c r="V8" s="275">
        <f t="shared" si="4"/>
        <v>-5017.3741692000003</v>
      </c>
      <c r="W8" s="275">
        <f t="shared" si="4"/>
        <v>-5017.3741692000003</v>
      </c>
      <c r="X8" s="275">
        <f t="shared" si="4"/>
        <v>-5017.3741692000003</v>
      </c>
      <c r="Y8" s="275">
        <f t="shared" si="4"/>
        <v>-5017.3741692000003</v>
      </c>
      <c r="Z8" s="275">
        <f t="shared" si="4"/>
        <v>-5017.3741692000003</v>
      </c>
    </row>
    <row r="9" spans="1:32" ht="14.5" customHeight="1">
      <c r="A9" s="428"/>
      <c r="B9" s="79"/>
      <c r="C9" s="80" t="s">
        <v>301</v>
      </c>
      <c r="D9" s="81" t="s">
        <v>123</v>
      </c>
      <c r="E9" s="146">
        <f t="shared" si="3"/>
        <v>-276416.56221873121</v>
      </c>
      <c r="F9" s="147">
        <f t="shared" si="0"/>
        <v>-183440.37371686928</v>
      </c>
      <c r="G9" s="264">
        <f>-Annex3_BudgetPlan!F6*4.83/14</f>
        <v>-9787.2132555927274</v>
      </c>
      <c r="H9" s="275">
        <f>-Annex3_BudgetPlan!G6*4.83/14</f>
        <v>-30864.828786305454</v>
      </c>
      <c r="I9" s="275">
        <f>-Annex3_BudgetPlan!H6*4.83/14</f>
        <v>-49961.821306189093</v>
      </c>
      <c r="J9" s="275">
        <f>-Annex3_BudgetPlan!I6*4.83/14</f>
        <v>-54981.035567105457</v>
      </c>
      <c r="K9" s="275">
        <f>-Annex3_BudgetPlan!J6*4.83/14</f>
        <v>-53204.14782704728</v>
      </c>
      <c r="L9" s="275">
        <f>-Annex3_BudgetPlan!K6*4.83/14</f>
        <v>-24082.38</v>
      </c>
      <c r="M9" s="275">
        <f>-Annex3_BudgetPlan!L6*4.83/14</f>
        <v>-21735</v>
      </c>
      <c r="N9" s="275">
        <f>SUM($G$9:$M$9)*0.01</f>
        <v>-2446.1642674223999</v>
      </c>
      <c r="O9" s="275">
        <f t="shared" ref="O9:Z9" si="5">SUM($G$9:$M$9)*0.01</f>
        <v>-2446.1642674223999</v>
      </c>
      <c r="P9" s="275">
        <f t="shared" si="5"/>
        <v>-2446.1642674223999</v>
      </c>
      <c r="Q9" s="275">
        <f t="shared" si="5"/>
        <v>-2446.1642674223999</v>
      </c>
      <c r="R9" s="275">
        <f t="shared" si="5"/>
        <v>-2446.1642674223999</v>
      </c>
      <c r="S9" s="275">
        <f t="shared" si="5"/>
        <v>-2446.1642674223999</v>
      </c>
      <c r="T9" s="275">
        <f t="shared" si="5"/>
        <v>-2446.1642674223999</v>
      </c>
      <c r="U9" s="275">
        <f t="shared" si="5"/>
        <v>-2446.1642674223999</v>
      </c>
      <c r="V9" s="275">
        <f t="shared" si="5"/>
        <v>-2446.1642674223999</v>
      </c>
      <c r="W9" s="275">
        <f t="shared" si="5"/>
        <v>-2446.1642674223999</v>
      </c>
      <c r="X9" s="275">
        <f t="shared" si="5"/>
        <v>-2446.1642674223999</v>
      </c>
      <c r="Y9" s="275">
        <f t="shared" si="5"/>
        <v>-2446.1642674223999</v>
      </c>
      <c r="Z9" s="275">
        <f t="shared" si="5"/>
        <v>-2446.1642674223999</v>
      </c>
    </row>
    <row r="10" spans="1:32">
      <c r="A10" s="428"/>
      <c r="B10" s="3"/>
      <c r="C10" s="80" t="s">
        <v>302</v>
      </c>
      <c r="D10" s="10" t="s">
        <v>112</v>
      </c>
      <c r="E10" s="150">
        <f t="shared" ref="E10:E11" si="6">SUM(G10:Z10)</f>
        <v>-3203634.4436702919</v>
      </c>
      <c r="F10" s="147">
        <f t="shared" si="0"/>
        <v>-2045170.0594693189</v>
      </c>
      <c r="G10" s="276">
        <f>-Annex3_BudgetPlan!F13*28/68</f>
        <v>-31797.357666666659</v>
      </c>
      <c r="H10" s="152">
        <f>-Annex3_BudgetPlan!G13*28/68</f>
        <v>-204243.68420098038</v>
      </c>
      <c r="I10" s="152">
        <f>-Annex3_BudgetPlan!H13*28/68</f>
        <v>-471214.85774999997</v>
      </c>
      <c r="J10" s="152">
        <f>-Annex3_BudgetPlan!I13*28/68</f>
        <v>-715774.85655392159</v>
      </c>
      <c r="K10" s="152">
        <f>-Annex3_BudgetPlan!J13*28/68</f>
        <v>-787432.53156372556</v>
      </c>
      <c r="L10" s="152">
        <f>-Annex3_BudgetPlan!K13*28/68</f>
        <v>-464098.5588235294</v>
      </c>
      <c r="M10" s="152">
        <f>-Annex3_BudgetPlan!L13*28/68</f>
        <v>-160512.88235294117</v>
      </c>
      <c r="N10" s="149">
        <f>SUM($G$10:$M$10)*0.01</f>
        <v>-28350.747289117655</v>
      </c>
      <c r="O10" s="149">
        <f t="shared" ref="O10:Z10" si="7">SUM($G$10:$M$10)*0.01</f>
        <v>-28350.747289117655</v>
      </c>
      <c r="P10" s="149">
        <f t="shared" si="7"/>
        <v>-28350.747289117655</v>
      </c>
      <c r="Q10" s="149">
        <f t="shared" si="7"/>
        <v>-28350.747289117655</v>
      </c>
      <c r="R10" s="149">
        <f t="shared" si="7"/>
        <v>-28350.747289117655</v>
      </c>
      <c r="S10" s="149">
        <f t="shared" si="7"/>
        <v>-28350.747289117655</v>
      </c>
      <c r="T10" s="149">
        <f t="shared" si="7"/>
        <v>-28350.747289117655</v>
      </c>
      <c r="U10" s="149">
        <f t="shared" si="7"/>
        <v>-28350.747289117655</v>
      </c>
      <c r="V10" s="149">
        <f t="shared" si="7"/>
        <v>-28350.747289117655</v>
      </c>
      <c r="W10" s="149">
        <f t="shared" si="7"/>
        <v>-28350.747289117655</v>
      </c>
      <c r="X10" s="149">
        <f t="shared" si="7"/>
        <v>-28350.747289117655</v>
      </c>
      <c r="Y10" s="149">
        <f t="shared" si="7"/>
        <v>-28350.747289117655</v>
      </c>
      <c r="Z10" s="149">
        <f t="shared" si="7"/>
        <v>-28350.747289117655</v>
      </c>
    </row>
    <row r="11" spans="1:32" ht="14.5" thickBot="1">
      <c r="A11" s="428"/>
      <c r="B11" s="76"/>
      <c r="C11" s="77" t="s">
        <v>2</v>
      </c>
      <c r="D11" s="277"/>
      <c r="E11" s="153">
        <f t="shared" si="6"/>
        <v>-1729163.188529412</v>
      </c>
      <c r="F11" s="147">
        <f t="shared" si="0"/>
        <v>-1227966.98777619</v>
      </c>
      <c r="G11" s="154">
        <f>-(Annex3_BudgetPlan!F50-Annex3_BudgetPlan!F4-Annex3_BudgetPlan!F5-Annex3_BudgetPlan!F6-Annex3_BudgetPlan!F13)*28/68</f>
        <v>-137556.31759358291</v>
      </c>
      <c r="H11" s="263">
        <f>-(Annex3_BudgetPlan!G50-Annex3_BudgetPlan!G4-Annex3_BudgetPlan!G5-Annex3_BudgetPlan!G6-Annex3_BudgetPlan!G13)*28/68</f>
        <v>-239561.10879010713</v>
      </c>
      <c r="I11" s="263">
        <f>-(Annex3_BudgetPlan!H50-Annex3_BudgetPlan!H4-Annex3_BudgetPlan!H5-Annex3_BudgetPlan!H6-Annex3_BudgetPlan!H13)*28/68</f>
        <v>-204483.45969919799</v>
      </c>
      <c r="J11" s="263">
        <f>-(Annex3_BudgetPlan!I50-Annex3_BudgetPlan!I4-Annex3_BudgetPlan!I5-Annex3_BudgetPlan!I6-Annex3_BudgetPlan!I13)*28/68</f>
        <v>-317435.64967245958</v>
      </c>
      <c r="K11" s="263">
        <f>-(Annex3_BudgetPlan!J50-Annex3_BudgetPlan!J4-Annex3_BudgetPlan!J5-Annex3_BudgetPlan!J6-Annex3_BudgetPlan!J13)*28/68</f>
        <v>-376995.59512700536</v>
      </c>
      <c r="L11" s="263">
        <f>-(Annex3_BudgetPlan!K50-Annex3_BudgetPlan!K4-Annex3_BudgetPlan!K5-Annex3_BudgetPlan!K6-Annex3_BudgetPlan!K13)*28/68</f>
        <v>-235551.93323529413</v>
      </c>
      <c r="M11" s="280">
        <f>-(Annex3_BudgetPlan!L50-Annex3_BudgetPlan!L4-Annex3_BudgetPlan!L5-Annex3_BudgetPlan!L6-Annex3_BudgetPlan!L13)*28/68</f>
        <v>-217579.12441176473</v>
      </c>
      <c r="N11" s="172">
        <v>0</v>
      </c>
      <c r="O11" s="172">
        <v>0</v>
      </c>
      <c r="P11" s="172">
        <v>0</v>
      </c>
      <c r="Q11" s="172">
        <v>0</v>
      </c>
      <c r="R11" s="172">
        <v>0</v>
      </c>
      <c r="S11" s="172">
        <v>0</v>
      </c>
      <c r="T11" s="172">
        <v>0</v>
      </c>
      <c r="U11" s="172">
        <v>0</v>
      </c>
      <c r="V11" s="172">
        <v>0</v>
      </c>
      <c r="W11" s="172">
        <v>0</v>
      </c>
      <c r="X11" s="172">
        <v>0</v>
      </c>
      <c r="Y11" s="172">
        <v>0</v>
      </c>
      <c r="Z11" s="172">
        <v>0</v>
      </c>
    </row>
    <row r="12" spans="1:32" ht="14.5" thickBot="1">
      <c r="A12" s="428"/>
      <c r="B12" s="82" t="s">
        <v>1</v>
      </c>
      <c r="C12" s="83"/>
      <c r="D12" s="84"/>
      <c r="E12" s="155">
        <f t="shared" ref="E12:E16" si="8">SUM(G12:Z12)</f>
        <v>25506510</v>
      </c>
      <c r="F12" s="251">
        <f t="shared" si="0"/>
        <v>7891516.8209394049</v>
      </c>
      <c r="G12" s="175">
        <f>SUM(G13:G15)</f>
        <v>0</v>
      </c>
      <c r="H12" s="158">
        <f>SUM(H13:H15)</f>
        <v>24541</v>
      </c>
      <c r="I12" s="158">
        <f>SUM(I13:I15)</f>
        <v>114815</v>
      </c>
      <c r="J12" s="158">
        <f t="shared" ref="J12:Z12" si="9">SUM(J13:J15)</f>
        <v>351695</v>
      </c>
      <c r="K12" s="158">
        <f t="shared" si="9"/>
        <v>768588</v>
      </c>
      <c r="L12" s="158">
        <f t="shared" si="9"/>
        <v>1245886</v>
      </c>
      <c r="M12" s="158">
        <f t="shared" si="9"/>
        <v>1598103</v>
      </c>
      <c r="N12" s="158">
        <f t="shared" si="9"/>
        <v>1726495</v>
      </c>
      <c r="O12" s="158">
        <f t="shared" si="9"/>
        <v>1736894</v>
      </c>
      <c r="P12" s="158">
        <f t="shared" si="9"/>
        <v>1718429</v>
      </c>
      <c r="Q12" s="158">
        <f t="shared" si="9"/>
        <v>1697747</v>
      </c>
      <c r="R12" s="158">
        <f t="shared" si="9"/>
        <v>1679399</v>
      </c>
      <c r="S12" s="158">
        <f t="shared" si="9"/>
        <v>1661168</v>
      </c>
      <c r="T12" s="158">
        <f t="shared" si="9"/>
        <v>1644400</v>
      </c>
      <c r="U12" s="158">
        <f t="shared" si="9"/>
        <v>1628387</v>
      </c>
      <c r="V12" s="158">
        <f t="shared" si="9"/>
        <v>1612144</v>
      </c>
      <c r="W12" s="158">
        <f t="shared" si="9"/>
        <v>1595781</v>
      </c>
      <c r="X12" s="158">
        <f t="shared" si="9"/>
        <v>1581642</v>
      </c>
      <c r="Y12" s="158">
        <f t="shared" si="9"/>
        <v>1567151</v>
      </c>
      <c r="Z12" s="158">
        <f t="shared" si="9"/>
        <v>1553245</v>
      </c>
    </row>
    <row r="13" spans="1:32">
      <c r="A13" s="428"/>
      <c r="B13" s="3" t="s">
        <v>49</v>
      </c>
      <c r="C13" s="80"/>
      <c r="D13" s="81"/>
      <c r="E13" s="146">
        <f t="shared" si="8"/>
        <v>7806212</v>
      </c>
      <c r="F13" s="147">
        <f t="shared" si="0"/>
        <v>2591200.08138109</v>
      </c>
      <c r="G13" s="255">
        <f>Annex5_BnefitGHG!D88</f>
        <v>0</v>
      </c>
      <c r="H13" s="148">
        <f>Annex5_BnefitGHG!D89</f>
        <v>24541</v>
      </c>
      <c r="I13" s="148">
        <f>Annex5_BnefitGHG!D90</f>
        <v>85895</v>
      </c>
      <c r="J13" s="148">
        <f>Annex5_BnefitGHG!D91</f>
        <v>182015</v>
      </c>
      <c r="K13" s="148">
        <f>Annex5_BnefitGHG!D92</f>
        <v>306768</v>
      </c>
      <c r="L13" s="148">
        <f>Annex5_BnefitGHG!D93</f>
        <v>425386</v>
      </c>
      <c r="M13" s="148">
        <f>Annex5_BnefitGHG!D94</f>
        <v>513324</v>
      </c>
      <c r="N13" s="148">
        <f>Annex5_BnefitGHG!D95</f>
        <v>562407</v>
      </c>
      <c r="O13" s="148">
        <f>Annex5_BnefitGHG!D96</f>
        <v>572631</v>
      </c>
      <c r="P13" s="148">
        <f>Annex5_BnefitGHG!D97</f>
        <v>554225</v>
      </c>
      <c r="Q13" s="148">
        <f>Annex5_BnefitGHG!D98</f>
        <v>533776</v>
      </c>
      <c r="R13" s="148">
        <f>Annex5_BnefitGHG!D99</f>
        <v>515370</v>
      </c>
      <c r="S13" s="148">
        <f>Annex5_BnefitGHG!D100</f>
        <v>496964</v>
      </c>
      <c r="T13" s="148">
        <f>Annex5_BnefitGHG!D101</f>
        <v>480604</v>
      </c>
      <c r="U13" s="148">
        <f>Annex5_BnefitGHG!D102</f>
        <v>464241</v>
      </c>
      <c r="V13" s="148">
        <f>Annex5_BnefitGHG!D103</f>
        <v>447881</v>
      </c>
      <c r="W13" s="148">
        <f>Annex5_BnefitGHG!D104</f>
        <v>431518</v>
      </c>
      <c r="X13" s="148">
        <f>Annex5_BnefitGHG!D105</f>
        <v>417204</v>
      </c>
      <c r="Y13" s="148">
        <f>Annex5_BnefitGHG!D106</f>
        <v>402888</v>
      </c>
      <c r="Z13" s="148">
        <f>Annex5_BnefitGHG!D107</f>
        <v>388574</v>
      </c>
    </row>
    <row r="14" spans="1:32">
      <c r="A14" s="428"/>
      <c r="B14" s="3" t="s">
        <v>43</v>
      </c>
      <c r="C14" s="7"/>
      <c r="D14" s="71"/>
      <c r="E14" s="150">
        <f t="shared" si="8"/>
        <v>17652240</v>
      </c>
      <c r="F14" s="151">
        <f t="shared" si="0"/>
        <v>5286998.6253552241</v>
      </c>
      <c r="G14" s="256">
        <f>Annex9_2.3_BenefitAgriculture!C57</f>
        <v>0</v>
      </c>
      <c r="H14" s="152">
        <f>Annex9_2.3_BenefitAgriculture!C58</f>
        <v>0</v>
      </c>
      <c r="I14" s="152">
        <f>Annex9_2.3_BenefitAgriculture!C59</f>
        <v>28920</v>
      </c>
      <c r="J14" s="152">
        <f>Annex9_2.3_BenefitAgriculture!C60</f>
        <v>169680</v>
      </c>
      <c r="K14" s="152">
        <f>Annex9_2.3_BenefitAgriculture!C61</f>
        <v>461820</v>
      </c>
      <c r="L14" s="152">
        <f>Annex9_2.3_BenefitAgriculture!C62</f>
        <v>820500</v>
      </c>
      <c r="M14" s="152">
        <f>Annex9_2.3_BenefitAgriculture!C63</f>
        <v>1079880</v>
      </c>
      <c r="N14" s="161">
        <f>Annex9_2.3_BenefitAgriculture!C64</f>
        <v>1160880</v>
      </c>
      <c r="O14" s="161">
        <f>Annex9_2.3_BenefitAgriculture!C65</f>
        <v>1160880</v>
      </c>
      <c r="P14" s="161">
        <f>Annex9_2.3_BenefitAgriculture!C66</f>
        <v>1160880</v>
      </c>
      <c r="Q14" s="161">
        <f>Annex9_2.3_BenefitAgriculture!C67</f>
        <v>1160880</v>
      </c>
      <c r="R14" s="161">
        <f>Annex9_2.3_BenefitAgriculture!C68</f>
        <v>1160880</v>
      </c>
      <c r="S14" s="161">
        <f>Annex9_2.3_BenefitAgriculture!C69</f>
        <v>1160880</v>
      </c>
      <c r="T14" s="161">
        <f>Annex9_2.3_BenefitAgriculture!C70</f>
        <v>1160880</v>
      </c>
      <c r="U14" s="161">
        <f>Annex9_2.3_BenefitAgriculture!C71</f>
        <v>1160880</v>
      </c>
      <c r="V14" s="161">
        <f>Annex9_2.3_BenefitAgriculture!C72</f>
        <v>1160880</v>
      </c>
      <c r="W14" s="161">
        <f>Annex9_2.3_BenefitAgriculture!C73</f>
        <v>1160880</v>
      </c>
      <c r="X14" s="161">
        <f>Annex9_2.3_BenefitAgriculture!C74</f>
        <v>1160880</v>
      </c>
      <c r="Y14" s="161">
        <f>Annex9_2.3_BenefitAgriculture!C75</f>
        <v>1160880</v>
      </c>
      <c r="Z14" s="161">
        <f>Annex9_2.3_BenefitAgriculture!C76</f>
        <v>1160880</v>
      </c>
    </row>
    <row r="15" spans="1:32">
      <c r="A15" s="428"/>
      <c r="B15" s="3" t="s">
        <v>245</v>
      </c>
      <c r="C15" s="7"/>
      <c r="D15" s="71"/>
      <c r="E15" s="150">
        <f t="shared" si="8"/>
        <v>48058</v>
      </c>
      <c r="F15" s="151">
        <f t="shared" si="0"/>
        <v>13318.114203089222</v>
      </c>
      <c r="G15" s="256">
        <f>Annex9_CarbonOffset!D34</f>
        <v>0</v>
      </c>
      <c r="H15" s="180">
        <f>Annex9_CarbonOffset!D35</f>
        <v>0</v>
      </c>
      <c r="I15" s="180">
        <f>Annex9_CarbonOffset!D36</f>
        <v>0</v>
      </c>
      <c r="J15" s="180">
        <f>Annex9_CarbonOffset!D37</f>
        <v>0</v>
      </c>
      <c r="K15" s="180">
        <f>Annex9_CarbonOffset!D38</f>
        <v>0</v>
      </c>
      <c r="L15" s="180">
        <f>Annex9_CarbonOffset!D39</f>
        <v>0</v>
      </c>
      <c r="M15" s="180">
        <f>Annex9_CarbonOffset!D40</f>
        <v>4899</v>
      </c>
      <c r="N15" s="180">
        <f>Annex9_CarbonOffset!D41</f>
        <v>3208</v>
      </c>
      <c r="O15" s="180">
        <f>Annex9_CarbonOffset!D42</f>
        <v>3383</v>
      </c>
      <c r="P15" s="180">
        <f>Annex9_CarbonOffset!D43</f>
        <v>3324</v>
      </c>
      <c r="Q15" s="180">
        <f>Annex9_CarbonOffset!D44</f>
        <v>3091</v>
      </c>
      <c r="R15" s="180">
        <f>Annex9_CarbonOffset!D45</f>
        <v>3149</v>
      </c>
      <c r="S15" s="180">
        <f>Annex9_CarbonOffset!D46</f>
        <v>3324</v>
      </c>
      <c r="T15" s="180">
        <f>Annex9_CarbonOffset!D47</f>
        <v>2916</v>
      </c>
      <c r="U15" s="180">
        <f>Annex9_CarbonOffset!D48</f>
        <v>3266</v>
      </c>
      <c r="V15" s="180">
        <f>Annex9_CarbonOffset!D49</f>
        <v>3383</v>
      </c>
      <c r="W15" s="180">
        <f>Annex9_CarbonOffset!D50</f>
        <v>3383</v>
      </c>
      <c r="X15" s="180">
        <f>Annex9_CarbonOffset!D51</f>
        <v>3558</v>
      </c>
      <c r="Y15" s="180">
        <f>Annex9_CarbonOffset!D52</f>
        <v>3383</v>
      </c>
      <c r="Z15" s="180">
        <f>Annex9_CarbonOffset!D53</f>
        <v>3791</v>
      </c>
    </row>
    <row r="16" spans="1:32">
      <c r="A16" s="428"/>
      <c r="B16" s="4" t="s">
        <v>3</v>
      </c>
      <c r="C16" s="8"/>
      <c r="D16" s="13"/>
      <c r="E16" s="163">
        <f t="shared" si="8"/>
        <v>18629009.709867757</v>
      </c>
      <c r="F16" s="252">
        <f t="shared" si="0"/>
        <v>3232802.6440299321</v>
      </c>
      <c r="G16" s="257">
        <f t="shared" ref="G16:Z16" si="10">G6+G12</f>
        <v>-315136.1285208927</v>
      </c>
      <c r="H16" s="165">
        <f t="shared" si="10"/>
        <v>-773482.78889856534</v>
      </c>
      <c r="I16" s="165">
        <f t="shared" si="10"/>
        <v>-955086.11660741409</v>
      </c>
      <c r="J16" s="165">
        <f t="shared" si="10"/>
        <v>-1124546.539283117</v>
      </c>
      <c r="K16" s="166">
        <f t="shared" si="10"/>
        <v>-662719.94605328096</v>
      </c>
      <c r="L16" s="166">
        <f t="shared" si="10"/>
        <v>464368.62873608898</v>
      </c>
      <c r="M16" s="166">
        <f t="shared" si="10"/>
        <v>1185017.1697058822</v>
      </c>
      <c r="N16" s="166">
        <f t="shared" si="10"/>
        <v>1680934.4946760812</v>
      </c>
      <c r="O16" s="166">
        <f t="shared" si="10"/>
        <v>1691333.4946760812</v>
      </c>
      <c r="P16" s="166">
        <f t="shared" si="10"/>
        <v>1672868.4946760812</v>
      </c>
      <c r="Q16" s="166">
        <f t="shared" si="10"/>
        <v>1652186.4946760812</v>
      </c>
      <c r="R16" s="166">
        <f t="shared" si="10"/>
        <v>1633838.4946760812</v>
      </c>
      <c r="S16" s="166">
        <f t="shared" si="10"/>
        <v>1615607.4946760812</v>
      </c>
      <c r="T16" s="166">
        <f t="shared" si="10"/>
        <v>1598839.4946760812</v>
      </c>
      <c r="U16" s="166">
        <f t="shared" si="10"/>
        <v>1582826.4946760812</v>
      </c>
      <c r="V16" s="166">
        <f t="shared" si="10"/>
        <v>1566583.4946760812</v>
      </c>
      <c r="W16" s="166">
        <f t="shared" si="10"/>
        <v>1550220.4946760812</v>
      </c>
      <c r="X16" s="166">
        <f t="shared" si="10"/>
        <v>1536081.4946760812</v>
      </c>
      <c r="Y16" s="166">
        <f t="shared" si="10"/>
        <v>1521590.4946760812</v>
      </c>
      <c r="Z16" s="166">
        <f t="shared" si="10"/>
        <v>1507684.4946760812</v>
      </c>
    </row>
    <row r="17" spans="1:26" ht="14.5" thickBot="1">
      <c r="A17" s="429"/>
      <c r="B17" s="76"/>
      <c r="C17" s="90" t="s">
        <v>50</v>
      </c>
      <c r="D17" s="91">
        <f>IRR(G16:Z16, 0.1187)</f>
        <v>0.22727491049189275</v>
      </c>
      <c r="E17" s="167" t="s">
        <v>22</v>
      </c>
      <c r="F17" s="253">
        <f>-F12/F6</f>
        <v>1.6939259463594163</v>
      </c>
      <c r="G17" s="258"/>
      <c r="H17" s="259"/>
      <c r="I17" s="259"/>
      <c r="J17" s="26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</row>
    <row r="18" spans="1:26" ht="14.5" thickBot="1">
      <c r="A18" s="427" t="s">
        <v>47</v>
      </c>
      <c r="B18" s="87" t="s">
        <v>0</v>
      </c>
      <c r="C18" s="88"/>
      <c r="D18" s="89"/>
      <c r="E18" s="142">
        <f t="shared" ref="E18:E23" si="11">SUM(G18:Z18)</f>
        <v>-2797088.5413072552</v>
      </c>
      <c r="F18" s="173">
        <f>G18+NPV(0.1187,H18:Z18)</f>
        <v>-1894326.4362217875</v>
      </c>
      <c r="G18" s="174">
        <f t="shared" ref="G18:Z18" si="12">SUM(G19:G23)</f>
        <v>-128161.79693659906</v>
      </c>
      <c r="H18" s="174">
        <f t="shared" si="12"/>
        <v>-324626.39097769611</v>
      </c>
      <c r="I18" s="174">
        <f t="shared" si="12"/>
        <v>-436877.54477232503</v>
      </c>
      <c r="J18" s="174">
        <f t="shared" si="12"/>
        <v>-600304.65759124409</v>
      </c>
      <c r="K18" s="174">
        <f t="shared" si="12"/>
        <v>-582039.87003943301</v>
      </c>
      <c r="L18" s="174">
        <f t="shared" si="12"/>
        <v>-314960.54548688396</v>
      </c>
      <c r="M18" s="174">
        <f t="shared" si="12"/>
        <v>-166479.96904411766</v>
      </c>
      <c r="N18" s="174">
        <f t="shared" si="12"/>
        <v>-18741.366650688869</v>
      </c>
      <c r="O18" s="174">
        <f t="shared" si="12"/>
        <v>-18741.366650688869</v>
      </c>
      <c r="P18" s="174">
        <f t="shared" si="12"/>
        <v>-18741.366650688869</v>
      </c>
      <c r="Q18" s="174">
        <f t="shared" si="12"/>
        <v>-18741.366650688869</v>
      </c>
      <c r="R18" s="174">
        <f t="shared" si="12"/>
        <v>-18741.366650688869</v>
      </c>
      <c r="S18" s="174">
        <f t="shared" si="12"/>
        <v>-18741.366650688869</v>
      </c>
      <c r="T18" s="174">
        <f t="shared" si="12"/>
        <v>-18741.366650688869</v>
      </c>
      <c r="U18" s="174">
        <f t="shared" si="12"/>
        <v>-18741.366650688869</v>
      </c>
      <c r="V18" s="174">
        <f t="shared" si="12"/>
        <v>-18741.366650688869</v>
      </c>
      <c r="W18" s="174">
        <f t="shared" si="12"/>
        <v>-18741.366650688869</v>
      </c>
      <c r="X18" s="174">
        <f t="shared" si="12"/>
        <v>-18741.366650688869</v>
      </c>
      <c r="Y18" s="174">
        <f t="shared" si="12"/>
        <v>-18741.366650688869</v>
      </c>
      <c r="Z18" s="174">
        <f t="shared" si="12"/>
        <v>-18741.366650688869</v>
      </c>
    </row>
    <row r="19" spans="1:26">
      <c r="A19" s="428"/>
      <c r="B19" s="79"/>
      <c r="C19" s="80" t="s">
        <v>299</v>
      </c>
      <c r="D19" s="81" t="s">
        <v>111</v>
      </c>
      <c r="E19" s="146">
        <f t="shared" si="11"/>
        <v>-432662.53430486692</v>
      </c>
      <c r="F19" s="159">
        <f>G19+NPV(0.1187,H19:Z19)</f>
        <v>-319501.80554264691</v>
      </c>
      <c r="G19" s="264">
        <f>-Annex3_BudgetPlan!F4*11/68</f>
        <v>-40286.540268470591</v>
      </c>
      <c r="H19" s="261">
        <f>-Annex3_BudgetPlan!G4*11/68</f>
        <v>-99577.312039823548</v>
      </c>
      <c r="I19" s="261">
        <f>-Annex3_BudgetPlan!H4*11/68</f>
        <v>-98440.340545941173</v>
      </c>
      <c r="J19" s="261">
        <f>-Annex3_BudgetPlan!I4*11/68</f>
        <v>-100618.2236374706</v>
      </c>
      <c r="K19" s="261">
        <f>-Annex3_BudgetPlan!J4*11/68</f>
        <v>-33547.134949352949</v>
      </c>
      <c r="L19" s="261">
        <f>-Annex3_BudgetPlan!K4*11/68</f>
        <v>-5208.8235294117649</v>
      </c>
      <c r="M19" s="261">
        <f>-Annex3_BudgetPlan!L4*11/68</f>
        <v>-5208.8235294117649</v>
      </c>
      <c r="N19" s="273">
        <f>SUM($G$19:$M$19)*0.01</f>
        <v>-3828.8719849988238</v>
      </c>
      <c r="O19" s="273">
        <f t="shared" ref="O19:Z19" si="13">SUM($G$19:$M$19)*0.01</f>
        <v>-3828.8719849988238</v>
      </c>
      <c r="P19" s="273">
        <f t="shared" si="13"/>
        <v>-3828.8719849988238</v>
      </c>
      <c r="Q19" s="273">
        <f t="shared" si="13"/>
        <v>-3828.8719849988238</v>
      </c>
      <c r="R19" s="273">
        <f t="shared" si="13"/>
        <v>-3828.8719849988238</v>
      </c>
      <c r="S19" s="273">
        <f t="shared" si="13"/>
        <v>-3828.8719849988238</v>
      </c>
      <c r="T19" s="273">
        <f t="shared" si="13"/>
        <v>-3828.8719849988238</v>
      </c>
      <c r="U19" s="273">
        <f t="shared" si="13"/>
        <v>-3828.8719849988238</v>
      </c>
      <c r="V19" s="274">
        <f t="shared" si="13"/>
        <v>-3828.8719849988238</v>
      </c>
      <c r="W19" s="274">
        <f t="shared" si="13"/>
        <v>-3828.8719849988238</v>
      </c>
      <c r="X19" s="274">
        <f t="shared" si="13"/>
        <v>-3828.8719849988238</v>
      </c>
      <c r="Y19" s="274">
        <f t="shared" si="13"/>
        <v>-3828.8719849988238</v>
      </c>
      <c r="Z19" s="274">
        <f t="shared" si="13"/>
        <v>-3828.8719849988238</v>
      </c>
    </row>
    <row r="20" spans="1:26">
      <c r="A20" s="428"/>
      <c r="B20" s="79"/>
      <c r="C20" s="80" t="s">
        <v>300</v>
      </c>
      <c r="D20" s="81" t="s">
        <v>120</v>
      </c>
      <c r="E20" s="146">
        <f t="shared" si="11"/>
        <v>-264582.86452248</v>
      </c>
      <c r="F20" s="159">
        <f>G20+NPV(0.1187,H20:Z20)</f>
        <v>-181467.73528222664</v>
      </c>
      <c r="G20" s="276">
        <f>-Annex3_BudgetPlan!F5*14/74</f>
        <v>-15608.918713749386</v>
      </c>
      <c r="H20" s="152">
        <f>-Annex3_BudgetPlan!G5*14/74</f>
        <v>-32612.834597120396</v>
      </c>
      <c r="I20" s="152">
        <f>-Annex3_BudgetPlan!H5*14/74</f>
        <v>-43710.597258191643</v>
      </c>
      <c r="J20" s="152">
        <f>-Annex3_BudgetPlan!I5*14/74</f>
        <v>-61567.745295498775</v>
      </c>
      <c r="K20" s="152">
        <f>-Annex3_BudgetPlan!J5*14/74</f>
        <v>-59865.383382791151</v>
      </c>
      <c r="L20" s="152">
        <f>-Annex3_BudgetPlan!K5*14/74</f>
        <v>-20778.64864864865</v>
      </c>
      <c r="M20" s="152">
        <f>-Annex3_BudgetPlan!L5*14/74</f>
        <v>0</v>
      </c>
      <c r="N20" s="275">
        <f>SUM($G$20:$M$20)*0.01</f>
        <v>-2341.4412789600001</v>
      </c>
      <c r="O20" s="275">
        <f t="shared" ref="O20:Z20" si="14">SUM($G$20:$M$20)*0.01</f>
        <v>-2341.4412789600001</v>
      </c>
      <c r="P20" s="275">
        <f t="shared" si="14"/>
        <v>-2341.4412789600001</v>
      </c>
      <c r="Q20" s="275">
        <f t="shared" si="14"/>
        <v>-2341.4412789600001</v>
      </c>
      <c r="R20" s="275">
        <f t="shared" si="14"/>
        <v>-2341.4412789600001</v>
      </c>
      <c r="S20" s="275">
        <f t="shared" si="14"/>
        <v>-2341.4412789600001</v>
      </c>
      <c r="T20" s="275">
        <f t="shared" si="14"/>
        <v>-2341.4412789600001</v>
      </c>
      <c r="U20" s="275">
        <f t="shared" si="14"/>
        <v>-2341.4412789600001</v>
      </c>
      <c r="V20" s="275">
        <f t="shared" si="14"/>
        <v>-2341.4412789600001</v>
      </c>
      <c r="W20" s="275">
        <f t="shared" si="14"/>
        <v>-2341.4412789600001</v>
      </c>
      <c r="X20" s="275">
        <f t="shared" si="14"/>
        <v>-2341.4412789600001</v>
      </c>
      <c r="Y20" s="275">
        <f t="shared" si="14"/>
        <v>-2341.4412789600001</v>
      </c>
      <c r="Z20" s="275">
        <f t="shared" si="14"/>
        <v>-2341.4412789600001</v>
      </c>
    </row>
    <row r="21" spans="1:26">
      <c r="A21" s="428"/>
      <c r="B21" s="79"/>
      <c r="C21" s="80" t="s">
        <v>301</v>
      </c>
      <c r="D21" s="81" t="s">
        <v>124</v>
      </c>
      <c r="E21" s="146">
        <f t="shared" si="11"/>
        <v>-161958.35840145132</v>
      </c>
      <c r="F21" s="159">
        <f t="shared" ref="F21:F23" si="15">G21+NPV(0.1187,H21:Z21)</f>
        <v>-107481.62683617808</v>
      </c>
      <c r="G21" s="276">
        <f>-Annex3_BudgetPlan!F6*2.83/14</f>
        <v>-5734.5369592810393</v>
      </c>
      <c r="H21" s="152">
        <f>-Annex3_BudgetPlan!G6*2.83/14</f>
        <v>-18084.361379967791</v>
      </c>
      <c r="I21" s="152">
        <f>-Annex3_BudgetPlan!H6*2.83/14</f>
        <v>-29273.696541721558</v>
      </c>
      <c r="J21" s="152">
        <f>-Annex3_BudgetPlan!I6*2.83/14</f>
        <v>-32214.561212196368</v>
      </c>
      <c r="K21" s="152">
        <f>-Annex3_BudgetPlan!J6*2.83/14</f>
        <v>-31173.444793073253</v>
      </c>
      <c r="L21" s="152">
        <f>-Annex3_BudgetPlan!K6*2.83/14</f>
        <v>-14110.380000000001</v>
      </c>
      <c r="M21" s="152">
        <f>-Annex3_BudgetPlan!L6*2.83/14</f>
        <v>-12735</v>
      </c>
      <c r="N21" s="275">
        <f>SUM($G$21:$M$21)*0.01</f>
        <v>-1433.2598088624002</v>
      </c>
      <c r="O21" s="275">
        <f t="shared" ref="O21:Z21" si="16">SUM($G$21:$M$21)*0.01</f>
        <v>-1433.2598088624002</v>
      </c>
      <c r="P21" s="275">
        <f t="shared" si="16"/>
        <v>-1433.2598088624002</v>
      </c>
      <c r="Q21" s="275">
        <f t="shared" si="16"/>
        <v>-1433.2598088624002</v>
      </c>
      <c r="R21" s="275">
        <f t="shared" si="16"/>
        <v>-1433.2598088624002</v>
      </c>
      <c r="S21" s="275">
        <f t="shared" si="16"/>
        <v>-1433.2598088624002</v>
      </c>
      <c r="T21" s="275">
        <f t="shared" si="16"/>
        <v>-1433.2598088624002</v>
      </c>
      <c r="U21" s="275">
        <f t="shared" si="16"/>
        <v>-1433.2598088624002</v>
      </c>
      <c r="V21" s="275">
        <f t="shared" si="16"/>
        <v>-1433.2598088624002</v>
      </c>
      <c r="W21" s="275">
        <f t="shared" si="16"/>
        <v>-1433.2598088624002</v>
      </c>
      <c r="X21" s="275">
        <f t="shared" si="16"/>
        <v>-1433.2598088624002</v>
      </c>
      <c r="Y21" s="275">
        <f t="shared" si="16"/>
        <v>-1433.2598088624002</v>
      </c>
      <c r="Z21" s="275">
        <f t="shared" si="16"/>
        <v>-1433.2598088624002</v>
      </c>
    </row>
    <row r="22" spans="1:26">
      <c r="A22" s="428"/>
      <c r="B22" s="3"/>
      <c r="C22" s="80" t="s">
        <v>302</v>
      </c>
      <c r="D22" s="10" t="s">
        <v>110</v>
      </c>
      <c r="E22" s="150">
        <f t="shared" si="11"/>
        <v>-1258570.6742990429</v>
      </c>
      <c r="F22" s="159">
        <f t="shared" si="15"/>
        <v>-803459.66622009</v>
      </c>
      <c r="G22" s="276">
        <f>-Annex3_BudgetPlan!F13*11/68</f>
        <v>-12491.819083333332</v>
      </c>
      <c r="H22" s="152">
        <f>-Annex3_BudgetPlan!G13*11/68</f>
        <v>-80238.59022181372</v>
      </c>
      <c r="I22" s="152">
        <f>-Annex3_BudgetPlan!H13*11/68</f>
        <v>-185120.1226875</v>
      </c>
      <c r="J22" s="152">
        <f>-Annex3_BudgetPlan!I13*11/68</f>
        <v>-281197.26507475489</v>
      </c>
      <c r="K22" s="152">
        <f>-Annex3_BudgetPlan!J13*11/68</f>
        <v>-309348.49454289215</v>
      </c>
      <c r="L22" s="152">
        <f>-Annex3_BudgetPlan!K13*11/68</f>
        <v>-182324.4338235294</v>
      </c>
      <c r="M22" s="152">
        <f>-Annex3_BudgetPlan!L13*11/68</f>
        <v>-63058.632352941175</v>
      </c>
      <c r="N22" s="275">
        <f>SUM($G$22:$M$22)*0.01</f>
        <v>-11137.793577867646</v>
      </c>
      <c r="O22" s="275">
        <f t="shared" ref="O22:Z22" si="17">SUM($G$22:$M$22)*0.01</f>
        <v>-11137.793577867646</v>
      </c>
      <c r="P22" s="275">
        <f t="shared" si="17"/>
        <v>-11137.793577867646</v>
      </c>
      <c r="Q22" s="275">
        <f t="shared" si="17"/>
        <v>-11137.793577867646</v>
      </c>
      <c r="R22" s="275">
        <f t="shared" si="17"/>
        <v>-11137.793577867646</v>
      </c>
      <c r="S22" s="275">
        <f t="shared" si="17"/>
        <v>-11137.793577867646</v>
      </c>
      <c r="T22" s="275">
        <f t="shared" si="17"/>
        <v>-11137.793577867646</v>
      </c>
      <c r="U22" s="275">
        <f t="shared" si="17"/>
        <v>-11137.793577867646</v>
      </c>
      <c r="V22" s="275">
        <f t="shared" si="17"/>
        <v>-11137.793577867646</v>
      </c>
      <c r="W22" s="275">
        <f t="shared" si="17"/>
        <v>-11137.793577867646</v>
      </c>
      <c r="X22" s="275">
        <f t="shared" si="17"/>
        <v>-11137.793577867646</v>
      </c>
      <c r="Y22" s="275">
        <f t="shared" si="17"/>
        <v>-11137.793577867646</v>
      </c>
      <c r="Z22" s="275">
        <f t="shared" si="17"/>
        <v>-11137.793577867646</v>
      </c>
    </row>
    <row r="23" spans="1:26" ht="14.5" thickBot="1">
      <c r="A23" s="428"/>
      <c r="B23" s="76"/>
      <c r="C23" s="77" t="s">
        <v>2</v>
      </c>
      <c r="D23" s="78"/>
      <c r="E23" s="153">
        <f t="shared" si="11"/>
        <v>-679314.10977941181</v>
      </c>
      <c r="F23" s="159">
        <f t="shared" si="15"/>
        <v>-482415.60234064615</v>
      </c>
      <c r="G23" s="154">
        <f>-(Annex3_BudgetPlan!F50-Annex3_BudgetPlan!F4-Annex3_BudgetPlan!F5-Annex3_BudgetPlan!F6-Annex3_BudgetPlan!F13)*11/68</f>
        <v>-54039.981911764713</v>
      </c>
      <c r="H23" s="263">
        <f>-(Annex3_BudgetPlan!G50-Annex3_BudgetPlan!G4-Annex3_BudgetPlan!G5-Annex3_BudgetPlan!G6-Annex3_BudgetPlan!G13)*11/68</f>
        <v>-94113.29273897066</v>
      </c>
      <c r="I23" s="263">
        <f>-(Annex3_BudgetPlan!H50-Annex3_BudgetPlan!H4-Annex3_BudgetPlan!H5-Annex3_BudgetPlan!H6-Annex3_BudgetPlan!H13)*11/68</f>
        <v>-80332.787738970641</v>
      </c>
      <c r="J23" s="263">
        <f>-(Annex3_BudgetPlan!I50-Annex3_BudgetPlan!I4-Annex3_BudgetPlan!I5-Annex3_BudgetPlan!I6-Annex3_BudgetPlan!I13)*11/68</f>
        <v>-124706.86237132341</v>
      </c>
      <c r="K23" s="263">
        <f>-(Annex3_BudgetPlan!J50-Annex3_BudgetPlan!J4-Annex3_BudgetPlan!J5-Annex3_BudgetPlan!J6-Annex3_BudgetPlan!J13)*11/68</f>
        <v>-148105.41237132353</v>
      </c>
      <c r="L23" s="263">
        <f>-(Annex3_BudgetPlan!K50-Annex3_BudgetPlan!K4-Annex3_BudgetPlan!K5-Annex3_BudgetPlan!K6-Annex3_BudgetPlan!K13)*11/68</f>
        <v>-92538.259485294126</v>
      </c>
      <c r="M23" s="280">
        <f>-(Annex3_BudgetPlan!L50-Annex3_BudgetPlan!L4-Annex3_BudgetPlan!L5-Annex3_BudgetPlan!L6-Annex3_BudgetPlan!L13)*11/68</f>
        <v>-85477.513161764713</v>
      </c>
      <c r="N23" s="172">
        <v>0</v>
      </c>
      <c r="O23" s="172">
        <v>0</v>
      </c>
      <c r="P23" s="172">
        <v>0</v>
      </c>
      <c r="Q23" s="172">
        <v>0</v>
      </c>
      <c r="R23" s="172">
        <v>0</v>
      </c>
      <c r="S23" s="172">
        <v>0</v>
      </c>
      <c r="T23" s="172">
        <v>0</v>
      </c>
      <c r="U23" s="172">
        <v>0</v>
      </c>
      <c r="V23" s="172">
        <v>0</v>
      </c>
      <c r="W23" s="172">
        <v>0</v>
      </c>
      <c r="X23" s="172">
        <v>0</v>
      </c>
      <c r="Y23" s="172">
        <v>0</v>
      </c>
      <c r="Z23" s="172">
        <v>0</v>
      </c>
    </row>
    <row r="24" spans="1:26" ht="14.5" thickBot="1">
      <c r="A24" s="428"/>
      <c r="B24" s="82" t="s">
        <v>1</v>
      </c>
      <c r="C24" s="83"/>
      <c r="D24" s="84"/>
      <c r="E24" s="155">
        <f t="shared" ref="E24:E28" si="18">SUM(G24:Z24)</f>
        <v>9274957</v>
      </c>
      <c r="F24" s="156">
        <f>G24+NPV(0.1187,H24:Z24)</f>
        <v>2938576.6553375321</v>
      </c>
      <c r="G24" s="175">
        <f>SUM(G25:G27)</f>
        <v>0</v>
      </c>
      <c r="H24" s="158">
        <f>SUM(H25:H27)</f>
        <v>14280</v>
      </c>
      <c r="I24" s="158">
        <f t="shared" ref="I24:Z24" si="19">SUM(I25:I27)</f>
        <v>57297</v>
      </c>
      <c r="J24" s="158">
        <f t="shared" si="19"/>
        <v>161001</v>
      </c>
      <c r="K24" s="158">
        <f t="shared" si="19"/>
        <v>325829</v>
      </c>
      <c r="L24" s="158">
        <f t="shared" si="19"/>
        <v>483523</v>
      </c>
      <c r="M24" s="158">
        <f t="shared" si="19"/>
        <v>600195</v>
      </c>
      <c r="N24" s="158">
        <f t="shared" si="19"/>
        <v>633587</v>
      </c>
      <c r="O24" s="158">
        <f t="shared" si="19"/>
        <v>628910</v>
      </c>
      <c r="P24" s="158">
        <f t="shared" si="19"/>
        <v>619361</v>
      </c>
      <c r="Q24" s="158">
        <f t="shared" si="19"/>
        <v>609733</v>
      </c>
      <c r="R24" s="158">
        <f t="shared" si="19"/>
        <v>600250</v>
      </c>
      <c r="S24" s="158">
        <f t="shared" si="19"/>
        <v>593180</v>
      </c>
      <c r="T24" s="158">
        <f t="shared" si="19"/>
        <v>583487</v>
      </c>
      <c r="U24" s="158">
        <f t="shared" si="19"/>
        <v>576496</v>
      </c>
      <c r="V24" s="158">
        <f t="shared" si="19"/>
        <v>569404</v>
      </c>
      <c r="W24" s="158">
        <f t="shared" si="19"/>
        <v>564663</v>
      </c>
      <c r="X24" s="158">
        <f t="shared" si="19"/>
        <v>557594</v>
      </c>
      <c r="Y24" s="158">
        <f t="shared" si="19"/>
        <v>550370</v>
      </c>
      <c r="Z24" s="158">
        <f t="shared" si="19"/>
        <v>545797</v>
      </c>
    </row>
    <row r="25" spans="1:26">
      <c r="A25" s="428"/>
      <c r="B25" s="79" t="s">
        <v>49</v>
      </c>
      <c r="C25" s="80"/>
      <c r="D25" s="81"/>
      <c r="E25" s="146">
        <f t="shared" si="18"/>
        <v>2253640</v>
      </c>
      <c r="F25" s="159">
        <f>G25+NPV(0.1187,H25:Z25)</f>
        <v>813531.24824454298</v>
      </c>
      <c r="G25" s="160">
        <f>Annex5_BnefitGHG!E88</f>
        <v>0</v>
      </c>
      <c r="H25" s="148">
        <f>Annex5_BnefitGHG!E89</f>
        <v>14280</v>
      </c>
      <c r="I25" s="148">
        <f>Annex5_BnefitGHG!E90</f>
        <v>42837</v>
      </c>
      <c r="J25" s="148">
        <f>Annex5_BnefitGHG!E91</f>
        <v>76161</v>
      </c>
      <c r="K25" s="148">
        <f>Annex5_BnefitGHG!E92</f>
        <v>116609</v>
      </c>
      <c r="L25" s="148">
        <f>Annex5_BnefitGHG!E93</f>
        <v>149923</v>
      </c>
      <c r="M25" s="148">
        <f>Annex5_BnefitGHG!E94</f>
        <v>168958</v>
      </c>
      <c r="N25" s="148">
        <f>Annex5_BnefitGHG!E95</f>
        <v>176101</v>
      </c>
      <c r="O25" s="148">
        <f>Annex5_BnefitGHG!E96</f>
        <v>171347</v>
      </c>
      <c r="P25" s="148">
        <f>Annex5_BnefitGHG!E97</f>
        <v>161824</v>
      </c>
      <c r="Q25" s="148">
        <f>Annex5_BnefitGHG!E98</f>
        <v>152299</v>
      </c>
      <c r="R25" s="148">
        <f>Annex5_BnefitGHG!E99</f>
        <v>142790</v>
      </c>
      <c r="S25" s="148">
        <f>Annex5_BnefitGHG!E100</f>
        <v>135643</v>
      </c>
      <c r="T25" s="148">
        <f>Annex5_BnefitGHG!E101</f>
        <v>126131</v>
      </c>
      <c r="U25" s="148">
        <f>Annex5_BnefitGHG!E102</f>
        <v>118984</v>
      </c>
      <c r="V25" s="148">
        <f>Annex5_BnefitGHG!E103</f>
        <v>111841</v>
      </c>
      <c r="W25" s="148">
        <f>Annex5_BnefitGHG!E104</f>
        <v>107100</v>
      </c>
      <c r="X25" s="148">
        <f>Annex5_BnefitGHG!E105</f>
        <v>99953</v>
      </c>
      <c r="Y25" s="148">
        <f>Annex5_BnefitGHG!E106</f>
        <v>92807</v>
      </c>
      <c r="Z25" s="148">
        <f>Annex5_BnefitGHG!E107</f>
        <v>88052</v>
      </c>
    </row>
    <row r="26" spans="1:26">
      <c r="A26" s="428"/>
      <c r="B26" s="3" t="s">
        <v>43</v>
      </c>
      <c r="C26" s="7"/>
      <c r="D26" s="71"/>
      <c r="E26" s="150">
        <f t="shared" si="18"/>
        <v>6999960</v>
      </c>
      <c r="F26" s="162">
        <f>G26+NPV(0.1187,H26:Z26)</f>
        <v>2119126.7601139811</v>
      </c>
      <c r="G26" s="72">
        <f>Annex9_2.3_BenefitAgriculture!D57</f>
        <v>0</v>
      </c>
      <c r="H26" s="152">
        <f>Annex9_2.3_BenefitAgriculture!D58</f>
        <v>0</v>
      </c>
      <c r="I26" s="152">
        <f>Annex9_2.3_BenefitAgriculture!D59</f>
        <v>14460</v>
      </c>
      <c r="J26" s="152">
        <f>Annex9_2.3_BenefitAgriculture!D60</f>
        <v>84840</v>
      </c>
      <c r="K26" s="152">
        <f>Annex9_2.3_BenefitAgriculture!D61</f>
        <v>209220</v>
      </c>
      <c r="L26" s="152">
        <f>Annex9_2.3_BenefitAgriculture!D62</f>
        <v>333600</v>
      </c>
      <c r="M26" s="152">
        <f>Annex9_2.3_BenefitAgriculture!D63</f>
        <v>429060</v>
      </c>
      <c r="N26" s="152">
        <f>Annex9_2.3_BenefitAgriculture!D64</f>
        <v>456060</v>
      </c>
      <c r="O26" s="152">
        <f>Annex9_2.3_BenefitAgriculture!D65</f>
        <v>456060</v>
      </c>
      <c r="P26" s="152">
        <f>Annex9_2.3_BenefitAgriculture!D66</f>
        <v>456060</v>
      </c>
      <c r="Q26" s="152">
        <f>Annex9_2.3_BenefitAgriculture!D67</f>
        <v>456060</v>
      </c>
      <c r="R26" s="152">
        <f>Annex9_2.3_BenefitAgriculture!D68</f>
        <v>456060</v>
      </c>
      <c r="S26" s="152">
        <f>Annex9_2.3_BenefitAgriculture!D69</f>
        <v>456060</v>
      </c>
      <c r="T26" s="152">
        <f>Annex9_2.3_BenefitAgriculture!D70</f>
        <v>456060</v>
      </c>
      <c r="U26" s="152">
        <f>Annex9_2.3_BenefitAgriculture!D71</f>
        <v>456060</v>
      </c>
      <c r="V26" s="152">
        <f>Annex9_2.3_BenefitAgriculture!D72</f>
        <v>456060</v>
      </c>
      <c r="W26" s="152">
        <f>Annex9_2.3_BenefitAgriculture!D73</f>
        <v>456060</v>
      </c>
      <c r="X26" s="152">
        <f>Annex9_2.3_BenefitAgriculture!D74</f>
        <v>456060</v>
      </c>
      <c r="Y26" s="152">
        <f>Annex9_2.3_BenefitAgriculture!D75</f>
        <v>456060</v>
      </c>
      <c r="Z26" s="152">
        <f>Annex9_2.3_BenefitAgriculture!D76</f>
        <v>456060</v>
      </c>
    </row>
    <row r="27" spans="1:26">
      <c r="A27" s="428"/>
      <c r="B27" s="3" t="s">
        <v>245</v>
      </c>
      <c r="C27" s="7"/>
      <c r="D27" s="71"/>
      <c r="E27" s="150">
        <f t="shared" si="18"/>
        <v>21357</v>
      </c>
      <c r="F27" s="162">
        <f>G27+NPV(0.1187,H27:Z27)</f>
        <v>5918.6469790089714</v>
      </c>
      <c r="G27" s="256">
        <f>Annex9_CarbonOffset!E34</f>
        <v>0</v>
      </c>
      <c r="H27" s="180">
        <f>Annex9_CarbonOffset!E35</f>
        <v>0</v>
      </c>
      <c r="I27" s="180">
        <f>Annex9_CarbonOffset!E36</f>
        <v>0</v>
      </c>
      <c r="J27" s="180">
        <f>Annex9_CarbonOffset!E37</f>
        <v>0</v>
      </c>
      <c r="K27" s="180">
        <f>Annex9_CarbonOffset!E38</f>
        <v>0</v>
      </c>
      <c r="L27" s="180">
        <f>Annex9_CarbonOffset!E39</f>
        <v>0</v>
      </c>
      <c r="M27" s="180">
        <f>Annex9_CarbonOffset!E40</f>
        <v>2177</v>
      </c>
      <c r="N27" s="180">
        <f>Annex9_CarbonOffset!E41</f>
        <v>1426</v>
      </c>
      <c r="O27" s="180">
        <f>Annex9_CarbonOffset!E42</f>
        <v>1503</v>
      </c>
      <c r="P27" s="180">
        <f>Annex9_CarbonOffset!E43</f>
        <v>1477</v>
      </c>
      <c r="Q27" s="180">
        <f>Annex9_CarbonOffset!E44</f>
        <v>1374</v>
      </c>
      <c r="R27" s="180">
        <f>Annex9_CarbonOffset!E45</f>
        <v>1400</v>
      </c>
      <c r="S27" s="180">
        <f>Annex9_CarbonOffset!E46</f>
        <v>1477</v>
      </c>
      <c r="T27" s="180">
        <f>Annex9_CarbonOffset!E47</f>
        <v>1296</v>
      </c>
      <c r="U27" s="180">
        <f>Annex9_CarbonOffset!E48</f>
        <v>1452</v>
      </c>
      <c r="V27" s="180">
        <f>Annex9_CarbonOffset!E49</f>
        <v>1503</v>
      </c>
      <c r="W27" s="180">
        <f>Annex9_CarbonOffset!E50</f>
        <v>1503</v>
      </c>
      <c r="X27" s="180">
        <f>Annex9_CarbonOffset!E51</f>
        <v>1581</v>
      </c>
      <c r="Y27" s="180">
        <f>Annex9_CarbonOffset!E52</f>
        <v>1503</v>
      </c>
      <c r="Z27" s="180">
        <f>Annex9_CarbonOffset!E53</f>
        <v>1685</v>
      </c>
    </row>
    <row r="28" spans="1:26">
      <c r="A28" s="428"/>
      <c r="B28" s="4" t="s">
        <v>3</v>
      </c>
      <c r="C28" s="8"/>
      <c r="D28" s="13"/>
      <c r="E28" s="163">
        <f t="shared" si="18"/>
        <v>6477868.4586927425</v>
      </c>
      <c r="F28" s="164">
        <f>G28+NPV(0.1187,H28:Z28)</f>
        <v>1044250.2191157448</v>
      </c>
      <c r="G28" s="165">
        <f t="shared" ref="G28:Z28" si="20">G18+G24</f>
        <v>-128161.79693659906</v>
      </c>
      <c r="H28" s="166">
        <f t="shared" si="20"/>
        <v>-310346.39097769611</v>
      </c>
      <c r="I28" s="166">
        <f t="shared" si="20"/>
        <v>-379580.54477232503</v>
      </c>
      <c r="J28" s="165">
        <f t="shared" si="20"/>
        <v>-439303.65759124409</v>
      </c>
      <c r="K28" s="166">
        <f t="shared" si="20"/>
        <v>-256210.87003943301</v>
      </c>
      <c r="L28" s="166">
        <f t="shared" si="20"/>
        <v>168562.45451311604</v>
      </c>
      <c r="M28" s="166">
        <f t="shared" si="20"/>
        <v>433715.03095588234</v>
      </c>
      <c r="N28" s="166">
        <f t="shared" si="20"/>
        <v>614845.63334931107</v>
      </c>
      <c r="O28" s="166">
        <f t="shared" si="20"/>
        <v>610168.63334931107</v>
      </c>
      <c r="P28" s="166">
        <f t="shared" si="20"/>
        <v>600619.63334931107</v>
      </c>
      <c r="Q28" s="166">
        <f t="shared" si="20"/>
        <v>590991.63334931107</v>
      </c>
      <c r="R28" s="166">
        <f t="shared" si="20"/>
        <v>581508.63334931107</v>
      </c>
      <c r="S28" s="166">
        <f t="shared" si="20"/>
        <v>574438.63334931107</v>
      </c>
      <c r="T28" s="166">
        <f t="shared" si="20"/>
        <v>564745.63334931107</v>
      </c>
      <c r="U28" s="166">
        <f t="shared" si="20"/>
        <v>557754.63334931107</v>
      </c>
      <c r="V28" s="166">
        <f t="shared" si="20"/>
        <v>550662.63334931107</v>
      </c>
      <c r="W28" s="166">
        <f t="shared" si="20"/>
        <v>545921.63334931107</v>
      </c>
      <c r="X28" s="166">
        <f t="shared" si="20"/>
        <v>538852.63334931107</v>
      </c>
      <c r="Y28" s="166">
        <f t="shared" si="20"/>
        <v>531628.63334931107</v>
      </c>
      <c r="Z28" s="166">
        <f t="shared" si="20"/>
        <v>527055.63334931107</v>
      </c>
    </row>
    <row r="29" spans="1:26" ht="14.5" thickBot="1">
      <c r="A29" s="429"/>
      <c r="B29" s="76"/>
      <c r="C29" s="90" t="s">
        <v>51</v>
      </c>
      <c r="D29" s="91">
        <f>IRR(G28:Z28, 0.1187)</f>
        <v>0.21126542472443033</v>
      </c>
      <c r="E29" s="167" t="s">
        <v>22</v>
      </c>
      <c r="F29" s="168">
        <f>-F24/F18</f>
        <v>1.5512514628674505</v>
      </c>
      <c r="G29" s="169"/>
      <c r="H29" s="170"/>
      <c r="I29" s="170"/>
      <c r="J29" s="171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2"/>
      <c r="Z29" s="172"/>
    </row>
    <row r="30" spans="1:26" ht="14.5" thickBot="1">
      <c r="A30" s="427" t="s">
        <v>48</v>
      </c>
      <c r="B30" s="87" t="s">
        <v>0</v>
      </c>
      <c r="C30" s="88"/>
      <c r="D30" s="89"/>
      <c r="E30" s="142">
        <f t="shared" ref="E30:E38" si="21">SUM(G30:Z30)</f>
        <v>-2572947.1847198708</v>
      </c>
      <c r="F30" s="173">
        <f>G30+NPV(0.1187,H30:Z30)</f>
        <v>-1740971.0084076067</v>
      </c>
      <c r="G30" s="176">
        <f t="shared" ref="G30:Z30" si="22">SUM(G31:G35)</f>
        <v>-116362.16321218209</v>
      </c>
      <c r="H30" s="174">
        <f t="shared" si="22"/>
        <v>-297882.35757740488</v>
      </c>
      <c r="I30" s="174">
        <f t="shared" si="22"/>
        <v>-403410.15105191391</v>
      </c>
      <c r="J30" s="174">
        <f t="shared" si="22"/>
        <v>-549984.7742565826</v>
      </c>
      <c r="K30" s="174">
        <f t="shared" si="22"/>
        <v>-533186.97771084821</v>
      </c>
      <c r="L30" s="174">
        <f t="shared" si="22"/>
        <v>-289396.36174483306</v>
      </c>
      <c r="M30" s="174">
        <f t="shared" si="22"/>
        <v>-157768.1536764706</v>
      </c>
      <c r="N30" s="174">
        <f t="shared" si="22"/>
        <v>-17304.326576125881</v>
      </c>
      <c r="O30" s="174">
        <f t="shared" si="22"/>
        <v>-17304.326576125881</v>
      </c>
      <c r="P30" s="174">
        <f t="shared" si="22"/>
        <v>-17304.326576125881</v>
      </c>
      <c r="Q30" s="174">
        <f t="shared" si="22"/>
        <v>-17304.326576125881</v>
      </c>
      <c r="R30" s="174">
        <f t="shared" si="22"/>
        <v>-17304.326576125881</v>
      </c>
      <c r="S30" s="174">
        <f t="shared" si="22"/>
        <v>-17304.326576125881</v>
      </c>
      <c r="T30" s="174">
        <f t="shared" si="22"/>
        <v>-17304.326576125881</v>
      </c>
      <c r="U30" s="174">
        <f t="shared" si="22"/>
        <v>-17304.326576125881</v>
      </c>
      <c r="V30" s="174">
        <f t="shared" si="22"/>
        <v>-17304.326576125881</v>
      </c>
      <c r="W30" s="174">
        <f t="shared" si="22"/>
        <v>-17304.326576125881</v>
      </c>
      <c r="X30" s="174">
        <f t="shared" si="22"/>
        <v>-17304.326576125881</v>
      </c>
      <c r="Y30" s="174">
        <f t="shared" si="22"/>
        <v>-17304.326576125881</v>
      </c>
      <c r="Z30" s="174">
        <f t="shared" si="22"/>
        <v>-17304.326576125881</v>
      </c>
    </row>
    <row r="31" spans="1:26">
      <c r="A31" s="428"/>
      <c r="B31" s="79"/>
      <c r="C31" s="80" t="s">
        <v>299</v>
      </c>
      <c r="D31" s="81" t="s">
        <v>99</v>
      </c>
      <c r="E31" s="146">
        <f t="shared" si="21"/>
        <v>-393329.57664078841</v>
      </c>
      <c r="F31" s="159">
        <f>G31+NPV(0.1187,H31:Z31)</f>
        <v>-290456.18685695156</v>
      </c>
      <c r="G31" s="264">
        <f>-Annex3_BudgetPlan!F4*10/68</f>
        <v>-36624.127516791443</v>
      </c>
      <c r="H31" s="261">
        <f>-Annex3_BudgetPlan!G4*10/68</f>
        <v>-90524.829127112302</v>
      </c>
      <c r="I31" s="261">
        <f>-Annex3_BudgetPlan!H4*10/68</f>
        <v>-89491.218678128338</v>
      </c>
      <c r="J31" s="261">
        <f>-Annex3_BudgetPlan!I4*10/68</f>
        <v>-91471.112397700548</v>
      </c>
      <c r="K31" s="261">
        <f>-Annex3_BudgetPlan!J4*10/68</f>
        <v>-30497.395408502678</v>
      </c>
      <c r="L31" s="261">
        <f>-Annex3_BudgetPlan!K4*10/68</f>
        <v>-4735.2941176470586</v>
      </c>
      <c r="M31" s="261">
        <f>-Annex3_BudgetPlan!L4*10/68</f>
        <v>-4735.2941176470586</v>
      </c>
      <c r="N31" s="262">
        <f>SUM($G$31:$M$31)*0.01</f>
        <v>-3480.7927136352937</v>
      </c>
      <c r="O31" s="262">
        <f t="shared" ref="O31:Z31" si="23">SUM($G$31:$M$31)*0.01</f>
        <v>-3480.7927136352937</v>
      </c>
      <c r="P31" s="262">
        <f t="shared" si="23"/>
        <v>-3480.7927136352937</v>
      </c>
      <c r="Q31" s="262">
        <f t="shared" si="23"/>
        <v>-3480.7927136352937</v>
      </c>
      <c r="R31" s="262">
        <f t="shared" si="23"/>
        <v>-3480.7927136352937</v>
      </c>
      <c r="S31" s="262">
        <f t="shared" si="23"/>
        <v>-3480.7927136352937</v>
      </c>
      <c r="T31" s="262">
        <f t="shared" si="23"/>
        <v>-3480.7927136352937</v>
      </c>
      <c r="U31" s="262">
        <f t="shared" si="23"/>
        <v>-3480.7927136352937</v>
      </c>
      <c r="V31" s="149">
        <f t="shared" si="23"/>
        <v>-3480.7927136352937</v>
      </c>
      <c r="W31" s="149">
        <f t="shared" si="23"/>
        <v>-3480.7927136352937</v>
      </c>
      <c r="X31" s="149">
        <f t="shared" si="23"/>
        <v>-3480.7927136352937</v>
      </c>
      <c r="Y31" s="149">
        <f t="shared" si="23"/>
        <v>-3480.7927136352937</v>
      </c>
      <c r="Z31" s="149">
        <f t="shared" si="23"/>
        <v>-3480.7927136352937</v>
      </c>
    </row>
    <row r="32" spans="1:26">
      <c r="A32" s="428"/>
      <c r="B32" s="79"/>
      <c r="C32" s="80" t="s">
        <v>300</v>
      </c>
      <c r="D32" s="81" t="s">
        <v>271</v>
      </c>
      <c r="E32" s="146">
        <f t="shared" ref="E32:E33" si="24">SUM(G32:Z32)</f>
        <v>-188987.76037320006</v>
      </c>
      <c r="F32" s="159">
        <f>G32+NPV(0.1187,H32:Z32)</f>
        <v>-129619.81091587617</v>
      </c>
      <c r="G32" s="267">
        <f>-Annex3_BudgetPlan!F5*10/74</f>
        <v>-11149.227652678132</v>
      </c>
      <c r="H32" s="152">
        <f>-Annex3_BudgetPlan!G5*10/74</f>
        <v>-23294.881855085994</v>
      </c>
      <c r="I32" s="152">
        <f>-Annex3_BudgetPlan!H5*10/74</f>
        <v>-31221.855184422606</v>
      </c>
      <c r="J32" s="152">
        <f>-Annex3_BudgetPlan!I5*10/74</f>
        <v>-43976.960925356274</v>
      </c>
      <c r="K32" s="152">
        <f>-Annex3_BudgetPlan!J5*10/74</f>
        <v>-42760.988130565107</v>
      </c>
      <c r="L32" s="152">
        <f>-Annex3_BudgetPlan!K5*10/74</f>
        <v>-14841.891891891892</v>
      </c>
      <c r="M32" s="152">
        <f>-Annex3_BudgetPlan!L5*10/74</f>
        <v>0</v>
      </c>
      <c r="N32" s="149">
        <f>SUM($G$32:$M$32)*0.01</f>
        <v>-1672.4580563999998</v>
      </c>
      <c r="O32" s="149">
        <f t="shared" ref="O32:Z32" si="25">SUM($G$32:$M$32)*0.01</f>
        <v>-1672.4580563999998</v>
      </c>
      <c r="P32" s="149">
        <f t="shared" si="25"/>
        <v>-1672.4580563999998</v>
      </c>
      <c r="Q32" s="149">
        <f t="shared" si="25"/>
        <v>-1672.4580563999998</v>
      </c>
      <c r="R32" s="149">
        <f t="shared" si="25"/>
        <v>-1672.4580563999998</v>
      </c>
      <c r="S32" s="149">
        <f t="shared" si="25"/>
        <v>-1672.4580563999998</v>
      </c>
      <c r="T32" s="149">
        <f t="shared" si="25"/>
        <v>-1672.4580563999998</v>
      </c>
      <c r="U32" s="149">
        <f t="shared" si="25"/>
        <v>-1672.4580563999998</v>
      </c>
      <c r="V32" s="149">
        <f t="shared" si="25"/>
        <v>-1672.4580563999998</v>
      </c>
      <c r="W32" s="149">
        <f t="shared" si="25"/>
        <v>-1672.4580563999998</v>
      </c>
      <c r="X32" s="149">
        <f t="shared" si="25"/>
        <v>-1672.4580563999998</v>
      </c>
      <c r="Y32" s="149">
        <f t="shared" si="25"/>
        <v>-1672.4580563999998</v>
      </c>
      <c r="Z32" s="149">
        <f t="shared" si="25"/>
        <v>-1672.4580563999998</v>
      </c>
    </row>
    <row r="33" spans="1:26">
      <c r="A33" s="428"/>
      <c r="B33" s="79"/>
      <c r="C33" s="80" t="s">
        <v>301</v>
      </c>
      <c r="D33" s="81" t="s">
        <v>121</v>
      </c>
      <c r="E33" s="146">
        <f t="shared" si="24"/>
        <v>-228916.40763456016</v>
      </c>
      <c r="F33" s="159">
        <f t="shared" ref="F33:F35" si="26">G33+NPV(0.1187,H33:Z33)</f>
        <v>-151917.49376138239</v>
      </c>
      <c r="G33" s="267">
        <f>-Annex3_BudgetPlan!F6*4/14</f>
        <v>-8105.3525926233769</v>
      </c>
      <c r="H33" s="152">
        <f>-Annex3_BudgetPlan!G6*4/14</f>
        <v>-25560.934812675325</v>
      </c>
      <c r="I33" s="152">
        <f>-Annex3_BudgetPlan!H6*4/14</f>
        <v>-41376.249528935063</v>
      </c>
      <c r="J33" s="152">
        <f>-Annex3_BudgetPlan!I6*4/14</f>
        <v>-45532.948709818185</v>
      </c>
      <c r="K33" s="152">
        <f>-Annex3_BudgetPlan!J6*4/14</f>
        <v>-44061.406067948054</v>
      </c>
      <c r="L33" s="152">
        <f>-Annex3_BudgetPlan!K6*4/14</f>
        <v>-19944</v>
      </c>
      <c r="M33" s="267">
        <f>-Annex3_BudgetPlan!L6*4/14</f>
        <v>-18000</v>
      </c>
      <c r="N33" s="149">
        <f>SUM($G$33:$M$33)*0.01</f>
        <v>-2025.8089171200002</v>
      </c>
      <c r="O33" s="149">
        <f t="shared" ref="O33:Z33" si="27">SUM($G$33:$M$33)*0.01</f>
        <v>-2025.8089171200002</v>
      </c>
      <c r="P33" s="149">
        <f t="shared" si="27"/>
        <v>-2025.8089171200002</v>
      </c>
      <c r="Q33" s="149">
        <f t="shared" si="27"/>
        <v>-2025.8089171200002</v>
      </c>
      <c r="R33" s="149">
        <f t="shared" si="27"/>
        <v>-2025.8089171200002</v>
      </c>
      <c r="S33" s="149">
        <f t="shared" si="27"/>
        <v>-2025.8089171200002</v>
      </c>
      <c r="T33" s="149">
        <f t="shared" si="27"/>
        <v>-2025.8089171200002</v>
      </c>
      <c r="U33" s="149">
        <f t="shared" si="27"/>
        <v>-2025.8089171200002</v>
      </c>
      <c r="V33" s="149">
        <f t="shared" si="27"/>
        <v>-2025.8089171200002</v>
      </c>
      <c r="W33" s="149">
        <f t="shared" si="27"/>
        <v>-2025.8089171200002</v>
      </c>
      <c r="X33" s="149">
        <f t="shared" si="27"/>
        <v>-2025.8089171200002</v>
      </c>
      <c r="Y33" s="149">
        <f t="shared" si="27"/>
        <v>-2025.8089171200002</v>
      </c>
      <c r="Z33" s="149">
        <f t="shared" si="27"/>
        <v>-2025.8089171200002</v>
      </c>
    </row>
    <row r="34" spans="1:26">
      <c r="A34" s="428"/>
      <c r="B34" s="3"/>
      <c r="C34" s="80" t="s">
        <v>302</v>
      </c>
      <c r="D34" s="10" t="s">
        <v>109</v>
      </c>
      <c r="E34" s="150">
        <f t="shared" si="21"/>
        <v>-1144155.1584536757</v>
      </c>
      <c r="F34" s="159">
        <f>G34+NPV(0.1187,H34:Z34)</f>
        <v>-730417.87838189991</v>
      </c>
      <c r="G34" s="152">
        <f>-Annex3_BudgetPlan!F13*10/68</f>
        <v>-11356.199166666665</v>
      </c>
      <c r="H34" s="152">
        <f>-Annex3_BudgetPlan!G13*10/68</f>
        <v>-72944.172928921558</v>
      </c>
      <c r="I34" s="152">
        <f>-Annex3_BudgetPlan!H13*10/68</f>
        <v>-168291.020625</v>
      </c>
      <c r="J34" s="152">
        <f>-Annex3_BudgetPlan!I13*10/68</f>
        <v>-255633.87734068625</v>
      </c>
      <c r="K34" s="152">
        <f>-Annex3_BudgetPlan!J13*10/68</f>
        <v>-281225.90412990196</v>
      </c>
      <c r="L34" s="152">
        <f>-Annex3_BudgetPlan!K13*10/68</f>
        <v>-165749.48529411765</v>
      </c>
      <c r="M34" s="152">
        <f>-Annex3_BudgetPlan!L13*10/68</f>
        <v>-57326.029411764706</v>
      </c>
      <c r="N34" s="149">
        <f>SUM($G$34:$M$34)*0.01</f>
        <v>-10125.266888970587</v>
      </c>
      <c r="O34" s="149">
        <f t="shared" ref="O34:Z34" si="28">SUM($G$34:$M$34)*0.01</f>
        <v>-10125.266888970587</v>
      </c>
      <c r="P34" s="149">
        <f t="shared" si="28"/>
        <v>-10125.266888970587</v>
      </c>
      <c r="Q34" s="149">
        <f t="shared" si="28"/>
        <v>-10125.266888970587</v>
      </c>
      <c r="R34" s="149">
        <f t="shared" si="28"/>
        <v>-10125.266888970587</v>
      </c>
      <c r="S34" s="149">
        <f t="shared" si="28"/>
        <v>-10125.266888970587</v>
      </c>
      <c r="T34" s="149">
        <f t="shared" si="28"/>
        <v>-10125.266888970587</v>
      </c>
      <c r="U34" s="149">
        <f t="shared" si="28"/>
        <v>-10125.266888970587</v>
      </c>
      <c r="V34" s="149">
        <f t="shared" si="28"/>
        <v>-10125.266888970587</v>
      </c>
      <c r="W34" s="149">
        <f t="shared" si="28"/>
        <v>-10125.266888970587</v>
      </c>
      <c r="X34" s="149">
        <f t="shared" si="28"/>
        <v>-10125.266888970587</v>
      </c>
      <c r="Y34" s="149">
        <f t="shared" si="28"/>
        <v>-10125.266888970587</v>
      </c>
      <c r="Z34" s="149">
        <f t="shared" si="28"/>
        <v>-10125.266888970587</v>
      </c>
    </row>
    <row r="35" spans="1:26" ht="14.5" thickBot="1">
      <c r="A35" s="428"/>
      <c r="B35" s="76"/>
      <c r="C35" s="77" t="s">
        <v>2</v>
      </c>
      <c r="D35" s="92"/>
      <c r="E35" s="153">
        <f t="shared" si="21"/>
        <v>-617558.28161764715</v>
      </c>
      <c r="F35" s="159">
        <f t="shared" si="26"/>
        <v>-438559.63849149644</v>
      </c>
      <c r="G35" s="154">
        <f>-(Annex3_BudgetPlan!F50-Annex3_BudgetPlan!F4-Annex3_BudgetPlan!F5-Annex3_BudgetPlan!F6-Annex3_BudgetPlan!F13)*10/68</f>
        <v>-49127.256283422466</v>
      </c>
      <c r="H35" s="263">
        <f>-(Annex3_BudgetPlan!G50-Annex3_BudgetPlan!G4-Annex3_BudgetPlan!G5-Annex3_BudgetPlan!G6-Annex3_BudgetPlan!G13)*10/68</f>
        <v>-85557.538853609687</v>
      </c>
      <c r="I35" s="263">
        <f>-(Annex3_BudgetPlan!H50-Annex3_BudgetPlan!H4-Annex3_BudgetPlan!H5-Annex3_BudgetPlan!H6-Annex3_BudgetPlan!H13)*10/68</f>
        <v>-73029.807035427875</v>
      </c>
      <c r="J35" s="263">
        <f>-(Annex3_BudgetPlan!I50-Annex3_BudgetPlan!I4-Annex3_BudgetPlan!I5-Annex3_BudgetPlan!I6-Annex3_BudgetPlan!I13)*10/68</f>
        <v>-113369.87488302129</v>
      </c>
      <c r="K35" s="263">
        <f>-(Annex3_BudgetPlan!J50-Annex3_BudgetPlan!J4-Annex3_BudgetPlan!J5-Annex3_BudgetPlan!J6-Annex3_BudgetPlan!J13)*10/68</f>
        <v>-134641.28397393046</v>
      </c>
      <c r="L35" s="263">
        <f>-(Annex3_BudgetPlan!K50-Annex3_BudgetPlan!K4-Annex3_BudgetPlan!K5-Annex3_BudgetPlan!K6-Annex3_BudgetPlan!K13)*10/68</f>
        <v>-84125.690441176484</v>
      </c>
      <c r="M35" s="280">
        <f>-(Annex3_BudgetPlan!L50-Annex3_BudgetPlan!L4-Annex3_BudgetPlan!L5-Annex3_BudgetPlan!L6-Annex3_BudgetPlan!L13)*10/68</f>
        <v>-77706.830147058834</v>
      </c>
      <c r="N35" s="172">
        <v>0</v>
      </c>
      <c r="O35" s="172">
        <v>0</v>
      </c>
      <c r="P35" s="172">
        <v>0</v>
      </c>
      <c r="Q35" s="172">
        <v>0</v>
      </c>
      <c r="R35" s="172">
        <v>0</v>
      </c>
      <c r="S35" s="172">
        <v>0</v>
      </c>
      <c r="T35" s="172">
        <v>0</v>
      </c>
      <c r="U35" s="172">
        <v>0</v>
      </c>
      <c r="V35" s="172">
        <v>0</v>
      </c>
      <c r="W35" s="172">
        <v>0</v>
      </c>
      <c r="X35" s="172">
        <v>0</v>
      </c>
      <c r="Y35" s="172">
        <v>0</v>
      </c>
      <c r="Z35" s="172">
        <v>0</v>
      </c>
    </row>
    <row r="36" spans="1:26" ht="14.5" thickBot="1">
      <c r="A36" s="428"/>
      <c r="B36" s="82" t="s">
        <v>1</v>
      </c>
      <c r="C36" s="83"/>
      <c r="D36" s="93"/>
      <c r="E36" s="155">
        <f>SUM(G36:Z36)</f>
        <v>5017110</v>
      </c>
      <c r="F36" s="156">
        <f>G36+NPV(0.1187,H36:Z36)</f>
        <v>1598312.9746839209</v>
      </c>
      <c r="G36" s="157">
        <f>SUM(G37:G39)</f>
        <v>0</v>
      </c>
      <c r="H36" s="157">
        <f>SUM(H37:H39)</f>
        <v>7342</v>
      </c>
      <c r="I36" s="157">
        <f t="shared" ref="I36:Y36" si="29">SUM(I37:I39)</f>
        <v>20502</v>
      </c>
      <c r="J36" s="157">
        <f t="shared" si="29"/>
        <v>67296</v>
      </c>
      <c r="K36" s="157">
        <f t="shared" si="29"/>
        <v>142226</v>
      </c>
      <c r="L36" s="157">
        <f t="shared" si="29"/>
        <v>241314</v>
      </c>
      <c r="M36" s="157">
        <f t="shared" si="29"/>
        <v>352442</v>
      </c>
      <c r="N36" s="157">
        <f t="shared" si="29"/>
        <v>392558</v>
      </c>
      <c r="O36" s="157">
        <f t="shared" si="29"/>
        <v>385262</v>
      </c>
      <c r="P36" s="157">
        <f t="shared" si="29"/>
        <v>370569</v>
      </c>
      <c r="Q36" s="157">
        <f t="shared" si="29"/>
        <v>353970</v>
      </c>
      <c r="R36" s="157">
        <f t="shared" si="29"/>
        <v>341138</v>
      </c>
      <c r="S36" s="157">
        <f t="shared" si="29"/>
        <v>328347</v>
      </c>
      <c r="T36" s="157">
        <f t="shared" si="29"/>
        <v>315372</v>
      </c>
      <c r="U36" s="157">
        <f t="shared" si="29"/>
        <v>304475</v>
      </c>
      <c r="V36" s="157">
        <f t="shared" si="29"/>
        <v>295335</v>
      </c>
      <c r="W36" s="157">
        <f t="shared" si="29"/>
        <v>286159</v>
      </c>
      <c r="X36" s="157">
        <f t="shared" si="29"/>
        <v>278875</v>
      </c>
      <c r="Y36" s="157">
        <f t="shared" si="29"/>
        <v>269651</v>
      </c>
      <c r="Z36" s="157">
        <f>SUM(Z37:Z39)</f>
        <v>264277</v>
      </c>
    </row>
    <row r="37" spans="1:26">
      <c r="A37" s="428"/>
      <c r="B37" s="79" t="s">
        <v>49</v>
      </c>
      <c r="C37" s="80"/>
      <c r="D37" s="81"/>
      <c r="E37" s="146">
        <f t="shared" si="21"/>
        <v>2301449</v>
      </c>
      <c r="F37" s="159">
        <f>G37+NPV(0.1187,H37:Z37)</f>
        <v>846546.62001534121</v>
      </c>
      <c r="G37" s="160">
        <f>Annex5_BnefitGHG!F88</f>
        <v>0</v>
      </c>
      <c r="H37" s="148">
        <f>Annex5_BnefitGHG!F89</f>
        <v>7342</v>
      </c>
      <c r="I37" s="148">
        <f>Annex5_BnefitGHG!F90</f>
        <v>33042</v>
      </c>
      <c r="J37" s="148">
        <f>Annex5_BnefitGHG!F91</f>
        <v>73416</v>
      </c>
      <c r="K37" s="148">
        <f>Annex5_BnefitGHG!F92</f>
        <v>122966</v>
      </c>
      <c r="L37" s="148">
        <f>Annex5_BnefitGHG!F93</f>
        <v>165174</v>
      </c>
      <c r="M37" s="148">
        <f>Annex5_BnefitGHG!F94</f>
        <v>192709</v>
      </c>
      <c r="N37" s="148">
        <f>Annex5_BnefitGHG!F95</f>
        <v>201889</v>
      </c>
      <c r="O37" s="148">
        <f>Annex5_BnefitGHG!F96</f>
        <v>194534</v>
      </c>
      <c r="P37" s="148">
        <f>Annex5_BnefitGHG!F97</f>
        <v>179861</v>
      </c>
      <c r="Q37" s="148">
        <f>Annex5_BnefitGHG!F98</f>
        <v>163340</v>
      </c>
      <c r="R37" s="148">
        <f>Annex5_BnefitGHG!F99</f>
        <v>150488</v>
      </c>
      <c r="S37" s="148">
        <f>Annex5_BnefitGHG!F100</f>
        <v>137639</v>
      </c>
      <c r="T37" s="148">
        <f>Annex5_BnefitGHG!F101</f>
        <v>124800</v>
      </c>
      <c r="U37" s="148">
        <f>Annex5_BnefitGHG!F102</f>
        <v>113786</v>
      </c>
      <c r="V37" s="148">
        <f>Annex5_BnefitGHG!F103</f>
        <v>104607</v>
      </c>
      <c r="W37" s="148">
        <f>Annex5_BnefitGHG!F104</f>
        <v>95431</v>
      </c>
      <c r="X37" s="148">
        <f>Annex5_BnefitGHG!F105</f>
        <v>88089</v>
      </c>
      <c r="Y37" s="148">
        <f>Annex5_BnefitGHG!F106</f>
        <v>78923</v>
      </c>
      <c r="Z37" s="148">
        <f>Annex5_BnefitGHG!F107</f>
        <v>73413</v>
      </c>
    </row>
    <row r="38" spans="1:26">
      <c r="A38" s="428"/>
      <c r="B38" s="3" t="s">
        <v>43</v>
      </c>
      <c r="C38" s="7"/>
      <c r="D38" s="71"/>
      <c r="E38" s="150">
        <f t="shared" si="21"/>
        <v>2699640</v>
      </c>
      <c r="F38" s="162">
        <f>G38+NPV(0.1187,H38:Z38)</f>
        <v>747326.74040240212</v>
      </c>
      <c r="G38" s="72">
        <f>Annex9_2.3_BenefitAgriculture!E57</f>
        <v>0</v>
      </c>
      <c r="H38" s="152">
        <f>Annex9_2.3_BenefitAgriculture!E58</f>
        <v>0</v>
      </c>
      <c r="I38" s="152">
        <f>Annex9_2.3_BenefitAgriculture!E59</f>
        <v>-12540</v>
      </c>
      <c r="J38" s="152">
        <f>Annex9_2.3_BenefitAgriculture!E60</f>
        <v>-6120</v>
      </c>
      <c r="K38" s="152">
        <f>Annex9_2.3_BenefitAgriculture!E61</f>
        <v>19260</v>
      </c>
      <c r="L38" s="152">
        <f>Annex9_2.3_BenefitAgriculture!E62</f>
        <v>76140</v>
      </c>
      <c r="M38" s="152">
        <f>Annex9_2.3_BenefitAgriculture!E63</f>
        <v>158100</v>
      </c>
      <c r="N38" s="152">
        <f>Annex9_2.3_BenefitAgriculture!E64</f>
        <v>189600</v>
      </c>
      <c r="O38" s="152">
        <f>Annex9_2.3_BenefitAgriculture!E65</f>
        <v>189600</v>
      </c>
      <c r="P38" s="152">
        <f>Annex9_2.3_BenefitAgriculture!E66</f>
        <v>189600</v>
      </c>
      <c r="Q38" s="152">
        <f>Annex9_2.3_BenefitAgriculture!E67</f>
        <v>189600</v>
      </c>
      <c r="R38" s="152">
        <f>Annex9_2.3_BenefitAgriculture!E68</f>
        <v>189600</v>
      </c>
      <c r="S38" s="152">
        <f>Annex9_2.3_BenefitAgriculture!E69</f>
        <v>189600</v>
      </c>
      <c r="T38" s="152">
        <f>Annex9_2.3_BenefitAgriculture!E70</f>
        <v>189600</v>
      </c>
      <c r="U38" s="152">
        <f>Annex9_2.3_BenefitAgriculture!E71</f>
        <v>189600</v>
      </c>
      <c r="V38" s="152">
        <f>Annex9_2.3_BenefitAgriculture!E72</f>
        <v>189600</v>
      </c>
      <c r="W38" s="152">
        <f>Annex9_2.3_BenefitAgriculture!E73</f>
        <v>189600</v>
      </c>
      <c r="X38" s="152">
        <f>Annex9_2.3_BenefitAgriculture!E74</f>
        <v>189600</v>
      </c>
      <c r="Y38" s="152">
        <f>Annex9_2.3_BenefitAgriculture!E75</f>
        <v>189600</v>
      </c>
      <c r="Z38" s="152">
        <f>Annex9_2.3_BenefitAgriculture!E76</f>
        <v>189600</v>
      </c>
    </row>
    <row r="39" spans="1:26">
      <c r="A39" s="428"/>
      <c r="B39" s="3" t="s">
        <v>245</v>
      </c>
      <c r="C39" s="7"/>
      <c r="D39" s="71"/>
      <c r="E39" s="150">
        <f t="shared" ref="E39" si="30">SUM(G39:Z39)</f>
        <v>16021</v>
      </c>
      <c r="F39" s="162">
        <f>G39+NPV(0.1187,H39:Z39)</f>
        <v>4439.6142661774902</v>
      </c>
      <c r="G39" s="256">
        <f>Annex9_CarbonOffset!F34</f>
        <v>0</v>
      </c>
      <c r="H39" s="180">
        <f>Annex9_CarbonOffset!F35</f>
        <v>0</v>
      </c>
      <c r="I39" s="180">
        <f>Annex9_CarbonOffset!F36</f>
        <v>0</v>
      </c>
      <c r="J39" s="180">
        <f>Annex9_CarbonOffset!F37</f>
        <v>0</v>
      </c>
      <c r="K39" s="180">
        <f>Annex9_CarbonOffset!F38</f>
        <v>0</v>
      </c>
      <c r="L39" s="180">
        <f>Annex9_CarbonOffset!F39</f>
        <v>0</v>
      </c>
      <c r="M39" s="180">
        <f>Annex9_CarbonOffset!F40</f>
        <v>1633</v>
      </c>
      <c r="N39" s="180">
        <f>Annex9_CarbonOffset!F41</f>
        <v>1069</v>
      </c>
      <c r="O39" s="180">
        <f>Annex9_CarbonOffset!F42</f>
        <v>1128</v>
      </c>
      <c r="P39" s="180">
        <f>Annex9_CarbonOffset!F43</f>
        <v>1108</v>
      </c>
      <c r="Q39" s="180">
        <f>Annex9_CarbonOffset!F44</f>
        <v>1030</v>
      </c>
      <c r="R39" s="180">
        <f>Annex9_CarbonOffset!F45</f>
        <v>1050</v>
      </c>
      <c r="S39" s="180">
        <f>Annex9_CarbonOffset!F46</f>
        <v>1108</v>
      </c>
      <c r="T39" s="180">
        <f>Annex9_CarbonOffset!F47</f>
        <v>972</v>
      </c>
      <c r="U39" s="180">
        <f>Annex9_CarbonOffset!F48</f>
        <v>1089</v>
      </c>
      <c r="V39" s="180">
        <f>Annex9_CarbonOffset!F49</f>
        <v>1128</v>
      </c>
      <c r="W39" s="180">
        <f>Annex9_CarbonOffset!F50</f>
        <v>1128</v>
      </c>
      <c r="X39" s="180">
        <f>Annex9_CarbonOffset!F51</f>
        <v>1186</v>
      </c>
      <c r="Y39" s="180">
        <f>Annex9_CarbonOffset!F52</f>
        <v>1128</v>
      </c>
      <c r="Z39" s="180">
        <f>Annex9_CarbonOffset!F53</f>
        <v>1264</v>
      </c>
    </row>
    <row r="40" spans="1:26">
      <c r="A40" s="428"/>
      <c r="B40" s="4" t="s">
        <v>3</v>
      </c>
      <c r="C40" s="8"/>
      <c r="D40" s="13"/>
      <c r="E40" s="163">
        <f>SUM(G40:Z40)</f>
        <v>2444162.8152801292</v>
      </c>
      <c r="F40" s="164">
        <f>G40+NPV(0.1187,H40:Z40)</f>
        <v>-142658.03372368589</v>
      </c>
      <c r="G40" s="165">
        <f t="shared" ref="G40:Z40" si="31">G30+G36</f>
        <v>-116362.16321218209</v>
      </c>
      <c r="H40" s="166">
        <f t="shared" si="31"/>
        <v>-290540.35757740488</v>
      </c>
      <c r="I40" s="166">
        <f t="shared" si="31"/>
        <v>-382908.15105191391</v>
      </c>
      <c r="J40" s="165">
        <f t="shared" si="31"/>
        <v>-482688.7742565826</v>
      </c>
      <c r="K40" s="166">
        <f t="shared" si="31"/>
        <v>-390960.97771084821</v>
      </c>
      <c r="L40" s="166">
        <f t="shared" si="31"/>
        <v>-48082.361744833062</v>
      </c>
      <c r="M40" s="166">
        <f t="shared" si="31"/>
        <v>194673.8463235294</v>
      </c>
      <c r="N40" s="166">
        <f t="shared" si="31"/>
        <v>375253.67342387413</v>
      </c>
      <c r="O40" s="166">
        <f t="shared" si="31"/>
        <v>367957.67342387413</v>
      </c>
      <c r="P40" s="166">
        <f t="shared" si="31"/>
        <v>353264.67342387413</v>
      </c>
      <c r="Q40" s="166">
        <f t="shared" si="31"/>
        <v>336665.67342387413</v>
      </c>
      <c r="R40" s="166">
        <f t="shared" si="31"/>
        <v>323833.67342387413</v>
      </c>
      <c r="S40" s="166">
        <f t="shared" si="31"/>
        <v>311042.67342387413</v>
      </c>
      <c r="T40" s="166">
        <f t="shared" si="31"/>
        <v>298067.67342387413</v>
      </c>
      <c r="U40" s="166">
        <f t="shared" si="31"/>
        <v>287170.67342387413</v>
      </c>
      <c r="V40" s="166">
        <f t="shared" si="31"/>
        <v>278030.67342387413</v>
      </c>
      <c r="W40" s="166">
        <f t="shared" si="31"/>
        <v>268854.67342387413</v>
      </c>
      <c r="X40" s="166">
        <f t="shared" si="31"/>
        <v>261570.67342387413</v>
      </c>
      <c r="Y40" s="166">
        <f t="shared" si="31"/>
        <v>252346.67342387413</v>
      </c>
      <c r="Z40" s="166">
        <f t="shared" si="31"/>
        <v>246972.67342387413</v>
      </c>
    </row>
    <row r="41" spans="1:26" ht="14.5" thickBot="1">
      <c r="A41" s="429"/>
      <c r="B41" s="76"/>
      <c r="C41" s="90" t="s">
        <v>52</v>
      </c>
      <c r="D41" s="91">
        <f>IRR(G40:Z40, 0.1187)</f>
        <v>0.10326967693661149</v>
      </c>
      <c r="E41" s="167" t="s">
        <v>22</v>
      </c>
      <c r="F41" s="168">
        <f>-F36/F30</f>
        <v>0.91805835189974283</v>
      </c>
      <c r="G41" s="169"/>
      <c r="H41" s="170"/>
      <c r="I41" s="170"/>
      <c r="J41" s="171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</row>
    <row r="42" spans="1:26" ht="14.5" thickBot="1">
      <c r="A42" s="427" t="s">
        <v>272</v>
      </c>
      <c r="B42" s="87" t="s">
        <v>0</v>
      </c>
      <c r="C42" s="88"/>
      <c r="D42" s="89"/>
      <c r="E42" s="142">
        <f>SUM(G42:Z42)</f>
        <v>-4606473.3509656293</v>
      </c>
      <c r="F42" s="173">
        <f>G42+NPV(0.1187,H42:Z42)</f>
        <v>-3121035.3927698233</v>
      </c>
      <c r="G42" s="174">
        <f t="shared" ref="G42:Z42" si="32">SUM(G43:G47)</f>
        <v>-211544.49420911403</v>
      </c>
      <c r="H42" s="174">
        <f t="shared" si="32"/>
        <v>-534693.33830390987</v>
      </c>
      <c r="I42" s="174">
        <f t="shared" si="32"/>
        <v>-715191.70438652905</v>
      </c>
      <c r="J42" s="174">
        <f t="shared" si="32"/>
        <v>-989492.93962663156</v>
      </c>
      <c r="K42" s="174">
        <f t="shared" si="32"/>
        <v>-959390.60748431657</v>
      </c>
      <c r="L42" s="174">
        <f t="shared" si="32"/>
        <v>-525110.91650437203</v>
      </c>
      <c r="M42" s="174">
        <f t="shared" si="32"/>
        <v>-276089.49198529415</v>
      </c>
      <c r="N42" s="174">
        <f t="shared" si="32"/>
        <v>-30381.52757426638</v>
      </c>
      <c r="O42" s="174">
        <f t="shared" si="32"/>
        <v>-30381.52757426638</v>
      </c>
      <c r="P42" s="174">
        <f t="shared" si="32"/>
        <v>-30381.52757426638</v>
      </c>
      <c r="Q42" s="174">
        <f t="shared" si="32"/>
        <v>-30381.52757426638</v>
      </c>
      <c r="R42" s="174">
        <f t="shared" si="32"/>
        <v>-30381.52757426638</v>
      </c>
      <c r="S42" s="174">
        <f t="shared" si="32"/>
        <v>-30381.52757426638</v>
      </c>
      <c r="T42" s="174">
        <f t="shared" si="32"/>
        <v>-30381.52757426638</v>
      </c>
      <c r="U42" s="174">
        <f t="shared" si="32"/>
        <v>-30381.52757426638</v>
      </c>
      <c r="V42" s="174">
        <f t="shared" si="32"/>
        <v>-30381.52757426638</v>
      </c>
      <c r="W42" s="174">
        <f t="shared" si="32"/>
        <v>-30381.52757426638</v>
      </c>
      <c r="X42" s="174">
        <f t="shared" si="32"/>
        <v>-30381.52757426638</v>
      </c>
      <c r="Y42" s="174">
        <f t="shared" si="32"/>
        <v>-30381.52757426638</v>
      </c>
      <c r="Z42" s="174">
        <f t="shared" si="32"/>
        <v>-30381.52757426638</v>
      </c>
    </row>
    <row r="43" spans="1:26">
      <c r="A43" s="428"/>
      <c r="B43" s="79"/>
      <c r="C43" s="80" t="s">
        <v>299</v>
      </c>
      <c r="D43" s="281" t="s">
        <v>133</v>
      </c>
      <c r="E43" s="146">
        <f t="shared" ref="E43:E50" si="33">SUM(G43:Z43)</f>
        <v>-747326.19561749767</v>
      </c>
      <c r="F43" s="159">
        <f>G43+NPV(0.1187,H43:Z43)</f>
        <v>-551866.75502820814</v>
      </c>
      <c r="G43" s="264">
        <f>-Annex3_BudgetPlan!F4*19/68</f>
        <v>-69585.842281903737</v>
      </c>
      <c r="H43" s="261">
        <f>-Annex3_BudgetPlan!G4*19/68</f>
        <v>-171997.17534151339</v>
      </c>
      <c r="I43" s="261">
        <f>-Annex3_BudgetPlan!H4*19/68</f>
        <v>-170033.31548844386</v>
      </c>
      <c r="J43" s="261">
        <f>-Annex3_BudgetPlan!I4*19/68</f>
        <v>-173795.11355563102</v>
      </c>
      <c r="K43" s="261">
        <f>-Annex3_BudgetPlan!J4*19/68</f>
        <v>-57945.051276155093</v>
      </c>
      <c r="L43" s="261">
        <f>-Annex3_BudgetPlan!K4*19/68</f>
        <v>-8997.0588235294126</v>
      </c>
      <c r="M43" s="261">
        <f>-Annex3_BudgetPlan!L4*19/68</f>
        <v>-8997.0588235294126</v>
      </c>
      <c r="N43" s="273">
        <f>SUM($G$43:$M$43)*0.01</f>
        <v>-6613.5061559070591</v>
      </c>
      <c r="O43" s="273">
        <f t="shared" ref="O43:Z43" si="34">SUM($G$43:$M$43)*0.01</f>
        <v>-6613.5061559070591</v>
      </c>
      <c r="P43" s="273">
        <f t="shared" si="34"/>
        <v>-6613.5061559070591</v>
      </c>
      <c r="Q43" s="273">
        <f t="shared" si="34"/>
        <v>-6613.5061559070591</v>
      </c>
      <c r="R43" s="273">
        <f t="shared" si="34"/>
        <v>-6613.5061559070591</v>
      </c>
      <c r="S43" s="273">
        <f t="shared" si="34"/>
        <v>-6613.5061559070591</v>
      </c>
      <c r="T43" s="273">
        <f t="shared" si="34"/>
        <v>-6613.5061559070591</v>
      </c>
      <c r="U43" s="273">
        <f t="shared" si="34"/>
        <v>-6613.5061559070591</v>
      </c>
      <c r="V43" s="273">
        <f t="shared" si="34"/>
        <v>-6613.5061559070591</v>
      </c>
      <c r="W43" s="273">
        <f t="shared" si="34"/>
        <v>-6613.5061559070591</v>
      </c>
      <c r="X43" s="274">
        <f t="shared" si="34"/>
        <v>-6613.5061559070591</v>
      </c>
      <c r="Y43" s="274">
        <f t="shared" si="34"/>
        <v>-6613.5061559070591</v>
      </c>
      <c r="Z43" s="274">
        <f t="shared" si="34"/>
        <v>-6613.5061559070591</v>
      </c>
    </row>
    <row r="44" spans="1:26">
      <c r="A44" s="428"/>
      <c r="B44" s="79"/>
      <c r="C44" s="80" t="s">
        <v>300</v>
      </c>
      <c r="D44" s="281" t="s">
        <v>108</v>
      </c>
      <c r="E44" s="146">
        <f t="shared" si="33"/>
        <v>-377975.52074640011</v>
      </c>
      <c r="F44" s="159">
        <f>G44+NPV(0.1187,H44:Z44)</f>
        <v>-259239.62183175233</v>
      </c>
      <c r="G44" s="267">
        <f>-Annex3_BudgetPlan!F5*20/74</f>
        <v>-22298.455305356263</v>
      </c>
      <c r="H44" s="152">
        <f>-Annex3_BudgetPlan!G5*20/74</f>
        <v>-46589.763710171988</v>
      </c>
      <c r="I44" s="152">
        <f>-Annex3_BudgetPlan!H5*20/74</f>
        <v>-62443.710368845212</v>
      </c>
      <c r="J44" s="152">
        <f>-Annex3_BudgetPlan!I5*20/74</f>
        <v>-87953.921850712548</v>
      </c>
      <c r="K44" s="152">
        <f>-Annex3_BudgetPlan!J5*20/74</f>
        <v>-85521.976261130214</v>
      </c>
      <c r="L44" s="152">
        <f>-Annex3_BudgetPlan!K5*20/74</f>
        <v>-29683.783783783783</v>
      </c>
      <c r="M44" s="152">
        <f>-Annex3_BudgetPlan!L5*20/74</f>
        <v>0</v>
      </c>
      <c r="N44" s="275">
        <f>SUM($G$44:$M$44)*0.01</f>
        <v>-3344.9161127999996</v>
      </c>
      <c r="O44" s="275">
        <f t="shared" ref="O44:Z44" si="35">SUM($G$44:$M$44)*0.01</f>
        <v>-3344.9161127999996</v>
      </c>
      <c r="P44" s="275">
        <f t="shared" si="35"/>
        <v>-3344.9161127999996</v>
      </c>
      <c r="Q44" s="275">
        <f t="shared" si="35"/>
        <v>-3344.9161127999996</v>
      </c>
      <c r="R44" s="275">
        <f t="shared" si="35"/>
        <v>-3344.9161127999996</v>
      </c>
      <c r="S44" s="275">
        <f t="shared" si="35"/>
        <v>-3344.9161127999996</v>
      </c>
      <c r="T44" s="275">
        <f t="shared" si="35"/>
        <v>-3344.9161127999996</v>
      </c>
      <c r="U44" s="275">
        <f t="shared" si="35"/>
        <v>-3344.9161127999996</v>
      </c>
      <c r="V44" s="275">
        <f t="shared" si="35"/>
        <v>-3344.9161127999996</v>
      </c>
      <c r="W44" s="275">
        <f t="shared" si="35"/>
        <v>-3344.9161127999996</v>
      </c>
      <c r="X44" s="275">
        <f t="shared" si="35"/>
        <v>-3344.9161127999996</v>
      </c>
      <c r="Y44" s="275">
        <f t="shared" si="35"/>
        <v>-3344.9161127999996</v>
      </c>
      <c r="Z44" s="275">
        <f t="shared" si="35"/>
        <v>-3344.9161127999996</v>
      </c>
    </row>
    <row r="45" spans="1:26">
      <c r="A45" s="428"/>
      <c r="B45" s="79"/>
      <c r="C45" s="80" t="s">
        <v>301</v>
      </c>
      <c r="D45" s="281" t="s">
        <v>125</v>
      </c>
      <c r="E45" s="146">
        <f t="shared" si="33"/>
        <v>-133916.09846621758</v>
      </c>
      <c r="F45" s="159">
        <f t="shared" ref="F45:F47" si="36">G45+NPV(0.1187,H45:Z45)</f>
        <v>-88871.733850408738</v>
      </c>
      <c r="G45" s="267">
        <f>-Annex3_BudgetPlan!F6*2.34/14</f>
        <v>-4741.6312666846743</v>
      </c>
      <c r="H45" s="152">
        <f>-Annex3_BudgetPlan!G6*2.34/14</f>
        <v>-14953.146865415065</v>
      </c>
      <c r="I45" s="152">
        <f>-Annex3_BudgetPlan!H6*2.34/14</f>
        <v>-24205.10597442701</v>
      </c>
      <c r="J45" s="152">
        <f>-Annex3_BudgetPlan!I6*2.34/14</f>
        <v>-26636.774995243639</v>
      </c>
      <c r="K45" s="152">
        <f>-Annex3_BudgetPlan!J6*2.34/14</f>
        <v>-25775.922549749612</v>
      </c>
      <c r="L45" s="152">
        <f>-Annex3_BudgetPlan!K6*2.34/14</f>
        <v>-11667.24</v>
      </c>
      <c r="M45" s="152">
        <f>-Annex3_BudgetPlan!L6*2.34/14</f>
        <v>-10530</v>
      </c>
      <c r="N45" s="275">
        <f>SUM($G$45:$M$45)*0.01</f>
        <v>-1185.0982165152</v>
      </c>
      <c r="O45" s="275">
        <f t="shared" ref="O45:Z45" si="37">SUM($G$45:$M$45)*0.01</f>
        <v>-1185.0982165152</v>
      </c>
      <c r="P45" s="275">
        <f t="shared" si="37"/>
        <v>-1185.0982165152</v>
      </c>
      <c r="Q45" s="275">
        <f t="shared" si="37"/>
        <v>-1185.0982165152</v>
      </c>
      <c r="R45" s="275">
        <f t="shared" si="37"/>
        <v>-1185.0982165152</v>
      </c>
      <c r="S45" s="275">
        <f t="shared" si="37"/>
        <v>-1185.0982165152</v>
      </c>
      <c r="T45" s="275">
        <f t="shared" si="37"/>
        <v>-1185.0982165152</v>
      </c>
      <c r="U45" s="275">
        <f t="shared" si="37"/>
        <v>-1185.0982165152</v>
      </c>
      <c r="V45" s="275">
        <f t="shared" si="37"/>
        <v>-1185.0982165152</v>
      </c>
      <c r="W45" s="275">
        <f t="shared" si="37"/>
        <v>-1185.0982165152</v>
      </c>
      <c r="X45" s="275">
        <f t="shared" si="37"/>
        <v>-1185.0982165152</v>
      </c>
      <c r="Y45" s="275">
        <f t="shared" si="37"/>
        <v>-1185.0982165152</v>
      </c>
      <c r="Z45" s="275">
        <f t="shared" si="37"/>
        <v>-1185.0982165152</v>
      </c>
    </row>
    <row r="46" spans="1:26">
      <c r="A46" s="428"/>
      <c r="B46" s="3"/>
      <c r="C46" s="80" t="s">
        <v>302</v>
      </c>
      <c r="D46" s="282" t="s">
        <v>133</v>
      </c>
      <c r="E46" s="150">
        <f t="shared" si="33"/>
        <v>-2173894.8010619855</v>
      </c>
      <c r="F46" s="159">
        <f t="shared" si="36"/>
        <v>-1387793.9689256095</v>
      </c>
      <c r="G46" s="152">
        <f>-Annex3_BudgetPlan!F13*19/68</f>
        <v>-21576.778416666664</v>
      </c>
      <c r="H46" s="152">
        <f>-Annex3_BudgetPlan!G13*19/68</f>
        <v>-138593.92856495097</v>
      </c>
      <c r="I46" s="152">
        <f>-Annex3_BudgetPlan!H13*19/68</f>
        <v>-319752.93918749999</v>
      </c>
      <c r="J46" s="152">
        <f>-Annex3_BudgetPlan!I13*19/68</f>
        <v>-485704.36694730393</v>
      </c>
      <c r="K46" s="152">
        <f>-Annex3_BudgetPlan!J13*19/68</f>
        <v>-534329.21784681373</v>
      </c>
      <c r="L46" s="152">
        <f>-Annex3_BudgetPlan!K13*19/68</f>
        <v>-314924.02205882355</v>
      </c>
      <c r="M46" s="152">
        <f>-Annex3_BudgetPlan!L13*19/68</f>
        <v>-108919.45588235294</v>
      </c>
      <c r="N46" s="149">
        <f>SUM($G$46:$M$46)*0.01</f>
        <v>-19238.00708904412</v>
      </c>
      <c r="O46" s="149">
        <f>SUM($G$46:$M$46)*0.01</f>
        <v>-19238.00708904412</v>
      </c>
      <c r="P46" s="149">
        <f t="shared" ref="P46:Z46" si="38">SUM($G$46:$M$46)*0.01</f>
        <v>-19238.00708904412</v>
      </c>
      <c r="Q46" s="149">
        <f t="shared" si="38"/>
        <v>-19238.00708904412</v>
      </c>
      <c r="R46" s="149">
        <f t="shared" si="38"/>
        <v>-19238.00708904412</v>
      </c>
      <c r="S46" s="149">
        <f t="shared" si="38"/>
        <v>-19238.00708904412</v>
      </c>
      <c r="T46" s="149">
        <f t="shared" si="38"/>
        <v>-19238.00708904412</v>
      </c>
      <c r="U46" s="149">
        <f t="shared" si="38"/>
        <v>-19238.00708904412</v>
      </c>
      <c r="V46" s="149">
        <f t="shared" si="38"/>
        <v>-19238.00708904412</v>
      </c>
      <c r="W46" s="149">
        <f t="shared" si="38"/>
        <v>-19238.00708904412</v>
      </c>
      <c r="X46" s="149">
        <f t="shared" si="38"/>
        <v>-19238.00708904412</v>
      </c>
      <c r="Y46" s="149">
        <f t="shared" si="38"/>
        <v>-19238.00708904412</v>
      </c>
      <c r="Z46" s="149">
        <f t="shared" si="38"/>
        <v>-19238.00708904412</v>
      </c>
    </row>
    <row r="47" spans="1:26" ht="14.5" thickBot="1">
      <c r="A47" s="428"/>
      <c r="B47" s="76"/>
      <c r="C47" s="77" t="s">
        <v>2</v>
      </c>
      <c r="D47" s="92"/>
      <c r="E47" s="153">
        <f t="shared" si="33"/>
        <v>-1173360.7350735294</v>
      </c>
      <c r="F47" s="159">
        <f t="shared" si="36"/>
        <v>-833263.31313384324</v>
      </c>
      <c r="G47" s="154">
        <f>-(Annex3_BudgetPlan!F50-Annex3_BudgetPlan!F4-Annex3_BudgetPlan!F5-Annex3_BudgetPlan!F6-Annex3_BudgetPlan!F13)*19/68</f>
        <v>-93341.786938502686</v>
      </c>
      <c r="H47" s="263">
        <f>-(Annex3_BudgetPlan!G50-Annex3_BudgetPlan!G4-Annex3_BudgetPlan!G5-Annex3_BudgetPlan!G6-Annex3_BudgetPlan!G13)*19/68</f>
        <v>-162559.32382185839</v>
      </c>
      <c r="I47" s="263">
        <f>-(Annex3_BudgetPlan!H50-Annex3_BudgetPlan!H4-Annex3_BudgetPlan!H5-Annex3_BudgetPlan!H6-Annex3_BudgetPlan!H13)*19/68</f>
        <v>-138756.63336731293</v>
      </c>
      <c r="J47" s="263">
        <f>-(Annex3_BudgetPlan!I50-Annex3_BudgetPlan!I4-Annex3_BudgetPlan!I5-Annex3_BudgetPlan!I6-Annex3_BudgetPlan!I13)*19/68</f>
        <v>-215402.76227774043</v>
      </c>
      <c r="K47" s="263">
        <f>-(Annex3_BudgetPlan!J50-Annex3_BudgetPlan!J4-Annex3_BudgetPlan!J5-Annex3_BudgetPlan!J6-Annex3_BudgetPlan!J13)*19/68</f>
        <v>-255818.43955046788</v>
      </c>
      <c r="L47" s="263">
        <f>-(Annex3_BudgetPlan!K50-Annex3_BudgetPlan!K4-Annex3_BudgetPlan!K5-Annex3_BudgetPlan!K6-Annex3_BudgetPlan!K13)*19/68</f>
        <v>-159838.81183823533</v>
      </c>
      <c r="M47" s="280">
        <f>-(Annex3_BudgetPlan!L50-Annex3_BudgetPlan!L4-Annex3_BudgetPlan!L5-Annex3_BudgetPlan!L6-Annex3_BudgetPlan!L13)*19/68</f>
        <v>-147642.9772794118</v>
      </c>
      <c r="N47" s="172">
        <v>0</v>
      </c>
      <c r="O47" s="172">
        <v>0</v>
      </c>
      <c r="P47" s="172">
        <v>0</v>
      </c>
      <c r="Q47" s="172">
        <v>0</v>
      </c>
      <c r="R47" s="172">
        <v>0</v>
      </c>
      <c r="S47" s="172">
        <v>0</v>
      </c>
      <c r="T47" s="172">
        <v>0</v>
      </c>
      <c r="U47" s="172">
        <v>0</v>
      </c>
      <c r="V47" s="172">
        <v>0</v>
      </c>
      <c r="W47" s="172">
        <v>0</v>
      </c>
      <c r="X47" s="172">
        <v>0</v>
      </c>
      <c r="Y47" s="172">
        <v>0</v>
      </c>
      <c r="Z47" s="172">
        <v>0</v>
      </c>
    </row>
    <row r="48" spans="1:26" ht="14.5" thickBot="1">
      <c r="A48" s="428"/>
      <c r="B48" s="82" t="s">
        <v>1</v>
      </c>
      <c r="C48" s="83"/>
      <c r="D48" s="93"/>
      <c r="E48" s="155">
        <f t="shared" si="33"/>
        <v>11384762</v>
      </c>
      <c r="F48" s="156">
        <f>G48+NPV(0.1187,H48:Z48)</f>
        <v>3659768.0212766207</v>
      </c>
      <c r="G48" s="157">
        <f>SUM(G49:G51)</f>
        <v>0</v>
      </c>
      <c r="H48" s="157">
        <f>SUM(H49:H51)</f>
        <v>25637</v>
      </c>
      <c r="I48" s="157">
        <f t="shared" ref="I48:Z48" si="39">SUM(I49:I51)</f>
        <v>61138</v>
      </c>
      <c r="J48" s="157">
        <f t="shared" si="39"/>
        <v>169516</v>
      </c>
      <c r="K48" s="157">
        <f t="shared" si="39"/>
        <v>341454</v>
      </c>
      <c r="L48" s="157">
        <f t="shared" si="39"/>
        <v>560060</v>
      </c>
      <c r="M48" s="157">
        <f t="shared" si="39"/>
        <v>810248</v>
      </c>
      <c r="N48" s="157">
        <f t="shared" si="39"/>
        <v>873042</v>
      </c>
      <c r="O48" s="157">
        <f t="shared" si="39"/>
        <v>868521</v>
      </c>
      <c r="P48" s="157">
        <f t="shared" si="39"/>
        <v>833538</v>
      </c>
      <c r="Q48" s="157">
        <f t="shared" si="39"/>
        <v>798392</v>
      </c>
      <c r="R48" s="157">
        <f t="shared" si="39"/>
        <v>768150</v>
      </c>
      <c r="S48" s="157">
        <f t="shared" si="39"/>
        <v>740309</v>
      </c>
      <c r="T48" s="157">
        <f t="shared" si="39"/>
        <v>712039</v>
      </c>
      <c r="U48" s="157">
        <f t="shared" si="39"/>
        <v>689002</v>
      </c>
      <c r="V48" s="157">
        <f t="shared" si="39"/>
        <v>665809</v>
      </c>
      <c r="W48" s="157">
        <f t="shared" si="39"/>
        <v>644829</v>
      </c>
      <c r="X48" s="157">
        <f t="shared" si="39"/>
        <v>626310</v>
      </c>
      <c r="Y48" s="157">
        <f t="shared" si="39"/>
        <v>607546</v>
      </c>
      <c r="Z48" s="157">
        <f t="shared" si="39"/>
        <v>589222</v>
      </c>
    </row>
    <row r="49" spans="1:26">
      <c r="A49" s="428"/>
      <c r="B49" s="79" t="s">
        <v>49</v>
      </c>
      <c r="C49" s="80"/>
      <c r="D49" s="81"/>
      <c r="E49" s="146">
        <f t="shared" si="33"/>
        <v>6182045</v>
      </c>
      <c r="F49" s="159">
        <f>G49+NPV(0.1187,H49:Z49)</f>
        <v>2210889.3977449709</v>
      </c>
      <c r="G49" s="160">
        <f>Annex5_BnefitGHG!G88</f>
        <v>0</v>
      </c>
      <c r="H49" s="148">
        <f>Annex5_BnefitGHG!G89</f>
        <v>25637</v>
      </c>
      <c r="I49" s="148">
        <f>Annex5_BnefitGHG!G90</f>
        <v>86218</v>
      </c>
      <c r="J49" s="148">
        <f>Annex5_BnefitGHG!G91</f>
        <v>181756</v>
      </c>
      <c r="K49" s="148">
        <f>Annex5_BnefitGHG!G92</f>
        <v>302934</v>
      </c>
      <c r="L49" s="148">
        <f>Annex5_BnefitGHG!G93</f>
        <v>407780</v>
      </c>
      <c r="M49" s="148">
        <f>Annex5_BnefitGHG!G94</f>
        <v>477698</v>
      </c>
      <c r="N49" s="148">
        <f>Annex5_BnefitGHG!G95</f>
        <v>510307</v>
      </c>
      <c r="O49" s="148">
        <f>Annex5_BnefitGHG!G96</f>
        <v>505650</v>
      </c>
      <c r="P49" s="148">
        <f>Annex5_BnefitGHG!G97</f>
        <v>470712</v>
      </c>
      <c r="Q49" s="148">
        <f>Annex5_BnefitGHG!G98</f>
        <v>435748</v>
      </c>
      <c r="R49" s="148">
        <f>Annex5_BnefitGHG!G99</f>
        <v>405461</v>
      </c>
      <c r="S49" s="148">
        <f>Annex5_BnefitGHG!G100</f>
        <v>377483</v>
      </c>
      <c r="T49" s="148">
        <f>Annex5_BnefitGHG!G101</f>
        <v>349531</v>
      </c>
      <c r="U49" s="148">
        <f>Annex5_BnefitGHG!G102</f>
        <v>326222</v>
      </c>
      <c r="V49" s="148">
        <f>Annex5_BnefitGHG!G103</f>
        <v>302938</v>
      </c>
      <c r="W49" s="148">
        <f>Annex5_BnefitGHG!G104</f>
        <v>281958</v>
      </c>
      <c r="X49" s="148">
        <f>Annex5_BnefitGHG!G105</f>
        <v>263303</v>
      </c>
      <c r="Y49" s="148">
        <f>Annex5_BnefitGHG!G106</f>
        <v>244675</v>
      </c>
      <c r="Z49" s="148">
        <f>Annex5_BnefitGHG!G107</f>
        <v>226034</v>
      </c>
    </row>
    <row r="50" spans="1:26">
      <c r="A50" s="428"/>
      <c r="B50" s="3" t="s">
        <v>43</v>
      </c>
      <c r="C50" s="7"/>
      <c r="D50" s="71"/>
      <c r="E50" s="146">
        <f t="shared" si="33"/>
        <v>5165340</v>
      </c>
      <c r="F50" s="162">
        <f>G50+NPV(0.1187,H50:Z50)</f>
        <v>1438520.3554536346</v>
      </c>
      <c r="G50" s="72">
        <f>Annex9_2.3_BenefitAgriculture!F57</f>
        <v>0</v>
      </c>
      <c r="H50" s="152">
        <f>Annex9_2.3_BenefitAgriculture!F58</f>
        <v>0</v>
      </c>
      <c r="I50" s="152">
        <f>Annex9_2.3_BenefitAgriculture!F59</f>
        <v>-25080</v>
      </c>
      <c r="J50" s="152">
        <f>Annex9_2.3_BenefitAgriculture!F60</f>
        <v>-12240</v>
      </c>
      <c r="K50" s="152">
        <f>Annex9_2.3_BenefitAgriculture!F61</f>
        <v>38520</v>
      </c>
      <c r="L50" s="152">
        <f>Annex9_2.3_BenefitAgriculture!F62</f>
        <v>152280</v>
      </c>
      <c r="M50" s="152">
        <f>Annex9_2.3_BenefitAgriculture!F63</f>
        <v>328740</v>
      </c>
      <c r="N50" s="172">
        <f>Annex9_2.3_BenefitAgriculture!F64</f>
        <v>360240</v>
      </c>
      <c r="O50" s="172">
        <f>Annex9_2.3_BenefitAgriculture!F65</f>
        <v>360240</v>
      </c>
      <c r="P50" s="172">
        <f>Annex9_2.3_BenefitAgriculture!F66</f>
        <v>360240</v>
      </c>
      <c r="Q50" s="172">
        <f>Annex9_2.3_BenefitAgriculture!F67</f>
        <v>360240</v>
      </c>
      <c r="R50" s="172">
        <f>Annex9_2.3_BenefitAgriculture!F68</f>
        <v>360240</v>
      </c>
      <c r="S50" s="172">
        <f>Annex9_2.3_BenefitAgriculture!F69</f>
        <v>360240</v>
      </c>
      <c r="T50" s="172">
        <f>Annex9_2.3_BenefitAgriculture!F70</f>
        <v>360240</v>
      </c>
      <c r="U50" s="172">
        <f>Annex9_2.3_BenefitAgriculture!F71</f>
        <v>360240</v>
      </c>
      <c r="V50" s="172">
        <f>Annex9_2.3_BenefitAgriculture!F72</f>
        <v>360240</v>
      </c>
      <c r="W50" s="172">
        <f>Annex9_2.3_BenefitAgriculture!F73</f>
        <v>360240</v>
      </c>
      <c r="X50" s="172">
        <f>Annex9_2.3_BenefitAgriculture!F74</f>
        <v>360240</v>
      </c>
      <c r="Y50" s="172">
        <f>Annex9_2.3_BenefitAgriculture!F75</f>
        <v>360240</v>
      </c>
      <c r="Z50" s="172">
        <f>Annex9_2.3_BenefitAgriculture!F76</f>
        <v>360240</v>
      </c>
    </row>
    <row r="51" spans="1:26">
      <c r="A51" s="428"/>
      <c r="B51" s="3" t="s">
        <v>245</v>
      </c>
      <c r="C51" s="7"/>
      <c r="D51" s="71"/>
      <c r="E51" s="146">
        <f>SUM(G51:Z51)</f>
        <v>37377</v>
      </c>
      <c r="F51" s="162">
        <f>G51+NPV(0.1187,H51:Z51)</f>
        <v>10358.268078014669</v>
      </c>
      <c r="G51" s="256">
        <f>Annex9_CarbonOffset!G34</f>
        <v>0</v>
      </c>
      <c r="H51" s="180">
        <f>Annex9_CarbonOffset!G35</f>
        <v>0</v>
      </c>
      <c r="I51" s="180">
        <f>Annex9_CarbonOffset!G36</f>
        <v>0</v>
      </c>
      <c r="J51" s="180">
        <f>Annex9_CarbonOffset!G37</f>
        <v>0</v>
      </c>
      <c r="K51" s="180">
        <f>Annex9_CarbonOffset!G38</f>
        <v>0</v>
      </c>
      <c r="L51" s="180">
        <f>Annex9_CarbonOffset!G39</f>
        <v>0</v>
      </c>
      <c r="M51" s="180">
        <f>Annex9_CarbonOffset!G40</f>
        <v>3810</v>
      </c>
      <c r="N51" s="180">
        <f>Annex9_CarbonOffset!G41</f>
        <v>2495</v>
      </c>
      <c r="O51" s="180">
        <f>Annex9_CarbonOffset!G42</f>
        <v>2631</v>
      </c>
      <c r="P51" s="180">
        <f>Annex9_CarbonOffset!G43</f>
        <v>2586</v>
      </c>
      <c r="Q51" s="180">
        <f>Annex9_CarbonOffset!G44</f>
        <v>2404</v>
      </c>
      <c r="R51" s="180">
        <f>Annex9_CarbonOffset!G45</f>
        <v>2449</v>
      </c>
      <c r="S51" s="180">
        <f>Annex9_CarbonOffset!G46</f>
        <v>2586</v>
      </c>
      <c r="T51" s="180">
        <f>Annex9_CarbonOffset!G47</f>
        <v>2268</v>
      </c>
      <c r="U51" s="180">
        <f>Annex9_CarbonOffset!G48</f>
        <v>2540</v>
      </c>
      <c r="V51" s="180">
        <f>Annex9_CarbonOffset!G49</f>
        <v>2631</v>
      </c>
      <c r="W51" s="180">
        <f>Annex9_CarbonOffset!G50</f>
        <v>2631</v>
      </c>
      <c r="X51" s="180">
        <f>Annex9_CarbonOffset!G51</f>
        <v>2767</v>
      </c>
      <c r="Y51" s="180">
        <f>Annex9_CarbonOffset!G52</f>
        <v>2631</v>
      </c>
      <c r="Z51" s="180">
        <f>Annex9_CarbonOffset!G53</f>
        <v>2948</v>
      </c>
    </row>
    <row r="52" spans="1:26">
      <c r="A52" s="428"/>
      <c r="B52" s="4" t="s">
        <v>3</v>
      </c>
      <c r="C52" s="8"/>
      <c r="D52" s="13"/>
      <c r="E52" s="163">
        <f>SUM(G52:Z52)</f>
        <v>6778288.6490343707</v>
      </c>
      <c r="F52" s="164">
        <f>G52+NPV(0.1187,H52:Z52)</f>
        <v>538732.62850679772</v>
      </c>
      <c r="G52" s="165">
        <f t="shared" ref="G52:Z52" si="40">G42+G48</f>
        <v>-211544.49420911403</v>
      </c>
      <c r="H52" s="166">
        <f t="shared" si="40"/>
        <v>-509056.33830390987</v>
      </c>
      <c r="I52" s="166">
        <f t="shared" si="40"/>
        <v>-654053.70438652905</v>
      </c>
      <c r="J52" s="165">
        <f t="shared" si="40"/>
        <v>-819976.93962663156</v>
      </c>
      <c r="K52" s="166">
        <f t="shared" si="40"/>
        <v>-617936.60748431657</v>
      </c>
      <c r="L52" s="166">
        <f t="shared" si="40"/>
        <v>34949.083495627972</v>
      </c>
      <c r="M52" s="166">
        <f t="shared" si="40"/>
        <v>534158.50801470585</v>
      </c>
      <c r="N52" s="166">
        <f t="shared" si="40"/>
        <v>842660.47242573358</v>
      </c>
      <c r="O52" s="166">
        <f t="shared" si="40"/>
        <v>838139.47242573358</v>
      </c>
      <c r="P52" s="166">
        <f t="shared" si="40"/>
        <v>803156.47242573358</v>
      </c>
      <c r="Q52" s="166">
        <f t="shared" si="40"/>
        <v>768010.47242573358</v>
      </c>
      <c r="R52" s="166">
        <f t="shared" si="40"/>
        <v>737768.47242573358</v>
      </c>
      <c r="S52" s="166">
        <f t="shared" si="40"/>
        <v>709927.47242573358</v>
      </c>
      <c r="T52" s="166">
        <f t="shared" si="40"/>
        <v>681657.47242573358</v>
      </c>
      <c r="U52" s="166">
        <f t="shared" si="40"/>
        <v>658620.47242573358</v>
      </c>
      <c r="V52" s="166">
        <f t="shared" si="40"/>
        <v>635427.47242573358</v>
      </c>
      <c r="W52" s="166">
        <f t="shared" si="40"/>
        <v>614447.47242573358</v>
      </c>
      <c r="X52" s="166">
        <f t="shared" si="40"/>
        <v>595928.47242573358</v>
      </c>
      <c r="Y52" s="166">
        <f t="shared" si="40"/>
        <v>577164.47242573358</v>
      </c>
      <c r="Z52" s="166">
        <f t="shared" si="40"/>
        <v>558840.47242573358</v>
      </c>
    </row>
    <row r="53" spans="1:26" ht="14.5" thickBot="1">
      <c r="A53" s="429"/>
      <c r="B53" s="76"/>
      <c r="C53" s="90" t="s">
        <v>273</v>
      </c>
      <c r="D53" s="91">
        <f>IRR(G52:Z52, 0.1187)</f>
        <v>0.14973003078038194</v>
      </c>
      <c r="E53" s="177" t="s">
        <v>22</v>
      </c>
      <c r="F53" s="168">
        <f>-F48/F42</f>
        <v>1.1726134313487193</v>
      </c>
      <c r="G53" s="169"/>
      <c r="H53" s="170"/>
      <c r="I53" s="170"/>
      <c r="J53" s="171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</row>
    <row r="54" spans="1:26" ht="14.5" thickBot="1">
      <c r="A54" s="430" t="s">
        <v>4</v>
      </c>
      <c r="B54" s="87" t="s">
        <v>0</v>
      </c>
      <c r="C54" s="88"/>
      <c r="D54" s="89"/>
      <c r="E54" s="142">
        <f>SUM(G54:Z54)</f>
        <v>-16854009.367125001</v>
      </c>
      <c r="F54" s="173">
        <f>G54+NPV(0.1187,H54:Z54)</f>
        <v>-11415047.014308687</v>
      </c>
      <c r="G54" s="174">
        <f t="shared" ref="G54:Z54" si="41">SUM(G55:G59)</f>
        <v>-771204.58287878789</v>
      </c>
      <c r="H54" s="174">
        <f t="shared" si="41"/>
        <v>-1955225.8757575762</v>
      </c>
      <c r="I54" s="174">
        <f t="shared" si="41"/>
        <v>-2625380.5168181825</v>
      </c>
      <c r="J54" s="174">
        <f t="shared" si="41"/>
        <v>-3616023.9107575752</v>
      </c>
      <c r="K54" s="174">
        <f t="shared" si="41"/>
        <v>-3505925.4012878789</v>
      </c>
      <c r="L54" s="174">
        <f t="shared" si="41"/>
        <v>-1910985.1950000001</v>
      </c>
      <c r="M54" s="174">
        <f t="shared" si="41"/>
        <v>-1013423.4450000001</v>
      </c>
      <c r="N54" s="174">
        <f t="shared" si="41"/>
        <v>-111987.72612500002</v>
      </c>
      <c r="O54" s="174">
        <f t="shared" si="41"/>
        <v>-111987.72612500002</v>
      </c>
      <c r="P54" s="174">
        <f t="shared" si="41"/>
        <v>-111987.72612500002</v>
      </c>
      <c r="Q54" s="174">
        <f t="shared" si="41"/>
        <v>-111987.72612500002</v>
      </c>
      <c r="R54" s="174">
        <f t="shared" si="41"/>
        <v>-111987.72612500002</v>
      </c>
      <c r="S54" s="174">
        <f t="shared" si="41"/>
        <v>-111987.72612500002</v>
      </c>
      <c r="T54" s="174">
        <f t="shared" si="41"/>
        <v>-111987.72612500002</v>
      </c>
      <c r="U54" s="174">
        <f t="shared" si="41"/>
        <v>-111987.72612500002</v>
      </c>
      <c r="V54" s="174">
        <f t="shared" si="41"/>
        <v>-111987.72612500002</v>
      </c>
      <c r="W54" s="174">
        <f t="shared" si="41"/>
        <v>-111987.72612500002</v>
      </c>
      <c r="X54" s="174">
        <f t="shared" si="41"/>
        <v>-111987.72612500002</v>
      </c>
      <c r="Y54" s="174">
        <f t="shared" si="41"/>
        <v>-111987.72612500002</v>
      </c>
      <c r="Z54" s="174">
        <f t="shared" si="41"/>
        <v>-111987.72612500002</v>
      </c>
    </row>
    <row r="55" spans="1:26">
      <c r="A55" s="431"/>
      <c r="B55" s="94"/>
      <c r="C55" s="80" t="s">
        <v>299</v>
      </c>
      <c r="D55" s="81" t="s">
        <v>134</v>
      </c>
      <c r="E55" s="178">
        <f t="shared" ref="E55:E58" si="42">SUM(G55:Z55)</f>
        <v>-2674641.1211573631</v>
      </c>
      <c r="F55" s="179">
        <f>G55+NPV(0.1187,H55:Z55)</f>
        <v>-1975102.070627271</v>
      </c>
      <c r="G55" s="148">
        <f t="shared" ref="G55:M59" si="43">SUM(G43,G31,G19,G7)</f>
        <v>-249044.06711418182</v>
      </c>
      <c r="H55" s="148">
        <f t="shared" si="43"/>
        <v>-615568.83806436369</v>
      </c>
      <c r="I55" s="148">
        <f t="shared" si="43"/>
        <v>-608540.28701127274</v>
      </c>
      <c r="J55" s="148">
        <f t="shared" si="43"/>
        <v>-622003.56430436368</v>
      </c>
      <c r="K55" s="148">
        <f t="shared" si="43"/>
        <v>-207382.2887778182</v>
      </c>
      <c r="L55" s="148">
        <f t="shared" si="43"/>
        <v>-32200</v>
      </c>
      <c r="M55" s="148">
        <f t="shared" si="43"/>
        <v>-32200</v>
      </c>
      <c r="N55" s="161">
        <f t="shared" ref="N55:Z55" si="44">SUM(N7,N19,N31,N43)</f>
        <v>-23669.390452719999</v>
      </c>
      <c r="O55" s="161">
        <f t="shared" si="44"/>
        <v>-23669.390452719999</v>
      </c>
      <c r="P55" s="161">
        <f t="shared" si="44"/>
        <v>-23669.390452719999</v>
      </c>
      <c r="Q55" s="161">
        <f t="shared" si="44"/>
        <v>-23669.390452719999</v>
      </c>
      <c r="R55" s="161">
        <f t="shared" si="44"/>
        <v>-23669.390452719999</v>
      </c>
      <c r="S55" s="161">
        <f t="shared" si="44"/>
        <v>-23669.390452719999</v>
      </c>
      <c r="T55" s="161">
        <f t="shared" si="44"/>
        <v>-23669.390452719999</v>
      </c>
      <c r="U55" s="161">
        <f t="shared" si="44"/>
        <v>-23669.390452719999</v>
      </c>
      <c r="V55" s="161">
        <f t="shared" si="44"/>
        <v>-23669.390452719999</v>
      </c>
      <c r="W55" s="161">
        <f t="shared" si="44"/>
        <v>-23669.390452719999</v>
      </c>
      <c r="X55" s="161">
        <f t="shared" si="44"/>
        <v>-23669.390452719999</v>
      </c>
      <c r="Y55" s="161">
        <f t="shared" si="44"/>
        <v>-23669.390452719999</v>
      </c>
      <c r="Z55" s="161">
        <f t="shared" si="44"/>
        <v>-23669.390452719999</v>
      </c>
    </row>
    <row r="56" spans="1:26">
      <c r="A56" s="431"/>
      <c r="B56" s="94"/>
      <c r="C56" s="80" t="s">
        <v>300</v>
      </c>
      <c r="D56" s="81" t="s">
        <v>135</v>
      </c>
      <c r="E56" s="178">
        <f t="shared" si="42"/>
        <v>-1398509.42676168</v>
      </c>
      <c r="F56" s="179">
        <f>G56+NPV(0.1187,H56:Z56)</f>
        <v>-959186.60077748378</v>
      </c>
      <c r="G56" s="148">
        <f t="shared" si="43"/>
        <v>-82504.284629818168</v>
      </c>
      <c r="H56" s="148">
        <f t="shared" si="43"/>
        <v>-172382.12572763639</v>
      </c>
      <c r="I56" s="148">
        <f t="shared" si="43"/>
        <v>-231041.72836472726</v>
      </c>
      <c r="J56" s="148">
        <f t="shared" si="43"/>
        <v>-325429.51084763638</v>
      </c>
      <c r="K56" s="148">
        <f t="shared" si="43"/>
        <v>-316431.3121661818</v>
      </c>
      <c r="L56" s="148">
        <f t="shared" si="43"/>
        <v>-109830</v>
      </c>
      <c r="M56" s="148">
        <f t="shared" si="43"/>
        <v>0</v>
      </c>
      <c r="N56" s="148">
        <f t="shared" ref="N56:Z56" si="45">SUM(N44,N32,N20,N8)</f>
        <v>-12376.18961736</v>
      </c>
      <c r="O56" s="148">
        <f t="shared" si="45"/>
        <v>-12376.18961736</v>
      </c>
      <c r="P56" s="148">
        <f t="shared" si="45"/>
        <v>-12376.18961736</v>
      </c>
      <c r="Q56" s="148">
        <f t="shared" si="45"/>
        <v>-12376.18961736</v>
      </c>
      <c r="R56" s="148">
        <f t="shared" si="45"/>
        <v>-12376.18961736</v>
      </c>
      <c r="S56" s="148">
        <f t="shared" si="45"/>
        <v>-12376.18961736</v>
      </c>
      <c r="T56" s="148">
        <f t="shared" si="45"/>
        <v>-12376.18961736</v>
      </c>
      <c r="U56" s="148">
        <f t="shared" si="45"/>
        <v>-12376.18961736</v>
      </c>
      <c r="V56" s="148">
        <f t="shared" si="45"/>
        <v>-12376.18961736</v>
      </c>
      <c r="W56" s="148">
        <f t="shared" si="45"/>
        <v>-12376.18961736</v>
      </c>
      <c r="X56" s="148">
        <f t="shared" si="45"/>
        <v>-12376.18961736</v>
      </c>
      <c r="Y56" s="148">
        <f t="shared" si="45"/>
        <v>-12376.18961736</v>
      </c>
      <c r="Z56" s="148">
        <f t="shared" si="45"/>
        <v>-12376.18961736</v>
      </c>
    </row>
    <row r="57" spans="1:26">
      <c r="A57" s="431"/>
      <c r="B57" s="94"/>
      <c r="C57" s="80" t="s">
        <v>301</v>
      </c>
      <c r="D57" s="81" t="s">
        <v>122</v>
      </c>
      <c r="E57" s="178">
        <f t="shared" si="42"/>
        <v>-801207.42672095995</v>
      </c>
      <c r="F57" s="179">
        <f t="shared" ref="F57:F58" si="46">G57+NPV(0.1187,H57:Z57)</f>
        <v>-531711.22816483863</v>
      </c>
      <c r="G57" s="148">
        <f t="shared" si="43"/>
        <v>-28368.734074181819</v>
      </c>
      <c r="H57" s="148">
        <f t="shared" si="43"/>
        <v>-89463.27184436364</v>
      </c>
      <c r="I57" s="148">
        <f t="shared" si="43"/>
        <v>-144816.87335127272</v>
      </c>
      <c r="J57" s="148">
        <f t="shared" si="43"/>
        <v>-159365.32048436365</v>
      </c>
      <c r="K57" s="148">
        <f t="shared" si="43"/>
        <v>-154214.9212378182</v>
      </c>
      <c r="L57" s="148">
        <f t="shared" si="43"/>
        <v>-69804</v>
      </c>
      <c r="M57" s="148">
        <f t="shared" si="43"/>
        <v>-63000</v>
      </c>
      <c r="N57" s="148">
        <f t="shared" ref="N57:Z57" si="47">SUM(N45,N33,N21,N9)</f>
        <v>-7090.3312099199993</v>
      </c>
      <c r="O57" s="148">
        <f t="shared" si="47"/>
        <v>-7090.3312099199993</v>
      </c>
      <c r="P57" s="148">
        <f t="shared" si="47"/>
        <v>-7090.3312099199993</v>
      </c>
      <c r="Q57" s="148">
        <f t="shared" si="47"/>
        <v>-7090.3312099199993</v>
      </c>
      <c r="R57" s="148">
        <f t="shared" si="47"/>
        <v>-7090.3312099199993</v>
      </c>
      <c r="S57" s="148">
        <f t="shared" si="47"/>
        <v>-7090.3312099199993</v>
      </c>
      <c r="T57" s="148">
        <f t="shared" si="47"/>
        <v>-7090.3312099199993</v>
      </c>
      <c r="U57" s="148">
        <f t="shared" si="47"/>
        <v>-7090.3312099199993</v>
      </c>
      <c r="V57" s="148">
        <f t="shared" si="47"/>
        <v>-7090.3312099199993</v>
      </c>
      <c r="W57" s="148">
        <f t="shared" si="47"/>
        <v>-7090.3312099199993</v>
      </c>
      <c r="X57" s="148">
        <f t="shared" si="47"/>
        <v>-7090.3312099199993</v>
      </c>
      <c r="Y57" s="148">
        <f t="shared" si="47"/>
        <v>-7090.3312099199993</v>
      </c>
      <c r="Z57" s="148">
        <f t="shared" si="47"/>
        <v>-7090.3312099199993</v>
      </c>
    </row>
    <row r="58" spans="1:26">
      <c r="A58" s="431"/>
      <c r="B58" s="7"/>
      <c r="C58" s="80" t="s">
        <v>302</v>
      </c>
      <c r="D58" s="10" t="s">
        <v>134</v>
      </c>
      <c r="E58" s="150">
        <f t="shared" si="42"/>
        <v>-7780255.0774850054</v>
      </c>
      <c r="F58" s="179">
        <f t="shared" si="46"/>
        <v>-4966841.5729969153</v>
      </c>
      <c r="G58" s="148">
        <f t="shared" si="43"/>
        <v>-77222.154333333325</v>
      </c>
      <c r="H58" s="148">
        <f t="shared" si="43"/>
        <v>-496020.37591666658</v>
      </c>
      <c r="I58" s="148">
        <f t="shared" si="43"/>
        <v>-1144378.94025</v>
      </c>
      <c r="J58" s="148">
        <f t="shared" si="43"/>
        <v>-1738310.3659166666</v>
      </c>
      <c r="K58" s="148">
        <f t="shared" si="43"/>
        <v>-1912336.1480833334</v>
      </c>
      <c r="L58" s="148">
        <f t="shared" si="43"/>
        <v>-1127096.5</v>
      </c>
      <c r="M58" s="148">
        <f t="shared" si="43"/>
        <v>-389817</v>
      </c>
      <c r="N58" s="180">
        <f t="shared" ref="N58:Z58" si="48">N10+N34+N22+N46</f>
        <v>-68851.814845000015</v>
      </c>
      <c r="O58" s="180">
        <f t="shared" si="48"/>
        <v>-68851.814845000015</v>
      </c>
      <c r="P58" s="180">
        <f t="shared" si="48"/>
        <v>-68851.814845000015</v>
      </c>
      <c r="Q58" s="180">
        <f t="shared" si="48"/>
        <v>-68851.814845000015</v>
      </c>
      <c r="R58" s="180">
        <f t="shared" si="48"/>
        <v>-68851.814845000015</v>
      </c>
      <c r="S58" s="180">
        <f t="shared" si="48"/>
        <v>-68851.814845000015</v>
      </c>
      <c r="T58" s="180">
        <f t="shared" si="48"/>
        <v>-68851.814845000015</v>
      </c>
      <c r="U58" s="180">
        <f t="shared" si="48"/>
        <v>-68851.814845000015</v>
      </c>
      <c r="V58" s="180">
        <f t="shared" si="48"/>
        <v>-68851.814845000015</v>
      </c>
      <c r="W58" s="180">
        <f t="shared" si="48"/>
        <v>-68851.814845000015</v>
      </c>
      <c r="X58" s="180">
        <f t="shared" si="48"/>
        <v>-68851.814845000015</v>
      </c>
      <c r="Y58" s="180">
        <f t="shared" si="48"/>
        <v>-68851.814845000015</v>
      </c>
      <c r="Z58" s="180">
        <f t="shared" si="48"/>
        <v>-68851.814845000015</v>
      </c>
    </row>
    <row r="59" spans="1:26" ht="14.5" thickBot="1">
      <c r="A59" s="431"/>
      <c r="B59" s="7"/>
      <c r="C59" s="77" t="s">
        <v>2</v>
      </c>
      <c r="D59" s="12"/>
      <c r="E59" s="150">
        <f t="shared" ref="E59:E64" si="49">SUM(G59:Z59)</f>
        <v>-4199396.3150000004</v>
      </c>
      <c r="F59" s="179">
        <f t="shared" ref="F59:F64" si="50">G59+NPV(0.1187,H59:Z59)</f>
        <v>-2982205.5417421758</v>
      </c>
      <c r="G59" s="148">
        <f t="shared" si="43"/>
        <v>-334065.34272727277</v>
      </c>
      <c r="H59" s="148">
        <f t="shared" si="43"/>
        <v>-581791.26420454588</v>
      </c>
      <c r="I59" s="148">
        <f t="shared" si="43"/>
        <v>-496602.68784090946</v>
      </c>
      <c r="J59" s="148">
        <f t="shared" si="43"/>
        <v>-770915.14920454472</v>
      </c>
      <c r="K59" s="148">
        <f t="shared" si="43"/>
        <v>-915560.73102272721</v>
      </c>
      <c r="L59" s="148">
        <f t="shared" si="43"/>
        <v>-572054.69500000007</v>
      </c>
      <c r="M59" s="148">
        <f t="shared" si="43"/>
        <v>-528406.44500000007</v>
      </c>
      <c r="N59" s="180">
        <f t="shared" ref="N59:Z59" si="51">N11+N35+N23+N47</f>
        <v>0</v>
      </c>
      <c r="O59" s="180">
        <f t="shared" si="51"/>
        <v>0</v>
      </c>
      <c r="P59" s="180">
        <f t="shared" si="51"/>
        <v>0</v>
      </c>
      <c r="Q59" s="180">
        <f t="shared" si="51"/>
        <v>0</v>
      </c>
      <c r="R59" s="180">
        <f t="shared" si="51"/>
        <v>0</v>
      </c>
      <c r="S59" s="180">
        <f t="shared" si="51"/>
        <v>0</v>
      </c>
      <c r="T59" s="180">
        <f t="shared" si="51"/>
        <v>0</v>
      </c>
      <c r="U59" s="180">
        <f t="shared" si="51"/>
        <v>0</v>
      </c>
      <c r="V59" s="180">
        <f t="shared" si="51"/>
        <v>0</v>
      </c>
      <c r="W59" s="180">
        <f t="shared" si="51"/>
        <v>0</v>
      </c>
      <c r="X59" s="180">
        <f t="shared" si="51"/>
        <v>0</v>
      </c>
      <c r="Y59" s="180">
        <f t="shared" si="51"/>
        <v>0</v>
      </c>
      <c r="Z59" s="180">
        <f t="shared" si="51"/>
        <v>0</v>
      </c>
    </row>
    <row r="60" spans="1:26" ht="14.5" thickBot="1">
      <c r="A60" s="431"/>
      <c r="B60" s="83" t="s">
        <v>1</v>
      </c>
      <c r="C60" s="83"/>
      <c r="D60" s="84"/>
      <c r="E60" s="155">
        <f t="shared" si="49"/>
        <v>51183339</v>
      </c>
      <c r="F60" s="156">
        <f t="shared" si="50"/>
        <v>16088174.472237475</v>
      </c>
      <c r="G60" s="157">
        <f t="shared" ref="G60:M63" si="52">G12+G36+G24+G48</f>
        <v>0</v>
      </c>
      <c r="H60" s="157">
        <f t="shared" si="52"/>
        <v>71800</v>
      </c>
      <c r="I60" s="157">
        <f t="shared" si="52"/>
        <v>253752</v>
      </c>
      <c r="J60" s="157">
        <f t="shared" si="52"/>
        <v>749508</v>
      </c>
      <c r="K60" s="157">
        <f t="shared" si="52"/>
        <v>1578097</v>
      </c>
      <c r="L60" s="157">
        <f t="shared" si="52"/>
        <v>2530783</v>
      </c>
      <c r="M60" s="157">
        <f t="shared" si="52"/>
        <v>3360988</v>
      </c>
      <c r="N60" s="157">
        <f t="shared" ref="N60:Z60" si="53">N12+N36+N24+N48</f>
        <v>3625682</v>
      </c>
      <c r="O60" s="157">
        <f t="shared" si="53"/>
        <v>3619587</v>
      </c>
      <c r="P60" s="157">
        <f t="shared" si="53"/>
        <v>3541897</v>
      </c>
      <c r="Q60" s="157">
        <f t="shared" si="53"/>
        <v>3459842</v>
      </c>
      <c r="R60" s="157">
        <f t="shared" si="53"/>
        <v>3388937</v>
      </c>
      <c r="S60" s="157">
        <f t="shared" si="53"/>
        <v>3323004</v>
      </c>
      <c r="T60" s="157">
        <f t="shared" si="53"/>
        <v>3255298</v>
      </c>
      <c r="U60" s="157">
        <f t="shared" si="53"/>
        <v>3198360</v>
      </c>
      <c r="V60" s="157">
        <f t="shared" si="53"/>
        <v>3142692</v>
      </c>
      <c r="W60" s="157">
        <f t="shared" si="53"/>
        <v>3091432</v>
      </c>
      <c r="X60" s="157">
        <f t="shared" si="53"/>
        <v>3044421</v>
      </c>
      <c r="Y60" s="157">
        <f t="shared" si="53"/>
        <v>2994718</v>
      </c>
      <c r="Z60" s="157">
        <f t="shared" si="53"/>
        <v>2952541</v>
      </c>
    </row>
    <row r="61" spans="1:26" ht="17">
      <c r="A61" s="431"/>
      <c r="B61" s="79" t="s">
        <v>113</v>
      </c>
      <c r="C61" s="80"/>
      <c r="D61" s="81"/>
      <c r="E61" s="146">
        <f t="shared" si="49"/>
        <v>18543346</v>
      </c>
      <c r="F61" s="159">
        <f t="shared" si="50"/>
        <v>6462167.347385942</v>
      </c>
      <c r="G61" s="160">
        <f t="shared" si="52"/>
        <v>0</v>
      </c>
      <c r="H61" s="160">
        <f t="shared" si="52"/>
        <v>71800</v>
      </c>
      <c r="I61" s="160">
        <f t="shared" si="52"/>
        <v>247992</v>
      </c>
      <c r="J61" s="160">
        <f t="shared" si="52"/>
        <v>513348</v>
      </c>
      <c r="K61" s="149">
        <f t="shared" si="52"/>
        <v>849277</v>
      </c>
      <c r="L61" s="149">
        <f t="shared" si="52"/>
        <v>1148263</v>
      </c>
      <c r="M61" s="149">
        <f t="shared" si="52"/>
        <v>1352689</v>
      </c>
      <c r="N61" s="149">
        <f t="shared" ref="N61:Z61" si="54">N13+N37+N25+N49</f>
        <v>1450704</v>
      </c>
      <c r="O61" s="149">
        <f t="shared" si="54"/>
        <v>1444162</v>
      </c>
      <c r="P61" s="149">
        <f t="shared" si="54"/>
        <v>1366622</v>
      </c>
      <c r="Q61" s="149">
        <f t="shared" si="54"/>
        <v>1285163</v>
      </c>
      <c r="R61" s="149">
        <f t="shared" si="54"/>
        <v>1214109</v>
      </c>
      <c r="S61" s="149">
        <f t="shared" si="54"/>
        <v>1147729</v>
      </c>
      <c r="T61" s="149">
        <f t="shared" si="54"/>
        <v>1081066</v>
      </c>
      <c r="U61" s="149">
        <f t="shared" si="54"/>
        <v>1023233</v>
      </c>
      <c r="V61" s="149">
        <f t="shared" si="54"/>
        <v>967267</v>
      </c>
      <c r="W61" s="149">
        <f t="shared" si="54"/>
        <v>916007</v>
      </c>
      <c r="X61" s="149">
        <f t="shared" si="54"/>
        <v>868549</v>
      </c>
      <c r="Y61" s="149">
        <f t="shared" si="54"/>
        <v>819293</v>
      </c>
      <c r="Z61" s="149">
        <f t="shared" si="54"/>
        <v>776073</v>
      </c>
    </row>
    <row r="62" spans="1:26">
      <c r="A62" s="431"/>
      <c r="B62" s="3" t="s">
        <v>43</v>
      </c>
      <c r="C62" s="7"/>
      <c r="D62" s="12"/>
      <c r="E62" s="150">
        <f t="shared" si="49"/>
        <v>32517180</v>
      </c>
      <c r="F62" s="162">
        <f t="shared" si="50"/>
        <v>9591972.4813252464</v>
      </c>
      <c r="G62" s="180">
        <f t="shared" si="52"/>
        <v>0</v>
      </c>
      <c r="H62" s="180">
        <f t="shared" si="52"/>
        <v>0</v>
      </c>
      <c r="I62" s="180">
        <f t="shared" si="52"/>
        <v>5760</v>
      </c>
      <c r="J62" s="180">
        <f t="shared" si="52"/>
        <v>236160</v>
      </c>
      <c r="K62" s="152">
        <f t="shared" si="52"/>
        <v>728820</v>
      </c>
      <c r="L62" s="152">
        <f t="shared" si="52"/>
        <v>1382520</v>
      </c>
      <c r="M62" s="152">
        <f t="shared" si="52"/>
        <v>1995780</v>
      </c>
      <c r="N62" s="152">
        <f t="shared" ref="N62:Z62" si="55">N14+N38+N26+N50</f>
        <v>2166780</v>
      </c>
      <c r="O62" s="152">
        <f t="shared" si="55"/>
        <v>2166780</v>
      </c>
      <c r="P62" s="152">
        <f t="shared" si="55"/>
        <v>2166780</v>
      </c>
      <c r="Q62" s="152">
        <f t="shared" si="55"/>
        <v>2166780</v>
      </c>
      <c r="R62" s="152">
        <f t="shared" si="55"/>
        <v>2166780</v>
      </c>
      <c r="S62" s="152">
        <f t="shared" si="55"/>
        <v>2166780</v>
      </c>
      <c r="T62" s="152">
        <f t="shared" si="55"/>
        <v>2166780</v>
      </c>
      <c r="U62" s="152">
        <f t="shared" si="55"/>
        <v>2166780</v>
      </c>
      <c r="V62" s="152">
        <f t="shared" si="55"/>
        <v>2166780</v>
      </c>
      <c r="W62" s="152">
        <f t="shared" si="55"/>
        <v>2166780</v>
      </c>
      <c r="X62" s="152">
        <f t="shared" si="55"/>
        <v>2166780</v>
      </c>
      <c r="Y62" s="152">
        <f t="shared" si="55"/>
        <v>2166780</v>
      </c>
      <c r="Z62" s="152">
        <f t="shared" si="55"/>
        <v>2166780</v>
      </c>
    </row>
    <row r="63" spans="1:26">
      <c r="A63" s="431"/>
      <c r="B63" s="3" t="s">
        <v>245</v>
      </c>
      <c r="C63" s="7"/>
      <c r="D63" s="12"/>
      <c r="E63" s="150">
        <f t="shared" si="49"/>
        <v>122813</v>
      </c>
      <c r="F63" s="162">
        <f t="shared" si="50"/>
        <v>34034.643526290354</v>
      </c>
      <c r="G63" s="180">
        <f t="shared" si="52"/>
        <v>0</v>
      </c>
      <c r="H63" s="180">
        <f t="shared" si="52"/>
        <v>0</v>
      </c>
      <c r="I63" s="180">
        <f t="shared" si="52"/>
        <v>0</v>
      </c>
      <c r="J63" s="180">
        <f t="shared" si="52"/>
        <v>0</v>
      </c>
      <c r="K63" s="180">
        <f t="shared" si="52"/>
        <v>0</v>
      </c>
      <c r="L63" s="180">
        <f t="shared" si="52"/>
        <v>0</v>
      </c>
      <c r="M63" s="180">
        <f t="shared" si="52"/>
        <v>12519</v>
      </c>
      <c r="N63" s="180">
        <f t="shared" ref="N63:Z63" si="56">N15+N39+N27+N51</f>
        <v>8198</v>
      </c>
      <c r="O63" s="180">
        <f t="shared" si="56"/>
        <v>8645</v>
      </c>
      <c r="P63" s="180">
        <f t="shared" si="56"/>
        <v>8495</v>
      </c>
      <c r="Q63" s="180">
        <f t="shared" si="56"/>
        <v>7899</v>
      </c>
      <c r="R63" s="180">
        <f t="shared" si="56"/>
        <v>8048</v>
      </c>
      <c r="S63" s="180">
        <f t="shared" si="56"/>
        <v>8495</v>
      </c>
      <c r="T63" s="180">
        <f t="shared" si="56"/>
        <v>7452</v>
      </c>
      <c r="U63" s="180">
        <f t="shared" si="56"/>
        <v>8347</v>
      </c>
      <c r="V63" s="180">
        <f t="shared" si="56"/>
        <v>8645</v>
      </c>
      <c r="W63" s="180">
        <f t="shared" si="56"/>
        <v>8645</v>
      </c>
      <c r="X63" s="180">
        <f t="shared" si="56"/>
        <v>9092</v>
      </c>
      <c r="Y63" s="180">
        <f t="shared" si="56"/>
        <v>8645</v>
      </c>
      <c r="Z63" s="180">
        <f t="shared" si="56"/>
        <v>9688</v>
      </c>
    </row>
    <row r="64" spans="1:26">
      <c r="A64" s="431"/>
      <c r="B64" s="8" t="s">
        <v>3</v>
      </c>
      <c r="C64" s="8"/>
      <c r="D64" s="13"/>
      <c r="E64" s="163">
        <f t="shared" si="49"/>
        <v>34329329.632874988</v>
      </c>
      <c r="F64" s="164">
        <f t="shared" si="50"/>
        <v>4673127.4579287879</v>
      </c>
      <c r="G64" s="165">
        <f t="shared" ref="G64:Z64" si="57">G54+G60</f>
        <v>-771204.58287878789</v>
      </c>
      <c r="H64" s="166">
        <f t="shared" si="57"/>
        <v>-1883425.8757575762</v>
      </c>
      <c r="I64" s="166">
        <f t="shared" si="57"/>
        <v>-2371628.5168181825</v>
      </c>
      <c r="J64" s="165">
        <f t="shared" si="57"/>
        <v>-2866515.9107575752</v>
      </c>
      <c r="K64" s="166">
        <f t="shared" si="57"/>
        <v>-1927828.4012878789</v>
      </c>
      <c r="L64" s="166">
        <f t="shared" si="57"/>
        <v>619797.80499999993</v>
      </c>
      <c r="M64" s="166">
        <f t="shared" si="57"/>
        <v>2347564.5549999997</v>
      </c>
      <c r="N64" s="166">
        <f t="shared" si="57"/>
        <v>3513694.273875</v>
      </c>
      <c r="O64" s="166">
        <f t="shared" si="57"/>
        <v>3507599.273875</v>
      </c>
      <c r="P64" s="166">
        <f t="shared" si="57"/>
        <v>3429909.273875</v>
      </c>
      <c r="Q64" s="166">
        <f t="shared" si="57"/>
        <v>3347854.273875</v>
      </c>
      <c r="R64" s="166">
        <f t="shared" si="57"/>
        <v>3276949.273875</v>
      </c>
      <c r="S64" s="166">
        <f t="shared" si="57"/>
        <v>3211016.273875</v>
      </c>
      <c r="T64" s="166">
        <f t="shared" si="57"/>
        <v>3143310.273875</v>
      </c>
      <c r="U64" s="166">
        <f t="shared" si="57"/>
        <v>3086372.273875</v>
      </c>
      <c r="V64" s="166">
        <f t="shared" si="57"/>
        <v>3030704.273875</v>
      </c>
      <c r="W64" s="166">
        <f t="shared" si="57"/>
        <v>2979444.273875</v>
      </c>
      <c r="X64" s="166">
        <f t="shared" si="57"/>
        <v>2932433.273875</v>
      </c>
      <c r="Y64" s="166">
        <f t="shared" si="57"/>
        <v>2882730.273875</v>
      </c>
      <c r="Z64" s="166">
        <f t="shared" si="57"/>
        <v>2840553.273875</v>
      </c>
    </row>
    <row r="65" spans="1:26">
      <c r="A65" s="432"/>
      <c r="B65" s="3"/>
      <c r="C65" s="9" t="s">
        <v>5</v>
      </c>
      <c r="D65" s="21">
        <f>IRR(G64:Z64, 0.1187)</f>
        <v>0.18723394775090596</v>
      </c>
      <c r="E65" s="32" t="s">
        <v>22</v>
      </c>
      <c r="F65" s="31">
        <f>-F60/F54</f>
        <v>1.409383110912382</v>
      </c>
      <c r="G65" s="28"/>
      <c r="H65" s="27"/>
      <c r="I65" s="27"/>
      <c r="J65" s="24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>
      <c r="A66" s="41"/>
      <c r="B66" s="3"/>
      <c r="C66" s="7"/>
      <c r="D66" s="12"/>
      <c r="E66" s="3"/>
      <c r="F66" s="15"/>
      <c r="G66" s="28"/>
      <c r="H66" s="27"/>
      <c r="I66" s="27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4" customHeight="1">
      <c r="A67" s="424" t="s">
        <v>274</v>
      </c>
      <c r="B67" s="20" t="s">
        <v>8</v>
      </c>
      <c r="C67" s="16" t="s">
        <v>15</v>
      </c>
      <c r="D67" s="12"/>
      <c r="E67" s="5">
        <f>SUM(G67:Z67)</f>
        <v>-18539410.303837489</v>
      </c>
      <c r="F67" s="11">
        <f>G67+NPV(0.1187,H67:Z67)</f>
        <v>-12556551.715739558</v>
      </c>
      <c r="G67" s="24">
        <f t="shared" ref="G67:Z67" si="58">G54*1.1</f>
        <v>-848325.04116666678</v>
      </c>
      <c r="H67" s="24">
        <f t="shared" si="58"/>
        <v>-2150748.4633333338</v>
      </c>
      <c r="I67" s="24">
        <f t="shared" si="58"/>
        <v>-2887918.568500001</v>
      </c>
      <c r="J67" s="24">
        <f t="shared" si="58"/>
        <v>-3977626.301833333</v>
      </c>
      <c r="K67" s="24">
        <f t="shared" si="58"/>
        <v>-3856517.9414166668</v>
      </c>
      <c r="L67" s="24">
        <f t="shared" si="58"/>
        <v>-2102083.7145000002</v>
      </c>
      <c r="M67" s="24">
        <f t="shared" si="58"/>
        <v>-1114765.7895000002</v>
      </c>
      <c r="N67" s="24">
        <f t="shared" si="58"/>
        <v>-123186.49873750002</v>
      </c>
      <c r="O67" s="24">
        <f t="shared" si="58"/>
        <v>-123186.49873750002</v>
      </c>
      <c r="P67" s="24">
        <f t="shared" si="58"/>
        <v>-123186.49873750002</v>
      </c>
      <c r="Q67" s="24">
        <f t="shared" si="58"/>
        <v>-123186.49873750002</v>
      </c>
      <c r="R67" s="24">
        <f t="shared" si="58"/>
        <v>-123186.49873750002</v>
      </c>
      <c r="S67" s="24">
        <f t="shared" si="58"/>
        <v>-123186.49873750002</v>
      </c>
      <c r="T67" s="24">
        <f t="shared" si="58"/>
        <v>-123186.49873750002</v>
      </c>
      <c r="U67" s="24">
        <f t="shared" si="58"/>
        <v>-123186.49873750002</v>
      </c>
      <c r="V67" s="24">
        <f t="shared" si="58"/>
        <v>-123186.49873750002</v>
      </c>
      <c r="W67" s="24">
        <f t="shared" si="58"/>
        <v>-123186.49873750002</v>
      </c>
      <c r="X67" s="24">
        <f t="shared" si="58"/>
        <v>-123186.49873750002</v>
      </c>
      <c r="Y67" s="24">
        <f t="shared" si="58"/>
        <v>-123186.49873750002</v>
      </c>
      <c r="Z67" s="24">
        <f t="shared" si="58"/>
        <v>-123186.49873750002</v>
      </c>
    </row>
    <row r="68" spans="1:26">
      <c r="A68" s="425"/>
      <c r="B68" s="20"/>
      <c r="C68" s="16" t="s">
        <v>16</v>
      </c>
      <c r="D68" s="12"/>
      <c r="E68" s="5">
        <f>SUM(G68:Z68)</f>
        <v>-20224811.24055</v>
      </c>
      <c r="F68" s="11">
        <f>G68+NPV(0.1187,H68:Z68)</f>
        <v>-13698056.417170426</v>
      </c>
      <c r="G68" s="24">
        <f t="shared" ref="G68:Z68" si="59">G54*1.2</f>
        <v>-925445.49945454544</v>
      </c>
      <c r="H68" s="24">
        <f t="shared" si="59"/>
        <v>-2346271.0509090913</v>
      </c>
      <c r="I68" s="24">
        <f t="shared" si="59"/>
        <v>-3150456.620181819</v>
      </c>
      <c r="J68" s="24">
        <f t="shared" si="59"/>
        <v>-4339228.6929090898</v>
      </c>
      <c r="K68" s="24">
        <f t="shared" si="59"/>
        <v>-4207110.4815454548</v>
      </c>
      <c r="L68" s="24">
        <f t="shared" si="59"/>
        <v>-2293182.2340000002</v>
      </c>
      <c r="M68" s="24">
        <f t="shared" si="59"/>
        <v>-1216108.1340000001</v>
      </c>
      <c r="N68" s="24">
        <f t="shared" si="59"/>
        <v>-134385.27135000002</v>
      </c>
      <c r="O68" s="24">
        <f t="shared" si="59"/>
        <v>-134385.27135000002</v>
      </c>
      <c r="P68" s="24">
        <f t="shared" si="59"/>
        <v>-134385.27135000002</v>
      </c>
      <c r="Q68" s="24">
        <f t="shared" si="59"/>
        <v>-134385.27135000002</v>
      </c>
      <c r="R68" s="24">
        <f t="shared" si="59"/>
        <v>-134385.27135000002</v>
      </c>
      <c r="S68" s="24">
        <f t="shared" si="59"/>
        <v>-134385.27135000002</v>
      </c>
      <c r="T68" s="24">
        <f t="shared" si="59"/>
        <v>-134385.27135000002</v>
      </c>
      <c r="U68" s="24">
        <f t="shared" si="59"/>
        <v>-134385.27135000002</v>
      </c>
      <c r="V68" s="24">
        <f t="shared" si="59"/>
        <v>-134385.27135000002</v>
      </c>
      <c r="W68" s="24">
        <f t="shared" si="59"/>
        <v>-134385.27135000002</v>
      </c>
      <c r="X68" s="24">
        <f t="shared" si="59"/>
        <v>-134385.27135000002</v>
      </c>
      <c r="Y68" s="24">
        <f t="shared" si="59"/>
        <v>-134385.27135000002</v>
      </c>
      <c r="Z68" s="24">
        <f t="shared" si="59"/>
        <v>-134385.27135000002</v>
      </c>
    </row>
    <row r="69" spans="1:26">
      <c r="A69" s="425"/>
      <c r="B69" s="20" t="s">
        <v>12</v>
      </c>
      <c r="C69" s="16" t="s">
        <v>13</v>
      </c>
      <c r="D69" s="12"/>
      <c r="E69" s="5">
        <f>SUM(G69:Z69)</f>
        <v>46065005.100000001</v>
      </c>
      <c r="F69" s="11">
        <f>G69+NPV(0.1187,H69:Z69)</f>
        <v>14479357.02501373</v>
      </c>
      <c r="G69" s="72">
        <f>G60*0.9</f>
        <v>0</v>
      </c>
      <c r="H69" s="72">
        <f t="shared" ref="H69:Z69" si="60">H60*0.9</f>
        <v>64620</v>
      </c>
      <c r="I69" s="72">
        <f t="shared" si="60"/>
        <v>228376.80000000002</v>
      </c>
      <c r="J69" s="72">
        <f t="shared" si="60"/>
        <v>674557.20000000007</v>
      </c>
      <c r="K69" s="72">
        <f t="shared" si="60"/>
        <v>1420287.3</v>
      </c>
      <c r="L69" s="72">
        <f t="shared" si="60"/>
        <v>2277704.7000000002</v>
      </c>
      <c r="M69" s="72">
        <f t="shared" si="60"/>
        <v>3024889.2</v>
      </c>
      <c r="N69" s="72">
        <f t="shared" si="60"/>
        <v>3263113.8000000003</v>
      </c>
      <c r="O69" s="72">
        <f t="shared" si="60"/>
        <v>3257628.3000000003</v>
      </c>
      <c r="P69" s="24">
        <f t="shared" si="60"/>
        <v>3187707.3000000003</v>
      </c>
      <c r="Q69" s="24">
        <f t="shared" si="60"/>
        <v>3113857.8000000003</v>
      </c>
      <c r="R69" s="24">
        <f t="shared" si="60"/>
        <v>3050043.3000000003</v>
      </c>
      <c r="S69" s="24">
        <f t="shared" si="60"/>
        <v>2990703.6</v>
      </c>
      <c r="T69" s="24">
        <f t="shared" si="60"/>
        <v>2929768.2</v>
      </c>
      <c r="U69" s="24">
        <f t="shared" si="60"/>
        <v>2878524</v>
      </c>
      <c r="V69" s="24">
        <f t="shared" si="60"/>
        <v>2828422.8000000003</v>
      </c>
      <c r="W69" s="24">
        <f t="shared" si="60"/>
        <v>2782288.8000000003</v>
      </c>
      <c r="X69" s="24">
        <f t="shared" si="60"/>
        <v>2739978.9</v>
      </c>
      <c r="Y69" s="24">
        <f t="shared" si="60"/>
        <v>2695246.2</v>
      </c>
      <c r="Z69" s="24">
        <f t="shared" si="60"/>
        <v>2657286.9</v>
      </c>
    </row>
    <row r="70" spans="1:26">
      <c r="A70" s="425"/>
      <c r="B70" s="20"/>
      <c r="C70" s="16" t="s">
        <v>14</v>
      </c>
      <c r="D70" s="12"/>
      <c r="E70" s="5">
        <f>SUM(G70:Z70)</f>
        <v>40946671.199999996</v>
      </c>
      <c r="F70" s="11">
        <f>G70+NPV(0.1187,H70:Z70)</f>
        <v>12870539.577789985</v>
      </c>
      <c r="G70" s="72">
        <f>G60*0.8</f>
        <v>0</v>
      </c>
      <c r="H70" s="72">
        <f t="shared" ref="H70:Z70" si="61">H60*0.8</f>
        <v>57440</v>
      </c>
      <c r="I70" s="72">
        <f t="shared" si="61"/>
        <v>203001.60000000001</v>
      </c>
      <c r="J70" s="72">
        <f t="shared" si="61"/>
        <v>599606.4</v>
      </c>
      <c r="K70" s="72">
        <f t="shared" si="61"/>
        <v>1262477.6000000001</v>
      </c>
      <c r="L70" s="72">
        <f t="shared" si="61"/>
        <v>2024626.4000000001</v>
      </c>
      <c r="M70" s="72">
        <f t="shared" si="61"/>
        <v>2688790.4000000004</v>
      </c>
      <c r="N70" s="72">
        <f t="shared" si="61"/>
        <v>2900545.6</v>
      </c>
      <c r="O70" s="72">
        <f t="shared" si="61"/>
        <v>2895669.6</v>
      </c>
      <c r="P70" s="24">
        <f t="shared" si="61"/>
        <v>2833517.6</v>
      </c>
      <c r="Q70" s="24">
        <f t="shared" si="61"/>
        <v>2767873.6</v>
      </c>
      <c r="R70" s="24">
        <f t="shared" si="61"/>
        <v>2711149.6</v>
      </c>
      <c r="S70" s="24">
        <f t="shared" si="61"/>
        <v>2658403.2000000002</v>
      </c>
      <c r="T70" s="24">
        <f t="shared" si="61"/>
        <v>2604238.4000000004</v>
      </c>
      <c r="U70" s="24">
        <f t="shared" si="61"/>
        <v>2558688</v>
      </c>
      <c r="V70" s="24">
        <f t="shared" si="61"/>
        <v>2514153.6</v>
      </c>
      <c r="W70" s="24">
        <f t="shared" si="61"/>
        <v>2473145.6</v>
      </c>
      <c r="X70" s="24">
        <f t="shared" si="61"/>
        <v>2435536.8000000003</v>
      </c>
      <c r="Y70" s="24">
        <f t="shared" si="61"/>
        <v>2395774.4</v>
      </c>
      <c r="Z70" s="24">
        <f t="shared" si="61"/>
        <v>2362032.8000000003</v>
      </c>
    </row>
    <row r="71" spans="1:26">
      <c r="A71" s="425"/>
      <c r="B71" s="20"/>
      <c r="C71" s="16"/>
      <c r="D71" s="12"/>
      <c r="E71" s="5"/>
      <c r="F71" s="11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>
      <c r="A72" s="425"/>
      <c r="B72" s="20"/>
      <c r="C72" s="35" t="s">
        <v>11</v>
      </c>
      <c r="D72" s="17" t="s">
        <v>9</v>
      </c>
      <c r="E72" s="18" t="s">
        <v>22</v>
      </c>
      <c r="F72" s="19" t="s">
        <v>21</v>
      </c>
      <c r="G72" s="28"/>
      <c r="H72" s="27"/>
      <c r="I72" s="27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s="14" customFormat="1">
      <c r="A73" s="425"/>
      <c r="B73" s="22" t="s">
        <v>23</v>
      </c>
      <c r="C73" s="23"/>
      <c r="D73" s="21">
        <f>IRR(G73:Z73,0.1187)</f>
        <v>0.18723394775090596</v>
      </c>
      <c r="E73" s="33">
        <f>-F60/F54</f>
        <v>1.409383110912382</v>
      </c>
      <c r="F73" s="34">
        <f>G73+NPV(0.1187,H73:Z73)</f>
        <v>4673127.4579287879</v>
      </c>
      <c r="G73" s="29">
        <f>G64</f>
        <v>-771204.58287878789</v>
      </c>
      <c r="H73" s="26">
        <f>H64</f>
        <v>-1883425.8757575762</v>
      </c>
      <c r="I73" s="26">
        <f>I64</f>
        <v>-2371628.5168181825</v>
      </c>
      <c r="J73" s="26">
        <f t="shared" ref="J73:X73" si="62">J64</f>
        <v>-2866515.9107575752</v>
      </c>
      <c r="K73" s="26">
        <f t="shared" si="62"/>
        <v>-1927828.4012878789</v>
      </c>
      <c r="L73" s="26">
        <f t="shared" si="62"/>
        <v>619797.80499999993</v>
      </c>
      <c r="M73" s="26">
        <f t="shared" si="62"/>
        <v>2347564.5549999997</v>
      </c>
      <c r="N73" s="26">
        <f t="shared" si="62"/>
        <v>3513694.273875</v>
      </c>
      <c r="O73" s="26">
        <f t="shared" si="62"/>
        <v>3507599.273875</v>
      </c>
      <c r="P73" s="26">
        <f t="shared" si="62"/>
        <v>3429909.273875</v>
      </c>
      <c r="Q73" s="26">
        <f t="shared" si="62"/>
        <v>3347854.273875</v>
      </c>
      <c r="R73" s="26">
        <f t="shared" si="62"/>
        <v>3276949.273875</v>
      </c>
      <c r="S73" s="26">
        <f t="shared" si="62"/>
        <v>3211016.273875</v>
      </c>
      <c r="T73" s="26">
        <f t="shared" si="62"/>
        <v>3143310.273875</v>
      </c>
      <c r="U73" s="26">
        <f t="shared" si="62"/>
        <v>3086372.273875</v>
      </c>
      <c r="V73" s="26">
        <f t="shared" si="62"/>
        <v>3030704.273875</v>
      </c>
      <c r="W73" s="26">
        <f t="shared" si="62"/>
        <v>2979444.273875</v>
      </c>
      <c r="X73" s="26">
        <f t="shared" si="62"/>
        <v>2932433.273875</v>
      </c>
      <c r="Y73" s="26">
        <f>Y64</f>
        <v>2882730.273875</v>
      </c>
      <c r="Z73" s="26">
        <f>Z64</f>
        <v>2840553.273875</v>
      </c>
    </row>
    <row r="74" spans="1:26">
      <c r="A74" s="425"/>
      <c r="B74" s="20" t="s">
        <v>17</v>
      </c>
      <c r="C74" s="7" t="s">
        <v>19</v>
      </c>
      <c r="D74" s="21">
        <f t="shared" ref="D74:D81" si="63">IRR(G74:Z74,0.1187)</f>
        <v>0.16689103425360408</v>
      </c>
      <c r="E74" s="33">
        <f>-F60/F67</f>
        <v>1.2812573735567108</v>
      </c>
      <c r="F74" s="34">
        <f>G74+NPV(0.1187,H74:Z74)</f>
        <v>3531622.7564979205</v>
      </c>
      <c r="G74" s="30">
        <f t="shared" ref="G74:Z74" si="64">G67+G60</f>
        <v>-848325.04116666678</v>
      </c>
      <c r="H74" s="25">
        <f t="shared" si="64"/>
        <v>-2078948.4633333338</v>
      </c>
      <c r="I74" s="25">
        <f t="shared" si="64"/>
        <v>-2634166.568500001</v>
      </c>
      <c r="J74" s="25">
        <f t="shared" si="64"/>
        <v>-3228118.301833333</v>
      </c>
      <c r="K74" s="25">
        <f t="shared" si="64"/>
        <v>-2278420.9414166668</v>
      </c>
      <c r="L74" s="25">
        <f t="shared" si="64"/>
        <v>428699.28549999977</v>
      </c>
      <c r="M74" s="25">
        <f t="shared" si="64"/>
        <v>2246222.2105</v>
      </c>
      <c r="N74" s="25">
        <f t="shared" si="64"/>
        <v>3502495.5012625</v>
      </c>
      <c r="O74" s="25">
        <f t="shared" si="64"/>
        <v>3496400.5012625</v>
      </c>
      <c r="P74" s="25">
        <f t="shared" si="64"/>
        <v>3418710.5012625</v>
      </c>
      <c r="Q74" s="25">
        <f t="shared" si="64"/>
        <v>3336655.5012625</v>
      </c>
      <c r="R74" s="25">
        <f t="shared" si="64"/>
        <v>3265750.5012625</v>
      </c>
      <c r="S74" s="25">
        <f t="shared" si="64"/>
        <v>3199817.5012625</v>
      </c>
      <c r="T74" s="25">
        <f t="shared" si="64"/>
        <v>3132111.5012625</v>
      </c>
      <c r="U74" s="25">
        <f t="shared" si="64"/>
        <v>3075173.5012625</v>
      </c>
      <c r="V74" s="25">
        <f t="shared" si="64"/>
        <v>3019505.5012625</v>
      </c>
      <c r="W74" s="25">
        <f t="shared" si="64"/>
        <v>2968245.5012625</v>
      </c>
      <c r="X74" s="25">
        <f t="shared" si="64"/>
        <v>2921234.5012625</v>
      </c>
      <c r="Y74" s="25">
        <f t="shared" si="64"/>
        <v>2871531.5012625</v>
      </c>
      <c r="Z74" s="25">
        <f t="shared" si="64"/>
        <v>2829354.5012625</v>
      </c>
    </row>
    <row r="75" spans="1:26">
      <c r="A75" s="425"/>
      <c r="B75" s="20" t="s">
        <v>18</v>
      </c>
      <c r="C75" s="7" t="s">
        <v>39</v>
      </c>
      <c r="D75" s="21">
        <f t="shared" si="63"/>
        <v>0.14924171031195055</v>
      </c>
      <c r="E75" s="33">
        <f>-F60/F68</f>
        <v>1.1744859257603182</v>
      </c>
      <c r="F75" s="34">
        <f t="shared" ref="F75:F81" si="65">G75+NPV(0.1187,H75:Z75)</f>
        <v>2390118.0550670512</v>
      </c>
      <c r="G75" s="30">
        <f t="shared" ref="G75:Z75" si="66">G68+G60</f>
        <v>-925445.49945454544</v>
      </c>
      <c r="H75" s="30">
        <f t="shared" si="66"/>
        <v>-2274471.0509090913</v>
      </c>
      <c r="I75" s="30">
        <f t="shared" si="66"/>
        <v>-2896704.620181819</v>
      </c>
      <c r="J75" s="30">
        <f t="shared" si="66"/>
        <v>-3589720.6929090898</v>
      </c>
      <c r="K75" s="30">
        <f t="shared" si="66"/>
        <v>-2629013.4815454548</v>
      </c>
      <c r="L75" s="30">
        <f t="shared" si="66"/>
        <v>237600.76599999983</v>
      </c>
      <c r="M75" s="30">
        <f t="shared" si="66"/>
        <v>2144879.8659999999</v>
      </c>
      <c r="N75" s="30">
        <f t="shared" si="66"/>
        <v>3491296.7286499999</v>
      </c>
      <c r="O75" s="30">
        <f t="shared" si="66"/>
        <v>3485201.7286499999</v>
      </c>
      <c r="P75" s="30">
        <f t="shared" si="66"/>
        <v>3407511.7286499999</v>
      </c>
      <c r="Q75" s="30">
        <f t="shared" si="66"/>
        <v>3325456.7286499999</v>
      </c>
      <c r="R75" s="30">
        <f t="shared" si="66"/>
        <v>3254551.7286499999</v>
      </c>
      <c r="S75" s="30">
        <f t="shared" si="66"/>
        <v>3188618.7286499999</v>
      </c>
      <c r="T75" s="30">
        <f t="shared" si="66"/>
        <v>3120912.7286499999</v>
      </c>
      <c r="U75" s="30">
        <f t="shared" si="66"/>
        <v>3063974.7286499999</v>
      </c>
      <c r="V75" s="30">
        <f t="shared" si="66"/>
        <v>3008306.7286499999</v>
      </c>
      <c r="W75" s="30">
        <f t="shared" si="66"/>
        <v>2957046.7286499999</v>
      </c>
      <c r="X75" s="30">
        <f t="shared" si="66"/>
        <v>2910035.7286499999</v>
      </c>
      <c r="Y75" s="30">
        <f t="shared" si="66"/>
        <v>2860332.7286499999</v>
      </c>
      <c r="Z75" s="30">
        <f t="shared" si="66"/>
        <v>2818155.7286499999</v>
      </c>
    </row>
    <row r="76" spans="1:26">
      <c r="A76" s="425"/>
      <c r="B76" s="20" t="s">
        <v>41</v>
      </c>
      <c r="C76" s="23" t="s">
        <v>20</v>
      </c>
      <c r="D76" s="21">
        <f t="shared" si="63"/>
        <v>0.16480893478599334</v>
      </c>
      <c r="E76" s="33">
        <f>-F69/F54</f>
        <v>1.2684447998211439</v>
      </c>
      <c r="F76" s="34">
        <f t="shared" si="65"/>
        <v>3064310.0107050422</v>
      </c>
      <c r="G76" s="30">
        <f t="shared" ref="G76:Z76" si="67">G54+G69</f>
        <v>-771204.58287878789</v>
      </c>
      <c r="H76" s="25">
        <f t="shared" si="67"/>
        <v>-1890605.8757575762</v>
      </c>
      <c r="I76" s="25">
        <f t="shared" si="67"/>
        <v>-2397003.7168181827</v>
      </c>
      <c r="J76" s="25">
        <f t="shared" si="67"/>
        <v>-2941466.710757575</v>
      </c>
      <c r="K76" s="25">
        <f t="shared" si="67"/>
        <v>-2085638.1012878788</v>
      </c>
      <c r="L76" s="25">
        <f t="shared" si="67"/>
        <v>366719.50500000012</v>
      </c>
      <c r="M76" s="25">
        <f t="shared" si="67"/>
        <v>2011465.7550000001</v>
      </c>
      <c r="N76" s="25">
        <f t="shared" si="67"/>
        <v>3151126.0738750002</v>
      </c>
      <c r="O76" s="25">
        <f t="shared" si="67"/>
        <v>3145640.5738750002</v>
      </c>
      <c r="P76" s="25">
        <f t="shared" si="67"/>
        <v>3075719.5738750002</v>
      </c>
      <c r="Q76" s="25">
        <f t="shared" si="67"/>
        <v>3001870.0738750002</v>
      </c>
      <c r="R76" s="25">
        <f t="shared" si="67"/>
        <v>2938055.5738750002</v>
      </c>
      <c r="S76" s="25">
        <f t="shared" si="67"/>
        <v>2878715.873875</v>
      </c>
      <c r="T76" s="25">
        <f t="shared" si="67"/>
        <v>2817780.4738750001</v>
      </c>
      <c r="U76" s="25">
        <f t="shared" si="67"/>
        <v>2766536.273875</v>
      </c>
      <c r="V76" s="25">
        <f t="shared" si="67"/>
        <v>2716435.0738750002</v>
      </c>
      <c r="W76" s="25">
        <f t="shared" si="67"/>
        <v>2670301.0738750002</v>
      </c>
      <c r="X76" s="25">
        <f t="shared" si="67"/>
        <v>2627991.1738749999</v>
      </c>
      <c r="Y76" s="25">
        <f t="shared" si="67"/>
        <v>2583258.4738750001</v>
      </c>
      <c r="Z76" s="25">
        <f t="shared" si="67"/>
        <v>2545299.1738749999</v>
      </c>
    </row>
    <row r="77" spans="1:26">
      <c r="A77" s="425"/>
      <c r="B77" s="20" t="s">
        <v>42</v>
      </c>
      <c r="C77" s="7" t="s">
        <v>40</v>
      </c>
      <c r="D77" s="21">
        <f>IRR(G77:Z77,0.1187)</f>
        <v>0.14124421584299229</v>
      </c>
      <c r="E77" s="33">
        <f>-F70/F54</f>
        <v>1.127506488729906</v>
      </c>
      <c r="F77" s="34">
        <f t="shared" si="65"/>
        <v>1455492.563481295</v>
      </c>
      <c r="G77" s="30">
        <f t="shared" ref="G77:Z77" si="68">G54+G70</f>
        <v>-771204.58287878789</v>
      </c>
      <c r="H77" s="30">
        <f t="shared" si="68"/>
        <v>-1897785.8757575762</v>
      </c>
      <c r="I77" s="30">
        <f t="shared" si="68"/>
        <v>-2422378.9168181824</v>
      </c>
      <c r="J77" s="30">
        <f t="shared" si="68"/>
        <v>-3016417.5107575753</v>
      </c>
      <c r="K77" s="30">
        <f t="shared" si="68"/>
        <v>-2243447.8012878788</v>
      </c>
      <c r="L77" s="30">
        <f t="shared" si="68"/>
        <v>113641.20500000007</v>
      </c>
      <c r="M77" s="30">
        <f t="shared" si="68"/>
        <v>1675366.9550000003</v>
      </c>
      <c r="N77" s="30">
        <f t="shared" si="68"/>
        <v>2788557.873875</v>
      </c>
      <c r="O77" s="30">
        <f t="shared" si="68"/>
        <v>2783681.873875</v>
      </c>
      <c r="P77" s="30">
        <f t="shared" si="68"/>
        <v>2721529.873875</v>
      </c>
      <c r="Q77" s="30">
        <f t="shared" si="68"/>
        <v>2655885.873875</v>
      </c>
      <c r="R77" s="30">
        <f t="shared" si="68"/>
        <v>2599161.873875</v>
      </c>
      <c r="S77" s="30">
        <f t="shared" si="68"/>
        <v>2546415.4738750001</v>
      </c>
      <c r="T77" s="30">
        <f t="shared" si="68"/>
        <v>2492250.6738750003</v>
      </c>
      <c r="U77" s="30">
        <f t="shared" si="68"/>
        <v>2446700.273875</v>
      </c>
      <c r="V77" s="30">
        <f t="shared" si="68"/>
        <v>2402165.873875</v>
      </c>
      <c r="W77" s="30">
        <f t="shared" si="68"/>
        <v>2361157.873875</v>
      </c>
      <c r="X77" s="30">
        <f t="shared" si="68"/>
        <v>2323549.0738750002</v>
      </c>
      <c r="Y77" s="30">
        <f t="shared" si="68"/>
        <v>2283786.6738749999</v>
      </c>
      <c r="Z77" s="30">
        <f t="shared" si="68"/>
        <v>2250045.0738750002</v>
      </c>
    </row>
    <row r="78" spans="1:26">
      <c r="A78" s="425"/>
      <c r="B78" s="20" t="s">
        <v>247</v>
      </c>
      <c r="C78" s="7" t="s">
        <v>248</v>
      </c>
      <c r="D78" s="21">
        <f t="shared" si="63"/>
        <v>0.1456252962615936</v>
      </c>
      <c r="E78" s="33">
        <f>-F69/F67</f>
        <v>1.1531316362010398</v>
      </c>
      <c r="F78" s="34">
        <f t="shared" si="65"/>
        <v>1922805.3092741729</v>
      </c>
      <c r="G78" s="30">
        <f>G67+G69</f>
        <v>-848325.04116666678</v>
      </c>
      <c r="H78" s="30">
        <f t="shared" ref="H78:Z78" si="69">H67+H69</f>
        <v>-2086128.4633333338</v>
      </c>
      <c r="I78" s="30">
        <f t="shared" si="69"/>
        <v>-2659541.7685000012</v>
      </c>
      <c r="J78" s="30">
        <f t="shared" si="69"/>
        <v>-3303069.1018333328</v>
      </c>
      <c r="K78" s="30">
        <f t="shared" si="69"/>
        <v>-2436230.641416667</v>
      </c>
      <c r="L78" s="30">
        <f t="shared" si="69"/>
        <v>175620.98549999995</v>
      </c>
      <c r="M78" s="30">
        <f t="shared" si="69"/>
        <v>1910123.4105</v>
      </c>
      <c r="N78" s="30">
        <f t="shared" si="69"/>
        <v>3139927.3012625002</v>
      </c>
      <c r="O78" s="30">
        <f t="shared" si="69"/>
        <v>3134441.8012625002</v>
      </c>
      <c r="P78" s="30">
        <f t="shared" si="69"/>
        <v>3064520.8012625002</v>
      </c>
      <c r="Q78" s="30">
        <f t="shared" si="69"/>
        <v>2990671.3012625002</v>
      </c>
      <c r="R78" s="30">
        <f t="shared" si="69"/>
        <v>2926856.8012625002</v>
      </c>
      <c r="S78" s="30">
        <f t="shared" si="69"/>
        <v>2867517.1012625</v>
      </c>
      <c r="T78" s="30">
        <f t="shared" si="69"/>
        <v>2806581.7012625001</v>
      </c>
      <c r="U78" s="30">
        <f t="shared" si="69"/>
        <v>2755337.5012625</v>
      </c>
      <c r="V78" s="30">
        <f t="shared" si="69"/>
        <v>2705236.3012625002</v>
      </c>
      <c r="W78" s="30">
        <f t="shared" si="69"/>
        <v>2659102.3012625002</v>
      </c>
      <c r="X78" s="30">
        <f t="shared" si="69"/>
        <v>2616792.4012624999</v>
      </c>
      <c r="Y78" s="30">
        <f t="shared" si="69"/>
        <v>2572059.7012625001</v>
      </c>
      <c r="Z78" s="30">
        <f t="shared" si="69"/>
        <v>2534100.4012624999</v>
      </c>
    </row>
    <row r="79" spans="1:26">
      <c r="A79" s="425"/>
      <c r="B79" s="20" t="s">
        <v>249</v>
      </c>
      <c r="C79" s="7" t="s">
        <v>250</v>
      </c>
      <c r="D79" s="21">
        <f t="shared" si="63"/>
        <v>0.12322687395584353</v>
      </c>
      <c r="E79" s="33">
        <f>-F70/F67</f>
        <v>1.025005898845369</v>
      </c>
      <c r="F79" s="34">
        <f t="shared" si="65"/>
        <v>313987.86205042398</v>
      </c>
      <c r="G79" s="30">
        <f t="shared" ref="G79:Z79" si="70">G67+G70</f>
        <v>-848325.04116666678</v>
      </c>
      <c r="H79" s="30">
        <f t="shared" si="70"/>
        <v>-2093308.4633333338</v>
      </c>
      <c r="I79" s="30">
        <f t="shared" si="70"/>
        <v>-2684916.9685000009</v>
      </c>
      <c r="J79" s="30">
        <f t="shared" si="70"/>
        <v>-3378019.9018333331</v>
      </c>
      <c r="K79" s="30">
        <f t="shared" si="70"/>
        <v>-2594040.3414166667</v>
      </c>
      <c r="L79" s="30">
        <f t="shared" si="70"/>
        <v>-77457.314500000095</v>
      </c>
      <c r="M79" s="30">
        <f t="shared" si="70"/>
        <v>1574024.6105000002</v>
      </c>
      <c r="N79" s="30">
        <f t="shared" si="70"/>
        <v>2777359.1012625</v>
      </c>
      <c r="O79" s="30">
        <f t="shared" si="70"/>
        <v>2772483.1012625</v>
      </c>
      <c r="P79" s="30">
        <f t="shared" si="70"/>
        <v>2710331.1012625</v>
      </c>
      <c r="Q79" s="30">
        <f t="shared" si="70"/>
        <v>2644687.1012625</v>
      </c>
      <c r="R79" s="30">
        <f t="shared" si="70"/>
        <v>2587963.1012625</v>
      </c>
      <c r="S79" s="30">
        <f t="shared" si="70"/>
        <v>2535216.7012625001</v>
      </c>
      <c r="T79" s="30">
        <f t="shared" si="70"/>
        <v>2481051.9012625003</v>
      </c>
      <c r="U79" s="30">
        <f t="shared" si="70"/>
        <v>2435501.5012625</v>
      </c>
      <c r="V79" s="30">
        <f t="shared" si="70"/>
        <v>2390967.1012625</v>
      </c>
      <c r="W79" s="30">
        <f t="shared" si="70"/>
        <v>2349959.1012625</v>
      </c>
      <c r="X79" s="30">
        <f t="shared" si="70"/>
        <v>2312350.3012625002</v>
      </c>
      <c r="Y79" s="30">
        <f t="shared" si="70"/>
        <v>2272587.9012624999</v>
      </c>
      <c r="Z79" s="30">
        <f t="shared" si="70"/>
        <v>2238846.3012625002</v>
      </c>
    </row>
    <row r="80" spans="1:26">
      <c r="A80" s="425"/>
      <c r="B80" s="20" t="s">
        <v>251</v>
      </c>
      <c r="C80" s="7" t="s">
        <v>252</v>
      </c>
      <c r="D80" s="21">
        <f t="shared" si="63"/>
        <v>0.12894701135241382</v>
      </c>
      <c r="E80" s="33">
        <f>-F69/F68</f>
        <v>1.0570373331842866</v>
      </c>
      <c r="F80" s="34">
        <f t="shared" si="65"/>
        <v>781300.60784330696</v>
      </c>
      <c r="G80" s="30">
        <f t="shared" ref="G80:Z80" si="71">G68+G69</f>
        <v>-925445.49945454544</v>
      </c>
      <c r="H80" s="30">
        <f t="shared" si="71"/>
        <v>-2281651.0509090913</v>
      </c>
      <c r="I80" s="30">
        <f t="shared" si="71"/>
        <v>-2922079.8201818191</v>
      </c>
      <c r="J80" s="30">
        <f t="shared" si="71"/>
        <v>-3664671.4929090897</v>
      </c>
      <c r="K80" s="30">
        <f t="shared" si="71"/>
        <v>-2786823.181545455</v>
      </c>
      <c r="L80" s="30">
        <f t="shared" si="71"/>
        <v>-15477.533999999985</v>
      </c>
      <c r="M80" s="30">
        <f t="shared" si="71"/>
        <v>1808781.0660000001</v>
      </c>
      <c r="N80" s="30">
        <f t="shared" si="71"/>
        <v>3128728.5286500002</v>
      </c>
      <c r="O80" s="30">
        <f t="shared" si="71"/>
        <v>3123243.0286500002</v>
      </c>
      <c r="P80" s="30">
        <f t="shared" si="71"/>
        <v>3053322.0286500002</v>
      </c>
      <c r="Q80" s="30">
        <f t="shared" si="71"/>
        <v>2979472.5286500002</v>
      </c>
      <c r="R80" s="30">
        <f t="shared" si="71"/>
        <v>2915658.0286500002</v>
      </c>
      <c r="S80" s="30">
        <f t="shared" si="71"/>
        <v>2856318.32865</v>
      </c>
      <c r="T80" s="30">
        <f t="shared" si="71"/>
        <v>2795382.9286500001</v>
      </c>
      <c r="U80" s="30">
        <f t="shared" si="71"/>
        <v>2744138.7286499999</v>
      </c>
      <c r="V80" s="30">
        <f t="shared" si="71"/>
        <v>2694037.5286500002</v>
      </c>
      <c r="W80" s="30">
        <f t="shared" si="71"/>
        <v>2647903.5286500002</v>
      </c>
      <c r="X80" s="30">
        <f t="shared" si="71"/>
        <v>2605593.6286499999</v>
      </c>
      <c r="Y80" s="30">
        <f t="shared" si="71"/>
        <v>2560860.9286500001</v>
      </c>
      <c r="Z80" s="30">
        <f t="shared" si="71"/>
        <v>2522901.6286499999</v>
      </c>
    </row>
    <row r="81" spans="1:26">
      <c r="A81" s="426"/>
      <c r="B81" s="20" t="s">
        <v>253</v>
      </c>
      <c r="C81" s="7" t="s">
        <v>254</v>
      </c>
      <c r="D81" s="21">
        <f t="shared" si="63"/>
        <v>0.10752379684484459</v>
      </c>
      <c r="E81" s="33">
        <f>-F70/F68</f>
        <v>0.93958874060825492</v>
      </c>
      <c r="F81" s="34">
        <f t="shared" si="65"/>
        <v>-827516.83938044403</v>
      </c>
      <c r="G81" s="30">
        <f t="shared" ref="G81:Z81" si="72">G68+G70</f>
        <v>-925445.49945454544</v>
      </c>
      <c r="H81" s="30">
        <f t="shared" si="72"/>
        <v>-2288831.0509090913</v>
      </c>
      <c r="I81" s="30">
        <f t="shared" si="72"/>
        <v>-2947455.0201818189</v>
      </c>
      <c r="J81" s="30">
        <f t="shared" si="72"/>
        <v>-3739622.2929090899</v>
      </c>
      <c r="K81" s="30">
        <f t="shared" si="72"/>
        <v>-2944632.8815454547</v>
      </c>
      <c r="L81" s="30">
        <f t="shared" si="72"/>
        <v>-268555.83400000003</v>
      </c>
      <c r="M81" s="30">
        <f t="shared" si="72"/>
        <v>1472682.2660000003</v>
      </c>
      <c r="N81" s="30">
        <f t="shared" si="72"/>
        <v>2766160.32865</v>
      </c>
      <c r="O81" s="30">
        <f t="shared" si="72"/>
        <v>2761284.32865</v>
      </c>
      <c r="P81" s="30">
        <f t="shared" si="72"/>
        <v>2699132.32865</v>
      </c>
      <c r="Q81" s="30">
        <f t="shared" si="72"/>
        <v>2633488.32865</v>
      </c>
      <c r="R81" s="30">
        <f t="shared" si="72"/>
        <v>2576764.32865</v>
      </c>
      <c r="S81" s="30">
        <f t="shared" si="72"/>
        <v>2524017.9286500001</v>
      </c>
      <c r="T81" s="30">
        <f t="shared" si="72"/>
        <v>2469853.1286500003</v>
      </c>
      <c r="U81" s="30">
        <f t="shared" si="72"/>
        <v>2424302.7286499999</v>
      </c>
      <c r="V81" s="30">
        <f t="shared" si="72"/>
        <v>2379768.32865</v>
      </c>
      <c r="W81" s="30">
        <f t="shared" si="72"/>
        <v>2338760.32865</v>
      </c>
      <c r="X81" s="30">
        <f t="shared" si="72"/>
        <v>2301151.5286500002</v>
      </c>
      <c r="Y81" s="30">
        <f t="shared" si="72"/>
        <v>2261389.1286499999</v>
      </c>
      <c r="Z81" s="30">
        <f t="shared" si="72"/>
        <v>2227647.5286500002</v>
      </c>
    </row>
    <row r="82" spans="1:26">
      <c r="A82" s="42"/>
      <c r="B82" s="36"/>
      <c r="C82" s="37"/>
      <c r="D82" s="37"/>
      <c r="E82" s="37"/>
      <c r="F82" s="37"/>
      <c r="G82" s="37"/>
      <c r="H82" s="37"/>
      <c r="I82" s="37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</row>
    <row r="83" spans="1:26">
      <c r="A83" s="42"/>
      <c r="B83" s="36"/>
      <c r="C83" s="37"/>
      <c r="D83" s="37"/>
      <c r="E83" s="37"/>
      <c r="F83" s="37"/>
      <c r="G83" s="37"/>
      <c r="H83" s="37"/>
      <c r="I83" s="37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</row>
    <row r="84" spans="1:26">
      <c r="A84" s="42"/>
      <c r="B84" s="36"/>
      <c r="C84" s="37"/>
      <c r="D84" s="37"/>
      <c r="E84" s="37"/>
      <c r="F84" s="37"/>
      <c r="G84" s="37"/>
      <c r="H84" s="37"/>
      <c r="I84" s="37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</row>
    <row r="85" spans="1:26">
      <c r="A85" s="42"/>
      <c r="B85" s="36"/>
      <c r="C85" s="37"/>
      <c r="D85" s="37"/>
      <c r="E85" s="37"/>
      <c r="F85" s="37"/>
      <c r="G85" s="37"/>
      <c r="H85" s="37"/>
      <c r="I85" s="37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</row>
    <row r="86" spans="1:26">
      <c r="A86" s="42"/>
      <c r="B86" s="36"/>
      <c r="C86" s="37"/>
      <c r="D86" s="37"/>
      <c r="E86" s="37"/>
      <c r="F86" s="37"/>
      <c r="G86" s="37"/>
      <c r="H86" s="37"/>
      <c r="I86" s="37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</row>
    <row r="87" spans="1:26">
      <c r="A87" s="42"/>
      <c r="B87" s="36"/>
      <c r="C87" s="37"/>
      <c r="D87" s="37"/>
      <c r="E87" s="37"/>
      <c r="F87" s="37"/>
      <c r="G87" s="37"/>
      <c r="H87" s="37"/>
      <c r="I87" s="37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91" spans="1:26">
      <c r="E91" s="1" t="s">
        <v>265</v>
      </c>
      <c r="F91" s="414">
        <f>F61+F63</f>
        <v>6496201.9909122325</v>
      </c>
      <c r="G91" s="414">
        <f>G61+G63</f>
        <v>0</v>
      </c>
      <c r="H91" s="414">
        <f>H61+H63</f>
        <v>71800</v>
      </c>
      <c r="I91" s="414">
        <f t="shared" ref="I91:Z91" si="73">I61+I63</f>
        <v>247992</v>
      </c>
      <c r="J91" s="414">
        <f t="shared" si="73"/>
        <v>513348</v>
      </c>
      <c r="K91" s="414">
        <f t="shared" si="73"/>
        <v>849277</v>
      </c>
      <c r="L91" s="414">
        <f t="shared" si="73"/>
        <v>1148263</v>
      </c>
      <c r="M91" s="414">
        <f t="shared" si="73"/>
        <v>1365208</v>
      </c>
      <c r="N91" s="414">
        <f t="shared" si="73"/>
        <v>1458902</v>
      </c>
      <c r="O91" s="414">
        <f t="shared" si="73"/>
        <v>1452807</v>
      </c>
      <c r="P91" s="414">
        <f t="shared" si="73"/>
        <v>1375117</v>
      </c>
      <c r="Q91" s="414">
        <f t="shared" si="73"/>
        <v>1293062</v>
      </c>
      <c r="R91" s="414">
        <f t="shared" si="73"/>
        <v>1222157</v>
      </c>
      <c r="S91" s="414">
        <f t="shared" si="73"/>
        <v>1156224</v>
      </c>
      <c r="T91" s="414">
        <f t="shared" si="73"/>
        <v>1088518</v>
      </c>
      <c r="U91" s="414">
        <f t="shared" si="73"/>
        <v>1031580</v>
      </c>
      <c r="V91" s="414">
        <f t="shared" si="73"/>
        <v>975912</v>
      </c>
      <c r="W91" s="414">
        <f t="shared" si="73"/>
        <v>924652</v>
      </c>
      <c r="X91" s="414">
        <f t="shared" si="73"/>
        <v>877641</v>
      </c>
      <c r="Y91" s="414">
        <f t="shared" si="73"/>
        <v>827938</v>
      </c>
      <c r="Z91" s="414">
        <f t="shared" si="73"/>
        <v>785761</v>
      </c>
    </row>
    <row r="92" spans="1:26">
      <c r="E92" s="1" t="s">
        <v>43</v>
      </c>
      <c r="F92" s="414">
        <f>F62</f>
        <v>9591972.4813252464</v>
      </c>
    </row>
  </sheetData>
  <mergeCells count="12">
    <mergeCell ref="F4:F5"/>
    <mergeCell ref="G4:Z4"/>
    <mergeCell ref="A4:A5"/>
    <mergeCell ref="B4:C5"/>
    <mergeCell ref="D4:D5"/>
    <mergeCell ref="E4:E5"/>
    <mergeCell ref="A67:A81"/>
    <mergeCell ref="A6:A17"/>
    <mergeCell ref="A18:A29"/>
    <mergeCell ref="A30:A41"/>
    <mergeCell ref="A42:A53"/>
    <mergeCell ref="A54:A65"/>
  </mergeCells>
  <phoneticPr fontId="1"/>
  <printOptions horizontalCentered="1"/>
  <pageMargins left="0" right="0.59055118110236227" top="0.78740157480314965" bottom="0.59055118110236227" header="0.39370078740157483" footer="0.39370078740157483"/>
  <pageSetup paperSize="8" scale="61" orientation="landscape" useFirstPageNumber="1" r:id="rId1"/>
  <headerFooter alignWithMargins="0">
    <oddFooter xml:space="preserve">&amp;R&amp;"Times New Roman,標準"&amp;14H - T - &amp;P&amp;"-,標準"&amp;11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  <pageSetUpPr fitToPage="1"/>
  </sheetPr>
  <dimension ref="A1:AB30"/>
  <sheetViews>
    <sheetView view="pageBreakPreview" zoomScale="70" zoomScaleNormal="85" zoomScaleSheetLayoutView="70" workbookViewId="0">
      <selection activeCell="B5" sqref="B5"/>
    </sheetView>
  </sheetViews>
  <sheetFormatPr defaultColWidth="9" defaultRowHeight="13"/>
  <cols>
    <col min="1" max="1" width="5" style="43" customWidth="1"/>
    <col min="2" max="28" width="10.08984375" style="45" customWidth="1"/>
    <col min="29" max="16384" width="9" style="45"/>
  </cols>
  <sheetData>
    <row r="1" spans="1:28" ht="20">
      <c r="A1" s="40" t="s">
        <v>149</v>
      </c>
    </row>
    <row r="2" spans="1:28" ht="13.5" thickBot="1"/>
    <row r="3" spans="1:28" ht="12.75" customHeight="1">
      <c r="A3" s="56" t="s">
        <v>24</v>
      </c>
      <c r="B3" s="448" t="s">
        <v>33</v>
      </c>
      <c r="C3" s="449"/>
      <c r="D3" s="450"/>
      <c r="E3" s="445" t="s">
        <v>30</v>
      </c>
      <c r="F3" s="446"/>
      <c r="G3" s="447"/>
      <c r="H3" s="445" t="s">
        <v>32</v>
      </c>
      <c r="I3" s="446"/>
      <c r="J3" s="447"/>
      <c r="K3" s="445" t="s">
        <v>255</v>
      </c>
      <c r="L3" s="446"/>
      <c r="M3" s="447"/>
      <c r="N3" s="445" t="s">
        <v>256</v>
      </c>
      <c r="O3" s="446"/>
      <c r="P3" s="447"/>
      <c r="Q3" s="445" t="s">
        <v>258</v>
      </c>
      <c r="R3" s="446"/>
      <c r="S3" s="447"/>
      <c r="T3" s="445" t="s">
        <v>259</v>
      </c>
      <c r="U3" s="446"/>
      <c r="V3" s="447"/>
      <c r="W3" s="445" t="s">
        <v>260</v>
      </c>
      <c r="X3" s="446"/>
      <c r="Y3" s="447"/>
      <c r="Z3" s="445" t="s">
        <v>261</v>
      </c>
      <c r="AA3" s="446"/>
      <c r="AB3" s="447"/>
    </row>
    <row r="4" spans="1:28" ht="13.5" thickBot="1">
      <c r="A4" s="57"/>
      <c r="B4" s="60" t="s">
        <v>10</v>
      </c>
      <c r="C4" s="52" t="s">
        <v>31</v>
      </c>
      <c r="D4" s="53" t="s">
        <v>11</v>
      </c>
      <c r="E4" s="60" t="s">
        <v>10</v>
      </c>
      <c r="F4" s="52" t="s">
        <v>31</v>
      </c>
      <c r="G4" s="53" t="s">
        <v>11</v>
      </c>
      <c r="H4" s="60" t="s">
        <v>10</v>
      </c>
      <c r="I4" s="52" t="s">
        <v>31</v>
      </c>
      <c r="J4" s="53" t="s">
        <v>11</v>
      </c>
      <c r="K4" s="60" t="s">
        <v>34</v>
      </c>
      <c r="L4" s="52" t="s">
        <v>35</v>
      </c>
      <c r="M4" s="53" t="s">
        <v>36</v>
      </c>
      <c r="N4" s="60" t="s">
        <v>34</v>
      </c>
      <c r="O4" s="52" t="s">
        <v>35</v>
      </c>
      <c r="P4" s="53" t="s">
        <v>36</v>
      </c>
      <c r="Q4" s="60" t="s">
        <v>0</v>
      </c>
      <c r="R4" s="52" t="s">
        <v>1</v>
      </c>
      <c r="S4" s="53" t="s">
        <v>11</v>
      </c>
      <c r="T4" s="60" t="s">
        <v>0</v>
      </c>
      <c r="U4" s="52" t="s">
        <v>1</v>
      </c>
      <c r="V4" s="53" t="s">
        <v>11</v>
      </c>
      <c r="W4" s="60" t="s">
        <v>0</v>
      </c>
      <c r="X4" s="52" t="s">
        <v>1</v>
      </c>
      <c r="Y4" s="53" t="s">
        <v>11</v>
      </c>
      <c r="Z4" s="60" t="s">
        <v>0</v>
      </c>
      <c r="AA4" s="52" t="s">
        <v>1</v>
      </c>
      <c r="AB4" s="53" t="s">
        <v>11</v>
      </c>
    </row>
    <row r="5" spans="1:28">
      <c r="A5" s="58">
        <v>1</v>
      </c>
      <c r="B5" s="61">
        <f>'Table 11 (1)_Summary of EIRR'!G6</f>
        <v>771204.58287878789</v>
      </c>
      <c r="C5" s="49">
        <f>'Table 11 (1)_Summary of EIRR'!K6</f>
        <v>0</v>
      </c>
      <c r="D5" s="54">
        <f>C5-B5</f>
        <v>-771204.58287878789</v>
      </c>
      <c r="E5" s="65">
        <f>B5*1.1</f>
        <v>848325.04116666678</v>
      </c>
      <c r="F5" s="47">
        <f>C5</f>
        <v>0</v>
      </c>
      <c r="G5" s="66">
        <f>F5-E5</f>
        <v>-848325.04116666678</v>
      </c>
      <c r="H5" s="67">
        <f>B5*1.2</f>
        <v>925445.49945454544</v>
      </c>
      <c r="I5" s="49">
        <f>C5</f>
        <v>0</v>
      </c>
      <c r="J5" s="54">
        <f>I5-H5</f>
        <v>-925445.49945454544</v>
      </c>
      <c r="K5" s="67">
        <f>B5</f>
        <v>771204.58287878789</v>
      </c>
      <c r="L5" s="49">
        <f>C5*0.9</f>
        <v>0</v>
      </c>
      <c r="M5" s="54">
        <f>L5-K5</f>
        <v>-771204.58287878789</v>
      </c>
      <c r="N5" s="67">
        <f>B5</f>
        <v>771204.58287878789</v>
      </c>
      <c r="O5" s="49">
        <f>C5*0.8</f>
        <v>0</v>
      </c>
      <c r="P5" s="54">
        <f>O5-N5</f>
        <v>-771204.58287878789</v>
      </c>
      <c r="Q5" s="67">
        <f>E5</f>
        <v>848325.04116666678</v>
      </c>
      <c r="R5" s="49">
        <f>C5*0.9</f>
        <v>0</v>
      </c>
      <c r="S5" s="54">
        <f>R5-Q5</f>
        <v>-848325.04116666678</v>
      </c>
      <c r="T5" s="67">
        <f>E5</f>
        <v>848325.04116666678</v>
      </c>
      <c r="U5" s="49">
        <f>F5*0.8</f>
        <v>0</v>
      </c>
      <c r="V5" s="54">
        <f>U5-T5</f>
        <v>-848325.04116666678</v>
      </c>
      <c r="W5" s="67">
        <f>H5</f>
        <v>925445.49945454544</v>
      </c>
      <c r="X5" s="49">
        <f>I5*0.9</f>
        <v>0</v>
      </c>
      <c r="Y5" s="54">
        <f>X5-W5</f>
        <v>-925445.49945454544</v>
      </c>
      <c r="Z5" s="67">
        <f>H5</f>
        <v>925445.49945454544</v>
      </c>
      <c r="AA5" s="49">
        <f>O5*0.9</f>
        <v>0</v>
      </c>
      <c r="AB5" s="54">
        <f>AA5-Z5</f>
        <v>-925445.49945454544</v>
      </c>
    </row>
    <row r="6" spans="1:28">
      <c r="A6" s="59">
        <f>A5+1</f>
        <v>2</v>
      </c>
      <c r="B6" s="62">
        <f>'Table 11 (1)_Summary of EIRR'!G7</f>
        <v>1955225.8757575762</v>
      </c>
      <c r="C6" s="48">
        <f>'Table 11 (1)_Summary of EIRR'!K7</f>
        <v>71800</v>
      </c>
      <c r="D6" s="55">
        <f t="shared" ref="D6:D23" si="0">C6-B6</f>
        <v>-1883425.8757575762</v>
      </c>
      <c r="E6" s="67">
        <f t="shared" ref="E6:E24" si="1">B6*1.1</f>
        <v>2150748.4633333338</v>
      </c>
      <c r="F6" s="49">
        <f t="shared" ref="F6:F24" si="2">C6</f>
        <v>71800</v>
      </c>
      <c r="G6" s="54">
        <f t="shared" ref="G6:G24" si="3">F6-E6</f>
        <v>-2078948.4633333338</v>
      </c>
      <c r="H6" s="68">
        <f>B6*1.2</f>
        <v>2346271.0509090913</v>
      </c>
      <c r="I6" s="48">
        <f t="shared" ref="I6:I24" si="4">C6</f>
        <v>71800</v>
      </c>
      <c r="J6" s="55">
        <f t="shared" ref="J6:J24" si="5">I6-H6</f>
        <v>-2274471.0509090913</v>
      </c>
      <c r="K6" s="68">
        <f t="shared" ref="K6:K15" si="6">B6</f>
        <v>1955225.8757575762</v>
      </c>
      <c r="L6" s="48">
        <f t="shared" ref="L6:L15" si="7">C6*0.9</f>
        <v>64620</v>
      </c>
      <c r="M6" s="55">
        <f t="shared" ref="M6:M15" si="8">L6-K6</f>
        <v>-1890605.8757575762</v>
      </c>
      <c r="N6" s="68">
        <f t="shared" ref="N6:N24" si="9">B6</f>
        <v>1955225.8757575762</v>
      </c>
      <c r="O6" s="48">
        <f t="shared" ref="O6:O24" si="10">C6*0.8</f>
        <v>57440</v>
      </c>
      <c r="P6" s="55">
        <f t="shared" ref="P6:P24" si="11">O6-N6</f>
        <v>-1897785.8757575762</v>
      </c>
      <c r="Q6" s="68">
        <f t="shared" ref="Q6:Q24" si="12">E6</f>
        <v>2150748.4633333338</v>
      </c>
      <c r="R6" s="48">
        <f>C6*0.9</f>
        <v>64620</v>
      </c>
      <c r="S6" s="55">
        <f t="shared" ref="S6:S24" si="13">R6-Q6</f>
        <v>-2086128.4633333338</v>
      </c>
      <c r="T6" s="68">
        <f>E6</f>
        <v>2150748.4633333338</v>
      </c>
      <c r="U6" s="48">
        <f>F6*0.8</f>
        <v>57440</v>
      </c>
      <c r="V6" s="55">
        <f t="shared" ref="V6:V24" si="14">U6-T6</f>
        <v>-2093308.4633333338</v>
      </c>
      <c r="W6" s="68">
        <f>H6</f>
        <v>2346271.0509090913</v>
      </c>
      <c r="X6" s="48">
        <f>I6*0.9</f>
        <v>64620</v>
      </c>
      <c r="Y6" s="55">
        <f t="shared" ref="Y6:Y24" si="15">X6-W6</f>
        <v>-2281651.0509090913</v>
      </c>
      <c r="Z6" s="68">
        <f>H6</f>
        <v>2346271.0509090913</v>
      </c>
      <c r="AA6" s="48">
        <f>O6</f>
        <v>57440</v>
      </c>
      <c r="AB6" s="55">
        <f t="shared" ref="AB6:AB24" si="16">AA6-Z6</f>
        <v>-2288831.0509090913</v>
      </c>
    </row>
    <row r="7" spans="1:28">
      <c r="A7" s="59">
        <f t="shared" ref="A7:A24" si="17">A6+1</f>
        <v>3</v>
      </c>
      <c r="B7" s="62">
        <f>'Table 11 (1)_Summary of EIRR'!G8</f>
        <v>2625380.5168181825</v>
      </c>
      <c r="C7" s="48">
        <f>'Table 11 (1)_Summary of EIRR'!K8</f>
        <v>253752</v>
      </c>
      <c r="D7" s="55">
        <f t="shared" si="0"/>
        <v>-2371628.5168181825</v>
      </c>
      <c r="E7" s="68">
        <f t="shared" si="1"/>
        <v>2887918.568500001</v>
      </c>
      <c r="F7" s="48">
        <f t="shared" si="2"/>
        <v>253752</v>
      </c>
      <c r="G7" s="55">
        <f t="shared" si="3"/>
        <v>-2634166.568500001</v>
      </c>
      <c r="H7" s="68">
        <f t="shared" ref="H7:H24" si="18">B7*1.2</f>
        <v>3150456.620181819</v>
      </c>
      <c r="I7" s="48">
        <f t="shared" si="4"/>
        <v>253752</v>
      </c>
      <c r="J7" s="55">
        <f t="shared" si="5"/>
        <v>-2896704.620181819</v>
      </c>
      <c r="K7" s="68">
        <f t="shared" si="6"/>
        <v>2625380.5168181825</v>
      </c>
      <c r="L7" s="48">
        <f t="shared" si="7"/>
        <v>228376.80000000002</v>
      </c>
      <c r="M7" s="55">
        <f t="shared" si="8"/>
        <v>-2397003.7168181827</v>
      </c>
      <c r="N7" s="68">
        <f t="shared" si="9"/>
        <v>2625380.5168181825</v>
      </c>
      <c r="O7" s="48">
        <f t="shared" si="10"/>
        <v>203001.60000000001</v>
      </c>
      <c r="P7" s="55">
        <f t="shared" si="11"/>
        <v>-2422378.9168181824</v>
      </c>
      <c r="Q7" s="68">
        <f t="shared" si="12"/>
        <v>2887918.568500001</v>
      </c>
      <c r="R7" s="48">
        <f t="shared" ref="R7:R24" si="19">C7*0.9</f>
        <v>228376.80000000002</v>
      </c>
      <c r="S7" s="55">
        <f t="shared" si="13"/>
        <v>-2659541.7685000012</v>
      </c>
      <c r="T7" s="68">
        <f t="shared" ref="T7:T24" si="20">E7</f>
        <v>2887918.568500001</v>
      </c>
      <c r="U7" s="48">
        <f t="shared" ref="U7:U24" si="21">F7*0.8</f>
        <v>203001.60000000001</v>
      </c>
      <c r="V7" s="55">
        <f t="shared" si="14"/>
        <v>-2684916.9685000009</v>
      </c>
      <c r="W7" s="68">
        <f t="shared" ref="W7:W24" si="22">H7</f>
        <v>3150456.620181819</v>
      </c>
      <c r="X7" s="48">
        <f t="shared" ref="X7:X24" si="23">I7*0.9</f>
        <v>228376.80000000002</v>
      </c>
      <c r="Y7" s="55">
        <f t="shared" si="15"/>
        <v>-2922079.8201818191</v>
      </c>
      <c r="Z7" s="68">
        <f t="shared" ref="Z7:Z24" si="24">H7</f>
        <v>3150456.620181819</v>
      </c>
      <c r="AA7" s="48">
        <f t="shared" ref="AA7:AA24" si="25">O7</f>
        <v>203001.60000000001</v>
      </c>
      <c r="AB7" s="55">
        <f t="shared" si="16"/>
        <v>-2947455.0201818189</v>
      </c>
    </row>
    <row r="8" spans="1:28">
      <c r="A8" s="59">
        <f t="shared" si="17"/>
        <v>4</v>
      </c>
      <c r="B8" s="62">
        <f>'Table 11 (1)_Summary of EIRR'!G9</f>
        <v>3616023.9107575752</v>
      </c>
      <c r="C8" s="48">
        <f>'Table 11 (1)_Summary of EIRR'!K9</f>
        <v>749508</v>
      </c>
      <c r="D8" s="55">
        <f t="shared" si="0"/>
        <v>-2866515.9107575752</v>
      </c>
      <c r="E8" s="68">
        <f t="shared" si="1"/>
        <v>3977626.301833333</v>
      </c>
      <c r="F8" s="48">
        <f t="shared" si="2"/>
        <v>749508</v>
      </c>
      <c r="G8" s="55">
        <f t="shared" si="3"/>
        <v>-3228118.301833333</v>
      </c>
      <c r="H8" s="68">
        <f t="shared" si="18"/>
        <v>4339228.6929090898</v>
      </c>
      <c r="I8" s="48">
        <f t="shared" si="4"/>
        <v>749508</v>
      </c>
      <c r="J8" s="55">
        <f t="shared" si="5"/>
        <v>-3589720.6929090898</v>
      </c>
      <c r="K8" s="68">
        <f t="shared" si="6"/>
        <v>3616023.9107575752</v>
      </c>
      <c r="L8" s="48">
        <f>C8*0.9</f>
        <v>674557.20000000007</v>
      </c>
      <c r="M8" s="55">
        <f t="shared" si="8"/>
        <v>-2941466.710757575</v>
      </c>
      <c r="N8" s="68">
        <f t="shared" si="9"/>
        <v>3616023.9107575752</v>
      </c>
      <c r="O8" s="48">
        <f t="shared" si="10"/>
        <v>599606.4</v>
      </c>
      <c r="P8" s="55">
        <f t="shared" si="11"/>
        <v>-3016417.5107575753</v>
      </c>
      <c r="Q8" s="68">
        <f t="shared" si="12"/>
        <v>3977626.301833333</v>
      </c>
      <c r="R8" s="48">
        <f t="shared" si="19"/>
        <v>674557.20000000007</v>
      </c>
      <c r="S8" s="55">
        <f t="shared" si="13"/>
        <v>-3303069.1018333328</v>
      </c>
      <c r="T8" s="68">
        <f t="shared" si="20"/>
        <v>3977626.301833333</v>
      </c>
      <c r="U8" s="48">
        <f t="shared" si="21"/>
        <v>599606.4</v>
      </c>
      <c r="V8" s="55">
        <f t="shared" si="14"/>
        <v>-3378019.9018333331</v>
      </c>
      <c r="W8" s="68">
        <f t="shared" si="22"/>
        <v>4339228.6929090898</v>
      </c>
      <c r="X8" s="48">
        <f t="shared" si="23"/>
        <v>674557.20000000007</v>
      </c>
      <c r="Y8" s="55">
        <f t="shared" si="15"/>
        <v>-3664671.4929090897</v>
      </c>
      <c r="Z8" s="68">
        <f t="shared" si="24"/>
        <v>4339228.6929090898</v>
      </c>
      <c r="AA8" s="48">
        <f t="shared" si="25"/>
        <v>599606.4</v>
      </c>
      <c r="AB8" s="55">
        <f t="shared" si="16"/>
        <v>-3739622.2929090899</v>
      </c>
    </row>
    <row r="9" spans="1:28">
      <c r="A9" s="59">
        <f t="shared" si="17"/>
        <v>5</v>
      </c>
      <c r="B9" s="62">
        <f>'Table 11 (1)_Summary of EIRR'!G10</f>
        <v>3505925.4012878789</v>
      </c>
      <c r="C9" s="48">
        <f>'Table 11 (1)_Summary of EIRR'!K10</f>
        <v>1578097</v>
      </c>
      <c r="D9" s="55">
        <f t="shared" si="0"/>
        <v>-1927828.4012878789</v>
      </c>
      <c r="E9" s="68">
        <f t="shared" si="1"/>
        <v>3856517.9414166668</v>
      </c>
      <c r="F9" s="48">
        <f t="shared" si="2"/>
        <v>1578097</v>
      </c>
      <c r="G9" s="55">
        <f t="shared" si="3"/>
        <v>-2278420.9414166668</v>
      </c>
      <c r="H9" s="68">
        <f t="shared" si="18"/>
        <v>4207110.4815454548</v>
      </c>
      <c r="I9" s="48">
        <f t="shared" si="4"/>
        <v>1578097</v>
      </c>
      <c r="J9" s="55">
        <f t="shared" si="5"/>
        <v>-2629013.4815454548</v>
      </c>
      <c r="K9" s="68">
        <f t="shared" si="6"/>
        <v>3505925.4012878789</v>
      </c>
      <c r="L9" s="48">
        <f t="shared" si="7"/>
        <v>1420287.3</v>
      </c>
      <c r="M9" s="55">
        <f t="shared" si="8"/>
        <v>-2085638.1012878788</v>
      </c>
      <c r="N9" s="68">
        <f t="shared" si="9"/>
        <v>3505925.4012878789</v>
      </c>
      <c r="O9" s="48">
        <f t="shared" si="10"/>
        <v>1262477.6000000001</v>
      </c>
      <c r="P9" s="55">
        <f t="shared" si="11"/>
        <v>-2243447.8012878788</v>
      </c>
      <c r="Q9" s="68">
        <f t="shared" si="12"/>
        <v>3856517.9414166668</v>
      </c>
      <c r="R9" s="48">
        <f t="shared" si="19"/>
        <v>1420287.3</v>
      </c>
      <c r="S9" s="55">
        <f t="shared" si="13"/>
        <v>-2436230.641416667</v>
      </c>
      <c r="T9" s="68">
        <f t="shared" si="20"/>
        <v>3856517.9414166668</v>
      </c>
      <c r="U9" s="48">
        <f t="shared" si="21"/>
        <v>1262477.6000000001</v>
      </c>
      <c r="V9" s="55">
        <f t="shared" si="14"/>
        <v>-2594040.3414166667</v>
      </c>
      <c r="W9" s="68">
        <f t="shared" si="22"/>
        <v>4207110.4815454548</v>
      </c>
      <c r="X9" s="48">
        <f t="shared" si="23"/>
        <v>1420287.3</v>
      </c>
      <c r="Y9" s="55">
        <f t="shared" si="15"/>
        <v>-2786823.181545455</v>
      </c>
      <c r="Z9" s="68">
        <f t="shared" si="24"/>
        <v>4207110.4815454548</v>
      </c>
      <c r="AA9" s="48">
        <f t="shared" si="25"/>
        <v>1262477.6000000001</v>
      </c>
      <c r="AB9" s="55">
        <f t="shared" si="16"/>
        <v>-2944632.8815454547</v>
      </c>
    </row>
    <row r="10" spans="1:28">
      <c r="A10" s="59">
        <f t="shared" si="17"/>
        <v>6</v>
      </c>
      <c r="B10" s="62">
        <f>'Table 11 (1)_Summary of EIRR'!G11</f>
        <v>1910985.1950000001</v>
      </c>
      <c r="C10" s="48">
        <f>'Table 11 (1)_Summary of EIRR'!K11</f>
        <v>2530783</v>
      </c>
      <c r="D10" s="55">
        <f t="shared" si="0"/>
        <v>619797.80499999993</v>
      </c>
      <c r="E10" s="68">
        <f t="shared" si="1"/>
        <v>2102083.7145000002</v>
      </c>
      <c r="F10" s="48">
        <f t="shared" si="2"/>
        <v>2530783</v>
      </c>
      <c r="G10" s="55">
        <f t="shared" si="3"/>
        <v>428699.28549999977</v>
      </c>
      <c r="H10" s="68">
        <f t="shared" si="18"/>
        <v>2293182.2340000002</v>
      </c>
      <c r="I10" s="48">
        <f t="shared" si="4"/>
        <v>2530783</v>
      </c>
      <c r="J10" s="55">
        <f t="shared" si="5"/>
        <v>237600.76599999983</v>
      </c>
      <c r="K10" s="68">
        <f t="shared" si="6"/>
        <v>1910985.1950000001</v>
      </c>
      <c r="L10" s="48">
        <f t="shared" si="7"/>
        <v>2277704.7000000002</v>
      </c>
      <c r="M10" s="55">
        <f t="shared" si="8"/>
        <v>366719.50500000012</v>
      </c>
      <c r="N10" s="68">
        <f t="shared" si="9"/>
        <v>1910985.1950000001</v>
      </c>
      <c r="O10" s="48">
        <f t="shared" si="10"/>
        <v>2024626.4000000001</v>
      </c>
      <c r="P10" s="55">
        <f t="shared" si="11"/>
        <v>113641.20500000007</v>
      </c>
      <c r="Q10" s="68">
        <f t="shared" si="12"/>
        <v>2102083.7145000002</v>
      </c>
      <c r="R10" s="48">
        <f t="shared" si="19"/>
        <v>2277704.7000000002</v>
      </c>
      <c r="S10" s="55">
        <f t="shared" si="13"/>
        <v>175620.98549999995</v>
      </c>
      <c r="T10" s="68">
        <f t="shared" si="20"/>
        <v>2102083.7145000002</v>
      </c>
      <c r="U10" s="48">
        <f t="shared" si="21"/>
        <v>2024626.4000000001</v>
      </c>
      <c r="V10" s="55">
        <f t="shared" si="14"/>
        <v>-77457.314500000095</v>
      </c>
      <c r="W10" s="68">
        <f t="shared" si="22"/>
        <v>2293182.2340000002</v>
      </c>
      <c r="X10" s="48">
        <f t="shared" si="23"/>
        <v>2277704.7000000002</v>
      </c>
      <c r="Y10" s="55">
        <f t="shared" si="15"/>
        <v>-15477.533999999985</v>
      </c>
      <c r="Z10" s="68">
        <f t="shared" si="24"/>
        <v>2293182.2340000002</v>
      </c>
      <c r="AA10" s="48">
        <f t="shared" si="25"/>
        <v>2024626.4000000001</v>
      </c>
      <c r="AB10" s="55">
        <f t="shared" si="16"/>
        <v>-268555.83400000003</v>
      </c>
    </row>
    <row r="11" spans="1:28">
      <c r="A11" s="59">
        <f t="shared" si="17"/>
        <v>7</v>
      </c>
      <c r="B11" s="62">
        <f>'Table 11 (1)_Summary of EIRR'!G12</f>
        <v>1013423.4450000001</v>
      </c>
      <c r="C11" s="48">
        <f>'Table 11 (1)_Summary of EIRR'!K12</f>
        <v>3360988</v>
      </c>
      <c r="D11" s="55">
        <f t="shared" si="0"/>
        <v>2347564.5549999997</v>
      </c>
      <c r="E11" s="68">
        <f t="shared" si="1"/>
        <v>1114765.7895000002</v>
      </c>
      <c r="F11" s="48">
        <f t="shared" si="2"/>
        <v>3360988</v>
      </c>
      <c r="G11" s="55">
        <f t="shared" si="3"/>
        <v>2246222.2105</v>
      </c>
      <c r="H11" s="68">
        <f t="shared" si="18"/>
        <v>1216108.1340000001</v>
      </c>
      <c r="I11" s="48">
        <f t="shared" si="4"/>
        <v>3360988</v>
      </c>
      <c r="J11" s="55">
        <f t="shared" si="5"/>
        <v>2144879.8659999999</v>
      </c>
      <c r="K11" s="68">
        <f t="shared" si="6"/>
        <v>1013423.4450000001</v>
      </c>
      <c r="L11" s="48">
        <f t="shared" si="7"/>
        <v>3024889.2</v>
      </c>
      <c r="M11" s="55">
        <f t="shared" si="8"/>
        <v>2011465.7550000001</v>
      </c>
      <c r="N11" s="68">
        <f t="shared" si="9"/>
        <v>1013423.4450000001</v>
      </c>
      <c r="O11" s="48">
        <f t="shared" si="10"/>
        <v>2688790.4000000004</v>
      </c>
      <c r="P11" s="55">
        <f t="shared" si="11"/>
        <v>1675366.9550000003</v>
      </c>
      <c r="Q11" s="68">
        <f t="shared" si="12"/>
        <v>1114765.7895000002</v>
      </c>
      <c r="R11" s="48">
        <f t="shared" si="19"/>
        <v>3024889.2</v>
      </c>
      <c r="S11" s="55">
        <f t="shared" si="13"/>
        <v>1910123.4105</v>
      </c>
      <c r="T11" s="68">
        <f t="shared" si="20"/>
        <v>1114765.7895000002</v>
      </c>
      <c r="U11" s="48">
        <f t="shared" si="21"/>
        <v>2688790.4000000004</v>
      </c>
      <c r="V11" s="55">
        <f t="shared" si="14"/>
        <v>1574024.6105000002</v>
      </c>
      <c r="W11" s="68">
        <f t="shared" si="22"/>
        <v>1216108.1340000001</v>
      </c>
      <c r="X11" s="48">
        <f t="shared" si="23"/>
        <v>3024889.2</v>
      </c>
      <c r="Y11" s="55">
        <f t="shared" si="15"/>
        <v>1808781.0660000001</v>
      </c>
      <c r="Z11" s="68">
        <f t="shared" si="24"/>
        <v>1216108.1340000001</v>
      </c>
      <c r="AA11" s="48">
        <f t="shared" si="25"/>
        <v>2688790.4000000004</v>
      </c>
      <c r="AB11" s="55">
        <f t="shared" si="16"/>
        <v>1472682.2660000003</v>
      </c>
    </row>
    <row r="12" spans="1:28">
      <c r="A12" s="59">
        <f t="shared" si="17"/>
        <v>8</v>
      </c>
      <c r="B12" s="62">
        <f>'Table 11 (1)_Summary of EIRR'!G13</f>
        <v>111987.72612500002</v>
      </c>
      <c r="C12" s="48">
        <f>'Table 11 (1)_Summary of EIRR'!K13</f>
        <v>3625682</v>
      </c>
      <c r="D12" s="55">
        <f t="shared" si="0"/>
        <v>3513694.273875</v>
      </c>
      <c r="E12" s="68">
        <f t="shared" si="1"/>
        <v>123186.49873750002</v>
      </c>
      <c r="F12" s="48">
        <f t="shared" si="2"/>
        <v>3625682</v>
      </c>
      <c r="G12" s="55">
        <f t="shared" si="3"/>
        <v>3502495.5012625</v>
      </c>
      <c r="H12" s="68">
        <f t="shared" si="18"/>
        <v>134385.27135000002</v>
      </c>
      <c r="I12" s="48">
        <f t="shared" si="4"/>
        <v>3625682</v>
      </c>
      <c r="J12" s="55">
        <f t="shared" si="5"/>
        <v>3491296.7286499999</v>
      </c>
      <c r="K12" s="68">
        <f t="shared" si="6"/>
        <v>111987.72612500002</v>
      </c>
      <c r="L12" s="48">
        <f t="shared" si="7"/>
        <v>3263113.8000000003</v>
      </c>
      <c r="M12" s="55">
        <f t="shared" si="8"/>
        <v>3151126.0738750002</v>
      </c>
      <c r="N12" s="68">
        <f t="shared" si="9"/>
        <v>111987.72612500002</v>
      </c>
      <c r="O12" s="48">
        <f t="shared" si="10"/>
        <v>2900545.6</v>
      </c>
      <c r="P12" s="55">
        <f t="shared" si="11"/>
        <v>2788557.873875</v>
      </c>
      <c r="Q12" s="68">
        <f t="shared" si="12"/>
        <v>123186.49873750002</v>
      </c>
      <c r="R12" s="48">
        <f t="shared" si="19"/>
        <v>3263113.8000000003</v>
      </c>
      <c r="S12" s="55">
        <f t="shared" si="13"/>
        <v>3139927.3012625002</v>
      </c>
      <c r="T12" s="68">
        <f t="shared" si="20"/>
        <v>123186.49873750002</v>
      </c>
      <c r="U12" s="48">
        <f t="shared" si="21"/>
        <v>2900545.6</v>
      </c>
      <c r="V12" s="55">
        <f t="shared" si="14"/>
        <v>2777359.1012625</v>
      </c>
      <c r="W12" s="68">
        <f t="shared" si="22"/>
        <v>134385.27135000002</v>
      </c>
      <c r="X12" s="48">
        <f t="shared" si="23"/>
        <v>3263113.8000000003</v>
      </c>
      <c r="Y12" s="55">
        <f t="shared" si="15"/>
        <v>3128728.5286500002</v>
      </c>
      <c r="Z12" s="68">
        <f t="shared" si="24"/>
        <v>134385.27135000002</v>
      </c>
      <c r="AA12" s="48">
        <f t="shared" si="25"/>
        <v>2900545.6</v>
      </c>
      <c r="AB12" s="55">
        <f t="shared" si="16"/>
        <v>2766160.32865</v>
      </c>
    </row>
    <row r="13" spans="1:28">
      <c r="A13" s="59">
        <f t="shared" si="17"/>
        <v>9</v>
      </c>
      <c r="B13" s="62">
        <f>'Table 11 (1)_Summary of EIRR'!G14</f>
        <v>111987.72612500002</v>
      </c>
      <c r="C13" s="48">
        <f>'Table 11 (1)_Summary of EIRR'!K14</f>
        <v>3619587</v>
      </c>
      <c r="D13" s="55">
        <f t="shared" si="0"/>
        <v>3507599.273875</v>
      </c>
      <c r="E13" s="68">
        <f t="shared" si="1"/>
        <v>123186.49873750002</v>
      </c>
      <c r="F13" s="48">
        <f t="shared" si="2"/>
        <v>3619587</v>
      </c>
      <c r="G13" s="55">
        <f t="shared" si="3"/>
        <v>3496400.5012625</v>
      </c>
      <c r="H13" s="68">
        <f t="shared" si="18"/>
        <v>134385.27135000002</v>
      </c>
      <c r="I13" s="48">
        <f t="shared" si="4"/>
        <v>3619587</v>
      </c>
      <c r="J13" s="55">
        <f t="shared" si="5"/>
        <v>3485201.7286499999</v>
      </c>
      <c r="K13" s="68">
        <f t="shared" si="6"/>
        <v>111987.72612500002</v>
      </c>
      <c r="L13" s="48">
        <f t="shared" si="7"/>
        <v>3257628.3000000003</v>
      </c>
      <c r="M13" s="55">
        <f t="shared" si="8"/>
        <v>3145640.5738750002</v>
      </c>
      <c r="N13" s="68">
        <f t="shared" si="9"/>
        <v>111987.72612500002</v>
      </c>
      <c r="O13" s="48">
        <f t="shared" si="10"/>
        <v>2895669.6</v>
      </c>
      <c r="P13" s="55">
        <f t="shared" si="11"/>
        <v>2783681.873875</v>
      </c>
      <c r="Q13" s="68">
        <f t="shared" si="12"/>
        <v>123186.49873750002</v>
      </c>
      <c r="R13" s="48">
        <f t="shared" si="19"/>
        <v>3257628.3000000003</v>
      </c>
      <c r="S13" s="55">
        <f t="shared" si="13"/>
        <v>3134441.8012625002</v>
      </c>
      <c r="T13" s="68">
        <f t="shared" si="20"/>
        <v>123186.49873750002</v>
      </c>
      <c r="U13" s="48">
        <f t="shared" si="21"/>
        <v>2895669.6</v>
      </c>
      <c r="V13" s="55">
        <f t="shared" si="14"/>
        <v>2772483.1012625</v>
      </c>
      <c r="W13" s="68">
        <f t="shared" si="22"/>
        <v>134385.27135000002</v>
      </c>
      <c r="X13" s="48">
        <f t="shared" si="23"/>
        <v>3257628.3000000003</v>
      </c>
      <c r="Y13" s="55">
        <f t="shared" si="15"/>
        <v>3123243.0286500002</v>
      </c>
      <c r="Z13" s="68">
        <f t="shared" si="24"/>
        <v>134385.27135000002</v>
      </c>
      <c r="AA13" s="48">
        <f t="shared" si="25"/>
        <v>2895669.6</v>
      </c>
      <c r="AB13" s="55">
        <f t="shared" si="16"/>
        <v>2761284.32865</v>
      </c>
    </row>
    <row r="14" spans="1:28">
      <c r="A14" s="59">
        <f t="shared" si="17"/>
        <v>10</v>
      </c>
      <c r="B14" s="62">
        <f>'Table 11 (1)_Summary of EIRR'!G15</f>
        <v>111987.72612500002</v>
      </c>
      <c r="C14" s="48">
        <f>'Table 11 (1)_Summary of EIRR'!K15</f>
        <v>3541897</v>
      </c>
      <c r="D14" s="55">
        <f t="shared" si="0"/>
        <v>3429909.273875</v>
      </c>
      <c r="E14" s="68">
        <f t="shared" si="1"/>
        <v>123186.49873750002</v>
      </c>
      <c r="F14" s="48">
        <f t="shared" si="2"/>
        <v>3541897</v>
      </c>
      <c r="G14" s="55">
        <f t="shared" si="3"/>
        <v>3418710.5012625</v>
      </c>
      <c r="H14" s="68">
        <f t="shared" si="18"/>
        <v>134385.27135000002</v>
      </c>
      <c r="I14" s="48">
        <f t="shared" si="4"/>
        <v>3541897</v>
      </c>
      <c r="J14" s="55">
        <f t="shared" si="5"/>
        <v>3407511.7286499999</v>
      </c>
      <c r="K14" s="68">
        <f t="shared" si="6"/>
        <v>111987.72612500002</v>
      </c>
      <c r="L14" s="48">
        <f t="shared" si="7"/>
        <v>3187707.3000000003</v>
      </c>
      <c r="M14" s="55">
        <f t="shared" si="8"/>
        <v>3075719.5738750002</v>
      </c>
      <c r="N14" s="68">
        <f t="shared" si="9"/>
        <v>111987.72612500002</v>
      </c>
      <c r="O14" s="48">
        <f t="shared" si="10"/>
        <v>2833517.6</v>
      </c>
      <c r="P14" s="55">
        <f t="shared" si="11"/>
        <v>2721529.873875</v>
      </c>
      <c r="Q14" s="68">
        <f t="shared" si="12"/>
        <v>123186.49873750002</v>
      </c>
      <c r="R14" s="48">
        <f t="shared" si="19"/>
        <v>3187707.3000000003</v>
      </c>
      <c r="S14" s="55">
        <f t="shared" si="13"/>
        <v>3064520.8012625002</v>
      </c>
      <c r="T14" s="68">
        <f t="shared" si="20"/>
        <v>123186.49873750002</v>
      </c>
      <c r="U14" s="48">
        <f t="shared" si="21"/>
        <v>2833517.6</v>
      </c>
      <c r="V14" s="55">
        <f t="shared" si="14"/>
        <v>2710331.1012625</v>
      </c>
      <c r="W14" s="68">
        <f t="shared" si="22"/>
        <v>134385.27135000002</v>
      </c>
      <c r="X14" s="48">
        <f t="shared" si="23"/>
        <v>3187707.3000000003</v>
      </c>
      <c r="Y14" s="55">
        <f t="shared" si="15"/>
        <v>3053322.0286500002</v>
      </c>
      <c r="Z14" s="68">
        <f t="shared" si="24"/>
        <v>134385.27135000002</v>
      </c>
      <c r="AA14" s="48">
        <f t="shared" si="25"/>
        <v>2833517.6</v>
      </c>
      <c r="AB14" s="55">
        <f t="shared" si="16"/>
        <v>2699132.32865</v>
      </c>
    </row>
    <row r="15" spans="1:28">
      <c r="A15" s="59">
        <f t="shared" si="17"/>
        <v>11</v>
      </c>
      <c r="B15" s="62">
        <f>'Table 11 (1)_Summary of EIRR'!G16</f>
        <v>111987.72612500002</v>
      </c>
      <c r="C15" s="48">
        <f>'Table 11 (1)_Summary of EIRR'!K16</f>
        <v>3459842</v>
      </c>
      <c r="D15" s="55">
        <f t="shared" si="0"/>
        <v>3347854.273875</v>
      </c>
      <c r="E15" s="68">
        <f t="shared" si="1"/>
        <v>123186.49873750002</v>
      </c>
      <c r="F15" s="48">
        <f t="shared" si="2"/>
        <v>3459842</v>
      </c>
      <c r="G15" s="55">
        <f t="shared" si="3"/>
        <v>3336655.5012625</v>
      </c>
      <c r="H15" s="68">
        <f t="shared" si="18"/>
        <v>134385.27135000002</v>
      </c>
      <c r="I15" s="48">
        <f t="shared" si="4"/>
        <v>3459842</v>
      </c>
      <c r="J15" s="55">
        <f t="shared" si="5"/>
        <v>3325456.7286499999</v>
      </c>
      <c r="K15" s="68">
        <f t="shared" si="6"/>
        <v>111987.72612500002</v>
      </c>
      <c r="L15" s="48">
        <f t="shared" si="7"/>
        <v>3113857.8000000003</v>
      </c>
      <c r="M15" s="55">
        <f t="shared" si="8"/>
        <v>3001870.0738750002</v>
      </c>
      <c r="N15" s="68">
        <f t="shared" si="9"/>
        <v>111987.72612500002</v>
      </c>
      <c r="O15" s="48">
        <f t="shared" si="10"/>
        <v>2767873.6</v>
      </c>
      <c r="P15" s="55">
        <f t="shared" si="11"/>
        <v>2655885.873875</v>
      </c>
      <c r="Q15" s="68">
        <f t="shared" si="12"/>
        <v>123186.49873750002</v>
      </c>
      <c r="R15" s="48">
        <f t="shared" si="19"/>
        <v>3113857.8000000003</v>
      </c>
      <c r="S15" s="55">
        <f t="shared" si="13"/>
        <v>2990671.3012625002</v>
      </c>
      <c r="T15" s="68">
        <f t="shared" si="20"/>
        <v>123186.49873750002</v>
      </c>
      <c r="U15" s="48">
        <f t="shared" si="21"/>
        <v>2767873.6</v>
      </c>
      <c r="V15" s="55">
        <f t="shared" si="14"/>
        <v>2644687.1012625</v>
      </c>
      <c r="W15" s="68">
        <f t="shared" si="22"/>
        <v>134385.27135000002</v>
      </c>
      <c r="X15" s="48">
        <f t="shared" si="23"/>
        <v>3113857.8000000003</v>
      </c>
      <c r="Y15" s="55">
        <f t="shared" si="15"/>
        <v>2979472.5286500002</v>
      </c>
      <c r="Z15" s="68">
        <f t="shared" si="24"/>
        <v>134385.27135000002</v>
      </c>
      <c r="AA15" s="48">
        <f t="shared" si="25"/>
        <v>2767873.6</v>
      </c>
      <c r="AB15" s="55">
        <f t="shared" si="16"/>
        <v>2633488.32865</v>
      </c>
    </row>
    <row r="16" spans="1:28">
      <c r="A16" s="59">
        <f t="shared" si="17"/>
        <v>12</v>
      </c>
      <c r="B16" s="62">
        <f>'Table 11 (1)_Summary of EIRR'!G17</f>
        <v>111987.72612500002</v>
      </c>
      <c r="C16" s="48">
        <f>'Table 11 (1)_Summary of EIRR'!K17</f>
        <v>3388937</v>
      </c>
      <c r="D16" s="55">
        <f t="shared" si="0"/>
        <v>3276949.273875</v>
      </c>
      <c r="E16" s="68">
        <f t="shared" si="1"/>
        <v>123186.49873750002</v>
      </c>
      <c r="F16" s="48">
        <f t="shared" si="2"/>
        <v>3388937</v>
      </c>
      <c r="G16" s="55">
        <f t="shared" si="3"/>
        <v>3265750.5012625</v>
      </c>
      <c r="H16" s="68">
        <f t="shared" si="18"/>
        <v>134385.27135000002</v>
      </c>
      <c r="I16" s="48">
        <f t="shared" si="4"/>
        <v>3388937</v>
      </c>
      <c r="J16" s="55">
        <f t="shared" si="5"/>
        <v>3254551.7286499999</v>
      </c>
      <c r="K16" s="68">
        <f t="shared" ref="K16:K24" si="26">B16</f>
        <v>111987.72612500002</v>
      </c>
      <c r="L16" s="48">
        <f t="shared" ref="L16:L24" si="27">C16*0.9</f>
        <v>3050043.3000000003</v>
      </c>
      <c r="M16" s="55">
        <f t="shared" ref="M16:M24" si="28">L16-K16</f>
        <v>2938055.5738750002</v>
      </c>
      <c r="N16" s="68">
        <f t="shared" si="9"/>
        <v>111987.72612500002</v>
      </c>
      <c r="O16" s="48">
        <f t="shared" si="10"/>
        <v>2711149.6</v>
      </c>
      <c r="P16" s="55">
        <f t="shared" si="11"/>
        <v>2599161.873875</v>
      </c>
      <c r="Q16" s="68">
        <f t="shared" si="12"/>
        <v>123186.49873750002</v>
      </c>
      <c r="R16" s="48">
        <f t="shared" si="19"/>
        <v>3050043.3000000003</v>
      </c>
      <c r="S16" s="55">
        <f t="shared" si="13"/>
        <v>2926856.8012625002</v>
      </c>
      <c r="T16" s="68">
        <f t="shared" si="20"/>
        <v>123186.49873750002</v>
      </c>
      <c r="U16" s="48">
        <f t="shared" si="21"/>
        <v>2711149.6</v>
      </c>
      <c r="V16" s="55">
        <f t="shared" si="14"/>
        <v>2587963.1012625</v>
      </c>
      <c r="W16" s="68">
        <f t="shared" si="22"/>
        <v>134385.27135000002</v>
      </c>
      <c r="X16" s="48">
        <f t="shared" si="23"/>
        <v>3050043.3000000003</v>
      </c>
      <c r="Y16" s="55">
        <f t="shared" si="15"/>
        <v>2915658.0286500002</v>
      </c>
      <c r="Z16" s="68">
        <f t="shared" si="24"/>
        <v>134385.27135000002</v>
      </c>
      <c r="AA16" s="48">
        <f t="shared" si="25"/>
        <v>2711149.6</v>
      </c>
      <c r="AB16" s="55">
        <f t="shared" si="16"/>
        <v>2576764.32865</v>
      </c>
    </row>
    <row r="17" spans="1:28">
      <c r="A17" s="59">
        <f t="shared" si="17"/>
        <v>13</v>
      </c>
      <c r="B17" s="62">
        <f>'Table 11 (1)_Summary of EIRR'!G18</f>
        <v>111987.72612500002</v>
      </c>
      <c r="C17" s="48">
        <f>'Table 11 (1)_Summary of EIRR'!K18</f>
        <v>3323004</v>
      </c>
      <c r="D17" s="55">
        <f t="shared" si="0"/>
        <v>3211016.273875</v>
      </c>
      <c r="E17" s="68">
        <f t="shared" si="1"/>
        <v>123186.49873750002</v>
      </c>
      <c r="F17" s="48">
        <f t="shared" si="2"/>
        <v>3323004</v>
      </c>
      <c r="G17" s="55">
        <f t="shared" si="3"/>
        <v>3199817.5012625</v>
      </c>
      <c r="H17" s="68">
        <f t="shared" si="18"/>
        <v>134385.27135000002</v>
      </c>
      <c r="I17" s="48">
        <f t="shared" si="4"/>
        <v>3323004</v>
      </c>
      <c r="J17" s="55">
        <f t="shared" si="5"/>
        <v>3188618.7286499999</v>
      </c>
      <c r="K17" s="68">
        <f t="shared" si="26"/>
        <v>111987.72612500002</v>
      </c>
      <c r="L17" s="48">
        <f t="shared" si="27"/>
        <v>2990703.6</v>
      </c>
      <c r="M17" s="55">
        <f t="shared" si="28"/>
        <v>2878715.873875</v>
      </c>
      <c r="N17" s="68">
        <f t="shared" si="9"/>
        <v>111987.72612500002</v>
      </c>
      <c r="O17" s="48">
        <f t="shared" si="10"/>
        <v>2658403.2000000002</v>
      </c>
      <c r="P17" s="55">
        <f t="shared" si="11"/>
        <v>2546415.4738750001</v>
      </c>
      <c r="Q17" s="68">
        <f t="shared" si="12"/>
        <v>123186.49873750002</v>
      </c>
      <c r="R17" s="48">
        <f t="shared" si="19"/>
        <v>2990703.6</v>
      </c>
      <c r="S17" s="55">
        <f t="shared" si="13"/>
        <v>2867517.1012625</v>
      </c>
      <c r="T17" s="68">
        <f t="shared" si="20"/>
        <v>123186.49873750002</v>
      </c>
      <c r="U17" s="48">
        <f t="shared" si="21"/>
        <v>2658403.2000000002</v>
      </c>
      <c r="V17" s="55">
        <f t="shared" si="14"/>
        <v>2535216.7012625001</v>
      </c>
      <c r="W17" s="68">
        <f t="shared" si="22"/>
        <v>134385.27135000002</v>
      </c>
      <c r="X17" s="48">
        <f t="shared" si="23"/>
        <v>2990703.6</v>
      </c>
      <c r="Y17" s="55">
        <f t="shared" si="15"/>
        <v>2856318.32865</v>
      </c>
      <c r="Z17" s="68">
        <f t="shared" si="24"/>
        <v>134385.27135000002</v>
      </c>
      <c r="AA17" s="48">
        <f t="shared" si="25"/>
        <v>2658403.2000000002</v>
      </c>
      <c r="AB17" s="55">
        <f t="shared" si="16"/>
        <v>2524017.9286500001</v>
      </c>
    </row>
    <row r="18" spans="1:28">
      <c r="A18" s="59">
        <f t="shared" si="17"/>
        <v>14</v>
      </c>
      <c r="B18" s="62">
        <f>'Table 11 (1)_Summary of EIRR'!G19</f>
        <v>111987.72612500002</v>
      </c>
      <c r="C18" s="48">
        <f>'Table 11 (1)_Summary of EIRR'!K19</f>
        <v>3255298</v>
      </c>
      <c r="D18" s="55">
        <f t="shared" si="0"/>
        <v>3143310.273875</v>
      </c>
      <c r="E18" s="68">
        <f t="shared" si="1"/>
        <v>123186.49873750002</v>
      </c>
      <c r="F18" s="48">
        <f t="shared" si="2"/>
        <v>3255298</v>
      </c>
      <c r="G18" s="55">
        <f t="shared" si="3"/>
        <v>3132111.5012625</v>
      </c>
      <c r="H18" s="68">
        <f t="shared" si="18"/>
        <v>134385.27135000002</v>
      </c>
      <c r="I18" s="48">
        <f t="shared" si="4"/>
        <v>3255298</v>
      </c>
      <c r="J18" s="55">
        <f t="shared" si="5"/>
        <v>3120912.7286499999</v>
      </c>
      <c r="K18" s="68">
        <f t="shared" si="26"/>
        <v>111987.72612500002</v>
      </c>
      <c r="L18" s="48">
        <f t="shared" si="27"/>
        <v>2929768.2</v>
      </c>
      <c r="M18" s="55">
        <f t="shared" si="28"/>
        <v>2817780.4738750001</v>
      </c>
      <c r="N18" s="68">
        <f t="shared" si="9"/>
        <v>111987.72612500002</v>
      </c>
      <c r="O18" s="48">
        <f t="shared" si="10"/>
        <v>2604238.4000000004</v>
      </c>
      <c r="P18" s="55">
        <f t="shared" si="11"/>
        <v>2492250.6738750003</v>
      </c>
      <c r="Q18" s="68">
        <f t="shared" si="12"/>
        <v>123186.49873750002</v>
      </c>
      <c r="R18" s="48">
        <f t="shared" si="19"/>
        <v>2929768.2</v>
      </c>
      <c r="S18" s="55">
        <f t="shared" si="13"/>
        <v>2806581.7012625001</v>
      </c>
      <c r="T18" s="68">
        <f t="shared" si="20"/>
        <v>123186.49873750002</v>
      </c>
      <c r="U18" s="48">
        <f t="shared" si="21"/>
        <v>2604238.4000000004</v>
      </c>
      <c r="V18" s="55">
        <f t="shared" si="14"/>
        <v>2481051.9012625003</v>
      </c>
      <c r="W18" s="68">
        <f t="shared" si="22"/>
        <v>134385.27135000002</v>
      </c>
      <c r="X18" s="48">
        <f t="shared" si="23"/>
        <v>2929768.2</v>
      </c>
      <c r="Y18" s="55">
        <f t="shared" si="15"/>
        <v>2795382.9286500001</v>
      </c>
      <c r="Z18" s="68">
        <f t="shared" si="24"/>
        <v>134385.27135000002</v>
      </c>
      <c r="AA18" s="48">
        <f t="shared" si="25"/>
        <v>2604238.4000000004</v>
      </c>
      <c r="AB18" s="55">
        <f t="shared" si="16"/>
        <v>2469853.1286500003</v>
      </c>
    </row>
    <row r="19" spans="1:28">
      <c r="A19" s="59">
        <f t="shared" si="17"/>
        <v>15</v>
      </c>
      <c r="B19" s="62">
        <f>'Table 11 (1)_Summary of EIRR'!G20</f>
        <v>111987.72612500002</v>
      </c>
      <c r="C19" s="48">
        <f>'Table 11 (1)_Summary of EIRR'!K20</f>
        <v>3198360</v>
      </c>
      <c r="D19" s="55">
        <f t="shared" si="0"/>
        <v>3086372.273875</v>
      </c>
      <c r="E19" s="68">
        <f t="shared" si="1"/>
        <v>123186.49873750002</v>
      </c>
      <c r="F19" s="48">
        <f t="shared" si="2"/>
        <v>3198360</v>
      </c>
      <c r="G19" s="55">
        <f t="shared" si="3"/>
        <v>3075173.5012625</v>
      </c>
      <c r="H19" s="68">
        <f t="shared" si="18"/>
        <v>134385.27135000002</v>
      </c>
      <c r="I19" s="48">
        <f t="shared" si="4"/>
        <v>3198360</v>
      </c>
      <c r="J19" s="55">
        <f t="shared" si="5"/>
        <v>3063974.7286499999</v>
      </c>
      <c r="K19" s="68">
        <f t="shared" si="26"/>
        <v>111987.72612500002</v>
      </c>
      <c r="L19" s="48">
        <f t="shared" si="27"/>
        <v>2878524</v>
      </c>
      <c r="M19" s="55">
        <f t="shared" si="28"/>
        <v>2766536.273875</v>
      </c>
      <c r="N19" s="68">
        <f t="shared" si="9"/>
        <v>111987.72612500002</v>
      </c>
      <c r="O19" s="48">
        <f t="shared" si="10"/>
        <v>2558688</v>
      </c>
      <c r="P19" s="55">
        <f t="shared" si="11"/>
        <v>2446700.273875</v>
      </c>
      <c r="Q19" s="68">
        <f t="shared" si="12"/>
        <v>123186.49873750002</v>
      </c>
      <c r="R19" s="48">
        <f t="shared" si="19"/>
        <v>2878524</v>
      </c>
      <c r="S19" s="55">
        <f t="shared" si="13"/>
        <v>2755337.5012625</v>
      </c>
      <c r="T19" s="68">
        <f t="shared" si="20"/>
        <v>123186.49873750002</v>
      </c>
      <c r="U19" s="48">
        <f t="shared" si="21"/>
        <v>2558688</v>
      </c>
      <c r="V19" s="55">
        <f t="shared" si="14"/>
        <v>2435501.5012625</v>
      </c>
      <c r="W19" s="68">
        <f t="shared" si="22"/>
        <v>134385.27135000002</v>
      </c>
      <c r="X19" s="48">
        <f t="shared" si="23"/>
        <v>2878524</v>
      </c>
      <c r="Y19" s="55">
        <f t="shared" si="15"/>
        <v>2744138.7286499999</v>
      </c>
      <c r="Z19" s="68">
        <f t="shared" si="24"/>
        <v>134385.27135000002</v>
      </c>
      <c r="AA19" s="48">
        <f t="shared" si="25"/>
        <v>2558688</v>
      </c>
      <c r="AB19" s="55">
        <f t="shared" si="16"/>
        <v>2424302.7286499999</v>
      </c>
    </row>
    <row r="20" spans="1:28">
      <c r="A20" s="59">
        <f t="shared" si="17"/>
        <v>16</v>
      </c>
      <c r="B20" s="62">
        <f>'Table 11 (1)_Summary of EIRR'!G21</f>
        <v>111987.72612500002</v>
      </c>
      <c r="C20" s="48">
        <f>'Table 11 (1)_Summary of EIRR'!K21</f>
        <v>3142692</v>
      </c>
      <c r="D20" s="55">
        <f t="shared" si="0"/>
        <v>3030704.273875</v>
      </c>
      <c r="E20" s="68">
        <f t="shared" si="1"/>
        <v>123186.49873750002</v>
      </c>
      <c r="F20" s="48">
        <f t="shared" si="2"/>
        <v>3142692</v>
      </c>
      <c r="G20" s="55">
        <f t="shared" si="3"/>
        <v>3019505.5012625</v>
      </c>
      <c r="H20" s="68">
        <f t="shared" si="18"/>
        <v>134385.27135000002</v>
      </c>
      <c r="I20" s="48">
        <f t="shared" si="4"/>
        <v>3142692</v>
      </c>
      <c r="J20" s="55">
        <f t="shared" si="5"/>
        <v>3008306.7286499999</v>
      </c>
      <c r="K20" s="68">
        <f t="shared" si="26"/>
        <v>111987.72612500002</v>
      </c>
      <c r="L20" s="48">
        <f t="shared" si="27"/>
        <v>2828422.8000000003</v>
      </c>
      <c r="M20" s="55">
        <f t="shared" si="28"/>
        <v>2716435.0738750002</v>
      </c>
      <c r="N20" s="68">
        <f t="shared" si="9"/>
        <v>111987.72612500002</v>
      </c>
      <c r="O20" s="48">
        <f t="shared" si="10"/>
        <v>2514153.6</v>
      </c>
      <c r="P20" s="55">
        <f t="shared" si="11"/>
        <v>2402165.873875</v>
      </c>
      <c r="Q20" s="68">
        <f t="shared" si="12"/>
        <v>123186.49873750002</v>
      </c>
      <c r="R20" s="48">
        <f t="shared" si="19"/>
        <v>2828422.8000000003</v>
      </c>
      <c r="S20" s="55">
        <f t="shared" si="13"/>
        <v>2705236.3012625002</v>
      </c>
      <c r="T20" s="68">
        <f t="shared" si="20"/>
        <v>123186.49873750002</v>
      </c>
      <c r="U20" s="48">
        <f t="shared" si="21"/>
        <v>2514153.6</v>
      </c>
      <c r="V20" s="55">
        <f t="shared" si="14"/>
        <v>2390967.1012625</v>
      </c>
      <c r="W20" s="68">
        <f t="shared" si="22"/>
        <v>134385.27135000002</v>
      </c>
      <c r="X20" s="48">
        <f t="shared" si="23"/>
        <v>2828422.8000000003</v>
      </c>
      <c r="Y20" s="55">
        <f t="shared" si="15"/>
        <v>2694037.5286500002</v>
      </c>
      <c r="Z20" s="68">
        <f t="shared" si="24"/>
        <v>134385.27135000002</v>
      </c>
      <c r="AA20" s="48">
        <f t="shared" si="25"/>
        <v>2514153.6</v>
      </c>
      <c r="AB20" s="55">
        <f t="shared" si="16"/>
        <v>2379768.32865</v>
      </c>
    </row>
    <row r="21" spans="1:28">
      <c r="A21" s="59">
        <f t="shared" si="17"/>
        <v>17</v>
      </c>
      <c r="B21" s="62">
        <f>'Table 11 (1)_Summary of EIRR'!G22</f>
        <v>111987.72612500002</v>
      </c>
      <c r="C21" s="48">
        <f>'Table 11 (1)_Summary of EIRR'!K22</f>
        <v>3091432</v>
      </c>
      <c r="D21" s="55">
        <f t="shared" si="0"/>
        <v>2979444.273875</v>
      </c>
      <c r="E21" s="68">
        <f t="shared" si="1"/>
        <v>123186.49873750002</v>
      </c>
      <c r="F21" s="48">
        <f t="shared" si="2"/>
        <v>3091432</v>
      </c>
      <c r="G21" s="55">
        <f t="shared" si="3"/>
        <v>2968245.5012625</v>
      </c>
      <c r="H21" s="68">
        <f t="shared" si="18"/>
        <v>134385.27135000002</v>
      </c>
      <c r="I21" s="48">
        <f t="shared" si="4"/>
        <v>3091432</v>
      </c>
      <c r="J21" s="55">
        <f t="shared" si="5"/>
        <v>2957046.7286499999</v>
      </c>
      <c r="K21" s="68">
        <f t="shared" si="26"/>
        <v>111987.72612500002</v>
      </c>
      <c r="L21" s="48">
        <f t="shared" si="27"/>
        <v>2782288.8000000003</v>
      </c>
      <c r="M21" s="55">
        <f t="shared" si="28"/>
        <v>2670301.0738750002</v>
      </c>
      <c r="N21" s="68">
        <f t="shared" si="9"/>
        <v>111987.72612500002</v>
      </c>
      <c r="O21" s="48">
        <f t="shared" si="10"/>
        <v>2473145.6</v>
      </c>
      <c r="P21" s="55">
        <f t="shared" si="11"/>
        <v>2361157.873875</v>
      </c>
      <c r="Q21" s="68">
        <f t="shared" si="12"/>
        <v>123186.49873750002</v>
      </c>
      <c r="R21" s="48">
        <f t="shared" si="19"/>
        <v>2782288.8000000003</v>
      </c>
      <c r="S21" s="55">
        <f t="shared" si="13"/>
        <v>2659102.3012625002</v>
      </c>
      <c r="T21" s="68">
        <f t="shared" si="20"/>
        <v>123186.49873750002</v>
      </c>
      <c r="U21" s="48">
        <f t="shared" si="21"/>
        <v>2473145.6</v>
      </c>
      <c r="V21" s="55">
        <f t="shared" si="14"/>
        <v>2349959.1012625</v>
      </c>
      <c r="W21" s="68">
        <f t="shared" si="22"/>
        <v>134385.27135000002</v>
      </c>
      <c r="X21" s="48">
        <f t="shared" si="23"/>
        <v>2782288.8000000003</v>
      </c>
      <c r="Y21" s="55">
        <f t="shared" si="15"/>
        <v>2647903.5286500002</v>
      </c>
      <c r="Z21" s="68">
        <f t="shared" si="24"/>
        <v>134385.27135000002</v>
      </c>
      <c r="AA21" s="48">
        <f t="shared" si="25"/>
        <v>2473145.6</v>
      </c>
      <c r="AB21" s="55">
        <f t="shared" si="16"/>
        <v>2338760.32865</v>
      </c>
    </row>
    <row r="22" spans="1:28">
      <c r="A22" s="59">
        <f t="shared" si="17"/>
        <v>18</v>
      </c>
      <c r="B22" s="62">
        <f>'Table 11 (1)_Summary of EIRR'!G23</f>
        <v>111987.72612500002</v>
      </c>
      <c r="C22" s="48">
        <f>'Table 11 (1)_Summary of EIRR'!K23</f>
        <v>3044421</v>
      </c>
      <c r="D22" s="55">
        <f t="shared" si="0"/>
        <v>2932433.273875</v>
      </c>
      <c r="E22" s="68">
        <f t="shared" si="1"/>
        <v>123186.49873750002</v>
      </c>
      <c r="F22" s="48">
        <f t="shared" si="2"/>
        <v>3044421</v>
      </c>
      <c r="G22" s="55">
        <f t="shared" si="3"/>
        <v>2921234.5012625</v>
      </c>
      <c r="H22" s="68">
        <f t="shared" si="18"/>
        <v>134385.27135000002</v>
      </c>
      <c r="I22" s="48">
        <f t="shared" si="4"/>
        <v>3044421</v>
      </c>
      <c r="J22" s="55">
        <f t="shared" si="5"/>
        <v>2910035.7286499999</v>
      </c>
      <c r="K22" s="68">
        <f t="shared" si="26"/>
        <v>111987.72612500002</v>
      </c>
      <c r="L22" s="48">
        <f t="shared" si="27"/>
        <v>2739978.9</v>
      </c>
      <c r="M22" s="55">
        <f t="shared" si="28"/>
        <v>2627991.1738749999</v>
      </c>
      <c r="N22" s="68">
        <f t="shared" si="9"/>
        <v>111987.72612500002</v>
      </c>
      <c r="O22" s="48">
        <f t="shared" si="10"/>
        <v>2435536.8000000003</v>
      </c>
      <c r="P22" s="55">
        <f t="shared" si="11"/>
        <v>2323549.0738750002</v>
      </c>
      <c r="Q22" s="68">
        <f t="shared" si="12"/>
        <v>123186.49873750002</v>
      </c>
      <c r="R22" s="48">
        <f t="shared" si="19"/>
        <v>2739978.9</v>
      </c>
      <c r="S22" s="55">
        <f t="shared" si="13"/>
        <v>2616792.4012624999</v>
      </c>
      <c r="T22" s="68">
        <f t="shared" si="20"/>
        <v>123186.49873750002</v>
      </c>
      <c r="U22" s="48">
        <f t="shared" si="21"/>
        <v>2435536.8000000003</v>
      </c>
      <c r="V22" s="55">
        <f t="shared" si="14"/>
        <v>2312350.3012625002</v>
      </c>
      <c r="W22" s="68">
        <f t="shared" si="22"/>
        <v>134385.27135000002</v>
      </c>
      <c r="X22" s="48">
        <f t="shared" si="23"/>
        <v>2739978.9</v>
      </c>
      <c r="Y22" s="55">
        <f t="shared" si="15"/>
        <v>2605593.6286499999</v>
      </c>
      <c r="Z22" s="68">
        <f t="shared" si="24"/>
        <v>134385.27135000002</v>
      </c>
      <c r="AA22" s="48">
        <f t="shared" si="25"/>
        <v>2435536.8000000003</v>
      </c>
      <c r="AB22" s="55">
        <f t="shared" si="16"/>
        <v>2301151.5286500002</v>
      </c>
    </row>
    <row r="23" spans="1:28">
      <c r="A23" s="59">
        <f t="shared" si="17"/>
        <v>19</v>
      </c>
      <c r="B23" s="62">
        <f>'Table 11 (1)_Summary of EIRR'!G24</f>
        <v>111987.72612500002</v>
      </c>
      <c r="C23" s="48">
        <f>'Table 11 (1)_Summary of EIRR'!K24</f>
        <v>2994718</v>
      </c>
      <c r="D23" s="55">
        <f t="shared" si="0"/>
        <v>2882730.273875</v>
      </c>
      <c r="E23" s="68">
        <f t="shared" si="1"/>
        <v>123186.49873750002</v>
      </c>
      <c r="F23" s="48">
        <f t="shared" si="2"/>
        <v>2994718</v>
      </c>
      <c r="G23" s="55">
        <f t="shared" si="3"/>
        <v>2871531.5012625</v>
      </c>
      <c r="H23" s="68">
        <f t="shared" si="18"/>
        <v>134385.27135000002</v>
      </c>
      <c r="I23" s="48">
        <f t="shared" si="4"/>
        <v>2994718</v>
      </c>
      <c r="J23" s="55">
        <f t="shared" si="5"/>
        <v>2860332.7286499999</v>
      </c>
      <c r="K23" s="68">
        <f t="shared" si="26"/>
        <v>111987.72612500002</v>
      </c>
      <c r="L23" s="48">
        <f t="shared" si="27"/>
        <v>2695246.2</v>
      </c>
      <c r="M23" s="55">
        <f t="shared" si="28"/>
        <v>2583258.4738750001</v>
      </c>
      <c r="N23" s="68">
        <f t="shared" si="9"/>
        <v>111987.72612500002</v>
      </c>
      <c r="O23" s="48">
        <f t="shared" si="10"/>
        <v>2395774.4</v>
      </c>
      <c r="P23" s="55">
        <f t="shared" si="11"/>
        <v>2283786.6738749999</v>
      </c>
      <c r="Q23" s="68">
        <f t="shared" si="12"/>
        <v>123186.49873750002</v>
      </c>
      <c r="R23" s="48">
        <f t="shared" si="19"/>
        <v>2695246.2</v>
      </c>
      <c r="S23" s="55">
        <f t="shared" si="13"/>
        <v>2572059.7012625001</v>
      </c>
      <c r="T23" s="68">
        <f t="shared" si="20"/>
        <v>123186.49873750002</v>
      </c>
      <c r="U23" s="48">
        <f t="shared" si="21"/>
        <v>2395774.4</v>
      </c>
      <c r="V23" s="55">
        <f t="shared" si="14"/>
        <v>2272587.9012624999</v>
      </c>
      <c r="W23" s="68">
        <f t="shared" si="22"/>
        <v>134385.27135000002</v>
      </c>
      <c r="X23" s="48">
        <f t="shared" si="23"/>
        <v>2695246.2</v>
      </c>
      <c r="Y23" s="55">
        <f t="shared" si="15"/>
        <v>2560860.9286500001</v>
      </c>
      <c r="Z23" s="68">
        <f t="shared" si="24"/>
        <v>134385.27135000002</v>
      </c>
      <c r="AA23" s="48">
        <f t="shared" si="25"/>
        <v>2395774.4</v>
      </c>
      <c r="AB23" s="55">
        <f t="shared" si="16"/>
        <v>2261389.1286499999</v>
      </c>
    </row>
    <row r="24" spans="1:28" ht="13.5" thickBot="1">
      <c r="A24" s="59">
        <f t="shared" si="17"/>
        <v>20</v>
      </c>
      <c r="B24" s="62">
        <f>'Table 11 (1)_Summary of EIRR'!G25</f>
        <v>111987.72612500002</v>
      </c>
      <c r="C24" s="48">
        <f>'Table 11 (1)_Summary of EIRR'!K25</f>
        <v>2952541</v>
      </c>
      <c r="D24" s="55">
        <f>C24-B24</f>
        <v>2840553.273875</v>
      </c>
      <c r="E24" s="68">
        <f t="shared" si="1"/>
        <v>123186.49873750002</v>
      </c>
      <c r="F24" s="48">
        <f t="shared" si="2"/>
        <v>2952541</v>
      </c>
      <c r="G24" s="55">
        <f t="shared" si="3"/>
        <v>2829354.5012625</v>
      </c>
      <c r="H24" s="68">
        <f t="shared" si="18"/>
        <v>134385.27135000002</v>
      </c>
      <c r="I24" s="48">
        <f t="shared" si="4"/>
        <v>2952541</v>
      </c>
      <c r="J24" s="55">
        <f t="shared" si="5"/>
        <v>2818155.7286499999</v>
      </c>
      <c r="K24" s="68">
        <f t="shared" si="26"/>
        <v>111987.72612500002</v>
      </c>
      <c r="L24" s="48">
        <f t="shared" si="27"/>
        <v>2657286.9</v>
      </c>
      <c r="M24" s="55">
        <f t="shared" si="28"/>
        <v>2545299.1738749999</v>
      </c>
      <c r="N24" s="68">
        <f t="shared" si="9"/>
        <v>111987.72612500002</v>
      </c>
      <c r="O24" s="48">
        <f t="shared" si="10"/>
        <v>2362032.8000000003</v>
      </c>
      <c r="P24" s="55">
        <f t="shared" si="11"/>
        <v>2250045.0738750002</v>
      </c>
      <c r="Q24" s="68">
        <f t="shared" si="12"/>
        <v>123186.49873750002</v>
      </c>
      <c r="R24" s="48">
        <f t="shared" si="19"/>
        <v>2657286.9</v>
      </c>
      <c r="S24" s="55">
        <f t="shared" si="13"/>
        <v>2534100.4012624999</v>
      </c>
      <c r="T24" s="68">
        <f t="shared" si="20"/>
        <v>123186.49873750002</v>
      </c>
      <c r="U24" s="48">
        <f t="shared" si="21"/>
        <v>2362032.8000000003</v>
      </c>
      <c r="V24" s="55">
        <f t="shared" si="14"/>
        <v>2238846.3012625002</v>
      </c>
      <c r="W24" s="68">
        <f t="shared" si="22"/>
        <v>134385.27135000002</v>
      </c>
      <c r="X24" s="48">
        <f t="shared" si="23"/>
        <v>2657286.9</v>
      </c>
      <c r="Y24" s="55">
        <f t="shared" si="15"/>
        <v>2522901.6286499999</v>
      </c>
      <c r="Z24" s="68">
        <f t="shared" si="24"/>
        <v>134385.27135000002</v>
      </c>
      <c r="AA24" s="48">
        <f t="shared" si="25"/>
        <v>2362032.8000000003</v>
      </c>
      <c r="AB24" s="55">
        <f t="shared" si="16"/>
        <v>2227647.5286500002</v>
      </c>
    </row>
    <row r="25" spans="1:28" ht="13.5" thickBot="1">
      <c r="A25" s="69" t="s">
        <v>27</v>
      </c>
      <c r="B25" s="74">
        <f t="shared" ref="B25:AB25" si="29">B5+NPV($B$30,B6:B24)</f>
        <v>11415047.014308687</v>
      </c>
      <c r="C25" s="73">
        <f t="shared" si="29"/>
        <v>16088174.472237475</v>
      </c>
      <c r="D25" s="75">
        <f t="shared" si="29"/>
        <v>4673127.4579287879</v>
      </c>
      <c r="E25" s="74">
        <f t="shared" si="29"/>
        <v>12556551.715739558</v>
      </c>
      <c r="F25" s="73">
        <f t="shared" si="29"/>
        <v>16088174.472237475</v>
      </c>
      <c r="G25" s="75">
        <f t="shared" si="29"/>
        <v>3531622.7564979205</v>
      </c>
      <c r="H25" s="74">
        <f t="shared" si="29"/>
        <v>13698056.417170426</v>
      </c>
      <c r="I25" s="73">
        <f t="shared" si="29"/>
        <v>16088174.472237475</v>
      </c>
      <c r="J25" s="75">
        <f t="shared" si="29"/>
        <v>2390118.0550670512</v>
      </c>
      <c r="K25" s="74">
        <f t="shared" si="29"/>
        <v>11415047.014308687</v>
      </c>
      <c r="L25" s="73">
        <f t="shared" si="29"/>
        <v>14479357.02501373</v>
      </c>
      <c r="M25" s="75">
        <f t="shared" si="29"/>
        <v>3064310.0107050422</v>
      </c>
      <c r="N25" s="74">
        <f t="shared" si="29"/>
        <v>11415047.014308687</v>
      </c>
      <c r="O25" s="73">
        <f t="shared" si="29"/>
        <v>12870539.577789985</v>
      </c>
      <c r="P25" s="75">
        <f t="shared" si="29"/>
        <v>1455492.563481295</v>
      </c>
      <c r="Q25" s="74">
        <f t="shared" si="29"/>
        <v>12556551.715739558</v>
      </c>
      <c r="R25" s="73">
        <f t="shared" si="29"/>
        <v>14479357.02501373</v>
      </c>
      <c r="S25" s="75">
        <f t="shared" si="29"/>
        <v>1922805.3092741729</v>
      </c>
      <c r="T25" s="74">
        <f t="shared" si="29"/>
        <v>12556551.715739558</v>
      </c>
      <c r="U25" s="73">
        <f t="shared" si="29"/>
        <v>12870539.577789985</v>
      </c>
      <c r="V25" s="75">
        <f t="shared" si="29"/>
        <v>313987.86205042398</v>
      </c>
      <c r="W25" s="74">
        <f t="shared" si="29"/>
        <v>13698056.417170426</v>
      </c>
      <c r="X25" s="73">
        <f t="shared" si="29"/>
        <v>14479357.02501373</v>
      </c>
      <c r="Y25" s="75">
        <f t="shared" si="29"/>
        <v>781300.60784330696</v>
      </c>
      <c r="Z25" s="74">
        <f t="shared" si="29"/>
        <v>13698056.417170426</v>
      </c>
      <c r="AA25" s="73">
        <f t="shared" si="29"/>
        <v>12870539.577789985</v>
      </c>
      <c r="AB25" s="75">
        <f t="shared" si="29"/>
        <v>-827516.83938044403</v>
      </c>
    </row>
    <row r="26" spans="1:28">
      <c r="B26" s="46"/>
      <c r="C26" s="63" t="s">
        <v>22</v>
      </c>
      <c r="D26" s="64">
        <f>C25/B25</f>
        <v>1.409383110912382</v>
      </c>
      <c r="F26" s="63" t="s">
        <v>22</v>
      </c>
      <c r="G26" s="64">
        <f>F25/E25</f>
        <v>1.2812573735567108</v>
      </c>
      <c r="I26" s="63" t="s">
        <v>22</v>
      </c>
      <c r="J26" s="64">
        <f>I25/H25</f>
        <v>1.1744859257603182</v>
      </c>
      <c r="L26" s="63" t="s">
        <v>22</v>
      </c>
      <c r="M26" s="64">
        <f>L25/K25</f>
        <v>1.2684447998211439</v>
      </c>
      <c r="O26" s="63" t="s">
        <v>22</v>
      </c>
      <c r="P26" s="64">
        <f>O25/N25</f>
        <v>1.127506488729906</v>
      </c>
      <c r="R26" s="63" t="s">
        <v>22</v>
      </c>
      <c r="S26" s="64">
        <f>R25/Q25</f>
        <v>1.1531316362010398</v>
      </c>
      <c r="U26" s="63" t="s">
        <v>22</v>
      </c>
      <c r="V26" s="64">
        <f>U25/T25</f>
        <v>1.025005898845369</v>
      </c>
      <c r="X26" s="63" t="s">
        <v>22</v>
      </c>
      <c r="Y26" s="64">
        <f>X25/W25</f>
        <v>1.0570373331842866</v>
      </c>
      <c r="AA26" s="63" t="s">
        <v>22</v>
      </c>
      <c r="AB26" s="64">
        <f>AA25/Z25</f>
        <v>0.93958874060825492</v>
      </c>
    </row>
    <row r="27" spans="1:28">
      <c r="C27" s="50" t="s">
        <v>29</v>
      </c>
      <c r="D27" s="51">
        <f>IRR(D5:D24,10%)</f>
        <v>0.18723394775090596</v>
      </c>
      <c r="F27" s="50" t="s">
        <v>29</v>
      </c>
      <c r="G27" s="51">
        <f>IRR(G5:G24,10%)</f>
        <v>0.16689103425360408</v>
      </c>
      <c r="I27" s="50" t="s">
        <v>29</v>
      </c>
      <c r="J27" s="51">
        <f>IRR(J5:J24,10%)</f>
        <v>0.14924171031195077</v>
      </c>
      <c r="L27" s="50" t="s">
        <v>29</v>
      </c>
      <c r="M27" s="51">
        <f>IRR(M5:M24,10%)</f>
        <v>0.16480893478599334</v>
      </c>
      <c r="O27" s="50" t="s">
        <v>29</v>
      </c>
      <c r="P27" s="51">
        <f>IRR(P5:P24,10%)</f>
        <v>0.14124421584299229</v>
      </c>
      <c r="R27" s="50" t="s">
        <v>29</v>
      </c>
      <c r="S27" s="51">
        <f>IRR(S5:S24,10%)</f>
        <v>0.1456252962615936</v>
      </c>
      <c r="U27" s="50" t="s">
        <v>29</v>
      </c>
      <c r="V27" s="51">
        <f>IRR(V5:V24,10%)</f>
        <v>0.12322687395584331</v>
      </c>
      <c r="X27" s="50" t="s">
        <v>29</v>
      </c>
      <c r="Y27" s="51">
        <f>IRR(Y5:Y24,10%)</f>
        <v>0.12894701135241382</v>
      </c>
      <c r="AA27" s="50" t="s">
        <v>29</v>
      </c>
      <c r="AB27" s="51">
        <f>IRR(AB5:AB24,10%)</f>
        <v>0.10752379684484414</v>
      </c>
    </row>
    <row r="29" spans="1:28">
      <c r="N29" s="46"/>
    </row>
    <row r="30" spans="1:28">
      <c r="B30" s="411">
        <v>0.1187</v>
      </c>
    </row>
  </sheetData>
  <mergeCells count="9">
    <mergeCell ref="Q3:S3"/>
    <mergeCell ref="T3:V3"/>
    <mergeCell ref="W3:Y3"/>
    <mergeCell ref="Z3:AB3"/>
    <mergeCell ref="B3:D3"/>
    <mergeCell ref="E3:G3"/>
    <mergeCell ref="H3:J3"/>
    <mergeCell ref="K3:M3"/>
    <mergeCell ref="N3:P3"/>
  </mergeCells>
  <phoneticPr fontId="1"/>
  <printOptions horizontalCentered="1"/>
  <pageMargins left="0" right="0.59055118110236227" top="0.78740157480314965" bottom="0.59055118110236227" header="0.39370078740157483" footer="0.39370078740157483"/>
  <pageSetup paperSize="8" scale="74" orientation="landscape" useFirstPageNumber="1" r:id="rId1"/>
  <headerFooter alignWithMargins="0">
    <oddFooter xml:space="preserve">&amp;R&amp;"Times New Roman,標準"&amp;14H - T - &amp;P&amp;"-,標準"&amp;11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AA38"/>
  <sheetViews>
    <sheetView zoomScale="40" zoomScaleNormal="40" workbookViewId="0">
      <selection activeCell="B5" sqref="B5:C5"/>
    </sheetView>
  </sheetViews>
  <sheetFormatPr defaultColWidth="9" defaultRowHeight="13"/>
  <cols>
    <col min="1" max="1" width="4" style="43" customWidth="1"/>
    <col min="2" max="3" width="10.6328125" style="44" customWidth="1"/>
    <col min="4" max="4" width="9.6328125" style="44" customWidth="1"/>
    <col min="5" max="6" width="10.08984375" style="45" customWidth="1"/>
    <col min="7" max="7" width="11" style="45" customWidth="1"/>
    <col min="8" max="8" width="12.1796875" style="45" customWidth="1"/>
    <col min="9" max="10" width="13.36328125" style="45" customWidth="1"/>
    <col min="11" max="11" width="10.90625" style="45" customWidth="1"/>
    <col min="12" max="12" width="10.54296875" style="45" customWidth="1"/>
    <col min="13" max="16384" width="9" style="45"/>
  </cols>
  <sheetData>
    <row r="1" spans="1:27" ht="20">
      <c r="A1" s="40" t="s">
        <v>148</v>
      </c>
    </row>
    <row r="2" spans="1:27" ht="9.75" customHeight="1">
      <c r="A2" s="40"/>
    </row>
    <row r="3" spans="1:27">
      <c r="A3" s="194" t="s">
        <v>37</v>
      </c>
      <c r="B3" s="195"/>
      <c r="C3" s="195"/>
      <c r="D3" s="195"/>
      <c r="E3" s="196"/>
      <c r="F3" s="196"/>
      <c r="G3" s="196"/>
      <c r="H3" s="196"/>
      <c r="I3" s="196"/>
      <c r="J3" s="196"/>
      <c r="K3" s="196"/>
      <c r="L3" s="196"/>
      <c r="M3" s="196"/>
    </row>
    <row r="4" spans="1:27" ht="28" customHeight="1">
      <c r="A4" s="197" t="s">
        <v>24</v>
      </c>
      <c r="B4" s="451" t="s">
        <v>25</v>
      </c>
      <c r="C4" s="452"/>
      <c r="D4" s="198"/>
      <c r="E4" s="451" t="s">
        <v>94</v>
      </c>
      <c r="F4" s="452"/>
      <c r="G4" s="199" t="s">
        <v>10</v>
      </c>
      <c r="H4" s="453" t="s">
        <v>26</v>
      </c>
      <c r="I4" s="454"/>
      <c r="J4" s="455"/>
      <c r="K4" s="241" t="s">
        <v>98</v>
      </c>
      <c r="L4" s="200" t="s">
        <v>11</v>
      </c>
      <c r="M4" s="196"/>
    </row>
    <row r="5" spans="1:27" ht="39">
      <c r="A5" s="201"/>
      <c r="B5" s="501" t="s">
        <v>282</v>
      </c>
      <c r="C5" s="502" t="s">
        <v>283</v>
      </c>
      <c r="D5" s="202" t="s">
        <v>53</v>
      </c>
      <c r="E5" s="501" t="s">
        <v>282</v>
      </c>
      <c r="F5" s="502" t="s">
        <v>283</v>
      </c>
      <c r="G5" s="203"/>
      <c r="H5" s="412" t="s">
        <v>43</v>
      </c>
      <c r="I5" s="413" t="s">
        <v>44</v>
      </c>
      <c r="J5" s="413" t="s">
        <v>257</v>
      </c>
      <c r="K5" s="242"/>
      <c r="L5" s="204"/>
      <c r="M5" s="196"/>
    </row>
    <row r="6" spans="1:27">
      <c r="A6" s="205">
        <v>1</v>
      </c>
      <c r="B6" s="206">
        <f>-1*SUM('Table 11 (2) Result of EIRR'!G55:G57)</f>
        <v>359917.0858181818</v>
      </c>
      <c r="C6" s="207">
        <f>-1*'Table 11 (2) Result of EIRR'!G58</f>
        <v>77222.154333333325</v>
      </c>
      <c r="D6" s="207">
        <f>-1*'Table 11 (2) Result of EIRR'!G59</f>
        <v>334065.34272727277</v>
      </c>
      <c r="E6" s="208"/>
      <c r="F6" s="209"/>
      <c r="G6" s="210">
        <f t="shared" ref="G6:G25" si="0">SUM(B6:F6)</f>
        <v>771204.58287878789</v>
      </c>
      <c r="H6" s="211">
        <f>'Table 11 (2) Result of EIRR'!G62</f>
        <v>0</v>
      </c>
      <c r="I6" s="243">
        <f>'Table 11 (2) Result of EIRR'!G61</f>
        <v>0</v>
      </c>
      <c r="J6" s="243">
        <f>'Table 11 (2) Result of EIRR'!G63</f>
        <v>0</v>
      </c>
      <c r="K6" s="210">
        <f>SUM(H6:J6)</f>
        <v>0</v>
      </c>
      <c r="L6" s="212">
        <f t="shared" ref="L6:L24" si="1">K6-G6</f>
        <v>-771204.58287878789</v>
      </c>
      <c r="M6" s="196"/>
    </row>
    <row r="7" spans="1:27">
      <c r="A7" s="213">
        <f>A6+1</f>
        <v>2</v>
      </c>
      <c r="B7" s="240">
        <f>-1*SUM('Table 11 (2) Result of EIRR'!H55:H57)</f>
        <v>877414.23563636374</v>
      </c>
      <c r="C7" s="215">
        <f>-1*'Table 11 (2) Result of EIRR'!H58</f>
        <v>496020.37591666658</v>
      </c>
      <c r="D7" s="215">
        <f>-1*'Table 11 (2) Result of EIRR'!H59</f>
        <v>581791.26420454588</v>
      </c>
      <c r="E7" s="216"/>
      <c r="F7" s="217"/>
      <c r="G7" s="218">
        <f t="shared" si="0"/>
        <v>1955225.8757575762</v>
      </c>
      <c r="H7" s="219">
        <f>'Table 11 (2) Result of EIRR'!H62</f>
        <v>0</v>
      </c>
      <c r="I7" s="244">
        <f>'Table 11 (2) Result of EIRR'!H61</f>
        <v>71800</v>
      </c>
      <c r="J7" s="244">
        <f>'Table 11 (2) Result of EIRR'!H63</f>
        <v>0</v>
      </c>
      <c r="K7" s="218">
        <f>SUM(H7:J7)</f>
        <v>71800</v>
      </c>
      <c r="L7" s="221">
        <f t="shared" si="1"/>
        <v>-1883425.8757575762</v>
      </c>
      <c r="M7" s="196"/>
    </row>
    <row r="8" spans="1:27">
      <c r="A8" s="213">
        <f t="shared" ref="A8:A25" si="2">A7+1</f>
        <v>3</v>
      </c>
      <c r="B8" s="240">
        <f>-1*SUM('Table 11 (2) Result of EIRR'!I55:I57)</f>
        <v>984398.88872727263</v>
      </c>
      <c r="C8" s="215">
        <f>-1*'Table 11 (2) Result of EIRR'!I58</f>
        <v>1144378.94025</v>
      </c>
      <c r="D8" s="215">
        <f>-1*'Table 11 (2) Result of EIRR'!I59</f>
        <v>496602.68784090946</v>
      </c>
      <c r="E8" s="216"/>
      <c r="F8" s="217"/>
      <c r="G8" s="218">
        <f t="shared" si="0"/>
        <v>2625380.5168181825</v>
      </c>
      <c r="H8" s="219">
        <f>'Table 11 (2) Result of EIRR'!I62</f>
        <v>5760</v>
      </c>
      <c r="I8" s="244">
        <f>'Table 11 (2) Result of EIRR'!I61</f>
        <v>247992</v>
      </c>
      <c r="J8" s="244">
        <f>'Table 11 (2) Result of EIRR'!I63</f>
        <v>0</v>
      </c>
      <c r="K8" s="218">
        <f t="shared" ref="K8:K25" si="3">SUM(H8:J8)</f>
        <v>253752</v>
      </c>
      <c r="L8" s="221">
        <f t="shared" si="1"/>
        <v>-2371628.5168181825</v>
      </c>
      <c r="M8" s="196"/>
    </row>
    <row r="9" spans="1:27">
      <c r="A9" s="213">
        <f t="shared" si="2"/>
        <v>4</v>
      </c>
      <c r="B9" s="240">
        <f>-1*SUM('Table 11 (2) Result of EIRR'!J55:J57)</f>
        <v>1106798.3956363637</v>
      </c>
      <c r="C9" s="215">
        <f>-1*'Table 11 (2) Result of EIRR'!J58</f>
        <v>1738310.3659166666</v>
      </c>
      <c r="D9" s="215">
        <f>-1*'Table 11 (2) Result of EIRR'!J59</f>
        <v>770915.14920454472</v>
      </c>
      <c r="E9" s="216"/>
      <c r="F9" s="217"/>
      <c r="G9" s="218">
        <f t="shared" si="0"/>
        <v>3616023.9107575752</v>
      </c>
      <c r="H9" s="219">
        <f>'Table 11 (2) Result of EIRR'!J62</f>
        <v>236160</v>
      </c>
      <c r="I9" s="244">
        <f>'Table 11 (2) Result of EIRR'!J61</f>
        <v>513348</v>
      </c>
      <c r="J9" s="244">
        <f>'Table 11 (2) Result of EIRR'!J63</f>
        <v>0</v>
      </c>
      <c r="K9" s="218">
        <f t="shared" si="3"/>
        <v>749508</v>
      </c>
      <c r="L9" s="221">
        <f t="shared" si="1"/>
        <v>-2866515.9107575752</v>
      </c>
      <c r="M9" s="196"/>
    </row>
    <row r="10" spans="1:27">
      <c r="A10" s="213">
        <f t="shared" si="2"/>
        <v>5</v>
      </c>
      <c r="B10" s="240">
        <f>-1*SUM('Table 11 (2) Result of EIRR'!K55:K57)</f>
        <v>678028.52218181826</v>
      </c>
      <c r="C10" s="215">
        <f>-1*'Table 11 (2) Result of EIRR'!K58</f>
        <v>1912336.1480833334</v>
      </c>
      <c r="D10" s="215">
        <f>-1*'Table 11 (2) Result of EIRR'!K59</f>
        <v>915560.73102272721</v>
      </c>
      <c r="E10" s="216"/>
      <c r="F10" s="217"/>
      <c r="G10" s="218">
        <f t="shared" si="0"/>
        <v>3505925.4012878789</v>
      </c>
      <c r="H10" s="219">
        <f>'Table 11 (2) Result of EIRR'!K62</f>
        <v>728820</v>
      </c>
      <c r="I10" s="244">
        <f>'Table 11 (2) Result of EIRR'!K61</f>
        <v>849277</v>
      </c>
      <c r="J10" s="244">
        <f>'Table 11 (2) Result of EIRR'!K63</f>
        <v>0</v>
      </c>
      <c r="K10" s="218">
        <f t="shared" si="3"/>
        <v>1578097</v>
      </c>
      <c r="L10" s="221">
        <f>K10-G10</f>
        <v>-1927828.4012878789</v>
      </c>
      <c r="M10" s="196"/>
    </row>
    <row r="11" spans="1:27">
      <c r="A11" s="213">
        <f t="shared" si="2"/>
        <v>6</v>
      </c>
      <c r="B11" s="240">
        <f>-1*SUM('Table 11 (2) Result of EIRR'!L55:L57)</f>
        <v>211834</v>
      </c>
      <c r="C11" s="215">
        <f>-1*'Table 11 (2) Result of EIRR'!L58</f>
        <v>1127096.5</v>
      </c>
      <c r="D11" s="215">
        <f>-1*'Table 11 (2) Result of EIRR'!L59</f>
        <v>572054.69500000007</v>
      </c>
      <c r="E11" s="216"/>
      <c r="F11" s="217"/>
      <c r="G11" s="218">
        <f t="shared" si="0"/>
        <v>1910985.1950000001</v>
      </c>
      <c r="H11" s="219">
        <f>'Table 11 (2) Result of EIRR'!L62</f>
        <v>1382520</v>
      </c>
      <c r="I11" s="244">
        <f>'Table 11 (2) Result of EIRR'!L61</f>
        <v>1148263</v>
      </c>
      <c r="J11" s="244">
        <f>'Table 11 (2) Result of EIRR'!L63</f>
        <v>0</v>
      </c>
      <c r="K11" s="218">
        <f t="shared" si="3"/>
        <v>2530783</v>
      </c>
      <c r="L11" s="221">
        <f t="shared" si="1"/>
        <v>619797.80499999993</v>
      </c>
      <c r="M11" s="196"/>
    </row>
    <row r="12" spans="1:27">
      <c r="A12" s="213">
        <f t="shared" si="2"/>
        <v>7</v>
      </c>
      <c r="B12" s="214">
        <f>-1*SUM('Table 11 (2) Result of EIRR'!M55:M57)</f>
        <v>95200</v>
      </c>
      <c r="C12" s="215">
        <f>-1*'Table 11 (2) Result of EIRR'!M58</f>
        <v>389817</v>
      </c>
      <c r="D12" s="215">
        <f>-1*'Table 11 (2) Result of EIRR'!M59</f>
        <v>528406.44500000007</v>
      </c>
      <c r="E12" s="216"/>
      <c r="F12" s="220"/>
      <c r="G12" s="218">
        <f t="shared" si="0"/>
        <v>1013423.4450000001</v>
      </c>
      <c r="H12" s="219">
        <f>'Table 11 (2) Result of EIRR'!M62</f>
        <v>1995780</v>
      </c>
      <c r="I12" s="244">
        <f>'Table 11 (2) Result of EIRR'!M61</f>
        <v>1352689</v>
      </c>
      <c r="J12" s="244">
        <f>'Table 11 (2) Result of EIRR'!M63</f>
        <v>12519</v>
      </c>
      <c r="K12" s="218">
        <f t="shared" si="3"/>
        <v>3360988</v>
      </c>
      <c r="L12" s="221">
        <f t="shared" si="1"/>
        <v>2347564.5549999997</v>
      </c>
      <c r="M12" s="196"/>
      <c r="N12" s="46"/>
      <c r="P12" s="46"/>
    </row>
    <row r="13" spans="1:27">
      <c r="A13" s="213">
        <f t="shared" si="2"/>
        <v>8</v>
      </c>
      <c r="B13" s="222"/>
      <c r="C13" s="223"/>
      <c r="D13" s="215"/>
      <c r="E13" s="216">
        <f>-1*SUM('Table 11 (2) Result of EIRR'!N55:N57)</f>
        <v>43135.91128</v>
      </c>
      <c r="F13" s="224">
        <f>-1*'Table 11 (2) Result of EIRR'!N58</f>
        <v>68851.814845000015</v>
      </c>
      <c r="G13" s="218">
        <f t="shared" si="0"/>
        <v>111987.72612500002</v>
      </c>
      <c r="H13" s="219">
        <f>'Table 11 (2) Result of EIRR'!N62</f>
        <v>2166780</v>
      </c>
      <c r="I13" s="244">
        <f>'Table 11 (2) Result of EIRR'!N61</f>
        <v>1450704</v>
      </c>
      <c r="J13" s="244">
        <f>'Table 11 (2) Result of EIRR'!N63</f>
        <v>8198</v>
      </c>
      <c r="K13" s="218">
        <f t="shared" si="3"/>
        <v>3625682</v>
      </c>
      <c r="L13" s="221">
        <f t="shared" ref="L13:L23" si="4">K13-G13</f>
        <v>3513694.273875</v>
      </c>
      <c r="M13" s="196"/>
      <c r="P13" s="46"/>
      <c r="Q13" s="46"/>
      <c r="R13" s="46"/>
      <c r="S13" s="46"/>
      <c r="T13" s="46"/>
      <c r="U13" s="46"/>
      <c r="AA13" s="46"/>
    </row>
    <row r="14" spans="1:27">
      <c r="A14" s="213">
        <f t="shared" si="2"/>
        <v>9</v>
      </c>
      <c r="B14" s="222"/>
      <c r="C14" s="223"/>
      <c r="D14" s="223"/>
      <c r="E14" s="216">
        <f>E13</f>
        <v>43135.91128</v>
      </c>
      <c r="F14" s="224">
        <f>-1*'Table 11 (2) Result of EIRR'!O58</f>
        <v>68851.814845000015</v>
      </c>
      <c r="G14" s="218">
        <f t="shared" si="0"/>
        <v>111987.72612500002</v>
      </c>
      <c r="H14" s="219">
        <f>'Table 11 (2) Result of EIRR'!O62</f>
        <v>2166780</v>
      </c>
      <c r="I14" s="244">
        <f>'Table 11 (2) Result of EIRR'!O61</f>
        <v>1444162</v>
      </c>
      <c r="J14" s="244">
        <f>'Table 11 (2) Result of EIRR'!O63</f>
        <v>8645</v>
      </c>
      <c r="K14" s="218">
        <f t="shared" si="3"/>
        <v>3619587</v>
      </c>
      <c r="L14" s="221">
        <f t="shared" si="4"/>
        <v>3507599.273875</v>
      </c>
      <c r="M14" s="196"/>
      <c r="P14" s="46"/>
      <c r="X14" s="46"/>
    </row>
    <row r="15" spans="1:27">
      <c r="A15" s="213">
        <f t="shared" si="2"/>
        <v>10</v>
      </c>
      <c r="B15" s="222"/>
      <c r="C15" s="223"/>
      <c r="D15" s="223"/>
      <c r="E15" s="216">
        <f t="shared" ref="E15:E25" si="5">E14</f>
        <v>43135.91128</v>
      </c>
      <c r="F15" s="224">
        <f>-1*'Table 11 (2) Result of EIRR'!P58</f>
        <v>68851.814845000015</v>
      </c>
      <c r="G15" s="218">
        <f t="shared" si="0"/>
        <v>111987.72612500002</v>
      </c>
      <c r="H15" s="219">
        <f>'Table 11 (2) Result of EIRR'!P62</f>
        <v>2166780</v>
      </c>
      <c r="I15" s="244">
        <f>'Table 11 (2) Result of EIRR'!P61</f>
        <v>1366622</v>
      </c>
      <c r="J15" s="244">
        <f>'Table 11 (2) Result of EIRR'!P63</f>
        <v>8495</v>
      </c>
      <c r="K15" s="218">
        <f t="shared" si="3"/>
        <v>3541897</v>
      </c>
      <c r="L15" s="221">
        <f t="shared" si="4"/>
        <v>3429909.273875</v>
      </c>
      <c r="M15" s="196"/>
    </row>
    <row r="16" spans="1:27">
      <c r="A16" s="213">
        <f t="shared" si="2"/>
        <v>11</v>
      </c>
      <c r="B16" s="222"/>
      <c r="C16" s="223"/>
      <c r="D16" s="223"/>
      <c r="E16" s="216">
        <f t="shared" si="5"/>
        <v>43135.91128</v>
      </c>
      <c r="F16" s="224">
        <f>-1*'Table 11 (2) Result of EIRR'!Q58</f>
        <v>68851.814845000015</v>
      </c>
      <c r="G16" s="218">
        <f t="shared" si="0"/>
        <v>111987.72612500002</v>
      </c>
      <c r="H16" s="219">
        <f>'Table 11 (2) Result of EIRR'!Q62</f>
        <v>2166780</v>
      </c>
      <c r="I16" s="244">
        <f>'Table 11 (2) Result of EIRR'!Q61</f>
        <v>1285163</v>
      </c>
      <c r="J16" s="244">
        <f>'Table 11 (2) Result of EIRR'!Q63</f>
        <v>7899</v>
      </c>
      <c r="K16" s="218">
        <f t="shared" si="3"/>
        <v>3459842</v>
      </c>
      <c r="L16" s="221">
        <f t="shared" si="4"/>
        <v>3347854.273875</v>
      </c>
      <c r="M16" s="196"/>
    </row>
    <row r="17" spans="1:19">
      <c r="A17" s="213">
        <f t="shared" si="2"/>
        <v>12</v>
      </c>
      <c r="B17" s="222"/>
      <c r="C17" s="223"/>
      <c r="D17" s="223"/>
      <c r="E17" s="216">
        <f t="shared" si="5"/>
        <v>43135.91128</v>
      </c>
      <c r="F17" s="224">
        <f>-1*'Table 11 (2) Result of EIRR'!R58</f>
        <v>68851.814845000015</v>
      </c>
      <c r="G17" s="218">
        <f t="shared" si="0"/>
        <v>111987.72612500002</v>
      </c>
      <c r="H17" s="219">
        <f>'Table 11 (2) Result of EIRR'!R62</f>
        <v>2166780</v>
      </c>
      <c r="I17" s="244">
        <f>'Table 11 (2) Result of EIRR'!R61</f>
        <v>1214109</v>
      </c>
      <c r="J17" s="244">
        <f>'Table 11 (2) Result of EIRR'!R63</f>
        <v>8048</v>
      </c>
      <c r="K17" s="218">
        <f t="shared" si="3"/>
        <v>3388937</v>
      </c>
      <c r="L17" s="221">
        <f t="shared" si="4"/>
        <v>3276949.273875</v>
      </c>
      <c r="M17" s="196"/>
      <c r="P17" s="46"/>
    </row>
    <row r="18" spans="1:19">
      <c r="A18" s="213">
        <f t="shared" si="2"/>
        <v>13</v>
      </c>
      <c r="B18" s="222"/>
      <c r="C18" s="223"/>
      <c r="D18" s="223"/>
      <c r="E18" s="216">
        <f t="shared" si="5"/>
        <v>43135.91128</v>
      </c>
      <c r="F18" s="224">
        <f>-1*'Table 11 (2) Result of EIRR'!S58</f>
        <v>68851.814845000015</v>
      </c>
      <c r="G18" s="218">
        <f t="shared" si="0"/>
        <v>111987.72612500002</v>
      </c>
      <c r="H18" s="219">
        <f>'Table 11 (2) Result of EIRR'!S62</f>
        <v>2166780</v>
      </c>
      <c r="I18" s="244">
        <f>'Table 11 (2) Result of EIRR'!S61</f>
        <v>1147729</v>
      </c>
      <c r="J18" s="244">
        <f>'Table 11 (2) Result of EIRR'!S63</f>
        <v>8495</v>
      </c>
      <c r="K18" s="218">
        <f t="shared" si="3"/>
        <v>3323004</v>
      </c>
      <c r="L18" s="221">
        <f t="shared" si="4"/>
        <v>3211016.273875</v>
      </c>
      <c r="M18" s="196"/>
    </row>
    <row r="19" spans="1:19">
      <c r="A19" s="213">
        <f t="shared" si="2"/>
        <v>14</v>
      </c>
      <c r="B19" s="222"/>
      <c r="C19" s="223"/>
      <c r="D19" s="223"/>
      <c r="E19" s="216">
        <f t="shared" si="5"/>
        <v>43135.91128</v>
      </c>
      <c r="F19" s="224">
        <f>-1*'Table 11 (2) Result of EIRR'!T58</f>
        <v>68851.814845000015</v>
      </c>
      <c r="G19" s="218">
        <f t="shared" si="0"/>
        <v>111987.72612500002</v>
      </c>
      <c r="H19" s="219">
        <f>'Table 11 (2) Result of EIRR'!T62</f>
        <v>2166780</v>
      </c>
      <c r="I19" s="244">
        <f>'Table 11 (2) Result of EIRR'!T61</f>
        <v>1081066</v>
      </c>
      <c r="J19" s="244">
        <f>'Table 11 (2) Result of EIRR'!T63</f>
        <v>7452</v>
      </c>
      <c r="K19" s="218">
        <f t="shared" si="3"/>
        <v>3255298</v>
      </c>
      <c r="L19" s="221">
        <f t="shared" si="4"/>
        <v>3143310.273875</v>
      </c>
      <c r="M19" s="196"/>
    </row>
    <row r="20" spans="1:19">
      <c r="A20" s="213">
        <f t="shared" si="2"/>
        <v>15</v>
      </c>
      <c r="B20" s="222"/>
      <c r="C20" s="223"/>
      <c r="D20" s="223"/>
      <c r="E20" s="216">
        <f t="shared" si="5"/>
        <v>43135.91128</v>
      </c>
      <c r="F20" s="224">
        <f>-1*'Table 11 (2) Result of EIRR'!U58</f>
        <v>68851.814845000015</v>
      </c>
      <c r="G20" s="218">
        <f t="shared" si="0"/>
        <v>111987.72612500002</v>
      </c>
      <c r="H20" s="219">
        <f>'Table 11 (2) Result of EIRR'!U62</f>
        <v>2166780</v>
      </c>
      <c r="I20" s="244">
        <f>'Table 11 (2) Result of EIRR'!U61</f>
        <v>1023233</v>
      </c>
      <c r="J20" s="244">
        <f>'Table 11 (2) Result of EIRR'!U63</f>
        <v>8347</v>
      </c>
      <c r="K20" s="218">
        <f t="shared" si="3"/>
        <v>3198360</v>
      </c>
      <c r="L20" s="221">
        <f t="shared" si="4"/>
        <v>3086372.273875</v>
      </c>
      <c r="M20" s="196"/>
    </row>
    <row r="21" spans="1:19">
      <c r="A21" s="213">
        <f t="shared" si="2"/>
        <v>16</v>
      </c>
      <c r="B21" s="222"/>
      <c r="C21" s="223"/>
      <c r="D21" s="223"/>
      <c r="E21" s="216">
        <f t="shared" si="5"/>
        <v>43135.91128</v>
      </c>
      <c r="F21" s="224">
        <f>-1*'Table 11 (2) Result of EIRR'!V58</f>
        <v>68851.814845000015</v>
      </c>
      <c r="G21" s="218">
        <f t="shared" si="0"/>
        <v>111987.72612500002</v>
      </c>
      <c r="H21" s="219">
        <f>'Table 11 (2) Result of EIRR'!V62</f>
        <v>2166780</v>
      </c>
      <c r="I21" s="244">
        <f>'Table 11 (2) Result of EIRR'!V61</f>
        <v>967267</v>
      </c>
      <c r="J21" s="244">
        <f>'Table 11 (2) Result of EIRR'!V63</f>
        <v>8645</v>
      </c>
      <c r="K21" s="218">
        <f t="shared" si="3"/>
        <v>3142692</v>
      </c>
      <c r="L21" s="221">
        <f t="shared" si="4"/>
        <v>3030704.273875</v>
      </c>
      <c r="M21" s="196"/>
    </row>
    <row r="22" spans="1:19">
      <c r="A22" s="213">
        <f t="shared" si="2"/>
        <v>17</v>
      </c>
      <c r="B22" s="222"/>
      <c r="C22" s="223"/>
      <c r="D22" s="223"/>
      <c r="E22" s="216">
        <f t="shared" si="5"/>
        <v>43135.91128</v>
      </c>
      <c r="F22" s="224">
        <f>-1*'Table 11 (2) Result of EIRR'!W58</f>
        <v>68851.814845000015</v>
      </c>
      <c r="G22" s="218">
        <f t="shared" si="0"/>
        <v>111987.72612500002</v>
      </c>
      <c r="H22" s="219">
        <f>'Table 11 (2) Result of EIRR'!W62</f>
        <v>2166780</v>
      </c>
      <c r="I22" s="244">
        <f>'Table 11 (2) Result of EIRR'!W61</f>
        <v>916007</v>
      </c>
      <c r="J22" s="244">
        <f>'Table 11 (2) Result of EIRR'!W63</f>
        <v>8645</v>
      </c>
      <c r="K22" s="218">
        <f t="shared" si="3"/>
        <v>3091432</v>
      </c>
      <c r="L22" s="221">
        <f t="shared" si="4"/>
        <v>2979444.273875</v>
      </c>
      <c r="M22" s="196"/>
    </row>
    <row r="23" spans="1:19">
      <c r="A23" s="213">
        <f t="shared" si="2"/>
        <v>18</v>
      </c>
      <c r="B23" s="222"/>
      <c r="C23" s="223"/>
      <c r="D23" s="223"/>
      <c r="E23" s="216">
        <f t="shared" si="5"/>
        <v>43135.91128</v>
      </c>
      <c r="F23" s="224">
        <f>-1*'Table 11 (2) Result of EIRR'!X58</f>
        <v>68851.814845000015</v>
      </c>
      <c r="G23" s="218">
        <f t="shared" si="0"/>
        <v>111987.72612500002</v>
      </c>
      <c r="H23" s="219">
        <f>'Table 11 (2) Result of EIRR'!X62</f>
        <v>2166780</v>
      </c>
      <c r="I23" s="244">
        <f>'Table 11 (2) Result of EIRR'!X61</f>
        <v>868549</v>
      </c>
      <c r="J23" s="244">
        <f>'Table 11 (2) Result of EIRR'!X63</f>
        <v>9092</v>
      </c>
      <c r="K23" s="218">
        <f t="shared" si="3"/>
        <v>3044421</v>
      </c>
      <c r="L23" s="221">
        <f t="shared" si="4"/>
        <v>2932433.273875</v>
      </c>
      <c r="M23" s="196"/>
    </row>
    <row r="24" spans="1:19">
      <c r="A24" s="213">
        <f t="shared" si="2"/>
        <v>19</v>
      </c>
      <c r="B24" s="222"/>
      <c r="C24" s="223"/>
      <c r="D24" s="223"/>
      <c r="E24" s="216">
        <f t="shared" si="5"/>
        <v>43135.91128</v>
      </c>
      <c r="F24" s="224">
        <f>-1*'Table 11 (2) Result of EIRR'!Y58</f>
        <v>68851.814845000015</v>
      </c>
      <c r="G24" s="218">
        <f t="shared" si="0"/>
        <v>111987.72612500002</v>
      </c>
      <c r="H24" s="219">
        <f>'Table 11 (2) Result of EIRR'!Y62</f>
        <v>2166780</v>
      </c>
      <c r="I24" s="244">
        <f>'Table 11 (2) Result of EIRR'!Y61</f>
        <v>819293</v>
      </c>
      <c r="J24" s="244">
        <f>'Table 11 (2) Result of EIRR'!Y63</f>
        <v>8645</v>
      </c>
      <c r="K24" s="218">
        <f t="shared" si="3"/>
        <v>2994718</v>
      </c>
      <c r="L24" s="221">
        <f t="shared" si="1"/>
        <v>2882730.273875</v>
      </c>
      <c r="M24" s="196"/>
    </row>
    <row r="25" spans="1:19">
      <c r="A25" s="225">
        <f t="shared" si="2"/>
        <v>20</v>
      </c>
      <c r="B25" s="226"/>
      <c r="C25" s="227"/>
      <c r="D25" s="227"/>
      <c r="E25" s="228">
        <f t="shared" si="5"/>
        <v>43135.91128</v>
      </c>
      <c r="F25" s="278">
        <f>-1*'Table 11 (2) Result of EIRR'!Z58</f>
        <v>68851.814845000015</v>
      </c>
      <c r="G25" s="229">
        <f t="shared" si="0"/>
        <v>111987.72612500002</v>
      </c>
      <c r="H25" s="230">
        <f>'Table 11 (2) Result of EIRR'!Z62</f>
        <v>2166780</v>
      </c>
      <c r="I25" s="245">
        <f>'Table 11 (2) Result of EIRR'!Z61</f>
        <v>776073</v>
      </c>
      <c r="J25" s="244">
        <f>'Table 11 (2) Result of EIRR'!Z63</f>
        <v>9688</v>
      </c>
      <c r="K25" s="218">
        <f t="shared" si="3"/>
        <v>2952541</v>
      </c>
      <c r="L25" s="231">
        <f>K25-G25</f>
        <v>2840553.273875</v>
      </c>
      <c r="M25" s="196"/>
    </row>
    <row r="26" spans="1:19">
      <c r="A26" s="232"/>
      <c r="B26" s="195"/>
      <c r="C26" s="195"/>
      <c r="D26" s="195"/>
      <c r="E26" s="196"/>
      <c r="F26" s="236" t="s">
        <v>38</v>
      </c>
      <c r="G26" s="234">
        <f t="shared" ref="G26:L26" si="6">G6+NPV(0.1187,G7:G25)</f>
        <v>11415047.014308687</v>
      </c>
      <c r="H26" s="234">
        <f t="shared" si="6"/>
        <v>9591972.4813252464</v>
      </c>
      <c r="I26" s="234">
        <f t="shared" si="6"/>
        <v>6462167.347385942</v>
      </c>
      <c r="J26" s="234">
        <f t="shared" si="6"/>
        <v>34034.643526290354</v>
      </c>
      <c r="K26" s="234">
        <f t="shared" si="6"/>
        <v>16088174.472237475</v>
      </c>
      <c r="L26" s="234">
        <f t="shared" si="6"/>
        <v>4673127.4579287879</v>
      </c>
      <c r="M26" s="196"/>
    </row>
    <row r="27" spans="1:19">
      <c r="A27" s="232"/>
      <c r="B27" s="237"/>
      <c r="C27" s="237"/>
      <c r="D27" s="237"/>
      <c r="E27" s="196"/>
      <c r="F27" s="235"/>
      <c r="G27" s="235"/>
      <c r="H27" s="235"/>
      <c r="I27" s="235"/>
      <c r="J27" s="235"/>
      <c r="K27" s="233" t="s">
        <v>28</v>
      </c>
      <c r="L27" s="238">
        <f>K26/G26</f>
        <v>1.409383110912382</v>
      </c>
      <c r="M27" s="196"/>
      <c r="S27" s="46"/>
    </row>
    <row r="28" spans="1:19">
      <c r="A28" s="232"/>
      <c r="B28" s="195"/>
      <c r="C28" s="195"/>
      <c r="D28" s="195"/>
      <c r="E28" s="196"/>
      <c r="F28" s="235"/>
      <c r="G28" s="235"/>
      <c r="H28" s="235"/>
      <c r="I28" s="235"/>
      <c r="J28" s="235"/>
      <c r="K28" s="233" t="s">
        <v>29</v>
      </c>
      <c r="L28" s="239">
        <f>IRR(L6:L25,10%)</f>
        <v>0.18723394775090596</v>
      </c>
      <c r="M28" s="196"/>
    </row>
    <row r="29" spans="1:19">
      <c r="A29" s="232"/>
      <c r="B29" s="195"/>
      <c r="C29" s="195"/>
      <c r="D29" s="195"/>
      <c r="E29" s="196"/>
      <c r="F29" s="235"/>
      <c r="G29" s="235"/>
      <c r="H29" s="235"/>
      <c r="I29" s="235"/>
      <c r="J29" s="235"/>
      <c r="K29" s="235"/>
      <c r="L29" s="235"/>
      <c r="M29" s="196"/>
    </row>
    <row r="31" spans="1:19">
      <c r="C31" s="45"/>
      <c r="D31" s="45"/>
    </row>
    <row r="32" spans="1:19">
      <c r="C32" s="45"/>
    </row>
    <row r="33" spans="3:3">
      <c r="C33" s="45"/>
    </row>
    <row r="34" spans="3:3">
      <c r="C34" s="45"/>
    </row>
    <row r="35" spans="3:3">
      <c r="C35" s="45"/>
    </row>
    <row r="36" spans="3:3">
      <c r="C36" s="45"/>
    </row>
    <row r="37" spans="3:3">
      <c r="C37" s="45"/>
    </row>
    <row r="38" spans="3:3">
      <c r="C38" s="45"/>
    </row>
  </sheetData>
  <mergeCells count="3">
    <mergeCell ref="E4:F4"/>
    <mergeCell ref="B4:C4"/>
    <mergeCell ref="H4:J4"/>
  </mergeCells>
  <phoneticPr fontId="1"/>
  <printOptions horizontalCentered="1"/>
  <pageMargins left="0" right="0.59055118110236227" top="0.78740157480314965" bottom="0.59055118110236227" header="0.39370078740157483" footer="0.39370078740157483"/>
  <pageSetup paperSize="8" orientation="landscape" useFirstPageNumber="1" r:id="rId1"/>
  <headerFooter alignWithMargins="0">
    <oddFooter xml:space="preserve">&amp;R&amp;"Times New Roman,標準"&amp;14H - T - &amp;P&amp;"-,標準"&amp;11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C25D8-E2DE-41FA-B568-88988832154A}">
  <sheetPr>
    <tabColor rgb="FFCCFFFF"/>
  </sheetPr>
  <dimension ref="B1:X77"/>
  <sheetViews>
    <sheetView zoomScale="55" zoomScaleNormal="55" workbookViewId="0">
      <selection activeCell="V14" sqref="V14"/>
    </sheetView>
  </sheetViews>
  <sheetFormatPr defaultColWidth="8.81640625" defaultRowHeight="12.5"/>
  <cols>
    <col min="1" max="1" width="8.81640625" style="95"/>
    <col min="2" max="2" width="8.81640625" style="95" customWidth="1"/>
    <col min="3" max="6" width="11.36328125" style="95" customWidth="1"/>
    <col min="7" max="7" width="14.1796875" style="95" customWidth="1"/>
    <col min="8" max="11" width="8.81640625" style="95"/>
    <col min="12" max="12" width="10" style="95" customWidth="1"/>
    <col min="13" max="13" width="8.90625" style="95" customWidth="1"/>
    <col min="14" max="14" width="8.54296875" style="95" customWidth="1"/>
    <col min="15" max="15" width="9.90625" style="95" customWidth="1"/>
    <col min="16" max="16" width="8.6328125" style="95" customWidth="1"/>
    <col min="17" max="17" width="9.453125" style="95" customWidth="1"/>
    <col min="18" max="18" width="14.81640625" style="95" customWidth="1"/>
    <col min="19" max="19" width="6.1796875" style="95" customWidth="1"/>
    <col min="20" max="20" width="42.6328125" style="95" customWidth="1"/>
    <col min="21" max="21" width="9.81640625" style="95" customWidth="1"/>
    <col min="22" max="22" width="11.08984375" style="95" customWidth="1"/>
    <col min="23" max="23" width="11.36328125" style="95" customWidth="1"/>
    <col min="24" max="24" width="12" style="95" customWidth="1"/>
    <col min="25" max="25" width="35.54296875" style="95" customWidth="1"/>
    <col min="26" max="26" width="21.08984375" style="95" customWidth="1"/>
    <col min="27" max="16384" width="8.81640625" style="95"/>
  </cols>
  <sheetData>
    <row r="1" spans="2:24" ht="13" thickBot="1"/>
    <row r="2" spans="2:24">
      <c r="S2" s="118"/>
      <c r="T2" s="119"/>
      <c r="U2" s="119"/>
      <c r="V2" s="119"/>
      <c r="W2" s="119"/>
      <c r="X2" s="138"/>
    </row>
    <row r="3" spans="2:24">
      <c r="B3" s="96"/>
      <c r="C3" s="456" t="s">
        <v>54</v>
      </c>
      <c r="D3" s="457"/>
      <c r="E3" s="457"/>
      <c r="F3" s="457"/>
      <c r="G3" s="458"/>
      <c r="H3" s="465" t="s">
        <v>227</v>
      </c>
      <c r="I3" s="465"/>
      <c r="J3" s="465"/>
      <c r="K3" s="465"/>
      <c r="L3" s="465"/>
      <c r="M3" s="465"/>
      <c r="N3" s="465"/>
      <c r="O3" s="465"/>
      <c r="P3" s="465"/>
      <c r="Q3" s="465"/>
      <c r="R3" s="378"/>
      <c r="S3" s="120"/>
      <c r="T3" s="181" t="s">
        <v>55</v>
      </c>
      <c r="U3" s="182">
        <v>120</v>
      </c>
      <c r="V3" s="183" t="s">
        <v>95</v>
      </c>
      <c r="W3" s="183"/>
      <c r="X3" s="139"/>
    </row>
    <row r="4" spans="2:24">
      <c r="B4" s="375"/>
      <c r="C4" s="364"/>
      <c r="D4" s="365"/>
      <c r="E4" s="365"/>
      <c r="F4" s="365"/>
      <c r="G4" s="366"/>
      <c r="H4" s="456" t="s">
        <v>220</v>
      </c>
      <c r="I4" s="458"/>
      <c r="J4" s="456" t="s">
        <v>57</v>
      </c>
      <c r="K4" s="458"/>
      <c r="L4" s="456" t="s">
        <v>224</v>
      </c>
      <c r="M4" s="458"/>
      <c r="N4" s="456" t="s">
        <v>225</v>
      </c>
      <c r="O4" s="458"/>
      <c r="P4" s="456" t="s">
        <v>226</v>
      </c>
      <c r="Q4" s="458"/>
      <c r="S4" s="120"/>
      <c r="T4" s="341" t="s">
        <v>213</v>
      </c>
      <c r="U4" s="182">
        <v>0.5</v>
      </c>
      <c r="V4" s="183" t="s">
        <v>61</v>
      </c>
      <c r="W4" s="184" t="s">
        <v>96</v>
      </c>
      <c r="X4" s="188"/>
    </row>
    <row r="5" spans="2:24" ht="13">
      <c r="B5" s="99"/>
      <c r="C5" s="100" t="s">
        <v>56</v>
      </c>
      <c r="D5" s="100" t="s">
        <v>57</v>
      </c>
      <c r="E5" s="100" t="s">
        <v>58</v>
      </c>
      <c r="F5" s="100" t="s">
        <v>59</v>
      </c>
      <c r="G5" s="101" t="s">
        <v>60</v>
      </c>
      <c r="H5" s="376" t="s">
        <v>221</v>
      </c>
      <c r="I5" s="380" t="s">
        <v>222</v>
      </c>
      <c r="J5" s="376" t="s">
        <v>221</v>
      </c>
      <c r="K5" s="380" t="s">
        <v>222</v>
      </c>
      <c r="L5" s="376" t="s">
        <v>221</v>
      </c>
      <c r="M5" s="380" t="s">
        <v>222</v>
      </c>
      <c r="N5" s="376" t="s">
        <v>221</v>
      </c>
      <c r="O5" s="380" t="s">
        <v>222</v>
      </c>
      <c r="P5" s="376" t="s">
        <v>221</v>
      </c>
      <c r="Q5" s="380" t="s">
        <v>222</v>
      </c>
      <c r="S5" s="120"/>
      <c r="T5" s="342" t="s">
        <v>218</v>
      </c>
      <c r="U5" s="182">
        <v>1.2</v>
      </c>
      <c r="V5" s="183" t="s">
        <v>62</v>
      </c>
      <c r="W5" s="184" t="s">
        <v>97</v>
      </c>
      <c r="X5" s="139"/>
    </row>
    <row r="6" spans="2:24">
      <c r="B6" s="102">
        <v>2021</v>
      </c>
      <c r="C6" s="279">
        <v>0</v>
      </c>
      <c r="D6" s="279">
        <v>0</v>
      </c>
      <c r="E6" s="279">
        <v>0</v>
      </c>
      <c r="F6" s="279">
        <v>0</v>
      </c>
      <c r="G6" s="103">
        <f t="shared" ref="G6:G10" si="0">SUM(C6:F6)</f>
        <v>0</v>
      </c>
      <c r="H6" s="374">
        <f>C6*$U$3</f>
        <v>0</v>
      </c>
      <c r="I6" s="374">
        <v>0</v>
      </c>
      <c r="J6" s="374">
        <f t="shared" ref="J6:J25" si="1">D6*$U$3</f>
        <v>0</v>
      </c>
      <c r="K6" s="374">
        <v>0</v>
      </c>
      <c r="L6" s="374">
        <f t="shared" ref="L6:L25" si="2">E6*$U$3</f>
        <v>0</v>
      </c>
      <c r="M6" s="374">
        <v>0</v>
      </c>
      <c r="N6" s="374">
        <f t="shared" ref="N6:N25" si="3">F6*$U$3</f>
        <v>0</v>
      </c>
      <c r="O6" s="374">
        <v>0</v>
      </c>
      <c r="P6" s="374">
        <f>SUM(H6:N6)</f>
        <v>0</v>
      </c>
      <c r="Q6" s="374">
        <v>0</v>
      </c>
      <c r="S6" s="120"/>
      <c r="T6" s="183" t="s">
        <v>127</v>
      </c>
      <c r="U6" s="182">
        <v>1.2</v>
      </c>
      <c r="V6" s="183" t="s">
        <v>62</v>
      </c>
      <c r="W6" s="184"/>
      <c r="X6" s="139"/>
    </row>
    <row r="7" spans="2:24">
      <c r="B7" s="102">
        <v>2022</v>
      </c>
      <c r="C7" s="279">
        <v>2</v>
      </c>
      <c r="D7" s="279">
        <v>1</v>
      </c>
      <c r="E7" s="279">
        <f>$U$32*R7</f>
        <v>1</v>
      </c>
      <c r="F7" s="279">
        <v>2</v>
      </c>
      <c r="G7" s="103">
        <f>SUM(C7:F7)</f>
        <v>6</v>
      </c>
      <c r="H7" s="104">
        <f>C7*$U$3</f>
        <v>240</v>
      </c>
      <c r="I7" s="104">
        <f>I6+H7</f>
        <v>240</v>
      </c>
      <c r="J7" s="104">
        <f t="shared" si="1"/>
        <v>120</v>
      </c>
      <c r="K7" s="104">
        <f>K6+J7</f>
        <v>120</v>
      </c>
      <c r="L7" s="104">
        <f t="shared" si="2"/>
        <v>120</v>
      </c>
      <c r="M7" s="104">
        <f>M6+L7</f>
        <v>120</v>
      </c>
      <c r="N7" s="104">
        <f t="shared" si="3"/>
        <v>240</v>
      </c>
      <c r="O7" s="104">
        <f>O6+N7</f>
        <v>240</v>
      </c>
      <c r="P7" s="104">
        <f>H7+J7+L7+N7</f>
        <v>720</v>
      </c>
      <c r="Q7" s="104">
        <f>Q6+P7</f>
        <v>720</v>
      </c>
      <c r="R7" s="249">
        <v>0.1</v>
      </c>
      <c r="S7" s="120"/>
      <c r="T7" s="183" t="s">
        <v>128</v>
      </c>
      <c r="U7" s="182">
        <v>1.2</v>
      </c>
      <c r="V7" s="183" t="s">
        <v>62</v>
      </c>
      <c r="W7" s="184"/>
      <c r="X7" s="139"/>
    </row>
    <row r="8" spans="2:24">
      <c r="B8" s="102">
        <v>2023</v>
      </c>
      <c r="C8" s="279">
        <v>6</v>
      </c>
      <c r="D8" s="279">
        <v>3</v>
      </c>
      <c r="E8" s="279">
        <f>$U$32*R8</f>
        <v>2</v>
      </c>
      <c r="F8" s="279">
        <v>4</v>
      </c>
      <c r="G8" s="103">
        <f t="shared" si="0"/>
        <v>15</v>
      </c>
      <c r="H8" s="104">
        <f>C8*$U$3</f>
        <v>720</v>
      </c>
      <c r="I8" s="104">
        <f>I7+H8</f>
        <v>960</v>
      </c>
      <c r="J8" s="104">
        <f t="shared" si="1"/>
        <v>360</v>
      </c>
      <c r="K8" s="104">
        <f t="shared" ref="I8:Q25" si="4">K7+J8</f>
        <v>480</v>
      </c>
      <c r="L8" s="104">
        <f t="shared" si="2"/>
        <v>240</v>
      </c>
      <c r="M8" s="104">
        <f t="shared" si="4"/>
        <v>360</v>
      </c>
      <c r="N8" s="104">
        <f t="shared" si="3"/>
        <v>480</v>
      </c>
      <c r="O8" s="104">
        <f t="shared" si="4"/>
        <v>720</v>
      </c>
      <c r="P8" s="104">
        <f t="shared" ref="P8:P25" si="5">H8+J8+L8+N8</f>
        <v>1800</v>
      </c>
      <c r="Q8" s="104">
        <f t="shared" si="4"/>
        <v>2520</v>
      </c>
      <c r="R8" s="249">
        <v>0.2</v>
      </c>
      <c r="S8" s="120"/>
      <c r="T8" s="183" t="s">
        <v>129</v>
      </c>
      <c r="U8" s="369">
        <v>1</v>
      </c>
      <c r="V8" s="183" t="s">
        <v>62</v>
      </c>
      <c r="W8" s="184"/>
      <c r="X8" s="139"/>
    </row>
    <row r="9" spans="2:24">
      <c r="B9" s="102">
        <v>2024</v>
      </c>
      <c r="C9" s="279">
        <v>9</v>
      </c>
      <c r="D9" s="279">
        <v>3</v>
      </c>
      <c r="E9" s="279">
        <f>$U$32*R9</f>
        <v>3</v>
      </c>
      <c r="F9" s="279">
        <v>6</v>
      </c>
      <c r="G9" s="103">
        <f t="shared" si="0"/>
        <v>21</v>
      </c>
      <c r="H9" s="104">
        <f t="shared" ref="H9:H25" si="6">C9*$U$3</f>
        <v>1080</v>
      </c>
      <c r="I9" s="104">
        <f>I8+H9</f>
        <v>2040</v>
      </c>
      <c r="J9" s="104">
        <f t="shared" si="1"/>
        <v>360</v>
      </c>
      <c r="K9" s="104">
        <f t="shared" si="4"/>
        <v>840</v>
      </c>
      <c r="L9" s="104">
        <f t="shared" si="2"/>
        <v>360</v>
      </c>
      <c r="M9" s="104">
        <f t="shared" si="4"/>
        <v>720</v>
      </c>
      <c r="N9" s="104">
        <f t="shared" si="3"/>
        <v>720</v>
      </c>
      <c r="O9" s="104">
        <f t="shared" si="4"/>
        <v>1440</v>
      </c>
      <c r="P9" s="104">
        <f t="shared" si="5"/>
        <v>2520</v>
      </c>
      <c r="Q9" s="104">
        <f t="shared" si="4"/>
        <v>5040</v>
      </c>
      <c r="R9" s="249">
        <v>0.3</v>
      </c>
      <c r="S9" s="120"/>
      <c r="T9" s="183" t="s">
        <v>130</v>
      </c>
      <c r="U9" s="369">
        <v>1</v>
      </c>
      <c r="V9" s="183" t="s">
        <v>62</v>
      </c>
      <c r="W9" s="184"/>
      <c r="X9" s="139"/>
    </row>
    <row r="10" spans="2:24">
      <c r="B10" s="102">
        <v>2025</v>
      </c>
      <c r="C10" s="279">
        <v>8</v>
      </c>
      <c r="D10" s="279">
        <v>3</v>
      </c>
      <c r="E10" s="279">
        <f>$U$32*R10</f>
        <v>3</v>
      </c>
      <c r="F10" s="279">
        <v>6</v>
      </c>
      <c r="G10" s="103">
        <f t="shared" si="0"/>
        <v>20</v>
      </c>
      <c r="H10" s="104">
        <f t="shared" si="6"/>
        <v>960</v>
      </c>
      <c r="I10" s="104">
        <f>I9+H10</f>
        <v>3000</v>
      </c>
      <c r="J10" s="104">
        <f t="shared" si="1"/>
        <v>360</v>
      </c>
      <c r="K10" s="104">
        <f t="shared" si="4"/>
        <v>1200</v>
      </c>
      <c r="L10" s="104">
        <f t="shared" si="2"/>
        <v>360</v>
      </c>
      <c r="M10" s="104">
        <f t="shared" si="4"/>
        <v>1080</v>
      </c>
      <c r="N10" s="104">
        <f t="shared" si="3"/>
        <v>720</v>
      </c>
      <c r="O10" s="104">
        <f t="shared" si="4"/>
        <v>2160</v>
      </c>
      <c r="P10" s="104">
        <f t="shared" si="5"/>
        <v>2400</v>
      </c>
      <c r="Q10" s="104">
        <f t="shared" si="4"/>
        <v>7440</v>
      </c>
      <c r="R10" s="249">
        <v>0.3</v>
      </c>
      <c r="S10" s="120"/>
      <c r="T10" s="183" t="s">
        <v>63</v>
      </c>
      <c r="U10" s="185">
        <v>750</v>
      </c>
      <c r="V10" s="183" t="s">
        <v>93</v>
      </c>
      <c r="W10" s="186"/>
      <c r="X10" s="139"/>
    </row>
    <row r="11" spans="2:24">
      <c r="B11" s="102">
        <v>2026</v>
      </c>
      <c r="C11" s="279">
        <v>3</v>
      </c>
      <c r="D11" s="279">
        <v>1</v>
      </c>
      <c r="E11" s="279">
        <f>$U$32*R11</f>
        <v>1</v>
      </c>
      <c r="F11" s="279">
        <v>1</v>
      </c>
      <c r="G11" s="103">
        <f>SUM(C11:F11)</f>
        <v>6</v>
      </c>
      <c r="H11" s="104">
        <f t="shared" si="6"/>
        <v>360</v>
      </c>
      <c r="I11" s="104">
        <f>I10+H11</f>
        <v>3360</v>
      </c>
      <c r="J11" s="104">
        <f t="shared" si="1"/>
        <v>120</v>
      </c>
      <c r="K11" s="104">
        <f t="shared" si="4"/>
        <v>1320</v>
      </c>
      <c r="L11" s="104">
        <f t="shared" si="2"/>
        <v>120</v>
      </c>
      <c r="M11" s="104">
        <f t="shared" si="4"/>
        <v>1200</v>
      </c>
      <c r="N11" s="104">
        <f t="shared" si="3"/>
        <v>120</v>
      </c>
      <c r="O11" s="104">
        <f t="shared" si="4"/>
        <v>2280</v>
      </c>
      <c r="P11" s="104">
        <f t="shared" si="5"/>
        <v>720</v>
      </c>
      <c r="Q11" s="104">
        <f t="shared" si="4"/>
        <v>8160</v>
      </c>
      <c r="R11" s="249">
        <v>0.1</v>
      </c>
      <c r="S11" s="120"/>
      <c r="T11" s="183"/>
      <c r="U11" s="344"/>
      <c r="V11" s="183"/>
      <c r="W11" s="186"/>
      <c r="X11" s="139"/>
    </row>
    <row r="12" spans="2:24">
      <c r="B12" s="102">
        <v>2027</v>
      </c>
      <c r="C12" s="279">
        <v>0</v>
      </c>
      <c r="D12" s="279">
        <v>0</v>
      </c>
      <c r="E12" s="279">
        <v>0</v>
      </c>
      <c r="F12" s="279">
        <f>$U$31*R12</f>
        <v>0</v>
      </c>
      <c r="G12" s="103">
        <f>SUM(C12:F12)</f>
        <v>0</v>
      </c>
      <c r="H12" s="104">
        <f t="shared" si="6"/>
        <v>0</v>
      </c>
      <c r="I12" s="104">
        <f t="shared" si="4"/>
        <v>3360</v>
      </c>
      <c r="J12" s="104">
        <f t="shared" si="1"/>
        <v>0</v>
      </c>
      <c r="K12" s="104">
        <f t="shared" si="4"/>
        <v>1320</v>
      </c>
      <c r="L12" s="104">
        <f t="shared" si="2"/>
        <v>0</v>
      </c>
      <c r="M12" s="104">
        <f t="shared" si="4"/>
        <v>1200</v>
      </c>
      <c r="N12" s="104">
        <f t="shared" si="3"/>
        <v>0</v>
      </c>
      <c r="O12" s="104">
        <f t="shared" si="4"/>
        <v>2280</v>
      </c>
      <c r="P12" s="104">
        <f t="shared" si="5"/>
        <v>0</v>
      </c>
      <c r="Q12" s="104">
        <f t="shared" si="4"/>
        <v>8160</v>
      </c>
      <c r="S12" s="120"/>
      <c r="T12" s="183"/>
      <c r="U12" s="343"/>
      <c r="V12" s="373"/>
      <c r="W12" s="186"/>
      <c r="X12" s="139"/>
    </row>
    <row r="13" spans="2:24" ht="13" customHeight="1">
      <c r="B13" s="102">
        <v>2028</v>
      </c>
      <c r="C13" s="279">
        <v>0</v>
      </c>
      <c r="D13" s="279">
        <v>0</v>
      </c>
      <c r="E13" s="279">
        <v>0</v>
      </c>
      <c r="F13" s="279">
        <v>0</v>
      </c>
      <c r="G13" s="103">
        <f t="shared" ref="G13:G25" si="7">SUM(C13:F13)</f>
        <v>0</v>
      </c>
      <c r="H13" s="104">
        <f t="shared" si="6"/>
        <v>0</v>
      </c>
      <c r="I13" s="104">
        <f t="shared" si="4"/>
        <v>3360</v>
      </c>
      <c r="J13" s="104">
        <f t="shared" si="1"/>
        <v>0</v>
      </c>
      <c r="K13" s="104">
        <f t="shared" si="4"/>
        <v>1320</v>
      </c>
      <c r="L13" s="104">
        <f t="shared" si="2"/>
        <v>0</v>
      </c>
      <c r="M13" s="104">
        <f t="shared" si="4"/>
        <v>1200</v>
      </c>
      <c r="N13" s="104">
        <f t="shared" si="3"/>
        <v>0</v>
      </c>
      <c r="O13" s="104">
        <f t="shared" si="4"/>
        <v>2280</v>
      </c>
      <c r="P13" s="104">
        <f t="shared" si="5"/>
        <v>0</v>
      </c>
      <c r="Q13" s="104">
        <f t="shared" si="4"/>
        <v>8160</v>
      </c>
      <c r="S13" s="120"/>
      <c r="T13" s="183"/>
      <c r="U13" s="183"/>
      <c r="V13" s="373"/>
      <c r="W13" s="183"/>
      <c r="X13" s="139"/>
    </row>
    <row r="14" spans="2:24" ht="13" customHeight="1">
      <c r="B14" s="102">
        <v>2029</v>
      </c>
      <c r="C14" s="279">
        <v>0</v>
      </c>
      <c r="D14" s="279">
        <v>0</v>
      </c>
      <c r="E14" s="279">
        <v>0</v>
      </c>
      <c r="F14" s="279">
        <v>0</v>
      </c>
      <c r="G14" s="103">
        <f t="shared" si="7"/>
        <v>0</v>
      </c>
      <c r="H14" s="104">
        <f t="shared" si="6"/>
        <v>0</v>
      </c>
      <c r="I14" s="104">
        <f t="shared" si="4"/>
        <v>3360</v>
      </c>
      <c r="J14" s="104">
        <f t="shared" si="1"/>
        <v>0</v>
      </c>
      <c r="K14" s="104">
        <f t="shared" si="4"/>
        <v>1320</v>
      </c>
      <c r="L14" s="104">
        <f t="shared" si="2"/>
        <v>0</v>
      </c>
      <c r="M14" s="104">
        <f t="shared" si="4"/>
        <v>1200</v>
      </c>
      <c r="N14" s="104">
        <f t="shared" si="3"/>
        <v>0</v>
      </c>
      <c r="O14" s="104">
        <f t="shared" si="4"/>
        <v>2280</v>
      </c>
      <c r="P14" s="104">
        <f t="shared" si="5"/>
        <v>0</v>
      </c>
      <c r="Q14" s="104">
        <f t="shared" si="4"/>
        <v>8160</v>
      </c>
      <c r="S14" s="120"/>
      <c r="T14" s="183" t="s">
        <v>131</v>
      </c>
      <c r="U14" s="183"/>
      <c r="V14" s="379" t="s">
        <v>216</v>
      </c>
      <c r="W14" s="183"/>
      <c r="X14" s="139"/>
    </row>
    <row r="15" spans="2:24" ht="13" customHeight="1">
      <c r="B15" s="102">
        <v>2030</v>
      </c>
      <c r="C15" s="279">
        <v>0</v>
      </c>
      <c r="D15" s="279">
        <v>0</v>
      </c>
      <c r="E15" s="279">
        <v>0</v>
      </c>
      <c r="F15" s="279">
        <v>0</v>
      </c>
      <c r="G15" s="103">
        <f t="shared" si="7"/>
        <v>0</v>
      </c>
      <c r="H15" s="104">
        <f t="shared" si="6"/>
        <v>0</v>
      </c>
      <c r="I15" s="104">
        <f t="shared" si="4"/>
        <v>3360</v>
      </c>
      <c r="J15" s="104">
        <f t="shared" si="1"/>
        <v>0</v>
      </c>
      <c r="K15" s="104">
        <f t="shared" si="4"/>
        <v>1320</v>
      </c>
      <c r="L15" s="104">
        <f t="shared" si="2"/>
        <v>0</v>
      </c>
      <c r="M15" s="104">
        <f t="shared" si="4"/>
        <v>1200</v>
      </c>
      <c r="N15" s="104">
        <f t="shared" si="3"/>
        <v>0</v>
      </c>
      <c r="O15" s="104">
        <f t="shared" si="4"/>
        <v>2280</v>
      </c>
      <c r="P15" s="104">
        <f t="shared" si="5"/>
        <v>0</v>
      </c>
      <c r="Q15" s="104">
        <f t="shared" si="4"/>
        <v>8160</v>
      </c>
      <c r="S15" s="120"/>
      <c r="T15" s="183" t="s">
        <v>64</v>
      </c>
      <c r="U15" s="191">
        <v>0</v>
      </c>
      <c r="V15" s="182">
        <v>0</v>
      </c>
      <c r="W15" s="183"/>
      <c r="X15" s="139"/>
    </row>
    <row r="16" spans="2:24">
      <c r="B16" s="102">
        <v>2031</v>
      </c>
      <c r="C16" s="279">
        <v>0</v>
      </c>
      <c r="D16" s="279">
        <v>0</v>
      </c>
      <c r="E16" s="279">
        <v>0</v>
      </c>
      <c r="F16" s="279">
        <v>0</v>
      </c>
      <c r="G16" s="103">
        <f t="shared" si="7"/>
        <v>0</v>
      </c>
      <c r="H16" s="104">
        <f t="shared" si="6"/>
        <v>0</v>
      </c>
      <c r="I16" s="104">
        <f t="shared" si="4"/>
        <v>3360</v>
      </c>
      <c r="J16" s="104">
        <f t="shared" si="1"/>
        <v>0</v>
      </c>
      <c r="K16" s="104">
        <f t="shared" si="4"/>
        <v>1320</v>
      </c>
      <c r="L16" s="104">
        <f t="shared" si="2"/>
        <v>0</v>
      </c>
      <c r="M16" s="104">
        <f t="shared" si="4"/>
        <v>1200</v>
      </c>
      <c r="N16" s="104">
        <f t="shared" si="3"/>
        <v>0</v>
      </c>
      <c r="O16" s="104">
        <f t="shared" si="4"/>
        <v>2280</v>
      </c>
      <c r="P16" s="104">
        <f t="shared" si="5"/>
        <v>0</v>
      </c>
      <c r="Q16" s="104">
        <f t="shared" si="4"/>
        <v>8160</v>
      </c>
      <c r="S16" s="120"/>
      <c r="T16" s="183" t="s">
        <v>65</v>
      </c>
      <c r="U16" s="193">
        <f>50%*0.8</f>
        <v>0.4</v>
      </c>
      <c r="V16" s="372">
        <f>Annex9_2.3_CropBudget!O13</f>
        <v>120.5</v>
      </c>
      <c r="W16" s="183"/>
      <c r="X16" s="139"/>
    </row>
    <row r="17" spans="2:24">
      <c r="B17" s="102">
        <v>2032</v>
      </c>
      <c r="C17" s="279">
        <v>0</v>
      </c>
      <c r="D17" s="279">
        <v>0</v>
      </c>
      <c r="E17" s="279">
        <v>0</v>
      </c>
      <c r="F17" s="279">
        <v>0</v>
      </c>
      <c r="G17" s="103">
        <f t="shared" si="7"/>
        <v>0</v>
      </c>
      <c r="H17" s="104">
        <f t="shared" si="6"/>
        <v>0</v>
      </c>
      <c r="I17" s="104">
        <f t="shared" si="4"/>
        <v>3360</v>
      </c>
      <c r="J17" s="104">
        <f t="shared" si="1"/>
        <v>0</v>
      </c>
      <c r="K17" s="104">
        <f t="shared" si="4"/>
        <v>1320</v>
      </c>
      <c r="L17" s="104">
        <f t="shared" si="2"/>
        <v>0</v>
      </c>
      <c r="M17" s="104">
        <f t="shared" si="4"/>
        <v>1200</v>
      </c>
      <c r="N17" s="104">
        <f t="shared" si="3"/>
        <v>0</v>
      </c>
      <c r="O17" s="104">
        <f t="shared" si="4"/>
        <v>2280</v>
      </c>
      <c r="P17" s="104">
        <f t="shared" si="5"/>
        <v>0</v>
      </c>
      <c r="Q17" s="104">
        <f t="shared" si="4"/>
        <v>8160</v>
      </c>
      <c r="S17" s="120"/>
      <c r="T17" s="192" t="s">
        <v>114</v>
      </c>
      <c r="U17" s="191">
        <v>0.8</v>
      </c>
      <c r="V17" s="372">
        <f>Annex9_2.3_CropBudget!O14</f>
        <v>345.5</v>
      </c>
      <c r="W17" s="183"/>
      <c r="X17" s="139"/>
    </row>
    <row r="18" spans="2:24">
      <c r="B18" s="102">
        <v>2033</v>
      </c>
      <c r="C18" s="279">
        <v>0</v>
      </c>
      <c r="D18" s="279">
        <v>0</v>
      </c>
      <c r="E18" s="279">
        <v>0</v>
      </c>
      <c r="F18" s="279">
        <v>0</v>
      </c>
      <c r="G18" s="103">
        <f t="shared" si="7"/>
        <v>0</v>
      </c>
      <c r="H18" s="104">
        <f t="shared" si="6"/>
        <v>0</v>
      </c>
      <c r="I18" s="104">
        <f t="shared" si="4"/>
        <v>3360</v>
      </c>
      <c r="J18" s="104">
        <f t="shared" si="1"/>
        <v>0</v>
      </c>
      <c r="K18" s="104">
        <f t="shared" si="4"/>
        <v>1320</v>
      </c>
      <c r="L18" s="104">
        <f t="shared" si="2"/>
        <v>0</v>
      </c>
      <c r="M18" s="104">
        <f t="shared" si="4"/>
        <v>1200</v>
      </c>
      <c r="N18" s="104">
        <f t="shared" si="3"/>
        <v>0</v>
      </c>
      <c r="O18" s="104">
        <f t="shared" si="4"/>
        <v>2280</v>
      </c>
      <c r="P18" s="104">
        <f t="shared" si="5"/>
        <v>0</v>
      </c>
      <c r="Q18" s="104">
        <f t="shared" si="4"/>
        <v>8160</v>
      </c>
      <c r="S18" s="120"/>
      <c r="T18" s="183"/>
      <c r="U18" s="187"/>
      <c r="V18" s="183"/>
      <c r="W18" s="183"/>
      <c r="X18" s="139"/>
    </row>
    <row r="19" spans="2:24">
      <c r="B19" s="102">
        <v>2034</v>
      </c>
      <c r="C19" s="279">
        <v>0</v>
      </c>
      <c r="D19" s="279">
        <v>0</v>
      </c>
      <c r="E19" s="279">
        <v>0</v>
      </c>
      <c r="F19" s="279">
        <v>0</v>
      </c>
      <c r="G19" s="103">
        <f t="shared" si="7"/>
        <v>0</v>
      </c>
      <c r="H19" s="104">
        <f t="shared" si="6"/>
        <v>0</v>
      </c>
      <c r="I19" s="104">
        <f t="shared" si="4"/>
        <v>3360</v>
      </c>
      <c r="J19" s="104">
        <f t="shared" si="1"/>
        <v>0</v>
      </c>
      <c r="K19" s="104">
        <f t="shared" si="4"/>
        <v>1320</v>
      </c>
      <c r="L19" s="104">
        <f t="shared" si="2"/>
        <v>0</v>
      </c>
      <c r="M19" s="104">
        <f t="shared" si="4"/>
        <v>1200</v>
      </c>
      <c r="N19" s="104">
        <f t="shared" si="3"/>
        <v>0</v>
      </c>
      <c r="O19" s="104">
        <f t="shared" si="4"/>
        <v>2280</v>
      </c>
      <c r="P19" s="104">
        <f t="shared" si="5"/>
        <v>0</v>
      </c>
      <c r="Q19" s="104">
        <f t="shared" si="4"/>
        <v>8160</v>
      </c>
      <c r="S19" s="120"/>
      <c r="T19" s="183" t="s">
        <v>129</v>
      </c>
      <c r="U19" s="187"/>
      <c r="V19" s="183"/>
      <c r="W19" s="183"/>
      <c r="X19" s="139"/>
    </row>
    <row r="20" spans="2:24">
      <c r="B20" s="102">
        <v>2035</v>
      </c>
      <c r="C20" s="279">
        <v>0</v>
      </c>
      <c r="D20" s="279">
        <v>0</v>
      </c>
      <c r="E20" s="279">
        <v>0</v>
      </c>
      <c r="F20" s="279">
        <v>0</v>
      </c>
      <c r="G20" s="103">
        <f>SUM(C20:F20)</f>
        <v>0</v>
      </c>
      <c r="H20" s="104">
        <f t="shared" si="6"/>
        <v>0</v>
      </c>
      <c r="I20" s="104">
        <f t="shared" si="4"/>
        <v>3360</v>
      </c>
      <c r="J20" s="104">
        <f t="shared" si="1"/>
        <v>0</v>
      </c>
      <c r="K20" s="104">
        <f t="shared" si="4"/>
        <v>1320</v>
      </c>
      <c r="L20" s="104">
        <f t="shared" si="2"/>
        <v>0</v>
      </c>
      <c r="M20" s="104">
        <f t="shared" si="4"/>
        <v>1200</v>
      </c>
      <c r="N20" s="104">
        <f t="shared" si="3"/>
        <v>0</v>
      </c>
      <c r="O20" s="104">
        <f t="shared" si="4"/>
        <v>2280</v>
      </c>
      <c r="P20" s="104">
        <f t="shared" si="5"/>
        <v>0</v>
      </c>
      <c r="Q20" s="104">
        <f t="shared" si="4"/>
        <v>8160</v>
      </c>
      <c r="S20" s="120"/>
      <c r="T20" s="183" t="s">
        <v>64</v>
      </c>
      <c r="U20" s="191">
        <v>0</v>
      </c>
      <c r="V20" s="182">
        <v>0</v>
      </c>
      <c r="W20" s="183"/>
      <c r="X20" s="139"/>
    </row>
    <row r="21" spans="2:24">
      <c r="B21" s="102">
        <v>2036</v>
      </c>
      <c r="C21" s="279">
        <v>0</v>
      </c>
      <c r="D21" s="279">
        <v>0</v>
      </c>
      <c r="E21" s="279">
        <v>0</v>
      </c>
      <c r="F21" s="279">
        <v>0</v>
      </c>
      <c r="G21" s="103">
        <f t="shared" si="7"/>
        <v>0</v>
      </c>
      <c r="H21" s="104">
        <f t="shared" si="6"/>
        <v>0</v>
      </c>
      <c r="I21" s="104">
        <f t="shared" si="4"/>
        <v>3360</v>
      </c>
      <c r="J21" s="104">
        <f t="shared" si="1"/>
        <v>0</v>
      </c>
      <c r="K21" s="104">
        <f t="shared" si="4"/>
        <v>1320</v>
      </c>
      <c r="L21" s="104">
        <f t="shared" si="2"/>
        <v>0</v>
      </c>
      <c r="M21" s="104">
        <f t="shared" si="4"/>
        <v>1200</v>
      </c>
      <c r="N21" s="104">
        <f t="shared" si="3"/>
        <v>0</v>
      </c>
      <c r="O21" s="104">
        <f t="shared" si="4"/>
        <v>2280</v>
      </c>
      <c r="P21" s="104">
        <f t="shared" si="5"/>
        <v>0</v>
      </c>
      <c r="Q21" s="104">
        <f t="shared" si="4"/>
        <v>8160</v>
      </c>
      <c r="S21" s="120"/>
      <c r="T21" s="183" t="s">
        <v>65</v>
      </c>
      <c r="U21" s="193">
        <f>50%*0.8</f>
        <v>0.4</v>
      </c>
      <c r="V21" s="372">
        <f>Annex9_2.3_CropBudget!O28</f>
        <v>-104.5</v>
      </c>
      <c r="W21" s="183"/>
      <c r="X21" s="139"/>
    </row>
    <row r="22" spans="2:24">
      <c r="B22" s="102">
        <v>2037</v>
      </c>
      <c r="C22" s="279">
        <v>0</v>
      </c>
      <c r="D22" s="279">
        <v>0</v>
      </c>
      <c r="E22" s="279">
        <v>0</v>
      </c>
      <c r="F22" s="279">
        <v>0</v>
      </c>
      <c r="G22" s="103">
        <f t="shared" si="7"/>
        <v>0</v>
      </c>
      <c r="H22" s="104">
        <f t="shared" si="6"/>
        <v>0</v>
      </c>
      <c r="I22" s="104">
        <f t="shared" si="4"/>
        <v>3360</v>
      </c>
      <c r="J22" s="104">
        <f t="shared" si="1"/>
        <v>0</v>
      </c>
      <c r="K22" s="104">
        <f t="shared" si="4"/>
        <v>1320</v>
      </c>
      <c r="L22" s="104">
        <f t="shared" si="2"/>
        <v>0</v>
      </c>
      <c r="M22" s="104">
        <f t="shared" si="4"/>
        <v>1200</v>
      </c>
      <c r="N22" s="104">
        <f t="shared" si="3"/>
        <v>0</v>
      </c>
      <c r="O22" s="104">
        <f t="shared" si="4"/>
        <v>2280</v>
      </c>
      <c r="P22" s="104">
        <f t="shared" si="5"/>
        <v>0</v>
      </c>
      <c r="Q22" s="104">
        <f t="shared" si="4"/>
        <v>8160</v>
      </c>
      <c r="S22" s="120"/>
      <c r="T22" s="192" t="s">
        <v>114</v>
      </c>
      <c r="U22" s="191">
        <v>0.8</v>
      </c>
      <c r="V22" s="372">
        <f>Annex9_2.3_CropBudget!O29</f>
        <v>158</v>
      </c>
      <c r="W22" s="183"/>
      <c r="X22" s="139"/>
    </row>
    <row r="23" spans="2:24">
      <c r="B23" s="102">
        <v>2038</v>
      </c>
      <c r="C23" s="279">
        <v>0</v>
      </c>
      <c r="D23" s="279">
        <v>0</v>
      </c>
      <c r="E23" s="279">
        <v>0</v>
      </c>
      <c r="F23" s="279">
        <v>0</v>
      </c>
      <c r="G23" s="103">
        <f t="shared" si="7"/>
        <v>0</v>
      </c>
      <c r="H23" s="104">
        <f t="shared" si="6"/>
        <v>0</v>
      </c>
      <c r="I23" s="104">
        <f t="shared" si="4"/>
        <v>3360</v>
      </c>
      <c r="J23" s="104">
        <f t="shared" si="1"/>
        <v>0</v>
      </c>
      <c r="K23" s="104">
        <f t="shared" si="4"/>
        <v>1320</v>
      </c>
      <c r="L23" s="104">
        <f t="shared" si="2"/>
        <v>0</v>
      </c>
      <c r="M23" s="104">
        <f t="shared" si="4"/>
        <v>1200</v>
      </c>
      <c r="N23" s="104">
        <f t="shared" si="3"/>
        <v>0</v>
      </c>
      <c r="O23" s="104">
        <f t="shared" si="4"/>
        <v>2280</v>
      </c>
      <c r="P23" s="104">
        <f t="shared" si="5"/>
        <v>0</v>
      </c>
      <c r="Q23" s="104">
        <f t="shared" si="4"/>
        <v>8160</v>
      </c>
      <c r="S23" s="120"/>
      <c r="T23" s="183"/>
      <c r="U23" s="183"/>
      <c r="V23" s="183"/>
      <c r="W23" s="183"/>
      <c r="X23" s="139"/>
    </row>
    <row r="24" spans="2:24">
      <c r="B24" s="102">
        <v>2039</v>
      </c>
      <c r="C24" s="279">
        <v>0</v>
      </c>
      <c r="D24" s="279">
        <v>0</v>
      </c>
      <c r="E24" s="279">
        <v>0</v>
      </c>
      <c r="F24" s="279">
        <v>0</v>
      </c>
      <c r="G24" s="103">
        <f t="shared" si="7"/>
        <v>0</v>
      </c>
      <c r="H24" s="104">
        <f t="shared" si="6"/>
        <v>0</v>
      </c>
      <c r="I24" s="104">
        <f t="shared" si="4"/>
        <v>3360</v>
      </c>
      <c r="J24" s="104">
        <f t="shared" si="1"/>
        <v>0</v>
      </c>
      <c r="K24" s="104">
        <f t="shared" si="4"/>
        <v>1320</v>
      </c>
      <c r="L24" s="104">
        <f t="shared" si="2"/>
        <v>0</v>
      </c>
      <c r="M24" s="104">
        <f t="shared" si="4"/>
        <v>1200</v>
      </c>
      <c r="N24" s="104">
        <f t="shared" si="3"/>
        <v>0</v>
      </c>
      <c r="O24" s="104">
        <f t="shared" si="4"/>
        <v>2280</v>
      </c>
      <c r="P24" s="104">
        <f t="shared" si="5"/>
        <v>0</v>
      </c>
      <c r="Q24" s="104">
        <f t="shared" si="4"/>
        <v>8160</v>
      </c>
      <c r="S24" s="120"/>
      <c r="T24" s="183" t="s">
        <v>130</v>
      </c>
      <c r="U24" s="183"/>
      <c r="V24" s="183"/>
      <c r="W24" s="183"/>
      <c r="X24" s="139"/>
    </row>
    <row r="25" spans="2:24">
      <c r="B25" s="102">
        <v>2040</v>
      </c>
      <c r="C25" s="279">
        <v>0</v>
      </c>
      <c r="D25" s="279">
        <v>0</v>
      </c>
      <c r="E25" s="279">
        <v>0</v>
      </c>
      <c r="F25" s="279">
        <v>0</v>
      </c>
      <c r="G25" s="103">
        <f t="shared" si="7"/>
        <v>0</v>
      </c>
      <c r="H25" s="104">
        <f t="shared" si="6"/>
        <v>0</v>
      </c>
      <c r="I25" s="104">
        <f t="shared" si="4"/>
        <v>3360</v>
      </c>
      <c r="J25" s="104">
        <f t="shared" si="1"/>
        <v>0</v>
      </c>
      <c r="K25" s="104">
        <f t="shared" si="4"/>
        <v>1320</v>
      </c>
      <c r="L25" s="104">
        <f t="shared" si="2"/>
        <v>0</v>
      </c>
      <c r="M25" s="104">
        <f t="shared" si="4"/>
        <v>1200</v>
      </c>
      <c r="N25" s="104">
        <f t="shared" si="3"/>
        <v>0</v>
      </c>
      <c r="O25" s="104">
        <f t="shared" si="4"/>
        <v>2280</v>
      </c>
      <c r="P25" s="104">
        <f t="shared" si="5"/>
        <v>0</v>
      </c>
      <c r="Q25" s="104">
        <f t="shared" si="4"/>
        <v>8160</v>
      </c>
      <c r="S25" s="120"/>
      <c r="T25" s="183" t="s">
        <v>64</v>
      </c>
      <c r="U25" s="191">
        <v>0</v>
      </c>
      <c r="V25" s="182">
        <v>0</v>
      </c>
      <c r="W25" s="183"/>
      <c r="X25" s="139"/>
    </row>
    <row r="26" spans="2:24">
      <c r="B26" s="108" t="s">
        <v>66</v>
      </c>
      <c r="C26" s="279">
        <f>SUM(C6:C25)</f>
        <v>28</v>
      </c>
      <c r="D26" s="279">
        <f t="shared" ref="D26:N26" si="8">SUM(D6:D25)</f>
        <v>11</v>
      </c>
      <c r="E26" s="279">
        <f t="shared" si="8"/>
        <v>10</v>
      </c>
      <c r="F26" s="279">
        <f t="shared" si="8"/>
        <v>19</v>
      </c>
      <c r="G26" s="103">
        <f>SUM(G6:G25)</f>
        <v>68</v>
      </c>
      <c r="H26" s="104">
        <f>SUM(H6:H25)</f>
        <v>3360</v>
      </c>
      <c r="I26" s="104"/>
      <c r="J26" s="104">
        <f>SUM(J6:J25)</f>
        <v>1320</v>
      </c>
      <c r="K26" s="104"/>
      <c r="L26" s="104">
        <f t="shared" si="8"/>
        <v>1200</v>
      </c>
      <c r="M26" s="104"/>
      <c r="N26" s="104">
        <f t="shared" si="8"/>
        <v>2280</v>
      </c>
      <c r="O26" s="104"/>
      <c r="P26" s="104">
        <f>SUM(P6:P25)</f>
        <v>8160</v>
      </c>
      <c r="Q26" s="104"/>
      <c r="S26" s="120"/>
      <c r="T26" s="183" t="s">
        <v>65</v>
      </c>
      <c r="U26" s="193">
        <f>50%*0.8</f>
        <v>0.4</v>
      </c>
      <c r="V26" s="372">
        <f>Annex9_2.3_CropBudget!O28</f>
        <v>-104.5</v>
      </c>
      <c r="W26" s="183"/>
      <c r="X26" s="139"/>
    </row>
    <row r="27" spans="2:24">
      <c r="B27" s="377" t="s">
        <v>223</v>
      </c>
      <c r="C27" s="110"/>
      <c r="D27" s="110"/>
      <c r="E27" s="110"/>
      <c r="F27" s="110"/>
      <c r="G27" s="110"/>
      <c r="H27" s="111"/>
      <c r="I27" s="111"/>
      <c r="J27" s="111"/>
      <c r="K27" s="111"/>
      <c r="L27" s="111"/>
      <c r="S27" s="120"/>
      <c r="T27" s="192" t="s">
        <v>114</v>
      </c>
      <c r="U27" s="191">
        <v>0.8</v>
      </c>
      <c r="V27" s="372">
        <f>Annex9_2.3_CropBudget!O29</f>
        <v>158</v>
      </c>
      <c r="W27" s="183"/>
      <c r="X27" s="139"/>
    </row>
    <row r="28" spans="2:24" ht="13" thickBot="1">
      <c r="B28" s="109"/>
      <c r="C28" s="110"/>
      <c r="D28" s="110"/>
      <c r="E28" s="110"/>
      <c r="F28" s="110"/>
      <c r="G28" s="110"/>
      <c r="H28" s="111"/>
      <c r="I28" s="111"/>
      <c r="J28" s="111"/>
      <c r="K28" s="111"/>
      <c r="L28" s="111"/>
      <c r="S28" s="136"/>
      <c r="T28" s="137"/>
      <c r="U28" s="137"/>
      <c r="V28" s="137"/>
      <c r="W28" s="137"/>
      <c r="X28" s="140"/>
    </row>
    <row r="29" spans="2:24">
      <c r="B29" s="96"/>
      <c r="C29" s="459" t="s">
        <v>219</v>
      </c>
      <c r="D29" s="460"/>
      <c r="E29" s="460"/>
      <c r="F29" s="460"/>
      <c r="G29" s="461"/>
      <c r="H29" s="462" t="s">
        <v>67</v>
      </c>
      <c r="I29" s="463"/>
      <c r="J29" s="463"/>
      <c r="K29" s="463"/>
      <c r="L29" s="464"/>
      <c r="S29" s="183"/>
      <c r="T29" s="183"/>
      <c r="U29" s="187"/>
      <c r="V29" s="183"/>
      <c r="W29" s="183"/>
      <c r="X29" s="183"/>
    </row>
    <row r="30" spans="2:24">
      <c r="B30" s="99"/>
      <c r="C30" s="100" t="s">
        <v>56</v>
      </c>
      <c r="D30" s="100" t="s">
        <v>57</v>
      </c>
      <c r="E30" s="100" t="s">
        <v>58</v>
      </c>
      <c r="F30" s="100" t="s">
        <v>59</v>
      </c>
      <c r="G30" s="101" t="s">
        <v>68</v>
      </c>
      <c r="H30" s="100" t="s">
        <v>56</v>
      </c>
      <c r="I30" s="100" t="s">
        <v>57</v>
      </c>
      <c r="J30" s="100" t="s">
        <v>58</v>
      </c>
      <c r="K30" s="100" t="s">
        <v>59</v>
      </c>
      <c r="L30" s="101" t="s">
        <v>60</v>
      </c>
      <c r="S30" s="183"/>
      <c r="U30" s="115" t="s">
        <v>107</v>
      </c>
      <c r="V30" s="183"/>
      <c r="W30" s="183"/>
      <c r="X30" s="183"/>
    </row>
    <row r="31" spans="2:24">
      <c r="B31" s="102">
        <v>2021</v>
      </c>
      <c r="C31" s="103">
        <f>H6*$U$4</f>
        <v>0</v>
      </c>
      <c r="D31" s="103">
        <f>J6*$U$4</f>
        <v>0</v>
      </c>
      <c r="E31" s="103">
        <f>L6*$U$4</f>
        <v>0</v>
      </c>
      <c r="F31" s="103">
        <f>N6*$U$4</f>
        <v>0</v>
      </c>
      <c r="G31" s="112">
        <f t="shared" ref="G31:G36" si="9">SUM(C31:F31)</f>
        <v>0</v>
      </c>
      <c r="H31" s="103">
        <f>C31*$U$5*$U$15</f>
        <v>0</v>
      </c>
      <c r="I31" s="103">
        <f>D31*$U$5*$U$15</f>
        <v>0</v>
      </c>
      <c r="J31" s="103">
        <f>E31*$U$8*$U$15</f>
        <v>0</v>
      </c>
      <c r="K31" s="103">
        <f>F31*$U$9*$U$15</f>
        <v>0</v>
      </c>
      <c r="L31" s="112">
        <f>SUM(H31:K31)</f>
        <v>0</v>
      </c>
      <c r="S31" s="183"/>
      <c r="T31" s="95" t="s">
        <v>103</v>
      </c>
      <c r="U31" s="246">
        <v>19</v>
      </c>
      <c r="V31" s="183"/>
    </row>
    <row r="32" spans="2:24">
      <c r="B32" s="102">
        <v>2022</v>
      </c>
      <c r="C32" s="103">
        <f>C31+H7*$U$4</f>
        <v>120</v>
      </c>
      <c r="D32" s="103">
        <f t="shared" ref="D32:D50" si="10">D31+J7*$U$4</f>
        <v>60</v>
      </c>
      <c r="E32" s="103">
        <f t="shared" ref="E32:E50" si="11">E31+L7*$U$4</f>
        <v>60</v>
      </c>
      <c r="F32" s="103">
        <f t="shared" ref="F32:F50" si="12">F31+N7*$U$4</f>
        <v>120</v>
      </c>
      <c r="G32" s="112">
        <f>SUM(C32:F32)</f>
        <v>360</v>
      </c>
      <c r="H32" s="103">
        <f>C31*$U$5*$U$16+(C32-C31)*$U$5*$U$15</f>
        <v>0</v>
      </c>
      <c r="I32" s="103">
        <f>D31*$U$5*$U$16+(D32-D31)*$U$5*$U$15</f>
        <v>0</v>
      </c>
      <c r="J32" s="103">
        <f>E31*$U$8*$U$16+(E32-E31)*$U$8*$U$15</f>
        <v>0</v>
      </c>
      <c r="K32" s="103">
        <f>F31*$U$9*$U$16+(F32-F31)*$U$9*$U$15</f>
        <v>0</v>
      </c>
      <c r="L32" s="112">
        <f>SUM(H32:K32)</f>
        <v>0</v>
      </c>
      <c r="S32" s="183"/>
      <c r="T32" s="95" t="s">
        <v>104</v>
      </c>
      <c r="U32" s="246">
        <v>10</v>
      </c>
      <c r="V32" s="183"/>
    </row>
    <row r="33" spans="2:22">
      <c r="B33" s="102">
        <v>2023</v>
      </c>
      <c r="C33" s="103">
        <f t="shared" ref="C33:C50" si="13">C32+H8*$U$4</f>
        <v>480</v>
      </c>
      <c r="D33" s="103">
        <f t="shared" si="10"/>
        <v>240</v>
      </c>
      <c r="E33" s="103">
        <f t="shared" si="11"/>
        <v>180</v>
      </c>
      <c r="F33" s="103">
        <f t="shared" si="12"/>
        <v>360</v>
      </c>
      <c r="G33" s="112">
        <f t="shared" si="9"/>
        <v>1260</v>
      </c>
      <c r="H33" s="103">
        <f>C31*$U$5*$U$17+(C32-C31)*$U$5*$U$16+(C33-C32-C31)*$U$5*$U$15</f>
        <v>57.6</v>
      </c>
      <c r="I33" s="103">
        <f>D31*$U$5*$U$17+(D32-D31)*$U$5*$U$16+(D33-D32-D31)*$U$5*$U$15</f>
        <v>28.8</v>
      </c>
      <c r="J33" s="103">
        <f>E31*$U$8*$U$17+(E32-E31)*$U$8*$U$16+(E33-E32-E31)*$U$8*$U$15</f>
        <v>24</v>
      </c>
      <c r="K33" s="103">
        <f t="shared" ref="K33:K50" si="14">F31*$U$9*$U$17+(F32-F31)*$U$9*$U$16+(F33-F32-F31)*$U$9*$U$15</f>
        <v>48</v>
      </c>
      <c r="L33" s="112">
        <f>SUM(H33:K33)</f>
        <v>158.4</v>
      </c>
      <c r="S33" s="183"/>
      <c r="T33" s="95" t="s">
        <v>105</v>
      </c>
      <c r="U33" s="246">
        <v>28</v>
      </c>
      <c r="V33" s="183"/>
    </row>
    <row r="34" spans="2:22">
      <c r="B34" s="102">
        <v>2024</v>
      </c>
      <c r="C34" s="103">
        <f>C33+H9*$U$4</f>
        <v>1020</v>
      </c>
      <c r="D34" s="103">
        <f t="shared" si="10"/>
        <v>420</v>
      </c>
      <c r="E34" s="103">
        <f t="shared" si="11"/>
        <v>360</v>
      </c>
      <c r="F34" s="103">
        <f t="shared" si="12"/>
        <v>720</v>
      </c>
      <c r="G34" s="112">
        <f t="shared" si="9"/>
        <v>2520</v>
      </c>
      <c r="H34" s="103">
        <f>C32*$U$17*$U$5+(C33-C32)*$U$5*$U$16+(C34-C33)*$U$5*$U$15</f>
        <v>288</v>
      </c>
      <c r="I34" s="103">
        <f t="shared" ref="I34:I50" si="15">D32*$U$17*$U$5+(D33-D32)*$U$5*$U$16+(D34-D33)*$U$5*$U$15</f>
        <v>144</v>
      </c>
      <c r="J34" s="103">
        <f t="shared" ref="J34:J50" si="16">E32*$U$17*$U$8+(E33-E32)*$U$8*$U$16+(E34-E33)*$U$8*$U$15</f>
        <v>96</v>
      </c>
      <c r="K34" s="103">
        <f t="shared" si="14"/>
        <v>192</v>
      </c>
      <c r="L34" s="112">
        <f t="shared" ref="L34:L49" si="17">SUM(H34:K34)</f>
        <v>720</v>
      </c>
      <c r="S34" s="183"/>
      <c r="T34" s="95" t="s">
        <v>106</v>
      </c>
      <c r="U34" s="246">
        <v>11</v>
      </c>
      <c r="V34" s="183"/>
    </row>
    <row r="35" spans="2:22">
      <c r="B35" s="102">
        <v>2025</v>
      </c>
      <c r="C35" s="103">
        <f>C34+H10*$U$4</f>
        <v>1500</v>
      </c>
      <c r="D35" s="103">
        <f t="shared" si="10"/>
        <v>600</v>
      </c>
      <c r="E35" s="103">
        <f t="shared" si="11"/>
        <v>540</v>
      </c>
      <c r="F35" s="103">
        <f t="shared" si="12"/>
        <v>1080</v>
      </c>
      <c r="G35" s="112">
        <f t="shared" si="9"/>
        <v>3720</v>
      </c>
      <c r="H35" s="103">
        <f t="shared" ref="H35:H50" si="18">C33*$U$17*$U$5+(C34-C33)*$U$5*$U$16+(C35-C34)*$U$5*$U$15</f>
        <v>720</v>
      </c>
      <c r="I35" s="103">
        <f t="shared" si="15"/>
        <v>316.79999999999995</v>
      </c>
      <c r="J35" s="103">
        <f t="shared" si="16"/>
        <v>216</v>
      </c>
      <c r="K35" s="103">
        <f t="shared" si="14"/>
        <v>432</v>
      </c>
      <c r="L35" s="112">
        <f t="shared" si="17"/>
        <v>1684.8</v>
      </c>
      <c r="S35" s="183"/>
      <c r="T35" s="95" t="s">
        <v>91</v>
      </c>
      <c r="U35" s="246">
        <f>SUM(U31:U34)</f>
        <v>68</v>
      </c>
      <c r="V35" s="183"/>
    </row>
    <row r="36" spans="2:22">
      <c r="B36" s="102">
        <v>2026</v>
      </c>
      <c r="C36" s="103">
        <f>C35+H11*$U$4</f>
        <v>1680</v>
      </c>
      <c r="D36" s="103">
        <f t="shared" si="10"/>
        <v>660</v>
      </c>
      <c r="E36" s="103">
        <f t="shared" si="11"/>
        <v>600</v>
      </c>
      <c r="F36" s="103">
        <f t="shared" si="12"/>
        <v>1140</v>
      </c>
      <c r="G36" s="112">
        <f t="shared" si="9"/>
        <v>4080</v>
      </c>
      <c r="H36" s="103">
        <f t="shared" si="18"/>
        <v>1209.5999999999999</v>
      </c>
      <c r="I36" s="103">
        <f t="shared" si="15"/>
        <v>489.6</v>
      </c>
      <c r="J36" s="103">
        <f t="shared" si="16"/>
        <v>360</v>
      </c>
      <c r="K36" s="103">
        <f t="shared" si="14"/>
        <v>720</v>
      </c>
      <c r="L36" s="112">
        <f t="shared" si="17"/>
        <v>2779.2</v>
      </c>
      <c r="S36" s="183"/>
      <c r="T36" s="183"/>
      <c r="U36" s="187"/>
      <c r="V36" s="183"/>
    </row>
    <row r="37" spans="2:22">
      <c r="B37" s="102">
        <v>2027</v>
      </c>
      <c r="C37" s="103">
        <f t="shared" si="13"/>
        <v>1680</v>
      </c>
      <c r="D37" s="103">
        <f t="shared" si="10"/>
        <v>660</v>
      </c>
      <c r="E37" s="103">
        <f t="shared" si="11"/>
        <v>600</v>
      </c>
      <c r="F37" s="103">
        <f t="shared" si="12"/>
        <v>1140</v>
      </c>
      <c r="G37" s="112">
        <f>SUM(C37:F37)</f>
        <v>4080</v>
      </c>
      <c r="H37" s="103">
        <f t="shared" si="18"/>
        <v>1526.4</v>
      </c>
      <c r="I37" s="103">
        <f t="shared" si="15"/>
        <v>604.79999999999995</v>
      </c>
      <c r="J37" s="103">
        <f t="shared" si="16"/>
        <v>456</v>
      </c>
      <c r="K37" s="103">
        <f>F35*$U$9*$U$17+(F36-F35)*$U$9*$U$16+(F37-F36-F35)*$U$9*$U$15</f>
        <v>888</v>
      </c>
      <c r="L37" s="112">
        <f t="shared" si="17"/>
        <v>3475.2</v>
      </c>
      <c r="S37" s="183"/>
      <c r="T37" s="183"/>
      <c r="U37" s="187"/>
      <c r="V37" s="183"/>
    </row>
    <row r="38" spans="2:22">
      <c r="B38" s="102">
        <v>2028</v>
      </c>
      <c r="C38" s="103">
        <f t="shared" si="13"/>
        <v>1680</v>
      </c>
      <c r="D38" s="103">
        <f t="shared" si="10"/>
        <v>660</v>
      </c>
      <c r="E38" s="103">
        <f t="shared" si="11"/>
        <v>600</v>
      </c>
      <c r="F38" s="103">
        <f t="shared" si="12"/>
        <v>1140</v>
      </c>
      <c r="G38" s="112">
        <f t="shared" ref="G38:G50" si="19">SUM(C38:F38)</f>
        <v>4080</v>
      </c>
      <c r="H38" s="103">
        <f t="shared" si="18"/>
        <v>1612.8</v>
      </c>
      <c r="I38" s="103">
        <f t="shared" si="15"/>
        <v>633.6</v>
      </c>
      <c r="J38" s="103">
        <f t="shared" si="16"/>
        <v>480</v>
      </c>
      <c r="K38" s="103">
        <f t="shared" si="14"/>
        <v>912</v>
      </c>
      <c r="L38" s="112">
        <f t="shared" si="17"/>
        <v>3638.4</v>
      </c>
      <c r="S38" s="183"/>
      <c r="T38" s="183"/>
      <c r="U38" s="187"/>
      <c r="V38" s="183"/>
    </row>
    <row r="39" spans="2:22">
      <c r="B39" s="102">
        <v>2029</v>
      </c>
      <c r="C39" s="103">
        <f t="shared" si="13"/>
        <v>1680</v>
      </c>
      <c r="D39" s="103">
        <f t="shared" si="10"/>
        <v>660</v>
      </c>
      <c r="E39" s="103">
        <f t="shared" si="11"/>
        <v>600</v>
      </c>
      <c r="F39" s="103">
        <f t="shared" si="12"/>
        <v>1140</v>
      </c>
      <c r="G39" s="112">
        <f t="shared" si="19"/>
        <v>4080</v>
      </c>
      <c r="H39" s="103">
        <f>C37*$U$17*$U$5+(C38-C37)*$U$5*$U$16+(C39-C38)*$U$5*$U$15</f>
        <v>1612.8</v>
      </c>
      <c r="I39" s="103">
        <f t="shared" si="15"/>
        <v>633.6</v>
      </c>
      <c r="J39" s="103">
        <f t="shared" si="16"/>
        <v>480</v>
      </c>
      <c r="K39" s="103">
        <f t="shared" si="14"/>
        <v>912</v>
      </c>
      <c r="L39" s="112">
        <f t="shared" si="17"/>
        <v>3638.4</v>
      </c>
    </row>
    <row r="40" spans="2:22">
      <c r="B40" s="102">
        <v>2030</v>
      </c>
      <c r="C40" s="103">
        <f t="shared" si="13"/>
        <v>1680</v>
      </c>
      <c r="D40" s="103">
        <f t="shared" si="10"/>
        <v>660</v>
      </c>
      <c r="E40" s="103">
        <f t="shared" si="11"/>
        <v>600</v>
      </c>
      <c r="F40" s="103">
        <f t="shared" si="12"/>
        <v>1140</v>
      </c>
      <c r="G40" s="112">
        <f t="shared" si="19"/>
        <v>4080</v>
      </c>
      <c r="H40" s="103">
        <f t="shared" si="18"/>
        <v>1612.8</v>
      </c>
      <c r="I40" s="103">
        <f t="shared" si="15"/>
        <v>633.6</v>
      </c>
      <c r="J40" s="103">
        <f t="shared" si="16"/>
        <v>480</v>
      </c>
      <c r="K40" s="103">
        <f t="shared" si="14"/>
        <v>912</v>
      </c>
      <c r="L40" s="112">
        <f t="shared" si="17"/>
        <v>3638.4</v>
      </c>
    </row>
    <row r="41" spans="2:22">
      <c r="B41" s="102">
        <v>2031</v>
      </c>
      <c r="C41" s="103">
        <f t="shared" si="13"/>
        <v>1680</v>
      </c>
      <c r="D41" s="103">
        <f t="shared" si="10"/>
        <v>660</v>
      </c>
      <c r="E41" s="103">
        <f t="shared" si="11"/>
        <v>600</v>
      </c>
      <c r="F41" s="103">
        <f t="shared" si="12"/>
        <v>1140</v>
      </c>
      <c r="G41" s="112">
        <f t="shared" si="19"/>
        <v>4080</v>
      </c>
      <c r="H41" s="103">
        <f t="shared" si="18"/>
        <v>1612.8</v>
      </c>
      <c r="I41" s="103">
        <f t="shared" si="15"/>
        <v>633.6</v>
      </c>
      <c r="J41" s="103">
        <f t="shared" si="16"/>
        <v>480</v>
      </c>
      <c r="K41" s="103">
        <f t="shared" si="14"/>
        <v>912</v>
      </c>
      <c r="L41" s="112">
        <f t="shared" si="17"/>
        <v>3638.4</v>
      </c>
    </row>
    <row r="42" spans="2:22">
      <c r="B42" s="102">
        <v>2032</v>
      </c>
      <c r="C42" s="103">
        <f t="shared" si="13"/>
        <v>1680</v>
      </c>
      <c r="D42" s="103">
        <f t="shared" si="10"/>
        <v>660</v>
      </c>
      <c r="E42" s="103">
        <f t="shared" si="11"/>
        <v>600</v>
      </c>
      <c r="F42" s="103">
        <f t="shared" si="12"/>
        <v>1140</v>
      </c>
      <c r="G42" s="112">
        <f t="shared" si="19"/>
        <v>4080</v>
      </c>
      <c r="H42" s="103">
        <f t="shared" si="18"/>
        <v>1612.8</v>
      </c>
      <c r="I42" s="103">
        <f t="shared" si="15"/>
        <v>633.6</v>
      </c>
      <c r="J42" s="103">
        <f t="shared" si="16"/>
        <v>480</v>
      </c>
      <c r="K42" s="103">
        <f t="shared" si="14"/>
        <v>912</v>
      </c>
      <c r="L42" s="112">
        <f t="shared" si="17"/>
        <v>3638.4</v>
      </c>
    </row>
    <row r="43" spans="2:22">
      <c r="B43" s="102">
        <v>2033</v>
      </c>
      <c r="C43" s="103">
        <f t="shared" si="13"/>
        <v>1680</v>
      </c>
      <c r="D43" s="103">
        <f t="shared" si="10"/>
        <v>660</v>
      </c>
      <c r="E43" s="103">
        <f t="shared" si="11"/>
        <v>600</v>
      </c>
      <c r="F43" s="103">
        <f t="shared" si="12"/>
        <v>1140</v>
      </c>
      <c r="G43" s="112">
        <f t="shared" si="19"/>
        <v>4080</v>
      </c>
      <c r="H43" s="103">
        <f t="shared" si="18"/>
        <v>1612.8</v>
      </c>
      <c r="I43" s="103">
        <f t="shared" si="15"/>
        <v>633.6</v>
      </c>
      <c r="J43" s="103">
        <f t="shared" si="16"/>
        <v>480</v>
      </c>
      <c r="K43" s="103">
        <f t="shared" si="14"/>
        <v>912</v>
      </c>
      <c r="L43" s="112">
        <f t="shared" si="17"/>
        <v>3638.4</v>
      </c>
    </row>
    <row r="44" spans="2:22">
      <c r="B44" s="102">
        <v>2034</v>
      </c>
      <c r="C44" s="103">
        <f t="shared" si="13"/>
        <v>1680</v>
      </c>
      <c r="D44" s="103">
        <f t="shared" si="10"/>
        <v>660</v>
      </c>
      <c r="E44" s="103">
        <f t="shared" si="11"/>
        <v>600</v>
      </c>
      <c r="F44" s="103">
        <f t="shared" si="12"/>
        <v>1140</v>
      </c>
      <c r="G44" s="112">
        <f t="shared" si="19"/>
        <v>4080</v>
      </c>
      <c r="H44" s="103">
        <f t="shared" si="18"/>
        <v>1612.8</v>
      </c>
      <c r="I44" s="103">
        <f t="shared" si="15"/>
        <v>633.6</v>
      </c>
      <c r="J44" s="103">
        <f t="shared" si="16"/>
        <v>480</v>
      </c>
      <c r="K44" s="103">
        <f t="shared" si="14"/>
        <v>912</v>
      </c>
      <c r="L44" s="112">
        <f t="shared" si="17"/>
        <v>3638.4</v>
      </c>
    </row>
    <row r="45" spans="2:22">
      <c r="B45" s="102">
        <v>2035</v>
      </c>
      <c r="C45" s="103">
        <f t="shared" si="13"/>
        <v>1680</v>
      </c>
      <c r="D45" s="103">
        <f t="shared" si="10"/>
        <v>660</v>
      </c>
      <c r="E45" s="103">
        <f t="shared" si="11"/>
        <v>600</v>
      </c>
      <c r="F45" s="103">
        <f t="shared" si="12"/>
        <v>1140</v>
      </c>
      <c r="G45" s="112">
        <f t="shared" si="19"/>
        <v>4080</v>
      </c>
      <c r="H45" s="103">
        <f t="shared" si="18"/>
        <v>1612.8</v>
      </c>
      <c r="I45" s="103">
        <f t="shared" si="15"/>
        <v>633.6</v>
      </c>
      <c r="J45" s="103">
        <f t="shared" si="16"/>
        <v>480</v>
      </c>
      <c r="K45" s="103">
        <f t="shared" si="14"/>
        <v>912</v>
      </c>
      <c r="L45" s="112">
        <f t="shared" si="17"/>
        <v>3638.4</v>
      </c>
    </row>
    <row r="46" spans="2:22">
      <c r="B46" s="102">
        <v>2036</v>
      </c>
      <c r="C46" s="103">
        <f t="shared" si="13"/>
        <v>1680</v>
      </c>
      <c r="D46" s="103">
        <f t="shared" si="10"/>
        <v>660</v>
      </c>
      <c r="E46" s="103">
        <f t="shared" si="11"/>
        <v>600</v>
      </c>
      <c r="F46" s="103">
        <f t="shared" si="12"/>
        <v>1140</v>
      </c>
      <c r="G46" s="112">
        <f t="shared" si="19"/>
        <v>4080</v>
      </c>
      <c r="H46" s="103">
        <f t="shared" si="18"/>
        <v>1612.8</v>
      </c>
      <c r="I46" s="103">
        <f t="shared" si="15"/>
        <v>633.6</v>
      </c>
      <c r="J46" s="103">
        <f t="shared" si="16"/>
        <v>480</v>
      </c>
      <c r="K46" s="103">
        <f t="shared" si="14"/>
        <v>912</v>
      </c>
      <c r="L46" s="112">
        <f t="shared" si="17"/>
        <v>3638.4</v>
      </c>
    </row>
    <row r="47" spans="2:22">
      <c r="B47" s="102">
        <v>2037</v>
      </c>
      <c r="C47" s="103">
        <f t="shared" si="13"/>
        <v>1680</v>
      </c>
      <c r="D47" s="103">
        <f t="shared" si="10"/>
        <v>660</v>
      </c>
      <c r="E47" s="103">
        <f t="shared" si="11"/>
        <v>600</v>
      </c>
      <c r="F47" s="103">
        <f t="shared" si="12"/>
        <v>1140</v>
      </c>
      <c r="G47" s="112">
        <f t="shared" si="19"/>
        <v>4080</v>
      </c>
      <c r="H47" s="103">
        <f t="shared" si="18"/>
        <v>1612.8</v>
      </c>
      <c r="I47" s="103">
        <f t="shared" si="15"/>
        <v>633.6</v>
      </c>
      <c r="J47" s="103">
        <f t="shared" si="16"/>
        <v>480</v>
      </c>
      <c r="K47" s="103">
        <f t="shared" si="14"/>
        <v>912</v>
      </c>
      <c r="L47" s="112">
        <f t="shared" si="17"/>
        <v>3638.4</v>
      </c>
    </row>
    <row r="48" spans="2:22">
      <c r="B48" s="102">
        <v>2038</v>
      </c>
      <c r="C48" s="103">
        <f t="shared" si="13"/>
        <v>1680</v>
      </c>
      <c r="D48" s="103">
        <f t="shared" si="10"/>
        <v>660</v>
      </c>
      <c r="E48" s="103">
        <f t="shared" si="11"/>
        <v>600</v>
      </c>
      <c r="F48" s="103">
        <f t="shared" si="12"/>
        <v>1140</v>
      </c>
      <c r="G48" s="112">
        <f t="shared" si="19"/>
        <v>4080</v>
      </c>
      <c r="H48" s="103">
        <f t="shared" si="18"/>
        <v>1612.8</v>
      </c>
      <c r="I48" s="103">
        <f t="shared" si="15"/>
        <v>633.6</v>
      </c>
      <c r="J48" s="103">
        <f t="shared" si="16"/>
        <v>480</v>
      </c>
      <c r="K48" s="103">
        <f t="shared" si="14"/>
        <v>912</v>
      </c>
      <c r="L48" s="112">
        <f t="shared" si="17"/>
        <v>3638.4</v>
      </c>
    </row>
    <row r="49" spans="2:12">
      <c r="B49" s="102">
        <v>2039</v>
      </c>
      <c r="C49" s="103">
        <f t="shared" si="13"/>
        <v>1680</v>
      </c>
      <c r="D49" s="103">
        <f t="shared" si="10"/>
        <v>660</v>
      </c>
      <c r="E49" s="103">
        <f t="shared" si="11"/>
        <v>600</v>
      </c>
      <c r="F49" s="103">
        <f t="shared" si="12"/>
        <v>1140</v>
      </c>
      <c r="G49" s="112">
        <f t="shared" si="19"/>
        <v>4080</v>
      </c>
      <c r="H49" s="103">
        <f t="shared" si="18"/>
        <v>1612.8</v>
      </c>
      <c r="I49" s="103">
        <f t="shared" si="15"/>
        <v>633.6</v>
      </c>
      <c r="J49" s="103">
        <f t="shared" si="16"/>
        <v>480</v>
      </c>
      <c r="K49" s="103">
        <f t="shared" si="14"/>
        <v>912</v>
      </c>
      <c r="L49" s="112">
        <f t="shared" si="17"/>
        <v>3638.4</v>
      </c>
    </row>
    <row r="50" spans="2:12">
      <c r="B50" s="102">
        <v>2040</v>
      </c>
      <c r="C50" s="103">
        <f t="shared" si="13"/>
        <v>1680</v>
      </c>
      <c r="D50" s="103">
        <f t="shared" si="10"/>
        <v>660</v>
      </c>
      <c r="E50" s="103">
        <f t="shared" si="11"/>
        <v>600</v>
      </c>
      <c r="F50" s="103">
        <f t="shared" si="12"/>
        <v>1140</v>
      </c>
      <c r="G50" s="112">
        <f t="shared" si="19"/>
        <v>4080</v>
      </c>
      <c r="H50" s="103">
        <f t="shared" si="18"/>
        <v>1612.8</v>
      </c>
      <c r="I50" s="103">
        <f t="shared" si="15"/>
        <v>633.6</v>
      </c>
      <c r="J50" s="103">
        <f t="shared" si="16"/>
        <v>480</v>
      </c>
      <c r="K50" s="103">
        <f t="shared" si="14"/>
        <v>912</v>
      </c>
      <c r="L50" s="112">
        <f>SUM(H50:K50)</f>
        <v>3638.4</v>
      </c>
    </row>
    <row r="51" spans="2:12">
      <c r="B51" s="190"/>
      <c r="C51" s="189"/>
      <c r="D51" s="189"/>
      <c r="E51" s="189"/>
      <c r="F51" s="189"/>
      <c r="G51" s="108" t="s">
        <v>66</v>
      </c>
      <c r="H51" s="103">
        <f>SUM(H31:H50)</f>
        <v>24767.999999999993</v>
      </c>
      <c r="I51" s="103">
        <f>SUM(I31:I50)</f>
        <v>9820.8000000000029</v>
      </c>
      <c r="J51" s="103">
        <f>SUM(J31:J50)</f>
        <v>7392</v>
      </c>
      <c r="K51" s="103">
        <f>SUM(K31:K50)</f>
        <v>14136</v>
      </c>
      <c r="L51" s="103">
        <f>SUM(L31:L50)</f>
        <v>56116.80000000001</v>
      </c>
    </row>
    <row r="52" spans="2:12">
      <c r="B52" s="345"/>
      <c r="C52" s="346"/>
      <c r="D52" s="346"/>
      <c r="E52" s="346"/>
      <c r="F52" s="346"/>
      <c r="G52" s="345"/>
      <c r="H52" s="346"/>
      <c r="I52" s="346"/>
      <c r="J52" s="346"/>
      <c r="K52" s="346"/>
      <c r="L52" s="346"/>
    </row>
    <row r="55" spans="2:12">
      <c r="B55" s="96"/>
      <c r="C55" s="456" t="s">
        <v>69</v>
      </c>
      <c r="D55" s="457"/>
      <c r="E55" s="457"/>
      <c r="F55" s="457"/>
      <c r="G55" s="113"/>
    </row>
    <row r="56" spans="2:12">
      <c r="B56" s="99"/>
      <c r="C56" s="100" t="s">
        <v>56</v>
      </c>
      <c r="D56" s="100" t="s">
        <v>57</v>
      </c>
      <c r="E56" s="100" t="s">
        <v>58</v>
      </c>
      <c r="F56" s="100" t="s">
        <v>59</v>
      </c>
      <c r="G56" s="269" t="s">
        <v>60</v>
      </c>
    </row>
    <row r="57" spans="2:12">
      <c r="B57" s="102">
        <v>2021</v>
      </c>
      <c r="C57" s="381">
        <f>I6*$V$15</f>
        <v>0</v>
      </c>
      <c r="D57" s="381">
        <f>K6*$V$15</f>
        <v>0</v>
      </c>
      <c r="E57" s="381">
        <f>M6*$V$20</f>
        <v>0</v>
      </c>
      <c r="F57" s="381">
        <f>O6*$V$25</f>
        <v>0</v>
      </c>
      <c r="G57" s="382">
        <f t="shared" ref="G57:G76" si="20">SUM(C57:F57)</f>
        <v>0</v>
      </c>
    </row>
    <row r="58" spans="2:12">
      <c r="B58" s="102">
        <v>2022</v>
      </c>
      <c r="C58" s="381">
        <f>I6*$V$16+(I7-I6)*$V$15</f>
        <v>0</v>
      </c>
      <c r="D58" s="381">
        <f>K6*$V$16+(K7-K6)*$V$15</f>
        <v>0</v>
      </c>
      <c r="E58" s="381">
        <f>M6*$V$21+(M7-M6)*$V$20</f>
        <v>0</v>
      </c>
      <c r="F58" s="381">
        <f>O6*$V$26+(O7-O6)*$V$25</f>
        <v>0</v>
      </c>
      <c r="G58" s="382">
        <f t="shared" si="20"/>
        <v>0</v>
      </c>
    </row>
    <row r="59" spans="2:12">
      <c r="B59" s="102">
        <v>2023</v>
      </c>
      <c r="C59" s="381">
        <f>I6*$V$17+(I7-I6)*$V$16+(I8-I7)*$V$15</f>
        <v>28920</v>
      </c>
      <c r="D59" s="381">
        <f>K6*$V$17+(K7-K6)*$V$16+(K8-K7)*$V$15</f>
        <v>14460</v>
      </c>
      <c r="E59" s="381">
        <f>M6*$V$22+(M7-M6)*$V$21+(M8-M7)*$V$20</f>
        <v>-12540</v>
      </c>
      <c r="F59" s="381">
        <f>O6*$V$27+(O7-O6)*$V$26+(O8-O7)*$V$25</f>
        <v>-25080</v>
      </c>
      <c r="G59" s="382">
        <f t="shared" si="20"/>
        <v>5760</v>
      </c>
    </row>
    <row r="60" spans="2:12">
      <c r="B60" s="102">
        <v>2024</v>
      </c>
      <c r="C60" s="381">
        <f>I7*$V$17+(I8-I7)*$V$16+(I9-I8)*$V$15</f>
        <v>169680</v>
      </c>
      <c r="D60" s="381">
        <f t="shared" ref="D60:D76" si="21">K7*$V$17+(K8-K7)*$V$16+(K9-K8)*$V$15</f>
        <v>84840</v>
      </c>
      <c r="E60" s="381">
        <f t="shared" ref="E60:E76" si="22">M7*$V$22+(M8-M7)*$V$21+(M9-M8)*$V$20</f>
        <v>-6120</v>
      </c>
      <c r="F60" s="381">
        <f t="shared" ref="F60:F76" si="23">O7*$V$27+(O8-O7)*$V$26+(O9-O8)*$V$25</f>
        <v>-12240</v>
      </c>
      <c r="G60" s="382">
        <f t="shared" si="20"/>
        <v>236160</v>
      </c>
    </row>
    <row r="61" spans="2:12">
      <c r="B61" s="102">
        <v>2025</v>
      </c>
      <c r="C61" s="381">
        <f>I8*$V$17+(I9-I8)*$V$16+(I10-I9)*$V$15</f>
        <v>461820</v>
      </c>
      <c r="D61" s="381">
        <f t="shared" si="21"/>
        <v>209220</v>
      </c>
      <c r="E61" s="381">
        <f t="shared" si="22"/>
        <v>19260</v>
      </c>
      <c r="F61" s="381">
        <f t="shared" si="23"/>
        <v>38520</v>
      </c>
      <c r="G61" s="382">
        <f t="shared" si="20"/>
        <v>728820</v>
      </c>
    </row>
    <row r="62" spans="2:12">
      <c r="B62" s="102">
        <v>2026</v>
      </c>
      <c r="C62" s="381">
        <f t="shared" ref="C62:C76" si="24">I9*$V$17+(I10-I9)*$V$16+(I11-I10)*$V$15</f>
        <v>820500</v>
      </c>
      <c r="D62" s="381">
        <f t="shared" si="21"/>
        <v>333600</v>
      </c>
      <c r="E62" s="381">
        <f t="shared" si="22"/>
        <v>76140</v>
      </c>
      <c r="F62" s="381">
        <f t="shared" si="23"/>
        <v>152280</v>
      </c>
      <c r="G62" s="382">
        <f t="shared" si="20"/>
        <v>1382520</v>
      </c>
    </row>
    <row r="63" spans="2:12">
      <c r="B63" s="102">
        <v>2027</v>
      </c>
      <c r="C63" s="381">
        <f>I10*$V$17+(I11-I10)*$V$16+(I12-I11)*$V$15</f>
        <v>1079880</v>
      </c>
      <c r="D63" s="381">
        <f t="shared" si="21"/>
        <v>429060</v>
      </c>
      <c r="E63" s="381">
        <f>M10*$V$22+(M11-M10)*$V$21+(M12-M11)*$V$20</f>
        <v>158100</v>
      </c>
      <c r="F63" s="381">
        <f t="shared" si="23"/>
        <v>328740</v>
      </c>
      <c r="G63" s="382">
        <f t="shared" si="20"/>
        <v>1995780</v>
      </c>
    </row>
    <row r="64" spans="2:12">
      <c r="B64" s="102">
        <v>2028</v>
      </c>
      <c r="C64" s="381">
        <f>I11*$V$17+(I12-I11)*$V$16+(I13-I12)*$V$15</f>
        <v>1160880</v>
      </c>
      <c r="D64" s="381">
        <f t="shared" si="21"/>
        <v>456060</v>
      </c>
      <c r="E64" s="381">
        <f t="shared" si="22"/>
        <v>189600</v>
      </c>
      <c r="F64" s="381">
        <f t="shared" si="23"/>
        <v>360240</v>
      </c>
      <c r="G64" s="382">
        <f t="shared" si="20"/>
        <v>2166780</v>
      </c>
    </row>
    <row r="65" spans="2:7">
      <c r="B65" s="102">
        <v>2029</v>
      </c>
      <c r="C65" s="381">
        <f>I12*$V$17+(I13-I12)*$V$16+(I14-I13)*$V$15</f>
        <v>1160880</v>
      </c>
      <c r="D65" s="381">
        <f t="shared" si="21"/>
        <v>456060</v>
      </c>
      <c r="E65" s="381">
        <f t="shared" si="22"/>
        <v>189600</v>
      </c>
      <c r="F65" s="381">
        <f t="shared" si="23"/>
        <v>360240</v>
      </c>
      <c r="G65" s="382">
        <f t="shared" si="20"/>
        <v>2166780</v>
      </c>
    </row>
    <row r="66" spans="2:7">
      <c r="B66" s="102">
        <v>2030</v>
      </c>
      <c r="C66" s="381">
        <f>I13*$V$17+(I14-I13)*$V$16+(I15-I14)*$V$15</f>
        <v>1160880</v>
      </c>
      <c r="D66" s="381">
        <f t="shared" si="21"/>
        <v>456060</v>
      </c>
      <c r="E66" s="381">
        <f t="shared" si="22"/>
        <v>189600</v>
      </c>
      <c r="F66" s="381">
        <f t="shared" si="23"/>
        <v>360240</v>
      </c>
      <c r="G66" s="382">
        <f t="shared" si="20"/>
        <v>2166780</v>
      </c>
    </row>
    <row r="67" spans="2:7">
      <c r="B67" s="102">
        <v>2031</v>
      </c>
      <c r="C67" s="381">
        <f>I14*$V$17+(I15-I14)*$V$16+(I16-I15)*$V$15</f>
        <v>1160880</v>
      </c>
      <c r="D67" s="381">
        <f t="shared" si="21"/>
        <v>456060</v>
      </c>
      <c r="E67" s="381">
        <f t="shared" si="22"/>
        <v>189600</v>
      </c>
      <c r="F67" s="381">
        <f t="shared" si="23"/>
        <v>360240</v>
      </c>
      <c r="G67" s="382">
        <f t="shared" si="20"/>
        <v>2166780</v>
      </c>
    </row>
    <row r="68" spans="2:7">
      <c r="B68" s="102">
        <v>2032</v>
      </c>
      <c r="C68" s="381">
        <f t="shared" si="24"/>
        <v>1160880</v>
      </c>
      <c r="D68" s="381">
        <f t="shared" si="21"/>
        <v>456060</v>
      </c>
      <c r="E68" s="381">
        <f t="shared" si="22"/>
        <v>189600</v>
      </c>
      <c r="F68" s="381">
        <f t="shared" si="23"/>
        <v>360240</v>
      </c>
      <c r="G68" s="382">
        <f t="shared" si="20"/>
        <v>2166780</v>
      </c>
    </row>
    <row r="69" spans="2:7">
      <c r="B69" s="102">
        <v>2033</v>
      </c>
      <c r="C69" s="381">
        <f t="shared" si="24"/>
        <v>1160880</v>
      </c>
      <c r="D69" s="381">
        <f t="shared" si="21"/>
        <v>456060</v>
      </c>
      <c r="E69" s="381">
        <f t="shared" si="22"/>
        <v>189600</v>
      </c>
      <c r="F69" s="381">
        <f t="shared" si="23"/>
        <v>360240</v>
      </c>
      <c r="G69" s="382">
        <f t="shared" si="20"/>
        <v>2166780</v>
      </c>
    </row>
    <row r="70" spans="2:7">
      <c r="B70" s="102">
        <v>2034</v>
      </c>
      <c r="C70" s="381">
        <f t="shared" si="24"/>
        <v>1160880</v>
      </c>
      <c r="D70" s="381">
        <f t="shared" si="21"/>
        <v>456060</v>
      </c>
      <c r="E70" s="381">
        <f t="shared" si="22"/>
        <v>189600</v>
      </c>
      <c r="F70" s="381">
        <f t="shared" si="23"/>
        <v>360240</v>
      </c>
      <c r="G70" s="382">
        <f t="shared" si="20"/>
        <v>2166780</v>
      </c>
    </row>
    <row r="71" spans="2:7">
      <c r="B71" s="102">
        <v>2035</v>
      </c>
      <c r="C71" s="381">
        <f t="shared" si="24"/>
        <v>1160880</v>
      </c>
      <c r="D71" s="381">
        <f t="shared" si="21"/>
        <v>456060</v>
      </c>
      <c r="E71" s="381">
        <f t="shared" si="22"/>
        <v>189600</v>
      </c>
      <c r="F71" s="381">
        <f t="shared" si="23"/>
        <v>360240</v>
      </c>
      <c r="G71" s="382">
        <f t="shared" si="20"/>
        <v>2166780</v>
      </c>
    </row>
    <row r="72" spans="2:7">
      <c r="B72" s="102">
        <v>2036</v>
      </c>
      <c r="C72" s="381">
        <f t="shared" si="24"/>
        <v>1160880</v>
      </c>
      <c r="D72" s="381">
        <f t="shared" si="21"/>
        <v>456060</v>
      </c>
      <c r="E72" s="381">
        <f t="shared" si="22"/>
        <v>189600</v>
      </c>
      <c r="F72" s="381">
        <f t="shared" si="23"/>
        <v>360240</v>
      </c>
      <c r="G72" s="382">
        <f t="shared" si="20"/>
        <v>2166780</v>
      </c>
    </row>
    <row r="73" spans="2:7">
      <c r="B73" s="102">
        <v>2037</v>
      </c>
      <c r="C73" s="381">
        <f t="shared" si="24"/>
        <v>1160880</v>
      </c>
      <c r="D73" s="381">
        <f t="shared" si="21"/>
        <v>456060</v>
      </c>
      <c r="E73" s="381">
        <f t="shared" si="22"/>
        <v>189600</v>
      </c>
      <c r="F73" s="381">
        <f t="shared" si="23"/>
        <v>360240</v>
      </c>
      <c r="G73" s="382">
        <f t="shared" si="20"/>
        <v>2166780</v>
      </c>
    </row>
    <row r="74" spans="2:7">
      <c r="B74" s="102">
        <v>2038</v>
      </c>
      <c r="C74" s="381">
        <f t="shared" si="24"/>
        <v>1160880</v>
      </c>
      <c r="D74" s="381">
        <f t="shared" si="21"/>
        <v>456060</v>
      </c>
      <c r="E74" s="381">
        <f t="shared" si="22"/>
        <v>189600</v>
      </c>
      <c r="F74" s="381">
        <f t="shared" si="23"/>
        <v>360240</v>
      </c>
      <c r="G74" s="382">
        <f t="shared" si="20"/>
        <v>2166780</v>
      </c>
    </row>
    <row r="75" spans="2:7">
      <c r="B75" s="102">
        <v>2039</v>
      </c>
      <c r="C75" s="381">
        <f t="shared" si="24"/>
        <v>1160880</v>
      </c>
      <c r="D75" s="381">
        <f t="shared" si="21"/>
        <v>456060</v>
      </c>
      <c r="E75" s="381">
        <f t="shared" si="22"/>
        <v>189600</v>
      </c>
      <c r="F75" s="381">
        <f t="shared" si="23"/>
        <v>360240</v>
      </c>
      <c r="G75" s="382">
        <f t="shared" si="20"/>
        <v>2166780</v>
      </c>
    </row>
    <row r="76" spans="2:7">
      <c r="B76" s="102">
        <v>2040</v>
      </c>
      <c r="C76" s="381">
        <f t="shared" si="24"/>
        <v>1160880</v>
      </c>
      <c r="D76" s="381">
        <f t="shared" si="21"/>
        <v>456060</v>
      </c>
      <c r="E76" s="381">
        <f t="shared" si="22"/>
        <v>189600</v>
      </c>
      <c r="F76" s="381">
        <f t="shared" si="23"/>
        <v>360240</v>
      </c>
      <c r="G76" s="382">
        <f t="shared" si="20"/>
        <v>2166780</v>
      </c>
    </row>
    <row r="77" spans="2:7">
      <c r="B77" s="108" t="s">
        <v>66</v>
      </c>
      <c r="C77" s="381">
        <f t="shared" ref="C77:F77" si="25">SUM(C57:C76)</f>
        <v>17652240</v>
      </c>
      <c r="D77" s="381">
        <f>SUM(D57:D76)</f>
        <v>6999960</v>
      </c>
      <c r="E77" s="381">
        <f>SUM(E57:E76)</f>
        <v>2699640</v>
      </c>
      <c r="F77" s="381">
        <f t="shared" si="25"/>
        <v>5165340</v>
      </c>
      <c r="G77" s="381">
        <f>SUM(G57:G76)</f>
        <v>32517180</v>
      </c>
    </row>
  </sheetData>
  <mergeCells count="10">
    <mergeCell ref="C55:F55"/>
    <mergeCell ref="C3:G3"/>
    <mergeCell ref="C29:G29"/>
    <mergeCell ref="H29:L29"/>
    <mergeCell ref="H3:Q3"/>
    <mergeCell ref="H4:I4"/>
    <mergeCell ref="J4:K4"/>
    <mergeCell ref="L4:M4"/>
    <mergeCell ref="N4:O4"/>
    <mergeCell ref="P4:Q4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C8A4A-F663-46CA-9C5F-FCD4AD07447E}">
  <sheetPr>
    <tabColor rgb="FFCCFFFF"/>
  </sheetPr>
  <dimension ref="B2:O31"/>
  <sheetViews>
    <sheetView topLeftCell="B10" zoomScale="120" zoomScaleNormal="120" workbookViewId="0">
      <selection activeCell="B18" sqref="B18"/>
    </sheetView>
  </sheetViews>
  <sheetFormatPr defaultColWidth="8.81640625" defaultRowHeight="14"/>
  <cols>
    <col min="1" max="1" width="8.81640625" style="1"/>
    <col min="2" max="2" width="20" style="1" customWidth="1"/>
    <col min="3" max="14" width="8.6328125" style="1" customWidth="1"/>
    <col min="15" max="15" width="9.54296875" style="1" customWidth="1"/>
    <col min="16" max="16384" width="8.81640625" style="1"/>
  </cols>
  <sheetData>
    <row r="2" spans="2:15">
      <c r="B2" s="1" t="s">
        <v>215</v>
      </c>
    </row>
    <row r="4" spans="2:15" ht="18" customHeight="1">
      <c r="B4" s="473" t="s">
        <v>194</v>
      </c>
      <c r="C4" s="471" t="s">
        <v>195</v>
      </c>
      <c r="D4" s="471"/>
      <c r="E4" s="471"/>
      <c r="F4" s="471"/>
      <c r="G4" s="471"/>
      <c r="H4" s="467" t="s">
        <v>196</v>
      </c>
      <c r="I4" s="468"/>
      <c r="J4" s="468"/>
      <c r="K4" s="468"/>
      <c r="L4" s="468"/>
      <c r="M4" s="468"/>
      <c r="N4" s="469"/>
      <c r="O4" s="472" t="s">
        <v>217</v>
      </c>
    </row>
    <row r="5" spans="2:15" ht="34.5" customHeight="1">
      <c r="B5" s="474"/>
      <c r="C5" s="471" t="s">
        <v>229</v>
      </c>
      <c r="D5" s="471"/>
      <c r="E5" s="471"/>
      <c r="F5" s="471"/>
      <c r="G5" s="471"/>
      <c r="H5" s="471" t="s">
        <v>212</v>
      </c>
      <c r="I5" s="471"/>
      <c r="J5" s="471"/>
      <c r="K5" s="471"/>
      <c r="L5" s="471"/>
      <c r="M5" s="467" t="s">
        <v>207</v>
      </c>
      <c r="N5" s="469"/>
      <c r="O5" s="472"/>
    </row>
    <row r="6" spans="2:15" ht="24.5" customHeight="1">
      <c r="B6" s="475"/>
      <c r="C6" s="347" t="s">
        <v>203</v>
      </c>
      <c r="D6" s="347" t="s">
        <v>204</v>
      </c>
      <c r="E6" s="347" t="s">
        <v>205</v>
      </c>
      <c r="F6" s="347" t="s">
        <v>206</v>
      </c>
      <c r="G6" s="347" t="s">
        <v>209</v>
      </c>
      <c r="H6" s="347" t="s">
        <v>203</v>
      </c>
      <c r="I6" s="347" t="s">
        <v>204</v>
      </c>
      <c r="J6" s="347" t="s">
        <v>205</v>
      </c>
      <c r="K6" s="347" t="s">
        <v>206</v>
      </c>
      <c r="L6" s="347" t="s">
        <v>210</v>
      </c>
      <c r="M6" s="347" t="s">
        <v>206</v>
      </c>
      <c r="N6" s="347" t="s">
        <v>211</v>
      </c>
      <c r="O6" s="472"/>
    </row>
    <row r="7" spans="2:15" ht="14" customHeight="1">
      <c r="B7" s="348" t="s">
        <v>202</v>
      </c>
      <c r="C7" s="349"/>
      <c r="D7" s="349"/>
      <c r="E7" s="349"/>
      <c r="F7" s="353"/>
      <c r="G7" s="353"/>
      <c r="H7" s="349"/>
      <c r="I7" s="349"/>
      <c r="J7" s="349"/>
      <c r="K7" s="349"/>
      <c r="L7" s="349"/>
      <c r="M7" s="349"/>
      <c r="N7" s="349"/>
      <c r="O7" s="350"/>
    </row>
    <row r="8" spans="2:15" ht="14" customHeight="1">
      <c r="B8" s="351" t="s">
        <v>262</v>
      </c>
      <c r="C8" s="354">
        <f>(1500-H8)*0.5+H8</f>
        <v>900</v>
      </c>
      <c r="D8" s="355">
        <v>0.75</v>
      </c>
      <c r="E8" s="356">
        <f>C8*D8</f>
        <v>675</v>
      </c>
      <c r="F8" s="357">
        <v>0.5</v>
      </c>
      <c r="G8" s="357">
        <f>E8*F8</f>
        <v>337.5</v>
      </c>
      <c r="H8" s="355">
        <v>300</v>
      </c>
      <c r="I8" s="355">
        <v>0.75</v>
      </c>
      <c r="J8" s="356">
        <f>H8*I8</f>
        <v>225</v>
      </c>
      <c r="K8" s="357">
        <v>0.5</v>
      </c>
      <c r="L8" s="357">
        <f>J8*K8</f>
        <v>112.5</v>
      </c>
      <c r="M8" s="357">
        <v>0.5</v>
      </c>
      <c r="N8" s="357">
        <f>J8*M8</f>
        <v>112.5</v>
      </c>
      <c r="O8" s="362"/>
    </row>
    <row r="9" spans="2:15" ht="14" customHeight="1">
      <c r="B9" s="351" t="s">
        <v>214</v>
      </c>
      <c r="C9" s="354">
        <f>(1500-H9)*1+H9</f>
        <v>1500</v>
      </c>
      <c r="D9" s="355">
        <v>0.75</v>
      </c>
      <c r="E9" s="356">
        <f t="shared" ref="E9" si="0">C9*D9</f>
        <v>1125</v>
      </c>
      <c r="F9" s="357">
        <v>0.5</v>
      </c>
      <c r="G9" s="357">
        <f>E9*F9</f>
        <v>562.5</v>
      </c>
      <c r="H9" s="355">
        <v>300</v>
      </c>
      <c r="I9" s="355">
        <v>0.75</v>
      </c>
      <c r="J9" s="356">
        <f t="shared" ref="J9" si="1">H9*I9</f>
        <v>225</v>
      </c>
      <c r="K9" s="357">
        <v>0.5</v>
      </c>
      <c r="L9" s="357">
        <f>J9*K9</f>
        <v>112.5</v>
      </c>
      <c r="M9" s="357">
        <v>0.5</v>
      </c>
      <c r="N9" s="357">
        <f>J9*M9</f>
        <v>112.5</v>
      </c>
      <c r="O9" s="362"/>
    </row>
    <row r="10" spans="2:15" ht="14" customHeight="1">
      <c r="B10" s="348" t="s">
        <v>197</v>
      </c>
      <c r="C10" s="359"/>
      <c r="D10" s="359"/>
      <c r="E10" s="360"/>
      <c r="F10" s="361"/>
      <c r="G10" s="361"/>
      <c r="H10" s="359"/>
      <c r="I10" s="359"/>
      <c r="J10" s="360"/>
      <c r="K10" s="360"/>
      <c r="L10" s="360"/>
      <c r="M10" s="360"/>
      <c r="N10" s="360"/>
      <c r="O10" s="362"/>
    </row>
    <row r="11" spans="2:15" ht="14" customHeight="1">
      <c r="B11" s="351" t="s">
        <v>198</v>
      </c>
      <c r="C11" s="355" t="s">
        <v>199</v>
      </c>
      <c r="D11" s="355">
        <v>4</v>
      </c>
      <c r="E11" s="356">
        <v>160</v>
      </c>
      <c r="F11" s="357">
        <v>0.5</v>
      </c>
      <c r="G11" s="357">
        <f>E11*F11</f>
        <v>80</v>
      </c>
      <c r="H11" s="355" t="s">
        <v>200</v>
      </c>
      <c r="I11" s="355">
        <v>4</v>
      </c>
      <c r="J11" s="356">
        <v>88</v>
      </c>
      <c r="K11" s="357">
        <v>0.5</v>
      </c>
      <c r="L11" s="357">
        <f>J11*K11</f>
        <v>44</v>
      </c>
      <c r="M11" s="356"/>
      <c r="N11" s="356"/>
      <c r="O11" s="362"/>
    </row>
    <row r="12" spans="2:15" ht="14" customHeight="1">
      <c r="B12" s="348" t="s">
        <v>201</v>
      </c>
      <c r="C12" s="359"/>
      <c r="D12" s="359"/>
      <c r="E12" s="360"/>
      <c r="F12" s="361"/>
      <c r="G12" s="361"/>
      <c r="H12" s="359"/>
      <c r="I12" s="359"/>
      <c r="J12" s="360"/>
      <c r="K12" s="360"/>
      <c r="L12" s="360"/>
      <c r="M12" s="360"/>
      <c r="N12" s="360"/>
      <c r="O12" s="362"/>
    </row>
    <row r="13" spans="2:15" ht="14" customHeight="1">
      <c r="B13" s="351" t="s">
        <v>262</v>
      </c>
      <c r="C13" s="359"/>
      <c r="D13" s="359"/>
      <c r="E13" s="356">
        <f>E8-$E$11</f>
        <v>515</v>
      </c>
      <c r="F13" s="357">
        <v>0.5</v>
      </c>
      <c r="G13" s="357">
        <f>E13*F13</f>
        <v>257.5</v>
      </c>
      <c r="H13" s="359"/>
      <c r="I13" s="359"/>
      <c r="J13" s="356">
        <f>J8-$J$11</f>
        <v>137</v>
      </c>
      <c r="K13" s="357">
        <v>0.5</v>
      </c>
      <c r="L13" s="357">
        <f>J13*K13</f>
        <v>68.5</v>
      </c>
      <c r="M13" s="357">
        <v>0.5</v>
      </c>
      <c r="N13" s="357">
        <f>J13*M13</f>
        <v>68.5</v>
      </c>
      <c r="O13" s="358">
        <f>G13-L13-N13</f>
        <v>120.5</v>
      </c>
    </row>
    <row r="14" spans="2:15" ht="14" customHeight="1">
      <c r="B14" s="351" t="s">
        <v>214</v>
      </c>
      <c r="C14" s="359"/>
      <c r="D14" s="359"/>
      <c r="E14" s="356">
        <f>E9-$E$11</f>
        <v>965</v>
      </c>
      <c r="F14" s="357">
        <v>0.5</v>
      </c>
      <c r="G14" s="357">
        <f>E14*F14</f>
        <v>482.5</v>
      </c>
      <c r="H14" s="359"/>
      <c r="I14" s="359"/>
      <c r="J14" s="356">
        <f>J9-$J$11</f>
        <v>137</v>
      </c>
      <c r="K14" s="357">
        <v>0.5</v>
      </c>
      <c r="L14" s="357">
        <f>J14*K14</f>
        <v>68.5</v>
      </c>
      <c r="M14" s="357">
        <v>0.5</v>
      </c>
      <c r="N14" s="357">
        <f>J14*M14</f>
        <v>68.5</v>
      </c>
      <c r="O14" s="358">
        <f>G14-L14-N14</f>
        <v>345.5</v>
      </c>
    </row>
    <row r="15" spans="2:15" ht="15" customHeight="1">
      <c r="B15" s="466" t="s">
        <v>263</v>
      </c>
      <c r="C15" s="466"/>
      <c r="D15" s="466"/>
      <c r="E15" s="466"/>
      <c r="F15" s="466"/>
      <c r="G15" s="466"/>
      <c r="H15" s="466"/>
      <c r="I15" s="466"/>
      <c r="J15" s="466"/>
      <c r="K15" s="466"/>
      <c r="L15" s="466"/>
      <c r="M15" s="466"/>
      <c r="N15" s="466"/>
      <c r="O15" s="466"/>
    </row>
    <row r="16" spans="2:15" ht="15" customHeight="1">
      <c r="B16" s="466" t="s">
        <v>208</v>
      </c>
      <c r="C16" s="466"/>
      <c r="D16" s="466"/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6"/>
    </row>
    <row r="18" spans="2:15">
      <c r="B18" s="1" t="s">
        <v>228</v>
      </c>
    </row>
    <row r="19" spans="2:15" ht="18" customHeight="1">
      <c r="B19" s="470" t="s">
        <v>194</v>
      </c>
      <c r="C19" s="471" t="s">
        <v>195</v>
      </c>
      <c r="D19" s="471"/>
      <c r="E19" s="471"/>
      <c r="F19" s="471"/>
      <c r="G19" s="471"/>
      <c r="H19" s="471" t="s">
        <v>196</v>
      </c>
      <c r="I19" s="471"/>
      <c r="J19" s="471"/>
      <c r="K19" s="471"/>
      <c r="L19" s="471"/>
      <c r="M19" s="471"/>
      <c r="N19" s="471"/>
      <c r="O19" s="472" t="s">
        <v>217</v>
      </c>
    </row>
    <row r="20" spans="2:15" ht="34.5" customHeight="1">
      <c r="B20" s="470"/>
      <c r="C20" s="471" t="s">
        <v>229</v>
      </c>
      <c r="D20" s="471"/>
      <c r="E20" s="471"/>
      <c r="F20" s="471"/>
      <c r="G20" s="471"/>
      <c r="H20" s="471" t="s">
        <v>212</v>
      </c>
      <c r="I20" s="471"/>
      <c r="J20" s="471"/>
      <c r="K20" s="471"/>
      <c r="L20" s="471"/>
      <c r="M20" s="471" t="s">
        <v>207</v>
      </c>
      <c r="N20" s="471"/>
      <c r="O20" s="472"/>
    </row>
    <row r="21" spans="2:15" ht="24.5" customHeight="1">
      <c r="B21" s="470"/>
      <c r="C21" s="347" t="s">
        <v>203</v>
      </c>
      <c r="D21" s="347" t="s">
        <v>204</v>
      </c>
      <c r="E21" s="347" t="s">
        <v>205</v>
      </c>
      <c r="F21" s="347" t="s">
        <v>206</v>
      </c>
      <c r="G21" s="347" t="s">
        <v>209</v>
      </c>
      <c r="H21" s="347" t="s">
        <v>203</v>
      </c>
      <c r="I21" s="347" t="s">
        <v>204</v>
      </c>
      <c r="J21" s="347" t="s">
        <v>205</v>
      </c>
      <c r="K21" s="347" t="s">
        <v>206</v>
      </c>
      <c r="L21" s="347" t="s">
        <v>210</v>
      </c>
      <c r="M21" s="347" t="s">
        <v>206</v>
      </c>
      <c r="N21" s="347" t="s">
        <v>211</v>
      </c>
      <c r="O21" s="472"/>
    </row>
    <row r="22" spans="2:15">
      <c r="B22" s="348" t="s">
        <v>202</v>
      </c>
      <c r="C22" s="349"/>
      <c r="D22" s="349"/>
      <c r="E22" s="349"/>
      <c r="F22" s="353"/>
      <c r="G22" s="353"/>
      <c r="H22" s="349"/>
      <c r="I22" s="349"/>
      <c r="J22" s="349"/>
      <c r="K22" s="349"/>
      <c r="L22" s="349"/>
      <c r="M22" s="349"/>
      <c r="N22" s="349"/>
      <c r="O22" s="350"/>
    </row>
    <row r="23" spans="2:15">
      <c r="B23" s="351" t="s">
        <v>262</v>
      </c>
      <c r="C23" s="354">
        <f>(2400-H23)*0.5+H23</f>
        <v>1700</v>
      </c>
      <c r="D23" s="355">
        <v>0.75</v>
      </c>
      <c r="E23" s="356">
        <f>C23*D23</f>
        <v>1275</v>
      </c>
      <c r="F23" s="357">
        <v>0.5</v>
      </c>
      <c r="G23" s="357">
        <f>E23*F23</f>
        <v>637.5</v>
      </c>
      <c r="H23" s="355">
        <v>1000</v>
      </c>
      <c r="I23" s="355">
        <v>0.75</v>
      </c>
      <c r="J23" s="356">
        <f>H23*I23</f>
        <v>750</v>
      </c>
      <c r="K23" s="357">
        <v>0.5</v>
      </c>
      <c r="L23" s="357">
        <f>J23*K23</f>
        <v>375</v>
      </c>
      <c r="M23" s="357">
        <v>0.5</v>
      </c>
      <c r="N23" s="357">
        <f>J23*M23</f>
        <v>375</v>
      </c>
      <c r="O23" s="362"/>
    </row>
    <row r="24" spans="2:15">
      <c r="B24" s="352" t="s">
        <v>214</v>
      </c>
      <c r="C24" s="354">
        <f>(2400-H24)*1+H24</f>
        <v>2400</v>
      </c>
      <c r="D24" s="355">
        <v>0.75</v>
      </c>
      <c r="E24" s="356">
        <f t="shared" ref="E24" si="2">C24*D24</f>
        <v>1800</v>
      </c>
      <c r="F24" s="357">
        <v>0.5</v>
      </c>
      <c r="G24" s="357">
        <f>E24*F24</f>
        <v>900</v>
      </c>
      <c r="H24" s="355">
        <v>1000</v>
      </c>
      <c r="I24" s="355">
        <v>0.75</v>
      </c>
      <c r="J24" s="356">
        <f t="shared" ref="J24" si="3">H24*I24</f>
        <v>750</v>
      </c>
      <c r="K24" s="357">
        <v>0.5</v>
      </c>
      <c r="L24" s="357">
        <f>J24*K24</f>
        <v>375</v>
      </c>
      <c r="M24" s="357">
        <v>0.5</v>
      </c>
      <c r="N24" s="357">
        <f>J24*M24</f>
        <v>375</v>
      </c>
      <c r="O24" s="362"/>
    </row>
    <row r="25" spans="2:15">
      <c r="B25" s="348" t="s">
        <v>197</v>
      </c>
      <c r="C25" s="359"/>
      <c r="D25" s="359"/>
      <c r="E25" s="360"/>
      <c r="F25" s="361"/>
      <c r="G25" s="361"/>
      <c r="H25" s="359"/>
      <c r="I25" s="359"/>
      <c r="J25" s="360"/>
      <c r="K25" s="360"/>
      <c r="L25" s="360"/>
      <c r="M25" s="360"/>
      <c r="N25" s="360"/>
      <c r="O25" s="362"/>
    </row>
    <row r="26" spans="2:15">
      <c r="B26" s="351" t="s">
        <v>198</v>
      </c>
      <c r="C26" s="355" t="s">
        <v>199</v>
      </c>
      <c r="D26" s="355">
        <v>4</v>
      </c>
      <c r="E26" s="356">
        <v>160</v>
      </c>
      <c r="F26" s="357">
        <v>0.5</v>
      </c>
      <c r="G26" s="357">
        <f>E26*F26</f>
        <v>80</v>
      </c>
      <c r="H26" s="355" t="s">
        <v>200</v>
      </c>
      <c r="I26" s="355">
        <v>4</v>
      </c>
      <c r="J26" s="356">
        <v>88</v>
      </c>
      <c r="K26" s="357">
        <v>0.5</v>
      </c>
      <c r="L26" s="357">
        <f>J26*K26</f>
        <v>44</v>
      </c>
      <c r="M26" s="356"/>
      <c r="N26" s="356"/>
      <c r="O26" s="362"/>
    </row>
    <row r="27" spans="2:15">
      <c r="B27" s="348" t="s">
        <v>201</v>
      </c>
      <c r="C27" s="359"/>
      <c r="D27" s="359"/>
      <c r="E27" s="360"/>
      <c r="F27" s="361"/>
      <c r="G27" s="361"/>
      <c r="H27" s="359"/>
      <c r="I27" s="359"/>
      <c r="J27" s="360"/>
      <c r="K27" s="360"/>
      <c r="L27" s="360"/>
      <c r="M27" s="360"/>
      <c r="N27" s="360"/>
      <c r="O27" s="362"/>
    </row>
    <row r="28" spans="2:15">
      <c r="B28" s="351" t="s">
        <v>262</v>
      </c>
      <c r="C28" s="359"/>
      <c r="D28" s="359"/>
      <c r="E28" s="363">
        <f>E23-$E$11</f>
        <v>1115</v>
      </c>
      <c r="F28" s="357">
        <v>0.5</v>
      </c>
      <c r="G28" s="357">
        <f>E28*F28</f>
        <v>557.5</v>
      </c>
      <c r="H28" s="359"/>
      <c r="I28" s="359"/>
      <c r="J28" s="356">
        <f>J23-$J$11</f>
        <v>662</v>
      </c>
      <c r="K28" s="357">
        <f>F28</f>
        <v>0.5</v>
      </c>
      <c r="L28" s="357">
        <f>J28*K28</f>
        <v>331</v>
      </c>
      <c r="M28" s="357">
        <v>0.5</v>
      </c>
      <c r="N28" s="357">
        <f>J28*M28</f>
        <v>331</v>
      </c>
      <c r="O28" s="371">
        <f>G28-L28-N28</f>
        <v>-104.5</v>
      </c>
    </row>
    <row r="29" spans="2:15">
      <c r="B29" s="352" t="s">
        <v>214</v>
      </c>
      <c r="C29" s="359"/>
      <c r="D29" s="359"/>
      <c r="E29" s="363">
        <f>E24-$E$11</f>
        <v>1640</v>
      </c>
      <c r="F29" s="357">
        <v>0.5</v>
      </c>
      <c r="G29" s="357">
        <f>E29*F29</f>
        <v>820</v>
      </c>
      <c r="H29" s="359"/>
      <c r="I29" s="359"/>
      <c r="J29" s="356">
        <f>J24-$J$11</f>
        <v>662</v>
      </c>
      <c r="K29" s="357">
        <f>F29</f>
        <v>0.5</v>
      </c>
      <c r="L29" s="357">
        <f>J29*K29</f>
        <v>331</v>
      </c>
      <c r="M29" s="357">
        <v>0.5</v>
      </c>
      <c r="N29" s="357">
        <f>J29*M29</f>
        <v>331</v>
      </c>
      <c r="O29" s="370">
        <f>G29-L29-N29</f>
        <v>158</v>
      </c>
    </row>
    <row r="30" spans="2:15" ht="14" customHeight="1">
      <c r="B30" s="476" t="s">
        <v>264</v>
      </c>
      <c r="C30" s="476"/>
      <c r="D30" s="476"/>
      <c r="E30" s="476"/>
      <c r="F30" s="476"/>
      <c r="G30" s="476"/>
      <c r="H30" s="476"/>
      <c r="I30" s="476"/>
      <c r="J30" s="476"/>
      <c r="K30" s="476"/>
      <c r="L30" s="476"/>
      <c r="M30" s="476"/>
      <c r="N30" s="476"/>
      <c r="O30" s="476"/>
    </row>
    <row r="31" spans="2:15">
      <c r="B31" s="466" t="s">
        <v>208</v>
      </c>
      <c r="C31" s="466"/>
      <c r="D31" s="466"/>
      <c r="E31" s="466"/>
      <c r="F31" s="466"/>
      <c r="G31" s="466"/>
      <c r="H31" s="466"/>
      <c r="I31" s="466"/>
      <c r="J31" s="466"/>
      <c r="K31" s="466"/>
      <c r="L31" s="466"/>
      <c r="M31" s="466"/>
      <c r="N31" s="466"/>
      <c r="O31" s="466"/>
    </row>
  </sheetData>
  <mergeCells count="18">
    <mergeCell ref="B4:B6"/>
    <mergeCell ref="B30:O30"/>
    <mergeCell ref="B31:O31"/>
    <mergeCell ref="B16:O16"/>
    <mergeCell ref="H4:N4"/>
    <mergeCell ref="M5:N5"/>
    <mergeCell ref="B19:B21"/>
    <mergeCell ref="C19:G19"/>
    <mergeCell ref="H19:N19"/>
    <mergeCell ref="O19:O21"/>
    <mergeCell ref="C20:G20"/>
    <mergeCell ref="H20:L20"/>
    <mergeCell ref="H5:L5"/>
    <mergeCell ref="M20:N20"/>
    <mergeCell ref="O4:O6"/>
    <mergeCell ref="B15:O15"/>
    <mergeCell ref="C4:G4"/>
    <mergeCell ref="C5:G5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A1B23-379C-431F-B034-DFF35A6BCCCD}">
  <dimension ref="B1:AJ317"/>
  <sheetViews>
    <sheetView zoomScale="55" zoomScaleNormal="55" workbookViewId="0">
      <selection activeCell="AB289" sqref="AB289"/>
    </sheetView>
  </sheetViews>
  <sheetFormatPr defaultColWidth="8.81640625" defaultRowHeight="12.5"/>
  <cols>
    <col min="1" max="3" width="8.81640625" style="95"/>
    <col min="4" max="4" width="10.81640625" style="95" customWidth="1"/>
    <col min="5" max="5" width="10.36328125" style="95" customWidth="1"/>
    <col min="6" max="6" width="10.81640625" style="95" customWidth="1"/>
    <col min="7" max="7" width="10.36328125" style="95" bestFit="1" customWidth="1"/>
    <col min="8" max="8" width="11.90625" style="95" customWidth="1"/>
    <col min="9" max="9" width="10.36328125" style="95" bestFit="1" customWidth="1"/>
    <col min="10" max="10" width="8.81640625" style="95"/>
    <col min="11" max="11" width="11" style="95" customWidth="1"/>
    <col min="12" max="12" width="11.81640625" style="95" bestFit="1" customWidth="1"/>
    <col min="13" max="13" width="11.453125" style="95" customWidth="1"/>
    <col min="14" max="14" width="10.81640625" style="95" bestFit="1" customWidth="1"/>
    <col min="15" max="15" width="11.36328125" style="95" customWidth="1"/>
    <col min="16" max="16" width="8.81640625" style="95"/>
    <col min="17" max="17" width="9.90625" style="95" customWidth="1"/>
    <col min="18" max="18" width="8.81640625" style="95" customWidth="1"/>
    <col min="19" max="19" width="8.90625" style="95" customWidth="1"/>
    <col min="20" max="20" width="11.08984375" style="95" customWidth="1"/>
    <col min="21" max="21" width="10.6328125" style="95" customWidth="1"/>
    <col min="22" max="22" width="9.81640625" style="95" customWidth="1"/>
    <col min="23" max="23" width="12" style="95" customWidth="1"/>
    <col min="24" max="25" width="8.81640625" style="95"/>
    <col min="26" max="26" width="11.54296875" style="95" customWidth="1"/>
    <col min="27" max="27" width="8.81640625" style="95"/>
    <col min="28" max="28" width="11.36328125" style="95" customWidth="1"/>
    <col min="29" max="29" width="12" style="95" customWidth="1"/>
    <col min="30" max="30" width="8.81640625" style="95" bestFit="1" customWidth="1"/>
    <col min="31" max="31" width="10.08984375" style="95" bestFit="1" customWidth="1"/>
    <col min="32" max="34" width="12.1796875" style="95" customWidth="1"/>
    <col min="35" max="35" width="14.81640625" style="95" customWidth="1"/>
    <col min="36" max="36" width="16.453125" style="95" customWidth="1"/>
    <col min="37" max="16384" width="8.81640625" style="95"/>
  </cols>
  <sheetData>
    <row r="1" spans="2:36">
      <c r="H1" s="114"/>
      <c r="I1" s="106"/>
      <c r="J1" s="106"/>
      <c r="K1" s="106"/>
      <c r="L1" s="106"/>
    </row>
    <row r="4" spans="2:36" ht="13" customHeight="1" thickBot="1">
      <c r="J4" s="114"/>
    </row>
    <row r="5" spans="2:36" ht="12.5" customHeight="1">
      <c r="B5" s="300"/>
      <c r="C5" s="493" t="s">
        <v>70</v>
      </c>
      <c r="D5" s="494"/>
      <c r="E5" s="494"/>
      <c r="F5" s="494"/>
      <c r="G5" s="495"/>
      <c r="H5" s="496" t="s">
        <v>275</v>
      </c>
      <c r="I5" s="497"/>
      <c r="J5" s="497"/>
      <c r="K5" s="497"/>
      <c r="L5" s="498"/>
      <c r="M5" s="456" t="s">
        <v>154</v>
      </c>
      <c r="N5" s="457"/>
      <c r="O5" s="457"/>
      <c r="P5" s="457"/>
      <c r="Q5" s="458"/>
      <c r="T5" s="301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3"/>
    </row>
    <row r="6" spans="2:36" ht="18">
      <c r="B6" s="99"/>
      <c r="C6" s="100" t="s">
        <v>56</v>
      </c>
      <c r="D6" s="100" t="s">
        <v>57</v>
      </c>
      <c r="E6" s="100" t="s">
        <v>58</v>
      </c>
      <c r="F6" s="100" t="s">
        <v>59</v>
      </c>
      <c r="G6" s="100" t="s">
        <v>66</v>
      </c>
      <c r="H6" s="100" t="s">
        <v>56</v>
      </c>
      <c r="I6" s="100" t="s">
        <v>57</v>
      </c>
      <c r="J6" s="100" t="s">
        <v>58</v>
      </c>
      <c r="K6" s="100" t="s">
        <v>59</v>
      </c>
      <c r="L6" s="100" t="s">
        <v>66</v>
      </c>
      <c r="M6" s="100" t="s">
        <v>56</v>
      </c>
      <c r="N6" s="100" t="s">
        <v>57</v>
      </c>
      <c r="O6" s="100" t="s">
        <v>58</v>
      </c>
      <c r="P6" s="100" t="s">
        <v>59</v>
      </c>
      <c r="Q6" s="100" t="s">
        <v>66</v>
      </c>
      <c r="T6" s="304"/>
      <c r="U6" s="305" t="s">
        <v>155</v>
      </c>
      <c r="AE6" s="114"/>
      <c r="AJ6" s="306"/>
    </row>
    <row r="7" spans="2:36">
      <c r="B7" s="102">
        <v>2021</v>
      </c>
      <c r="C7" s="307">
        <f>ROUND((H7*$X$8)/$AA$19,4)</f>
        <v>0</v>
      </c>
      <c r="D7" s="307">
        <f>ROUND((I7*$X$8)/$AA$20,4)</f>
        <v>0</v>
      </c>
      <c r="E7" s="307">
        <f>ROUND((J7*$X$8)/$AA$21,4)</f>
        <v>0</v>
      </c>
      <c r="F7" s="307">
        <f>ROUND((K7*$X$8)/$AA$22,4)</f>
        <v>0</v>
      </c>
      <c r="G7" s="307">
        <f>ROUND(X8*L7/$AA$23,4)</f>
        <v>0</v>
      </c>
      <c r="H7" s="103">
        <f>M7*$AB$27</f>
        <v>2366.85</v>
      </c>
      <c r="I7" s="103">
        <f>N7*$AB$28</f>
        <v>925.16</v>
      </c>
      <c r="J7" s="103">
        <f>O7*$AB$29</f>
        <v>524.4</v>
      </c>
      <c r="K7" s="103">
        <f>P7*$AB$30</f>
        <v>1484.1</v>
      </c>
      <c r="L7" s="103">
        <f t="shared" ref="L7:L26" si="0">SUM(H7:K7)</f>
        <v>5300.51</v>
      </c>
      <c r="M7" s="117">
        <v>5</v>
      </c>
      <c r="N7" s="117">
        <v>4</v>
      </c>
      <c r="O7" s="117">
        <f t="shared" ref="O7:O26" si="1">$V$29*R7</f>
        <v>1</v>
      </c>
      <c r="P7" s="117">
        <v>3</v>
      </c>
      <c r="Q7" s="117">
        <f t="shared" ref="Q7:Q26" si="2">SUM(M7:P7)</f>
        <v>13</v>
      </c>
      <c r="R7" s="249">
        <v>0.1</v>
      </c>
      <c r="T7" s="304"/>
      <c r="AJ7" s="306"/>
    </row>
    <row r="8" spans="2:36">
      <c r="B8" s="102">
        <v>2022</v>
      </c>
      <c r="C8" s="307">
        <f>ROUND((H7*$X$9+((H8-H7)*$X$8))/$AA$19,4)</f>
        <v>2.7400000000000001E-2</v>
      </c>
      <c r="D8" s="307">
        <f>ROUND((I7*$X$9+((I8-I7)*$X$8))/$AA$20,4)</f>
        <v>3.49E-2</v>
      </c>
      <c r="E8" s="307">
        <f>ROUND((J7*$X$9+((J8-J7)*$X$8))/$AA$21,4)</f>
        <v>1.7600000000000001E-2</v>
      </c>
      <c r="F8" s="307">
        <f>ROUND((K7*$X$9+((K8-K7)*$X$8))/$AA$22,4)</f>
        <v>2.3099999999999999E-2</v>
      </c>
      <c r="G8" s="307">
        <f>ROUND((L7*$X$9+((L8-L7)*$X$8))/$AA$23,4)</f>
        <v>2.5600000000000001E-2</v>
      </c>
      <c r="H8" s="103">
        <f t="shared" ref="H8:H26" si="3">M8*$AB$27+H7</f>
        <v>6153.8099999999995</v>
      </c>
      <c r="I8" s="103">
        <f t="shared" ref="I8:I26" si="4">N8*$AB$28+I7</f>
        <v>1850.32</v>
      </c>
      <c r="J8" s="103">
        <f t="shared" ref="J8:J26" si="5">O8*$AB$29+J7</f>
        <v>2097.6</v>
      </c>
      <c r="K8" s="103">
        <f t="shared" ref="K8:K26" si="6">P8*$AB$30+K7</f>
        <v>3957.6</v>
      </c>
      <c r="L8" s="103">
        <f t="shared" si="0"/>
        <v>14059.33</v>
      </c>
      <c r="M8" s="117">
        <v>8</v>
      </c>
      <c r="N8" s="117">
        <v>4</v>
      </c>
      <c r="O8" s="117">
        <f t="shared" si="1"/>
        <v>3</v>
      </c>
      <c r="P8" s="117">
        <v>5</v>
      </c>
      <c r="Q8" s="117">
        <f t="shared" si="2"/>
        <v>20</v>
      </c>
      <c r="R8" s="249">
        <v>0.3</v>
      </c>
      <c r="T8" s="304"/>
      <c r="U8" s="95" t="s">
        <v>73</v>
      </c>
      <c r="W8" s="95" t="s">
        <v>64</v>
      </c>
      <c r="X8" s="268">
        <v>0</v>
      </c>
      <c r="Z8" s="95" t="s">
        <v>75</v>
      </c>
      <c r="AB8" s="98">
        <v>4.2</v>
      </c>
      <c r="AC8" s="183" t="s">
        <v>76</v>
      </c>
      <c r="AJ8" s="306"/>
    </row>
    <row r="9" spans="2:36">
      <c r="B9" s="102">
        <v>2023</v>
      </c>
      <c r="C9" s="307">
        <f>ROUND((H7*$X$10+(H8-H7)*$X$9+((H9-H8)*$X$8))/$AA$19,4)</f>
        <v>9.8699999999999996E-2</v>
      </c>
      <c r="D9" s="307">
        <f>ROUND((I7*$X$10+(I8-I7)*$X$9+((I9-I8)*$X$8))/$AA$20,4)</f>
        <v>0.1047</v>
      </c>
      <c r="E9" s="307">
        <f>ROUND((J7*$X$10+(J8-J7)*$X$9+((J9-J8)*$X$8))/$AA$21,4)</f>
        <v>8.7999999999999995E-2</v>
      </c>
      <c r="F9" s="307">
        <f>ROUND((K7*$X$10+(K8-K7)*$X$9+((K9-K8)*$X$8))/$AA$22,4)</f>
        <v>8.48E-2</v>
      </c>
      <c r="G9" s="307">
        <f>ROUND((L7*$X$10+(L8-L7)*$X$9+((L9-L8)*$X$8))/$AA$23,4)</f>
        <v>9.3600000000000003E-2</v>
      </c>
      <c r="H9" s="103">
        <f t="shared" si="3"/>
        <v>10414.14</v>
      </c>
      <c r="I9" s="103">
        <f t="shared" si="4"/>
        <v>2544.19</v>
      </c>
      <c r="J9" s="103">
        <f t="shared" si="5"/>
        <v>3670.7999999999997</v>
      </c>
      <c r="K9" s="103">
        <f t="shared" si="6"/>
        <v>6925.7999999999993</v>
      </c>
      <c r="L9" s="103">
        <f t="shared" si="0"/>
        <v>23554.93</v>
      </c>
      <c r="M9" s="117">
        <v>9</v>
      </c>
      <c r="N9" s="117">
        <v>3</v>
      </c>
      <c r="O9" s="117">
        <f t="shared" si="1"/>
        <v>3</v>
      </c>
      <c r="P9" s="117">
        <v>6</v>
      </c>
      <c r="Q9" s="117">
        <f t="shared" si="2"/>
        <v>21</v>
      </c>
      <c r="R9" s="249">
        <v>0.3</v>
      </c>
      <c r="T9" s="304"/>
      <c r="W9" s="95" t="s">
        <v>65</v>
      </c>
      <c r="X9" s="268">
        <v>0.2</v>
      </c>
      <c r="AF9" s="95" t="s">
        <v>156</v>
      </c>
      <c r="AJ9" s="306"/>
    </row>
    <row r="10" spans="2:36">
      <c r="B10" s="102">
        <v>2024</v>
      </c>
      <c r="C10" s="307">
        <f>ROUND((H7*$X$11+(H8-H7)*$X$10+((H9-H8)*$X$9+(H10-H9)*$X$8))/$AA$19,4)</f>
        <v>0.21929999999999999</v>
      </c>
      <c r="D10" s="307">
        <f>ROUND((I7*$X$11+(I8-I7)*$X$10+((I9-I8)*$X$9+(I10-I9)*$X$8))/$AA$20,4)</f>
        <v>0.20069999999999999</v>
      </c>
      <c r="E10" s="307">
        <f>ROUND((J7*$X$11+(J8-J7)*$X$10+((J9-J8)*$X$9+(J10-J9)*$X$8))/$AA$21,4)</f>
        <v>0.2112</v>
      </c>
      <c r="F10" s="307">
        <f>ROUND((K7*$X$11+(K8-K7)*$X$10+((K9-K8)*$X$9+(K10-K9)*$X$8))/$AA$22,4)</f>
        <v>0.19259999999999999</v>
      </c>
      <c r="G10" s="307">
        <f>ROUND((L7*$X$11+(L8-L7)*$X$10+((L9-L8)*$X$9+(L10-L9)*$X$8))/$AA$23,4)</f>
        <v>0.20749999999999999</v>
      </c>
      <c r="H10" s="103">
        <f t="shared" si="3"/>
        <v>14201.099999999999</v>
      </c>
      <c r="I10" s="103">
        <f t="shared" si="4"/>
        <v>3238.06</v>
      </c>
      <c r="J10" s="103">
        <f t="shared" si="5"/>
        <v>5244</v>
      </c>
      <c r="K10" s="103">
        <f t="shared" si="6"/>
        <v>9894</v>
      </c>
      <c r="L10" s="103">
        <f t="shared" si="0"/>
        <v>32577.16</v>
      </c>
      <c r="M10" s="117">
        <v>8</v>
      </c>
      <c r="N10" s="117">
        <v>3</v>
      </c>
      <c r="O10" s="117">
        <f t="shared" si="1"/>
        <v>3</v>
      </c>
      <c r="P10" s="117">
        <v>6</v>
      </c>
      <c r="Q10" s="117">
        <f t="shared" si="2"/>
        <v>20</v>
      </c>
      <c r="R10" s="249">
        <v>0.3</v>
      </c>
      <c r="T10" s="304"/>
      <c r="W10" s="95" t="s">
        <v>74</v>
      </c>
      <c r="X10" s="268">
        <v>0.4</v>
      </c>
      <c r="AJ10" s="306"/>
    </row>
    <row r="11" spans="2:36" ht="12.5" customHeight="1">
      <c r="B11" s="102">
        <v>2025</v>
      </c>
      <c r="C11" s="307">
        <f>ROUND((H7*$X$12+(H8-H7)*$X$11+((H9-H8)*$X$10+(H10-H9)*$X$9+(H11-H10)*$X$8))/$AA$19,4)</f>
        <v>0.38369999999999999</v>
      </c>
      <c r="D11" s="307">
        <f>ROUND((I7*$X$12+(I8-I7)*$X$11+((I9-I8)*$X$10+(I10-I9)*$X$9+(I11-I10)*$X$8))/$AA$20,4)</f>
        <v>0.32290000000000002</v>
      </c>
      <c r="E11" s="307">
        <f>ROUND((J7*$X$12+(J8-J7)*$X$11+((J9-J8)*$X$10+(J10-J9)*$X$9+(J11-J10)*$X$8))/$AA$21,4)</f>
        <v>0.3871</v>
      </c>
      <c r="F11" s="307">
        <f>ROUND((K7*$X$12+(K8-K7)*$X$11+((K9-K8)*$X$10+(K10-K9)*$X$9+(K11-K10)*$X$8))/$AA$22,4)</f>
        <v>0.3468</v>
      </c>
      <c r="G11" s="307">
        <f>ROUND((L7*$X$12+(L8-L7)*$X$11+((L9-L8)*$X$10+(L10-L9)*$X$9+(L11-L10)*$X$8))/$AA$23,4)</f>
        <v>0.36499999999999999</v>
      </c>
      <c r="H11" s="103">
        <f t="shared" si="3"/>
        <v>14201.099999999999</v>
      </c>
      <c r="I11" s="103">
        <f t="shared" si="4"/>
        <v>3238.06</v>
      </c>
      <c r="J11" s="103">
        <f t="shared" si="5"/>
        <v>5244</v>
      </c>
      <c r="K11" s="103">
        <f t="shared" si="6"/>
        <v>9894</v>
      </c>
      <c r="L11" s="103">
        <f t="shared" si="0"/>
        <v>32577.16</v>
      </c>
      <c r="M11" s="308">
        <f t="shared" ref="M11:M26" si="7">R11*$V$27</f>
        <v>0</v>
      </c>
      <c r="N11" s="308">
        <f t="shared" ref="N11:N26" si="8">$V$28*R11</f>
        <v>0</v>
      </c>
      <c r="O11" s="308">
        <f t="shared" si="1"/>
        <v>0</v>
      </c>
      <c r="P11" s="308">
        <f t="shared" ref="P11:P26" si="9">$V$30*R11</f>
        <v>0</v>
      </c>
      <c r="Q11" s="103">
        <f t="shared" si="2"/>
        <v>0</v>
      </c>
      <c r="T11" s="304"/>
      <c r="W11" s="95" t="s">
        <v>115</v>
      </c>
      <c r="X11" s="268">
        <v>0.6</v>
      </c>
      <c r="AF11" s="499" t="s">
        <v>45</v>
      </c>
      <c r="AG11" s="500" t="s">
        <v>157</v>
      </c>
      <c r="AH11" s="500"/>
      <c r="AI11" s="500"/>
      <c r="AJ11" s="306"/>
    </row>
    <row r="12" spans="2:36">
      <c r="B12" s="102">
        <v>2026</v>
      </c>
      <c r="C12" s="307">
        <f t="shared" ref="C12:C26" si="10">ROUND((H7*$X$13+(H8-H7)*$X$12+((H9-H8)*$X$11+(H10-H9)*$X$10+(H11-H10)*$X$9+(H12-H11)*$X$8))/$AA$19,4)</f>
        <v>0.54820000000000002</v>
      </c>
      <c r="D12" s="307">
        <f t="shared" ref="D12:D26" si="11">ROUND((I7*$X$13+(I8-I7)*$X$12+((I9-I8)*$X$11+(I10-I9)*$X$10+(I11-I10)*$X$9+(I12-I11)*$X$8))/$AA$20,4)</f>
        <v>0.4451</v>
      </c>
      <c r="E12" s="307">
        <f t="shared" ref="E12:E26" si="12">ROUND((J7*$X$13+(J8-J7)*$X$12+((J9-J8)*$X$11+(J10-J9)*$X$10+(J11-J10)*$X$9+(J12-J11)*$X$8))/$AA$21,4)</f>
        <v>0.56310000000000004</v>
      </c>
      <c r="F12" s="307">
        <f t="shared" ref="F12:F26" si="13">ROUND((K7*$X$13+(K8-K7)*$X$12+((K9-K8)*$X$11+(K10-K9)*$X$10+(K11-K10)*$X$9+(K12-K11)*$X$8))/$AA$22,4)</f>
        <v>0.50090000000000001</v>
      </c>
      <c r="G12" s="307">
        <f t="shared" ref="G12:G26" si="14">ROUND((L7*$X$13+(L8-L7)*$X$12+((L9-L8)*$X$11+(L10-L9)*$X$10+(L11-L10)*$X$9+(L12-L11)*$X$8))/$AA$23,4)</f>
        <v>0.52249999999999996</v>
      </c>
      <c r="H12" s="103">
        <f t="shared" si="3"/>
        <v>14201.099999999999</v>
      </c>
      <c r="I12" s="103">
        <f t="shared" si="4"/>
        <v>3238.06</v>
      </c>
      <c r="J12" s="103">
        <f t="shared" si="5"/>
        <v>5244</v>
      </c>
      <c r="K12" s="103">
        <f t="shared" si="6"/>
        <v>9894</v>
      </c>
      <c r="L12" s="103">
        <f t="shared" si="0"/>
        <v>32577.16</v>
      </c>
      <c r="M12" s="308">
        <f t="shared" si="7"/>
        <v>0</v>
      </c>
      <c r="N12" s="308">
        <f t="shared" si="8"/>
        <v>0</v>
      </c>
      <c r="O12" s="308">
        <f t="shared" si="1"/>
        <v>0</v>
      </c>
      <c r="P12" s="308">
        <f t="shared" si="9"/>
        <v>0</v>
      </c>
      <c r="Q12" s="103">
        <f t="shared" si="2"/>
        <v>0</v>
      </c>
      <c r="T12" s="304"/>
      <c r="W12" s="95" t="s">
        <v>116</v>
      </c>
      <c r="X12" s="268">
        <v>0.8</v>
      </c>
      <c r="AF12" s="499"/>
      <c r="AG12" s="309" t="s">
        <v>158</v>
      </c>
      <c r="AH12" s="309" t="s">
        <v>92</v>
      </c>
      <c r="AI12" s="309" t="s">
        <v>90</v>
      </c>
      <c r="AJ12" s="306"/>
    </row>
    <row r="13" spans="2:36">
      <c r="B13" s="102">
        <v>2027</v>
      </c>
      <c r="C13" s="307">
        <f t="shared" si="10"/>
        <v>0.68520000000000003</v>
      </c>
      <c r="D13" s="307">
        <f t="shared" si="11"/>
        <v>0.53239999999999998</v>
      </c>
      <c r="E13" s="307">
        <f t="shared" si="12"/>
        <v>0.72150000000000003</v>
      </c>
      <c r="F13" s="307">
        <f t="shared" si="13"/>
        <v>0.63190000000000002</v>
      </c>
      <c r="G13" s="307">
        <f t="shared" si="14"/>
        <v>0.65429999999999999</v>
      </c>
      <c r="H13" s="103">
        <f t="shared" si="3"/>
        <v>14201.099999999999</v>
      </c>
      <c r="I13" s="103">
        <f t="shared" si="4"/>
        <v>3238.06</v>
      </c>
      <c r="J13" s="103">
        <f t="shared" si="5"/>
        <v>5244</v>
      </c>
      <c r="K13" s="103">
        <f t="shared" si="6"/>
        <v>9894</v>
      </c>
      <c r="L13" s="103">
        <f t="shared" si="0"/>
        <v>32577.16</v>
      </c>
      <c r="M13" s="308">
        <f t="shared" si="7"/>
        <v>0</v>
      </c>
      <c r="N13" s="308">
        <f t="shared" si="8"/>
        <v>0</v>
      </c>
      <c r="O13" s="308">
        <f t="shared" si="1"/>
        <v>0</v>
      </c>
      <c r="P13" s="308">
        <f t="shared" si="9"/>
        <v>0</v>
      </c>
      <c r="Q13" s="103">
        <f t="shared" si="2"/>
        <v>0</v>
      </c>
      <c r="T13" s="304"/>
      <c r="W13" s="95" t="s">
        <v>117</v>
      </c>
      <c r="X13" s="268">
        <v>1</v>
      </c>
      <c r="AF13" s="102" t="s">
        <v>80</v>
      </c>
      <c r="AG13" s="310">
        <v>281.41000000000003</v>
      </c>
      <c r="AH13" s="310">
        <v>88.25</v>
      </c>
      <c r="AI13" s="310">
        <f>AG13-AH13</f>
        <v>193.16000000000003</v>
      </c>
      <c r="AJ13" s="306"/>
    </row>
    <row r="14" spans="2:36">
      <c r="B14" s="102">
        <v>2028</v>
      </c>
      <c r="C14" s="307">
        <f t="shared" si="10"/>
        <v>0.77839999999999998</v>
      </c>
      <c r="D14" s="307">
        <f t="shared" si="11"/>
        <v>0.58479999999999999</v>
      </c>
      <c r="E14" s="307">
        <f t="shared" si="12"/>
        <v>0.82709999999999995</v>
      </c>
      <c r="F14" s="307">
        <f t="shared" si="13"/>
        <v>0.72430000000000005</v>
      </c>
      <c r="G14" s="307">
        <f t="shared" si="14"/>
        <v>0.74380000000000002</v>
      </c>
      <c r="H14" s="103">
        <f t="shared" si="3"/>
        <v>14201.099999999999</v>
      </c>
      <c r="I14" s="103">
        <f t="shared" si="4"/>
        <v>3238.06</v>
      </c>
      <c r="J14" s="103">
        <f t="shared" si="5"/>
        <v>5244</v>
      </c>
      <c r="K14" s="103">
        <f t="shared" si="6"/>
        <v>9894</v>
      </c>
      <c r="L14" s="103">
        <f t="shared" si="0"/>
        <v>32577.16</v>
      </c>
      <c r="M14" s="308">
        <f t="shared" si="7"/>
        <v>0</v>
      </c>
      <c r="N14" s="308">
        <f t="shared" si="8"/>
        <v>0</v>
      </c>
      <c r="O14" s="308">
        <f t="shared" si="1"/>
        <v>0</v>
      </c>
      <c r="P14" s="308">
        <f t="shared" si="9"/>
        <v>0</v>
      </c>
      <c r="Q14" s="103">
        <f t="shared" si="2"/>
        <v>0</v>
      </c>
      <c r="T14" s="304"/>
      <c r="AF14" s="102" t="s">
        <v>82</v>
      </c>
      <c r="AG14" s="310">
        <v>241.76</v>
      </c>
      <c r="AH14" s="310">
        <v>75.760000000000005</v>
      </c>
      <c r="AI14" s="310">
        <f t="shared" ref="AI14:AI16" si="15">AG14-AH14</f>
        <v>166</v>
      </c>
      <c r="AJ14" s="306"/>
    </row>
    <row r="15" spans="2:36">
      <c r="B15" s="102">
        <v>2029</v>
      </c>
      <c r="C15" s="307">
        <f t="shared" si="10"/>
        <v>0.82230000000000003</v>
      </c>
      <c r="D15" s="307">
        <f t="shared" si="11"/>
        <v>0.61099999999999999</v>
      </c>
      <c r="E15" s="307">
        <f t="shared" si="12"/>
        <v>0.87990000000000002</v>
      </c>
      <c r="F15" s="307">
        <f t="shared" si="13"/>
        <v>0.77059999999999995</v>
      </c>
      <c r="G15" s="307">
        <f t="shared" si="14"/>
        <v>0.78749999999999998</v>
      </c>
      <c r="H15" s="103">
        <f t="shared" si="3"/>
        <v>14201.099999999999</v>
      </c>
      <c r="I15" s="103">
        <f t="shared" si="4"/>
        <v>3238.06</v>
      </c>
      <c r="J15" s="103">
        <f t="shared" si="5"/>
        <v>5244</v>
      </c>
      <c r="K15" s="103">
        <f t="shared" si="6"/>
        <v>9894</v>
      </c>
      <c r="L15" s="103">
        <f t="shared" si="0"/>
        <v>32577.16</v>
      </c>
      <c r="M15" s="308">
        <f t="shared" si="7"/>
        <v>0</v>
      </c>
      <c r="N15" s="308">
        <f t="shared" si="8"/>
        <v>0</v>
      </c>
      <c r="O15" s="308">
        <f t="shared" si="1"/>
        <v>0</v>
      </c>
      <c r="P15" s="308">
        <f t="shared" si="9"/>
        <v>0</v>
      </c>
      <c r="Q15" s="103">
        <f t="shared" si="2"/>
        <v>0</v>
      </c>
      <c r="T15" s="304"/>
      <c r="U15" s="95" t="s">
        <v>140</v>
      </c>
      <c r="X15" s="268">
        <v>0.2</v>
      </c>
      <c r="AF15" s="102" t="s">
        <v>83</v>
      </c>
      <c r="AG15" s="310">
        <v>276.65999999999997</v>
      </c>
      <c r="AH15" s="310">
        <v>127.69</v>
      </c>
      <c r="AI15" s="310">
        <f t="shared" si="15"/>
        <v>148.96999999999997</v>
      </c>
      <c r="AJ15" s="306"/>
    </row>
    <row r="16" spans="2:36">
      <c r="B16" s="102">
        <v>2030</v>
      </c>
      <c r="C16" s="307">
        <f t="shared" si="10"/>
        <v>0.82230000000000003</v>
      </c>
      <c r="D16" s="307">
        <f t="shared" si="11"/>
        <v>0.61099999999999999</v>
      </c>
      <c r="E16" s="307">
        <f t="shared" si="12"/>
        <v>0.87990000000000002</v>
      </c>
      <c r="F16" s="307">
        <f t="shared" si="13"/>
        <v>0.77059999999999995</v>
      </c>
      <c r="G16" s="307">
        <f t="shared" si="14"/>
        <v>0.78749999999999998</v>
      </c>
      <c r="H16" s="103">
        <f t="shared" si="3"/>
        <v>14201.099999999999</v>
      </c>
      <c r="I16" s="103">
        <f t="shared" si="4"/>
        <v>3238.06</v>
      </c>
      <c r="J16" s="103">
        <f t="shared" si="5"/>
        <v>5244</v>
      </c>
      <c r="K16" s="103">
        <f t="shared" si="6"/>
        <v>9894</v>
      </c>
      <c r="L16" s="103">
        <f t="shared" si="0"/>
        <v>32577.16</v>
      </c>
      <c r="M16" s="308">
        <f t="shared" si="7"/>
        <v>0</v>
      </c>
      <c r="N16" s="308">
        <f t="shared" si="8"/>
        <v>0</v>
      </c>
      <c r="O16" s="308">
        <f t="shared" si="1"/>
        <v>0</v>
      </c>
      <c r="P16" s="308">
        <f t="shared" si="9"/>
        <v>0</v>
      </c>
      <c r="Q16" s="103">
        <f t="shared" si="2"/>
        <v>0</v>
      </c>
      <c r="T16" s="304"/>
      <c r="AF16" s="102" t="s">
        <v>84</v>
      </c>
      <c r="AG16" s="310">
        <v>289</v>
      </c>
      <c r="AH16" s="310">
        <v>99.859999999999985</v>
      </c>
      <c r="AI16" s="310">
        <f t="shared" si="15"/>
        <v>189.14000000000001</v>
      </c>
      <c r="AJ16" s="306"/>
    </row>
    <row r="17" spans="2:36" ht="12.5" customHeight="1">
      <c r="B17" s="102">
        <v>2031</v>
      </c>
      <c r="C17" s="307">
        <f t="shared" si="10"/>
        <v>0.82230000000000003</v>
      </c>
      <c r="D17" s="307">
        <f t="shared" si="11"/>
        <v>0.61099999999999999</v>
      </c>
      <c r="E17" s="307">
        <f t="shared" si="12"/>
        <v>0.87990000000000002</v>
      </c>
      <c r="F17" s="307">
        <f t="shared" si="13"/>
        <v>0.77059999999999995</v>
      </c>
      <c r="G17" s="307">
        <f t="shared" si="14"/>
        <v>0.78749999999999998</v>
      </c>
      <c r="H17" s="103">
        <f t="shared" si="3"/>
        <v>14201.099999999999</v>
      </c>
      <c r="I17" s="103">
        <f t="shared" si="4"/>
        <v>3238.06</v>
      </c>
      <c r="J17" s="103">
        <f t="shared" si="5"/>
        <v>5244</v>
      </c>
      <c r="K17" s="103">
        <f t="shared" si="6"/>
        <v>9894</v>
      </c>
      <c r="L17" s="103">
        <f t="shared" si="0"/>
        <v>32577.16</v>
      </c>
      <c r="M17" s="308">
        <f t="shared" si="7"/>
        <v>0</v>
      </c>
      <c r="N17" s="308">
        <f t="shared" si="8"/>
        <v>0</v>
      </c>
      <c r="O17" s="308">
        <f t="shared" si="1"/>
        <v>0</v>
      </c>
      <c r="P17" s="308">
        <f t="shared" si="9"/>
        <v>0</v>
      </c>
      <c r="Q17" s="103">
        <f t="shared" si="2"/>
        <v>0</v>
      </c>
      <c r="T17" s="304"/>
      <c r="U17" s="95" t="s">
        <v>159</v>
      </c>
      <c r="Z17" s="95" t="s">
        <v>160</v>
      </c>
      <c r="AF17" s="102" t="s">
        <v>118</v>
      </c>
      <c r="AG17" s="310">
        <f>AVERAGE(AG13:AG16)</f>
        <v>272.20749999999998</v>
      </c>
      <c r="AH17" s="310">
        <f>AVERAGE(AH13:AH16)</f>
        <v>97.889999999999986</v>
      </c>
      <c r="AI17" s="310">
        <f>AVERAGE(AI13:AI16)</f>
        <v>174.3175</v>
      </c>
      <c r="AJ17" s="306"/>
    </row>
    <row r="18" spans="2:36">
      <c r="B18" s="102">
        <v>2032</v>
      </c>
      <c r="C18" s="307">
        <f t="shared" si="10"/>
        <v>0.82230000000000003</v>
      </c>
      <c r="D18" s="307">
        <f t="shared" si="11"/>
        <v>0.61099999999999999</v>
      </c>
      <c r="E18" s="307">
        <f t="shared" si="12"/>
        <v>0.87990000000000002</v>
      </c>
      <c r="F18" s="307">
        <f t="shared" si="13"/>
        <v>0.77059999999999995</v>
      </c>
      <c r="G18" s="307">
        <f t="shared" si="14"/>
        <v>0.78749999999999998</v>
      </c>
      <c r="H18" s="103">
        <f t="shared" si="3"/>
        <v>14201.099999999999</v>
      </c>
      <c r="I18" s="103">
        <f t="shared" si="4"/>
        <v>3238.06</v>
      </c>
      <c r="J18" s="103">
        <f t="shared" si="5"/>
        <v>5244</v>
      </c>
      <c r="K18" s="103">
        <f t="shared" si="6"/>
        <v>9894</v>
      </c>
      <c r="L18" s="103">
        <f t="shared" si="0"/>
        <v>32577.16</v>
      </c>
      <c r="M18" s="308">
        <f t="shared" si="7"/>
        <v>0</v>
      </c>
      <c r="N18" s="308">
        <f t="shared" si="8"/>
        <v>0</v>
      </c>
      <c r="O18" s="308">
        <f t="shared" si="1"/>
        <v>0</v>
      </c>
      <c r="P18" s="308">
        <f t="shared" si="9"/>
        <v>0</v>
      </c>
      <c r="Q18" s="103">
        <f t="shared" si="2"/>
        <v>0</v>
      </c>
      <c r="T18" s="304"/>
      <c r="V18" s="311" t="s">
        <v>71</v>
      </c>
      <c r="W18" s="97" t="s">
        <v>161</v>
      </c>
      <c r="X18" s="115" t="s">
        <v>100</v>
      </c>
      <c r="AA18" s="311" t="s">
        <v>71</v>
      </c>
      <c r="AB18" s="97" t="s">
        <v>162</v>
      </c>
      <c r="AC18" s="115" t="s">
        <v>100</v>
      </c>
      <c r="AJ18" s="306"/>
    </row>
    <row r="19" spans="2:36">
      <c r="B19" s="102">
        <v>2033</v>
      </c>
      <c r="C19" s="307">
        <f t="shared" si="10"/>
        <v>0.82230000000000003</v>
      </c>
      <c r="D19" s="307">
        <f t="shared" si="11"/>
        <v>0.61099999999999999</v>
      </c>
      <c r="E19" s="307">
        <f t="shared" si="12"/>
        <v>0.87990000000000002</v>
      </c>
      <c r="F19" s="307">
        <f t="shared" si="13"/>
        <v>0.77059999999999995</v>
      </c>
      <c r="G19" s="307">
        <f t="shared" si="14"/>
        <v>0.78749999999999998</v>
      </c>
      <c r="H19" s="103">
        <f t="shared" si="3"/>
        <v>14201.099999999999</v>
      </c>
      <c r="I19" s="103">
        <f t="shared" si="4"/>
        <v>3238.06</v>
      </c>
      <c r="J19" s="103">
        <f t="shared" si="5"/>
        <v>5244</v>
      </c>
      <c r="K19" s="103">
        <f t="shared" si="6"/>
        <v>9894</v>
      </c>
      <c r="L19" s="103">
        <f t="shared" si="0"/>
        <v>32577.16</v>
      </c>
      <c r="M19" s="308">
        <f t="shared" si="7"/>
        <v>0</v>
      </c>
      <c r="N19" s="308">
        <f t="shared" si="8"/>
        <v>0</v>
      </c>
      <c r="O19" s="308">
        <f t="shared" si="1"/>
        <v>0</v>
      </c>
      <c r="P19" s="308">
        <f t="shared" si="9"/>
        <v>0</v>
      </c>
      <c r="Q19" s="103">
        <f t="shared" si="2"/>
        <v>0</v>
      </c>
      <c r="T19" s="304"/>
      <c r="U19" s="95" t="s">
        <v>56</v>
      </c>
      <c r="V19" s="110">
        <v>135857.5104</v>
      </c>
      <c r="W19" s="110">
        <v>97770.1</v>
      </c>
      <c r="X19" s="248">
        <f>ROUND(W19/V19,3)</f>
        <v>0.72</v>
      </c>
      <c r="Z19" s="95" t="s">
        <v>56</v>
      </c>
      <c r="AA19" s="110">
        <f>D129</f>
        <v>17269.999999999989</v>
      </c>
      <c r="AB19" s="105">
        <v>14201</v>
      </c>
      <c r="AC19" s="248">
        <f>ROUND(AB19/AA19,3)</f>
        <v>0.82199999999999995</v>
      </c>
      <c r="AJ19" s="306"/>
    </row>
    <row r="20" spans="2:36">
      <c r="B20" s="102">
        <v>2034</v>
      </c>
      <c r="C20" s="307">
        <f t="shared" si="10"/>
        <v>0.82230000000000003</v>
      </c>
      <c r="D20" s="307">
        <f t="shared" si="11"/>
        <v>0.61099999999999999</v>
      </c>
      <c r="E20" s="307">
        <f t="shared" si="12"/>
        <v>0.87990000000000002</v>
      </c>
      <c r="F20" s="307">
        <f t="shared" si="13"/>
        <v>0.77059999999999995</v>
      </c>
      <c r="G20" s="307">
        <f t="shared" si="14"/>
        <v>0.78749999999999998</v>
      </c>
      <c r="H20" s="103">
        <f t="shared" si="3"/>
        <v>14201.099999999999</v>
      </c>
      <c r="I20" s="103">
        <f t="shared" si="4"/>
        <v>3238.06</v>
      </c>
      <c r="J20" s="103">
        <f t="shared" si="5"/>
        <v>5244</v>
      </c>
      <c r="K20" s="103">
        <f t="shared" si="6"/>
        <v>9894</v>
      </c>
      <c r="L20" s="103">
        <f t="shared" si="0"/>
        <v>32577.16</v>
      </c>
      <c r="M20" s="308">
        <f t="shared" si="7"/>
        <v>0</v>
      </c>
      <c r="N20" s="308">
        <f t="shared" si="8"/>
        <v>0</v>
      </c>
      <c r="O20" s="308">
        <f t="shared" si="1"/>
        <v>0</v>
      </c>
      <c r="P20" s="308">
        <f t="shared" si="9"/>
        <v>0</v>
      </c>
      <c r="Q20" s="103">
        <f t="shared" si="2"/>
        <v>0</v>
      </c>
      <c r="T20" s="304"/>
      <c r="U20" s="95" t="s">
        <v>57</v>
      </c>
      <c r="V20" s="110">
        <v>23181.835200000001</v>
      </c>
      <c r="W20" s="110">
        <v>9403.9</v>
      </c>
      <c r="X20" s="248">
        <f>ROUND(W20/V20,3)</f>
        <v>0.40600000000000003</v>
      </c>
      <c r="Z20" s="95" t="s">
        <v>57</v>
      </c>
      <c r="AA20" s="110">
        <f>D180</f>
        <v>5300.0000000000018</v>
      </c>
      <c r="AB20" s="105">
        <v>3238</v>
      </c>
      <c r="AC20" s="248">
        <f>ROUND(AB20/AA20,3)</f>
        <v>0.61099999999999999</v>
      </c>
      <c r="AF20" s="95" t="s">
        <v>163</v>
      </c>
      <c r="AJ20" s="306"/>
    </row>
    <row r="21" spans="2:36">
      <c r="B21" s="102">
        <v>2035</v>
      </c>
      <c r="C21" s="307">
        <f t="shared" si="10"/>
        <v>0.82230000000000003</v>
      </c>
      <c r="D21" s="307">
        <f t="shared" si="11"/>
        <v>0.61099999999999999</v>
      </c>
      <c r="E21" s="307">
        <f t="shared" si="12"/>
        <v>0.87990000000000002</v>
      </c>
      <c r="F21" s="307">
        <f t="shared" si="13"/>
        <v>0.77059999999999995</v>
      </c>
      <c r="G21" s="307">
        <f t="shared" si="14"/>
        <v>0.78749999999999998</v>
      </c>
      <c r="H21" s="103">
        <f t="shared" si="3"/>
        <v>14201.099999999999</v>
      </c>
      <c r="I21" s="103">
        <f t="shared" si="4"/>
        <v>3238.06</v>
      </c>
      <c r="J21" s="103">
        <f t="shared" si="5"/>
        <v>5244</v>
      </c>
      <c r="K21" s="103">
        <f t="shared" si="6"/>
        <v>9894</v>
      </c>
      <c r="L21" s="103">
        <f t="shared" si="0"/>
        <v>32577.16</v>
      </c>
      <c r="M21" s="308">
        <f t="shared" si="7"/>
        <v>0</v>
      </c>
      <c r="N21" s="308">
        <f t="shared" si="8"/>
        <v>0</v>
      </c>
      <c r="O21" s="308">
        <f t="shared" si="1"/>
        <v>0</v>
      </c>
      <c r="P21" s="308">
        <f t="shared" si="9"/>
        <v>0</v>
      </c>
      <c r="Q21" s="103">
        <f t="shared" si="2"/>
        <v>0</v>
      </c>
      <c r="T21" s="304"/>
      <c r="U21" s="95" t="s">
        <v>58</v>
      </c>
      <c r="V21" s="110">
        <v>31718.444800000001</v>
      </c>
      <c r="W21" s="110">
        <v>22571.9</v>
      </c>
      <c r="X21" s="248">
        <f>ROUND(W21/V21,3)</f>
        <v>0.71199999999999997</v>
      </c>
      <c r="Z21" s="95" t="s">
        <v>58</v>
      </c>
      <c r="AA21" s="110">
        <f>D231</f>
        <v>5960.0000000000018</v>
      </c>
      <c r="AB21" s="105">
        <v>5244</v>
      </c>
      <c r="AC21" s="248">
        <f>ROUND(AB21/AA21,3)</f>
        <v>0.88</v>
      </c>
      <c r="AJ21" s="306"/>
    </row>
    <row r="22" spans="2:36">
      <c r="B22" s="102">
        <v>2036</v>
      </c>
      <c r="C22" s="307">
        <f t="shared" si="10"/>
        <v>0.82230000000000003</v>
      </c>
      <c r="D22" s="307">
        <f t="shared" si="11"/>
        <v>0.61099999999999999</v>
      </c>
      <c r="E22" s="307">
        <f t="shared" si="12"/>
        <v>0.87990000000000002</v>
      </c>
      <c r="F22" s="307">
        <f t="shared" si="13"/>
        <v>0.77059999999999995</v>
      </c>
      <c r="G22" s="307">
        <f t="shared" si="14"/>
        <v>0.78749999999999998</v>
      </c>
      <c r="H22" s="103">
        <f t="shared" si="3"/>
        <v>14201.099999999999</v>
      </c>
      <c r="I22" s="103">
        <f t="shared" si="4"/>
        <v>3238.06</v>
      </c>
      <c r="J22" s="103">
        <f t="shared" si="5"/>
        <v>5244</v>
      </c>
      <c r="K22" s="103">
        <f t="shared" si="6"/>
        <v>9894</v>
      </c>
      <c r="L22" s="103">
        <f t="shared" si="0"/>
        <v>32577.16</v>
      </c>
      <c r="M22" s="308">
        <f t="shared" si="7"/>
        <v>0</v>
      </c>
      <c r="N22" s="308">
        <f t="shared" si="8"/>
        <v>0</v>
      </c>
      <c r="O22" s="308">
        <f t="shared" si="1"/>
        <v>0</v>
      </c>
      <c r="P22" s="308">
        <f t="shared" si="9"/>
        <v>0</v>
      </c>
      <c r="Q22" s="103">
        <f t="shared" si="2"/>
        <v>0</v>
      </c>
      <c r="T22" s="304"/>
      <c r="U22" s="95" t="s">
        <v>59</v>
      </c>
      <c r="V22" s="110">
        <v>64780.043246000001</v>
      </c>
      <c r="W22" s="110">
        <v>42631.399999999994</v>
      </c>
      <c r="X22" s="248">
        <f>ROUND(W22/V22,3)</f>
        <v>0.65800000000000003</v>
      </c>
      <c r="Z22" s="95" t="s">
        <v>59</v>
      </c>
      <c r="AA22" s="110">
        <f>D284</f>
        <v>12839.999999999995</v>
      </c>
      <c r="AB22" s="105">
        <v>9894</v>
      </c>
      <c r="AC22" s="248">
        <f>ROUND(AB22/AA22,3)</f>
        <v>0.77100000000000002</v>
      </c>
      <c r="AF22" s="312" t="s">
        <v>45</v>
      </c>
      <c r="AG22" s="492" t="s">
        <v>157</v>
      </c>
      <c r="AH22" s="492"/>
      <c r="AI22" s="492"/>
      <c r="AJ22" s="306"/>
    </row>
    <row r="23" spans="2:36">
      <c r="B23" s="102">
        <v>2037</v>
      </c>
      <c r="C23" s="307">
        <f t="shared" si="10"/>
        <v>0.82230000000000003</v>
      </c>
      <c r="D23" s="307">
        <f t="shared" si="11"/>
        <v>0.61099999999999999</v>
      </c>
      <c r="E23" s="307">
        <f t="shared" si="12"/>
        <v>0.87990000000000002</v>
      </c>
      <c r="F23" s="307">
        <f t="shared" si="13"/>
        <v>0.77059999999999995</v>
      </c>
      <c r="G23" s="307">
        <f t="shared" si="14"/>
        <v>0.78749999999999998</v>
      </c>
      <c r="H23" s="103">
        <f t="shared" si="3"/>
        <v>14201.099999999999</v>
      </c>
      <c r="I23" s="103">
        <f t="shared" si="4"/>
        <v>3238.06</v>
      </c>
      <c r="J23" s="103">
        <f t="shared" si="5"/>
        <v>5244</v>
      </c>
      <c r="K23" s="103">
        <f t="shared" si="6"/>
        <v>9894</v>
      </c>
      <c r="L23" s="103">
        <f t="shared" si="0"/>
        <v>32577.16</v>
      </c>
      <c r="M23" s="308">
        <f t="shared" si="7"/>
        <v>0</v>
      </c>
      <c r="N23" s="308">
        <f t="shared" si="8"/>
        <v>0</v>
      </c>
      <c r="O23" s="308">
        <f t="shared" si="1"/>
        <v>0</v>
      </c>
      <c r="P23" s="308">
        <f t="shared" si="9"/>
        <v>0</v>
      </c>
      <c r="Q23" s="103">
        <f t="shared" si="2"/>
        <v>0</v>
      </c>
      <c r="T23" s="304"/>
      <c r="U23" s="95" t="s">
        <v>66</v>
      </c>
      <c r="V23" s="110">
        <f>SUM(V19:V22)</f>
        <v>255537.83364600001</v>
      </c>
      <c r="W23" s="110">
        <f>SUM(W19:W22)</f>
        <v>172377.3</v>
      </c>
      <c r="X23" s="248">
        <f>ROUND(W23/V23,3)</f>
        <v>0.67500000000000004</v>
      </c>
      <c r="Z23" s="95" t="s">
        <v>66</v>
      </c>
      <c r="AA23" s="110">
        <f>SUM(AA19:AA22)</f>
        <v>41369.999999999985</v>
      </c>
      <c r="AB23" s="105">
        <f>SUM(AB19:AB22)</f>
        <v>32577</v>
      </c>
      <c r="AC23" s="248">
        <f>ROUND(AB23/AA23,4)</f>
        <v>0.78749999999999998</v>
      </c>
      <c r="AF23" s="312"/>
      <c r="AG23" s="309" t="s">
        <v>92</v>
      </c>
      <c r="AH23" s="309" t="s">
        <v>164</v>
      </c>
      <c r="AI23" s="309" t="s">
        <v>165</v>
      </c>
      <c r="AJ23" s="306"/>
    </row>
    <row r="24" spans="2:36">
      <c r="B24" s="102">
        <v>2038</v>
      </c>
      <c r="C24" s="307">
        <f t="shared" si="10"/>
        <v>0.82230000000000003</v>
      </c>
      <c r="D24" s="307">
        <f t="shared" si="11"/>
        <v>0.61099999999999999</v>
      </c>
      <c r="E24" s="307">
        <f t="shared" si="12"/>
        <v>0.87990000000000002</v>
      </c>
      <c r="F24" s="307">
        <f t="shared" si="13"/>
        <v>0.77059999999999995</v>
      </c>
      <c r="G24" s="307">
        <f t="shared" si="14"/>
        <v>0.78749999999999998</v>
      </c>
      <c r="H24" s="103">
        <f t="shared" si="3"/>
        <v>14201.099999999999</v>
      </c>
      <c r="I24" s="103">
        <f t="shared" si="4"/>
        <v>3238.06</v>
      </c>
      <c r="J24" s="103">
        <f t="shared" si="5"/>
        <v>5244</v>
      </c>
      <c r="K24" s="103">
        <f t="shared" si="6"/>
        <v>9894</v>
      </c>
      <c r="L24" s="103">
        <f t="shared" si="0"/>
        <v>32577.16</v>
      </c>
      <c r="M24" s="308">
        <f t="shared" si="7"/>
        <v>0</v>
      </c>
      <c r="N24" s="308">
        <f t="shared" si="8"/>
        <v>0</v>
      </c>
      <c r="O24" s="308">
        <f t="shared" si="1"/>
        <v>0</v>
      </c>
      <c r="P24" s="308">
        <f t="shared" si="9"/>
        <v>0</v>
      </c>
      <c r="Q24" s="103">
        <f t="shared" si="2"/>
        <v>0</v>
      </c>
      <c r="T24" s="304"/>
      <c r="AF24" s="102" t="s">
        <v>80</v>
      </c>
      <c r="AG24" s="310">
        <v>88.25</v>
      </c>
      <c r="AH24" s="102">
        <v>4.5</v>
      </c>
      <c r="AI24" s="310">
        <f>AG24-AH24</f>
        <v>83.75</v>
      </c>
      <c r="AJ24" s="306"/>
    </row>
    <row r="25" spans="2:36">
      <c r="B25" s="102">
        <v>2039</v>
      </c>
      <c r="C25" s="307">
        <f t="shared" si="10"/>
        <v>0.82230000000000003</v>
      </c>
      <c r="D25" s="307">
        <f t="shared" si="11"/>
        <v>0.61099999999999999</v>
      </c>
      <c r="E25" s="307">
        <f t="shared" si="12"/>
        <v>0.87990000000000002</v>
      </c>
      <c r="F25" s="307">
        <f t="shared" si="13"/>
        <v>0.77059999999999995</v>
      </c>
      <c r="G25" s="307">
        <f t="shared" si="14"/>
        <v>0.78749999999999998</v>
      </c>
      <c r="H25" s="103">
        <f t="shared" si="3"/>
        <v>14201.099999999999</v>
      </c>
      <c r="I25" s="103">
        <f t="shared" si="4"/>
        <v>3238.06</v>
      </c>
      <c r="J25" s="103">
        <f t="shared" si="5"/>
        <v>5244</v>
      </c>
      <c r="K25" s="103">
        <f t="shared" si="6"/>
        <v>9894</v>
      </c>
      <c r="L25" s="103">
        <f t="shared" si="0"/>
        <v>32577.16</v>
      </c>
      <c r="M25" s="308">
        <f t="shared" si="7"/>
        <v>0</v>
      </c>
      <c r="N25" s="308">
        <f t="shared" si="8"/>
        <v>0</v>
      </c>
      <c r="O25" s="308">
        <f t="shared" si="1"/>
        <v>0</v>
      </c>
      <c r="P25" s="308">
        <f t="shared" si="9"/>
        <v>0</v>
      </c>
      <c r="Q25" s="103">
        <f t="shared" si="2"/>
        <v>0</v>
      </c>
      <c r="T25" s="304"/>
      <c r="Z25" s="95" t="s">
        <v>132</v>
      </c>
      <c r="AF25" s="102" t="s">
        <v>82</v>
      </c>
      <c r="AG25" s="310">
        <v>75.760000000000005</v>
      </c>
      <c r="AH25" s="102">
        <v>4.5</v>
      </c>
      <c r="AI25" s="310">
        <f t="shared" ref="AI25:AI27" si="16">AG25-AH25</f>
        <v>71.260000000000005</v>
      </c>
      <c r="AJ25" s="306"/>
    </row>
    <row r="26" spans="2:36">
      <c r="B26" s="102">
        <v>2040</v>
      </c>
      <c r="C26" s="307">
        <f t="shared" si="10"/>
        <v>0.82230000000000003</v>
      </c>
      <c r="D26" s="307">
        <f t="shared" si="11"/>
        <v>0.61099999999999999</v>
      </c>
      <c r="E26" s="307">
        <f t="shared" si="12"/>
        <v>0.87990000000000002</v>
      </c>
      <c r="F26" s="307">
        <f t="shared" si="13"/>
        <v>0.77059999999999995</v>
      </c>
      <c r="G26" s="307">
        <f t="shared" si="14"/>
        <v>0.78749999999999998</v>
      </c>
      <c r="H26" s="103">
        <f t="shared" si="3"/>
        <v>14201.099999999999</v>
      </c>
      <c r="I26" s="103">
        <f t="shared" si="4"/>
        <v>3238.06</v>
      </c>
      <c r="J26" s="103">
        <f t="shared" si="5"/>
        <v>5244</v>
      </c>
      <c r="K26" s="103">
        <f t="shared" si="6"/>
        <v>9894</v>
      </c>
      <c r="L26" s="103">
        <f t="shared" si="0"/>
        <v>32577.16</v>
      </c>
      <c r="M26" s="308">
        <f t="shared" si="7"/>
        <v>0</v>
      </c>
      <c r="N26" s="308">
        <f t="shared" si="8"/>
        <v>0</v>
      </c>
      <c r="O26" s="308">
        <f t="shared" si="1"/>
        <v>0</v>
      </c>
      <c r="P26" s="308">
        <f t="shared" si="9"/>
        <v>0</v>
      </c>
      <c r="Q26" s="103">
        <f t="shared" si="2"/>
        <v>0</v>
      </c>
      <c r="T26" s="304"/>
      <c r="W26" s="95" t="s">
        <v>276</v>
      </c>
      <c r="AB26" s="95" t="s">
        <v>276</v>
      </c>
      <c r="AF26" s="102" t="s">
        <v>83</v>
      </c>
      <c r="AG26" s="310">
        <v>127.69</v>
      </c>
      <c r="AH26" s="102">
        <v>4.5</v>
      </c>
      <c r="AI26" s="310">
        <f t="shared" si="16"/>
        <v>123.19</v>
      </c>
      <c r="AJ26" s="306"/>
    </row>
    <row r="27" spans="2:36">
      <c r="T27" s="313"/>
      <c r="U27" s="95" t="s">
        <v>56</v>
      </c>
      <c r="V27" s="95">
        <v>28</v>
      </c>
      <c r="W27" s="105">
        <f>ROUND(W19/V27,1)</f>
        <v>3491.8</v>
      </c>
      <c r="X27" s="95" t="s">
        <v>101</v>
      </c>
      <c r="Z27" s="95" t="s">
        <v>56</v>
      </c>
      <c r="AA27" s="314">
        <v>30</v>
      </c>
      <c r="AB27" s="105">
        <f>ROUND(AB19/AA27,2)</f>
        <v>473.37</v>
      </c>
      <c r="AC27" s="95" t="s">
        <v>101</v>
      </c>
      <c r="AF27" s="102" t="s">
        <v>84</v>
      </c>
      <c r="AG27" s="310">
        <v>99.859999999999985</v>
      </c>
      <c r="AH27" s="102">
        <v>4.5</v>
      </c>
      <c r="AI27" s="310">
        <f t="shared" si="16"/>
        <v>95.359999999999985</v>
      </c>
      <c r="AJ27" s="306"/>
    </row>
    <row r="28" spans="2:36">
      <c r="T28" s="304"/>
      <c r="U28" s="95" t="s">
        <v>57</v>
      </c>
      <c r="V28" s="95">
        <v>11</v>
      </c>
      <c r="W28" s="105">
        <f>ROUND(W20/V28,1)</f>
        <v>854.9</v>
      </c>
      <c r="X28" s="95" t="s">
        <v>101</v>
      </c>
      <c r="Z28" s="95" t="s">
        <v>57</v>
      </c>
      <c r="AA28" s="314">
        <v>14</v>
      </c>
      <c r="AB28" s="105">
        <f>ROUND(AB20/AA28,2)</f>
        <v>231.29</v>
      </c>
      <c r="AC28" s="95" t="s">
        <v>101</v>
      </c>
      <c r="AF28" s="102" t="s">
        <v>118</v>
      </c>
      <c r="AG28" s="310">
        <f>AVERAGE(AG24:AG27)</f>
        <v>97.889999999999986</v>
      </c>
      <c r="AH28" s="102">
        <f>AVERAGE(AH24:AH27)</f>
        <v>4.5</v>
      </c>
      <c r="AI28" s="310">
        <f>AVERAGE(AI24:AI27)</f>
        <v>93.389999999999986</v>
      </c>
      <c r="AJ28" s="306"/>
    </row>
    <row r="29" spans="2:36">
      <c r="T29" s="304"/>
      <c r="U29" s="95" t="s">
        <v>58</v>
      </c>
      <c r="V29" s="95">
        <v>10</v>
      </c>
      <c r="W29" s="105">
        <f>ROUND(W21/V29,1)</f>
        <v>2257.1999999999998</v>
      </c>
      <c r="X29" s="95" t="s">
        <v>101</v>
      </c>
      <c r="Z29" s="95" t="s">
        <v>58</v>
      </c>
      <c r="AA29" s="314">
        <v>10</v>
      </c>
      <c r="AB29" s="105">
        <f>ROUND(AB21/AA29,2)</f>
        <v>524.4</v>
      </c>
      <c r="AC29" s="95" t="s">
        <v>101</v>
      </c>
      <c r="AJ29" s="306"/>
    </row>
    <row r="30" spans="2:36">
      <c r="T30" s="304"/>
      <c r="U30" s="95" t="s">
        <v>59</v>
      </c>
      <c r="V30" s="95">
        <v>19</v>
      </c>
      <c r="W30" s="105">
        <f>ROUND(W22/V30,1)</f>
        <v>2243.8000000000002</v>
      </c>
      <c r="X30" s="95" t="s">
        <v>101</v>
      </c>
      <c r="Z30" s="95" t="s">
        <v>59</v>
      </c>
      <c r="AA30" s="314">
        <v>20</v>
      </c>
      <c r="AB30" s="105">
        <f>ROUND(AB22/AA30,2)</f>
        <v>494.7</v>
      </c>
      <c r="AC30" s="95" t="s">
        <v>101</v>
      </c>
      <c r="AJ30" s="306"/>
    </row>
    <row r="31" spans="2:36" ht="13.5">
      <c r="C31" s="315"/>
      <c r="D31" s="315"/>
      <c r="E31" s="315"/>
      <c r="F31" s="315"/>
      <c r="G31" s="315"/>
      <c r="H31" s="315"/>
      <c r="I31" s="315"/>
      <c r="J31" s="315"/>
      <c r="K31" s="315"/>
      <c r="T31" s="304"/>
      <c r="U31" s="95" t="s">
        <v>66</v>
      </c>
      <c r="V31" s="95">
        <f>SUM(V27:V30)</f>
        <v>68</v>
      </c>
      <c r="W31" s="95" t="s">
        <v>102</v>
      </c>
      <c r="Z31" s="95" t="s">
        <v>66</v>
      </c>
      <c r="AA31" s="314">
        <f>SUM(AA27:AA30)</f>
        <v>74</v>
      </c>
      <c r="AB31" s="95" t="s">
        <v>102</v>
      </c>
      <c r="AJ31" s="306"/>
    </row>
    <row r="32" spans="2:36" ht="14" thickBot="1">
      <c r="C32" s="315" t="s">
        <v>166</v>
      </c>
      <c r="D32" s="316"/>
      <c r="E32" s="316"/>
      <c r="F32" s="316"/>
      <c r="G32" s="316"/>
      <c r="H32" s="316"/>
      <c r="I32" s="317"/>
      <c r="J32" s="317" t="s">
        <v>167</v>
      </c>
      <c r="K32" s="317"/>
      <c r="T32" s="318"/>
      <c r="U32" s="319"/>
      <c r="V32" s="319"/>
      <c r="W32" s="319"/>
      <c r="X32" s="319"/>
      <c r="Y32" s="319"/>
      <c r="Z32" s="319"/>
      <c r="AA32" s="319"/>
      <c r="AB32" s="319"/>
      <c r="AC32" s="319"/>
      <c r="AD32" s="319"/>
      <c r="AE32" s="319"/>
      <c r="AF32" s="319"/>
      <c r="AG32" s="319"/>
      <c r="AH32" s="319"/>
      <c r="AI32" s="319"/>
      <c r="AJ32" s="320"/>
    </row>
    <row r="33" spans="3:19">
      <c r="C33" s="283"/>
      <c r="D33" s="100" t="s">
        <v>56</v>
      </c>
      <c r="E33" s="100" t="s">
        <v>57</v>
      </c>
      <c r="F33" s="100" t="s">
        <v>58</v>
      </c>
      <c r="G33" s="100" t="s">
        <v>59</v>
      </c>
      <c r="H33" s="284" t="s">
        <v>66</v>
      </c>
      <c r="J33" s="283"/>
      <c r="K33" s="100" t="s">
        <v>56</v>
      </c>
      <c r="L33" s="100" t="s">
        <v>57</v>
      </c>
      <c r="M33" s="100" t="s">
        <v>58</v>
      </c>
      <c r="N33" s="100" t="s">
        <v>59</v>
      </c>
      <c r="O33" s="284" t="s">
        <v>66</v>
      </c>
      <c r="S33" s="110"/>
    </row>
    <row r="34" spans="3:19">
      <c r="C34" s="116">
        <v>2021</v>
      </c>
      <c r="D34" s="103">
        <f t="shared" ref="D34:D53" si="17">O138</f>
        <v>394001</v>
      </c>
      <c r="E34" s="103">
        <f t="shared" ref="E34:E53" si="18">O189</f>
        <v>247152</v>
      </c>
      <c r="F34" s="103">
        <f t="shared" ref="F34:F53" si="19">O240</f>
        <v>359697</v>
      </c>
      <c r="G34" s="103">
        <f t="shared" ref="G34:G53" si="20">O293</f>
        <v>682403</v>
      </c>
      <c r="H34" s="112">
        <f>SUM(D34:G34)</f>
        <v>1683253</v>
      </c>
      <c r="J34" s="116">
        <v>2021</v>
      </c>
      <c r="K34" s="103">
        <f t="shared" ref="K34:K53" si="21">Z138</f>
        <v>394001</v>
      </c>
      <c r="L34" s="103">
        <f t="shared" ref="L34:L53" si="22">Z189</f>
        <v>247152</v>
      </c>
      <c r="M34" s="103">
        <f t="shared" ref="M34:M53" si="23">Z240</f>
        <v>359697</v>
      </c>
      <c r="N34" s="103">
        <f t="shared" ref="N34:N53" si="24">Z293</f>
        <v>682403</v>
      </c>
      <c r="O34" s="112">
        <f>SUM(K34:N34)</f>
        <v>1683253</v>
      </c>
    </row>
    <row r="35" spans="3:19">
      <c r="C35" s="116">
        <v>2022</v>
      </c>
      <c r="D35" s="103">
        <f t="shared" si="17"/>
        <v>383482</v>
      </c>
      <c r="E35" s="103">
        <f t="shared" si="18"/>
        <v>233831</v>
      </c>
      <c r="F35" s="103">
        <f t="shared" si="19"/>
        <v>340450</v>
      </c>
      <c r="G35" s="103">
        <f t="shared" si="20"/>
        <v>644497</v>
      </c>
      <c r="H35" s="112">
        <f>SUM(D35:G35)</f>
        <v>1602260</v>
      </c>
      <c r="J35" s="116">
        <v>2022</v>
      </c>
      <c r="K35" s="103">
        <f t="shared" si="21"/>
        <v>376178</v>
      </c>
      <c r="L35" s="103">
        <f t="shared" si="22"/>
        <v>229581</v>
      </c>
      <c r="M35" s="103">
        <f t="shared" si="23"/>
        <v>338265</v>
      </c>
      <c r="N35" s="103">
        <f t="shared" si="24"/>
        <v>636867</v>
      </c>
      <c r="O35" s="112">
        <f>SUM(K35:N35)</f>
        <v>1580891</v>
      </c>
    </row>
    <row r="36" spans="3:19">
      <c r="C36" s="116">
        <v>2023</v>
      </c>
      <c r="D36" s="103">
        <f t="shared" si="17"/>
        <v>373568</v>
      </c>
      <c r="E36" s="103">
        <f t="shared" si="18"/>
        <v>220817</v>
      </c>
      <c r="F36" s="103">
        <f t="shared" si="19"/>
        <v>323298</v>
      </c>
      <c r="G36" s="103">
        <f t="shared" si="20"/>
        <v>609023</v>
      </c>
      <c r="H36" s="112">
        <f>SUM(D36:G36)</f>
        <v>1526706</v>
      </c>
      <c r="J36" s="116">
        <v>2023</v>
      </c>
      <c r="K36" s="103">
        <f t="shared" si="21"/>
        <v>348004</v>
      </c>
      <c r="L36" s="103">
        <f t="shared" si="22"/>
        <v>208068</v>
      </c>
      <c r="M36" s="103">
        <f t="shared" si="23"/>
        <v>313464</v>
      </c>
      <c r="N36" s="103">
        <f t="shared" si="24"/>
        <v>583363</v>
      </c>
      <c r="O36" s="112">
        <f>SUM(K36:N36)</f>
        <v>1452899</v>
      </c>
    </row>
    <row r="37" spans="3:19">
      <c r="C37" s="116">
        <v>2024</v>
      </c>
      <c r="D37" s="103">
        <f t="shared" si="17"/>
        <v>364261</v>
      </c>
      <c r="E37" s="103">
        <f t="shared" si="18"/>
        <v>208824</v>
      </c>
      <c r="F37" s="103">
        <f t="shared" si="19"/>
        <v>306688</v>
      </c>
      <c r="G37" s="103">
        <f t="shared" si="20"/>
        <v>575982</v>
      </c>
      <c r="H37" s="112">
        <f t="shared" ref="H37:H53" si="25">SUM(D37:G37)</f>
        <v>1455755</v>
      </c>
      <c r="J37" s="116">
        <v>2024</v>
      </c>
      <c r="K37" s="103">
        <f t="shared" si="21"/>
        <v>310090</v>
      </c>
      <c r="L37" s="103">
        <f t="shared" si="22"/>
        <v>186157</v>
      </c>
      <c r="M37" s="103">
        <f t="shared" si="23"/>
        <v>284838</v>
      </c>
      <c r="N37" s="103">
        <f t="shared" si="24"/>
        <v>521888</v>
      </c>
      <c r="O37" s="112">
        <f t="shared" ref="O37:O53" si="26">SUM(K37:N37)</f>
        <v>1302973</v>
      </c>
    </row>
    <row r="38" spans="3:19">
      <c r="C38" s="116">
        <v>2025</v>
      </c>
      <c r="D38" s="103">
        <f t="shared" si="17"/>
        <v>354346</v>
      </c>
      <c r="E38" s="103">
        <f t="shared" si="18"/>
        <v>197843</v>
      </c>
      <c r="F38" s="103">
        <f t="shared" si="19"/>
        <v>290628</v>
      </c>
      <c r="G38" s="103">
        <f t="shared" si="20"/>
        <v>544331</v>
      </c>
      <c r="H38" s="112">
        <f t="shared" si="25"/>
        <v>1387148</v>
      </c>
      <c r="J38" s="116">
        <v>2025</v>
      </c>
      <c r="K38" s="103">
        <f t="shared" si="21"/>
        <v>263046</v>
      </c>
      <c r="L38" s="103">
        <f t="shared" si="22"/>
        <v>163138</v>
      </c>
      <c r="M38" s="103">
        <f t="shared" si="23"/>
        <v>254031</v>
      </c>
      <c r="N38" s="103">
        <f t="shared" si="24"/>
        <v>454172</v>
      </c>
      <c r="O38" s="112">
        <f t="shared" si="26"/>
        <v>1134387</v>
      </c>
    </row>
    <row r="39" spans="3:19">
      <c r="C39" s="116">
        <v>2026</v>
      </c>
      <c r="D39" s="103">
        <f t="shared" si="17"/>
        <v>345650</v>
      </c>
      <c r="E39" s="103">
        <f t="shared" si="18"/>
        <v>187172</v>
      </c>
      <c r="F39" s="103">
        <f t="shared" si="19"/>
        <v>276111</v>
      </c>
      <c r="G39" s="103">
        <f t="shared" si="20"/>
        <v>515108</v>
      </c>
      <c r="H39" s="112">
        <f t="shared" si="25"/>
        <v>1324041</v>
      </c>
      <c r="J39" s="116">
        <v>2026</v>
      </c>
      <c r="K39" s="103">
        <f t="shared" si="21"/>
        <v>219047</v>
      </c>
      <c r="L39" s="103">
        <f t="shared" si="22"/>
        <v>142552</v>
      </c>
      <c r="M39" s="103">
        <f t="shared" si="23"/>
        <v>226952</v>
      </c>
      <c r="N39" s="103">
        <f t="shared" si="24"/>
        <v>393745</v>
      </c>
      <c r="O39" s="112">
        <f t="shared" si="26"/>
        <v>982296</v>
      </c>
    </row>
    <row r="40" spans="3:19">
      <c r="C40" s="116">
        <v>2027</v>
      </c>
      <c r="D40" s="103">
        <f t="shared" si="17"/>
        <v>336956</v>
      </c>
      <c r="E40" s="103">
        <f t="shared" si="18"/>
        <v>176495</v>
      </c>
      <c r="F40" s="103">
        <f t="shared" si="19"/>
        <v>262592</v>
      </c>
      <c r="G40" s="103">
        <f t="shared" si="20"/>
        <v>487286</v>
      </c>
      <c r="H40" s="112">
        <f t="shared" si="25"/>
        <v>1263329</v>
      </c>
      <c r="J40" s="116">
        <v>2027</v>
      </c>
      <c r="K40" s="103">
        <f t="shared" si="21"/>
        <v>184181</v>
      </c>
      <c r="L40" s="103">
        <f t="shared" si="22"/>
        <v>126210</v>
      </c>
      <c r="M40" s="103">
        <f t="shared" si="23"/>
        <v>205238</v>
      </c>
      <c r="N40" s="103">
        <f t="shared" si="24"/>
        <v>345114</v>
      </c>
      <c r="O40" s="112">
        <f t="shared" si="26"/>
        <v>860743</v>
      </c>
    </row>
    <row r="41" spans="3:19">
      <c r="C41" s="116">
        <v>2028</v>
      </c>
      <c r="D41" s="103">
        <f t="shared" si="17"/>
        <v>328258</v>
      </c>
      <c r="E41" s="103">
        <f t="shared" si="18"/>
        <v>167544</v>
      </c>
      <c r="F41" s="103">
        <f t="shared" si="19"/>
        <v>250166</v>
      </c>
      <c r="G41" s="103">
        <f t="shared" si="20"/>
        <v>461534</v>
      </c>
      <c r="H41" s="112">
        <f t="shared" si="25"/>
        <v>1207502</v>
      </c>
      <c r="J41" s="116">
        <v>2028</v>
      </c>
      <c r="K41" s="103">
        <f t="shared" si="21"/>
        <v>160875</v>
      </c>
      <c r="L41" s="103">
        <f t="shared" si="22"/>
        <v>115133</v>
      </c>
      <c r="M41" s="103">
        <f t="shared" si="23"/>
        <v>190080</v>
      </c>
      <c r="N41" s="103">
        <f t="shared" si="24"/>
        <v>309657</v>
      </c>
      <c r="O41" s="112">
        <f t="shared" si="26"/>
        <v>775745</v>
      </c>
    </row>
    <row r="42" spans="3:19">
      <c r="C42" s="116">
        <v>2029</v>
      </c>
      <c r="D42" s="103">
        <f t="shared" si="17"/>
        <v>320169</v>
      </c>
      <c r="E42" s="103">
        <f t="shared" si="18"/>
        <v>158194</v>
      </c>
      <c r="F42" s="103">
        <f t="shared" si="19"/>
        <v>237736</v>
      </c>
      <c r="G42" s="103">
        <f t="shared" si="20"/>
        <v>436487</v>
      </c>
      <c r="H42" s="112">
        <f t="shared" si="25"/>
        <v>1152586</v>
      </c>
      <c r="J42" s="116">
        <v>2029</v>
      </c>
      <c r="K42" s="103">
        <f t="shared" si="21"/>
        <v>149743</v>
      </c>
      <c r="L42" s="103">
        <f t="shared" si="22"/>
        <v>107198</v>
      </c>
      <c r="M42" s="103">
        <f t="shared" si="23"/>
        <v>179839</v>
      </c>
      <c r="N42" s="103">
        <f t="shared" si="24"/>
        <v>285996</v>
      </c>
      <c r="O42" s="112">
        <f t="shared" si="26"/>
        <v>722776</v>
      </c>
    </row>
    <row r="43" spans="3:19">
      <c r="C43" s="116">
        <v>2030</v>
      </c>
      <c r="D43" s="103">
        <f t="shared" si="17"/>
        <v>312081</v>
      </c>
      <c r="E43" s="103">
        <f t="shared" si="18"/>
        <v>149552</v>
      </c>
      <c r="F43" s="103">
        <f t="shared" si="19"/>
        <v>226857</v>
      </c>
      <c r="G43" s="103">
        <f t="shared" si="20"/>
        <v>413872</v>
      </c>
      <c r="H43" s="112">
        <f t="shared" si="25"/>
        <v>1102362</v>
      </c>
      <c r="J43" s="116">
        <v>2030</v>
      </c>
      <c r="K43" s="103">
        <f t="shared" si="21"/>
        <v>147133</v>
      </c>
      <c r="L43" s="103">
        <f t="shared" si="22"/>
        <v>101390</v>
      </c>
      <c r="M43" s="103">
        <f t="shared" si="23"/>
        <v>173327</v>
      </c>
      <c r="N43" s="103">
        <f t="shared" si="24"/>
        <v>273779</v>
      </c>
      <c r="O43" s="112">
        <f t="shared" si="26"/>
        <v>695629</v>
      </c>
    </row>
    <row r="44" spans="3:19">
      <c r="C44" s="116">
        <v>2031</v>
      </c>
      <c r="D44" s="103">
        <f t="shared" si="17"/>
        <v>303996</v>
      </c>
      <c r="E44" s="103">
        <f t="shared" si="18"/>
        <v>141617</v>
      </c>
      <c r="F44" s="103">
        <f t="shared" si="19"/>
        <v>215974</v>
      </c>
      <c r="G44" s="103">
        <f t="shared" si="20"/>
        <v>391604</v>
      </c>
      <c r="H44" s="112">
        <f t="shared" si="25"/>
        <v>1053191</v>
      </c>
      <c r="J44" s="116">
        <v>2031</v>
      </c>
      <c r="K44" s="103">
        <f t="shared" si="21"/>
        <v>145134</v>
      </c>
      <c r="L44" s="103">
        <f t="shared" si="22"/>
        <v>96290</v>
      </c>
      <c r="M44" s="103">
        <f t="shared" si="23"/>
        <v>167361</v>
      </c>
      <c r="N44" s="103">
        <f t="shared" si="24"/>
        <v>261917</v>
      </c>
      <c r="O44" s="112">
        <f t="shared" si="26"/>
        <v>670702</v>
      </c>
    </row>
    <row r="45" spans="3:19">
      <c r="C45" s="116">
        <v>2032</v>
      </c>
      <c r="D45" s="103">
        <f t="shared" si="17"/>
        <v>296516</v>
      </c>
      <c r="E45" s="103">
        <f t="shared" si="18"/>
        <v>133591</v>
      </c>
      <c r="F45" s="103">
        <f t="shared" si="19"/>
        <v>206180</v>
      </c>
      <c r="G45" s="103">
        <f t="shared" si="20"/>
        <v>371074</v>
      </c>
      <c r="H45" s="112">
        <f t="shared" si="25"/>
        <v>1007361</v>
      </c>
      <c r="J45" s="116">
        <v>2032</v>
      </c>
      <c r="K45" s="103">
        <f t="shared" si="21"/>
        <v>143132</v>
      </c>
      <c r="L45" s="103">
        <f t="shared" si="22"/>
        <v>91094</v>
      </c>
      <c r="M45" s="103">
        <f t="shared" si="23"/>
        <v>161392</v>
      </c>
      <c r="N45" s="103">
        <f t="shared" si="24"/>
        <v>250401</v>
      </c>
      <c r="O45" s="112">
        <f t="shared" si="26"/>
        <v>646019</v>
      </c>
    </row>
    <row r="46" spans="3:19">
      <c r="C46" s="116">
        <v>2033</v>
      </c>
      <c r="D46" s="103">
        <f t="shared" si="17"/>
        <v>289644</v>
      </c>
      <c r="E46" s="103">
        <f t="shared" si="18"/>
        <v>126977</v>
      </c>
      <c r="F46" s="103">
        <f t="shared" si="19"/>
        <v>196841</v>
      </c>
      <c r="G46" s="103">
        <f t="shared" si="20"/>
        <v>351582</v>
      </c>
      <c r="H46" s="112">
        <f t="shared" si="25"/>
        <v>965044</v>
      </c>
      <c r="J46" s="116">
        <v>2033</v>
      </c>
      <c r="K46" s="103">
        <f t="shared" si="21"/>
        <v>141738</v>
      </c>
      <c r="L46" s="103">
        <f t="shared" si="22"/>
        <v>86607</v>
      </c>
      <c r="M46" s="103">
        <f t="shared" si="23"/>
        <v>155877</v>
      </c>
      <c r="N46" s="103">
        <f t="shared" si="24"/>
        <v>239236</v>
      </c>
      <c r="O46" s="112">
        <f t="shared" si="26"/>
        <v>623458</v>
      </c>
    </row>
    <row r="47" spans="3:19">
      <c r="C47" s="116">
        <v>2034</v>
      </c>
      <c r="D47" s="103">
        <f t="shared" si="17"/>
        <v>283034</v>
      </c>
      <c r="E47" s="103">
        <f t="shared" si="18"/>
        <v>119658</v>
      </c>
      <c r="F47" s="103">
        <f t="shared" si="19"/>
        <v>187506</v>
      </c>
      <c r="G47" s="103">
        <f t="shared" si="20"/>
        <v>332787</v>
      </c>
      <c r="H47" s="112">
        <f t="shared" si="25"/>
        <v>922985</v>
      </c>
      <c r="J47" s="116">
        <v>2034</v>
      </c>
      <c r="K47" s="103">
        <f t="shared" si="21"/>
        <v>139997</v>
      </c>
      <c r="L47" s="103">
        <f t="shared" si="22"/>
        <v>82119</v>
      </c>
      <c r="M47" s="103">
        <f t="shared" si="23"/>
        <v>150363</v>
      </c>
      <c r="N47" s="103">
        <f t="shared" si="24"/>
        <v>228760</v>
      </c>
      <c r="O47" s="112">
        <f t="shared" si="26"/>
        <v>601239</v>
      </c>
    </row>
    <row r="48" spans="3:19">
      <c r="C48" s="116">
        <v>2035</v>
      </c>
      <c r="D48" s="103">
        <f t="shared" si="17"/>
        <v>276166</v>
      </c>
      <c r="E48" s="103">
        <f t="shared" si="18"/>
        <v>113351</v>
      </c>
      <c r="F48" s="103">
        <f t="shared" si="19"/>
        <v>179710</v>
      </c>
      <c r="G48" s="103">
        <f t="shared" si="20"/>
        <v>316078</v>
      </c>
      <c r="H48" s="112">
        <f t="shared" si="25"/>
        <v>885305</v>
      </c>
      <c r="J48" s="116">
        <v>2035</v>
      </c>
      <c r="K48" s="103">
        <f t="shared" si="21"/>
        <v>137999</v>
      </c>
      <c r="L48" s="103">
        <f t="shared" si="22"/>
        <v>77939</v>
      </c>
      <c r="M48" s="103">
        <f t="shared" si="23"/>
        <v>145845</v>
      </c>
      <c r="N48" s="103">
        <f t="shared" si="24"/>
        <v>218988</v>
      </c>
      <c r="O48" s="112">
        <f t="shared" si="26"/>
        <v>580771</v>
      </c>
    </row>
    <row r="49" spans="3:15">
      <c r="C49" s="116">
        <v>2036</v>
      </c>
      <c r="D49" s="103">
        <f t="shared" si="17"/>
        <v>269294</v>
      </c>
      <c r="E49" s="103">
        <f t="shared" si="18"/>
        <v>107044</v>
      </c>
      <c r="F49" s="103">
        <f t="shared" si="19"/>
        <v>171915</v>
      </c>
      <c r="G49" s="103">
        <f t="shared" si="20"/>
        <v>299724</v>
      </c>
      <c r="H49" s="112">
        <f t="shared" si="25"/>
        <v>847977</v>
      </c>
      <c r="J49" s="116">
        <v>2036</v>
      </c>
      <c r="K49" s="103">
        <f t="shared" si="21"/>
        <v>135996</v>
      </c>
      <c r="L49" s="103">
        <f t="shared" si="22"/>
        <v>73758</v>
      </c>
      <c r="M49" s="103">
        <f t="shared" si="23"/>
        <v>140782</v>
      </c>
      <c r="N49" s="103">
        <f t="shared" si="24"/>
        <v>209564</v>
      </c>
      <c r="O49" s="112">
        <f t="shared" si="26"/>
        <v>560100</v>
      </c>
    </row>
    <row r="50" spans="3:15">
      <c r="C50" s="116">
        <v>2037</v>
      </c>
      <c r="D50" s="103">
        <f t="shared" si="17"/>
        <v>263032</v>
      </c>
      <c r="E50" s="103">
        <f t="shared" si="18"/>
        <v>101758</v>
      </c>
      <c r="F50" s="103">
        <f t="shared" si="19"/>
        <v>164120</v>
      </c>
      <c r="G50" s="103">
        <f t="shared" si="20"/>
        <v>284057</v>
      </c>
      <c r="H50" s="112">
        <f t="shared" si="25"/>
        <v>812967</v>
      </c>
      <c r="J50" s="116">
        <v>2037</v>
      </c>
      <c r="K50" s="103">
        <f t="shared" si="21"/>
        <v>134604</v>
      </c>
      <c r="L50" s="103">
        <f t="shared" si="22"/>
        <v>69883</v>
      </c>
      <c r="M50" s="103">
        <f t="shared" si="23"/>
        <v>135718</v>
      </c>
      <c r="N50" s="103">
        <f t="shared" si="24"/>
        <v>200141</v>
      </c>
      <c r="O50" s="112">
        <f t="shared" si="26"/>
        <v>540346</v>
      </c>
    </row>
    <row r="51" spans="3:15">
      <c r="C51" s="116">
        <v>2038</v>
      </c>
      <c r="D51" s="103">
        <f t="shared" si="17"/>
        <v>256769</v>
      </c>
      <c r="E51" s="103">
        <f t="shared" si="18"/>
        <v>95759</v>
      </c>
      <c r="F51" s="103">
        <f t="shared" si="19"/>
        <v>157326</v>
      </c>
      <c r="G51" s="103">
        <f t="shared" si="20"/>
        <v>269786</v>
      </c>
      <c r="H51" s="112">
        <f t="shared" si="25"/>
        <v>779640</v>
      </c>
      <c r="J51" s="116">
        <v>2038</v>
      </c>
      <c r="K51" s="103">
        <f t="shared" si="21"/>
        <v>132601</v>
      </c>
      <c r="L51" s="103">
        <f t="shared" si="22"/>
        <v>66011</v>
      </c>
      <c r="M51" s="103">
        <f t="shared" si="23"/>
        <v>131109</v>
      </c>
      <c r="N51" s="103">
        <f t="shared" si="24"/>
        <v>191422</v>
      </c>
      <c r="O51" s="112">
        <f t="shared" si="26"/>
        <v>521143</v>
      </c>
    </row>
    <row r="52" spans="3:15">
      <c r="C52" s="116">
        <v>2039</v>
      </c>
      <c r="D52" s="103">
        <f t="shared" si="17"/>
        <v>250770</v>
      </c>
      <c r="E52" s="103">
        <f t="shared" si="18"/>
        <v>90467</v>
      </c>
      <c r="F52" s="103">
        <f t="shared" si="19"/>
        <v>150081</v>
      </c>
      <c r="G52" s="103">
        <f t="shared" si="20"/>
        <v>256209</v>
      </c>
      <c r="H52" s="112">
        <f t="shared" si="25"/>
        <v>747527</v>
      </c>
      <c r="J52" s="116">
        <v>2039</v>
      </c>
      <c r="K52" s="103">
        <f t="shared" si="21"/>
        <v>130863</v>
      </c>
      <c r="L52" s="103">
        <f t="shared" si="22"/>
        <v>62846</v>
      </c>
      <c r="M52" s="103">
        <f t="shared" si="23"/>
        <v>126592</v>
      </c>
      <c r="N52" s="103">
        <f t="shared" si="24"/>
        <v>183389</v>
      </c>
      <c r="O52" s="112">
        <f t="shared" si="26"/>
        <v>503690</v>
      </c>
    </row>
    <row r="53" spans="3:15">
      <c r="C53" s="116">
        <v>2040</v>
      </c>
      <c r="D53" s="103">
        <f t="shared" si="17"/>
        <v>245117</v>
      </c>
      <c r="E53" s="103">
        <f t="shared" si="18"/>
        <v>85489</v>
      </c>
      <c r="F53" s="103">
        <f t="shared" si="19"/>
        <v>144279</v>
      </c>
      <c r="G53" s="103">
        <f t="shared" si="20"/>
        <v>242979</v>
      </c>
      <c r="H53" s="112">
        <f t="shared" si="25"/>
        <v>717864</v>
      </c>
      <c r="J53" s="116">
        <v>2040</v>
      </c>
      <c r="K53" s="103">
        <f t="shared" si="21"/>
        <v>129470</v>
      </c>
      <c r="L53" s="103">
        <f t="shared" si="22"/>
        <v>59283</v>
      </c>
      <c r="M53" s="103">
        <f t="shared" si="23"/>
        <v>122430</v>
      </c>
      <c r="N53" s="103">
        <f t="shared" si="24"/>
        <v>175707</v>
      </c>
      <c r="O53" s="112">
        <f t="shared" si="26"/>
        <v>486890</v>
      </c>
    </row>
    <row r="54" spans="3:15">
      <c r="C54" s="116"/>
      <c r="D54" s="103">
        <f>SUM(D34:D53)</f>
        <v>6247110</v>
      </c>
      <c r="E54" s="103">
        <f t="shared" ref="E54:H54" si="27">SUM(E34:E53)</f>
        <v>3063135</v>
      </c>
      <c r="F54" s="103">
        <f>SUM(F34:F53)</f>
        <v>4648155</v>
      </c>
      <c r="G54" s="103">
        <f t="shared" si="27"/>
        <v>8486403</v>
      </c>
      <c r="H54" s="103">
        <f t="shared" si="27"/>
        <v>22444803</v>
      </c>
      <c r="J54" s="116"/>
      <c r="K54" s="103">
        <f>SUM(K34:K53)</f>
        <v>3923832</v>
      </c>
      <c r="L54" s="103">
        <f t="shared" ref="L54:O54" si="28">SUM(L34:L53)</f>
        <v>2392409</v>
      </c>
      <c r="M54" s="103">
        <f t="shared" si="28"/>
        <v>3963200</v>
      </c>
      <c r="N54" s="103">
        <f t="shared" si="28"/>
        <v>6646509</v>
      </c>
      <c r="O54" s="103">
        <f t="shared" si="28"/>
        <v>16925950</v>
      </c>
    </row>
    <row r="60" spans="3:15" ht="13.5">
      <c r="C60" s="315" t="s">
        <v>168</v>
      </c>
      <c r="D60" s="316"/>
      <c r="E60" s="316"/>
      <c r="F60" s="316"/>
      <c r="G60" s="316"/>
      <c r="H60" s="316"/>
      <c r="I60" s="316"/>
      <c r="J60" s="316" t="s">
        <v>139</v>
      </c>
    </row>
    <row r="61" spans="3:15">
      <c r="C61" s="283"/>
      <c r="D61" s="100" t="s">
        <v>56</v>
      </c>
      <c r="E61" s="100" t="s">
        <v>57</v>
      </c>
      <c r="F61" s="100" t="s">
        <v>58</v>
      </c>
      <c r="G61" s="100" t="s">
        <v>59</v>
      </c>
      <c r="H61" s="284" t="s">
        <v>66</v>
      </c>
      <c r="J61" s="283"/>
      <c r="K61" s="100" t="s">
        <v>56</v>
      </c>
      <c r="L61" s="100" t="s">
        <v>57</v>
      </c>
      <c r="M61" s="100" t="s">
        <v>58</v>
      </c>
      <c r="N61" s="100" t="s">
        <v>59</v>
      </c>
      <c r="O61" s="284" t="s">
        <v>66</v>
      </c>
    </row>
    <row r="62" spans="3:15">
      <c r="C62" s="116">
        <v>2021</v>
      </c>
      <c r="D62" s="103">
        <f>D34-K34</f>
        <v>0</v>
      </c>
      <c r="E62" s="103">
        <f t="shared" ref="E62:H77" si="29">E34-L34</f>
        <v>0</v>
      </c>
      <c r="F62" s="103">
        <f t="shared" si="29"/>
        <v>0</v>
      </c>
      <c r="G62" s="103">
        <f t="shared" si="29"/>
        <v>0</v>
      </c>
      <c r="H62" s="103">
        <f t="shared" si="29"/>
        <v>0</v>
      </c>
      <c r="J62" s="116">
        <v>2021</v>
      </c>
      <c r="K62" s="103">
        <f t="shared" ref="K62:N81" si="30">D62*(1-$X$15)</f>
        <v>0</v>
      </c>
      <c r="L62" s="103">
        <f t="shared" si="30"/>
        <v>0</v>
      </c>
      <c r="M62" s="103">
        <f t="shared" si="30"/>
        <v>0</v>
      </c>
      <c r="N62" s="103">
        <f t="shared" si="30"/>
        <v>0</v>
      </c>
      <c r="O62" s="103">
        <f>SUM(K62:N62)</f>
        <v>0</v>
      </c>
    </row>
    <row r="63" spans="3:15">
      <c r="C63" s="116">
        <v>2022</v>
      </c>
      <c r="D63" s="103">
        <f t="shared" ref="D63:H78" si="31">D35-K35</f>
        <v>7304</v>
      </c>
      <c r="E63" s="103">
        <f t="shared" si="29"/>
        <v>4250</v>
      </c>
      <c r="F63" s="103">
        <f t="shared" si="29"/>
        <v>2185</v>
      </c>
      <c r="G63" s="103">
        <f t="shared" si="29"/>
        <v>7630</v>
      </c>
      <c r="H63" s="103">
        <f t="shared" si="29"/>
        <v>21369</v>
      </c>
      <c r="J63" s="116">
        <v>2022</v>
      </c>
      <c r="K63" s="103">
        <f t="shared" si="30"/>
        <v>5843.2000000000007</v>
      </c>
      <c r="L63" s="103">
        <f t="shared" si="30"/>
        <v>3400</v>
      </c>
      <c r="M63" s="103">
        <f t="shared" si="30"/>
        <v>1748</v>
      </c>
      <c r="N63" s="103">
        <f t="shared" si="30"/>
        <v>6104</v>
      </c>
      <c r="O63" s="103">
        <f t="shared" ref="O63:O81" si="32">SUM(K63:N63)</f>
        <v>17095.2</v>
      </c>
    </row>
    <row r="64" spans="3:15">
      <c r="C64" s="116">
        <v>2023</v>
      </c>
      <c r="D64" s="103">
        <f t="shared" si="31"/>
        <v>25564</v>
      </c>
      <c r="E64" s="103">
        <f t="shared" si="29"/>
        <v>12749</v>
      </c>
      <c r="F64" s="103">
        <f t="shared" si="29"/>
        <v>9834</v>
      </c>
      <c r="G64" s="103">
        <f t="shared" si="29"/>
        <v>25660</v>
      </c>
      <c r="H64" s="103">
        <f t="shared" si="29"/>
        <v>73807</v>
      </c>
      <c r="J64" s="116">
        <v>2023</v>
      </c>
      <c r="K64" s="103">
        <f t="shared" si="30"/>
        <v>20451.2</v>
      </c>
      <c r="L64" s="103">
        <f t="shared" si="30"/>
        <v>10199.200000000001</v>
      </c>
      <c r="M64" s="103">
        <f t="shared" si="30"/>
        <v>7867.2000000000007</v>
      </c>
      <c r="N64" s="103">
        <f t="shared" si="30"/>
        <v>20528</v>
      </c>
      <c r="O64" s="103">
        <f t="shared" si="32"/>
        <v>59045.600000000006</v>
      </c>
    </row>
    <row r="65" spans="3:15">
      <c r="C65" s="116">
        <v>2024</v>
      </c>
      <c r="D65" s="103">
        <f>D37-K37</f>
        <v>54171</v>
      </c>
      <c r="E65" s="103">
        <f t="shared" si="29"/>
        <v>22667</v>
      </c>
      <c r="F65" s="103">
        <f t="shared" si="29"/>
        <v>21850</v>
      </c>
      <c r="G65" s="103">
        <f t="shared" si="29"/>
        <v>54094</v>
      </c>
      <c r="H65" s="103">
        <f t="shared" si="29"/>
        <v>152782</v>
      </c>
      <c r="J65" s="116">
        <v>2024</v>
      </c>
      <c r="K65" s="103">
        <f t="shared" si="30"/>
        <v>43336.800000000003</v>
      </c>
      <c r="L65" s="103">
        <f t="shared" si="30"/>
        <v>18133.600000000002</v>
      </c>
      <c r="M65" s="103">
        <f t="shared" si="30"/>
        <v>17480</v>
      </c>
      <c r="N65" s="103">
        <f t="shared" si="30"/>
        <v>43275.200000000004</v>
      </c>
      <c r="O65" s="103">
        <f t="shared" si="32"/>
        <v>122225.60000000001</v>
      </c>
    </row>
    <row r="66" spans="3:15">
      <c r="C66" s="116">
        <v>2025</v>
      </c>
      <c r="D66" s="103">
        <f t="shared" si="31"/>
        <v>91300</v>
      </c>
      <c r="E66" s="103">
        <f t="shared" si="29"/>
        <v>34705</v>
      </c>
      <c r="F66" s="103">
        <f t="shared" si="29"/>
        <v>36597</v>
      </c>
      <c r="G66" s="103">
        <f t="shared" si="29"/>
        <v>90159</v>
      </c>
      <c r="H66" s="103">
        <f t="shared" si="29"/>
        <v>252761</v>
      </c>
      <c r="J66" s="116">
        <v>2025</v>
      </c>
      <c r="K66" s="103">
        <f t="shared" si="30"/>
        <v>73040</v>
      </c>
      <c r="L66" s="103">
        <f t="shared" si="30"/>
        <v>27764</v>
      </c>
      <c r="M66" s="103">
        <f t="shared" si="30"/>
        <v>29277.600000000002</v>
      </c>
      <c r="N66" s="103">
        <f t="shared" si="30"/>
        <v>72127.199999999997</v>
      </c>
      <c r="O66" s="103">
        <f t="shared" si="32"/>
        <v>202208.8</v>
      </c>
    </row>
    <row r="67" spans="3:15">
      <c r="C67" s="116">
        <v>2026</v>
      </c>
      <c r="D67" s="103">
        <f t="shared" si="31"/>
        <v>126603</v>
      </c>
      <c r="E67" s="103">
        <f t="shared" si="29"/>
        <v>44620</v>
      </c>
      <c r="F67" s="103">
        <f t="shared" si="29"/>
        <v>49159</v>
      </c>
      <c r="G67" s="103">
        <f t="shared" si="29"/>
        <v>121363</v>
      </c>
      <c r="H67" s="103">
        <f t="shared" si="29"/>
        <v>341745</v>
      </c>
      <c r="J67" s="116">
        <v>2026</v>
      </c>
      <c r="K67" s="103">
        <f t="shared" si="30"/>
        <v>101282.40000000001</v>
      </c>
      <c r="L67" s="103">
        <f t="shared" si="30"/>
        <v>35696</v>
      </c>
      <c r="M67" s="103">
        <f t="shared" si="30"/>
        <v>39327.200000000004</v>
      </c>
      <c r="N67" s="103">
        <f t="shared" si="30"/>
        <v>97090.400000000009</v>
      </c>
      <c r="O67" s="103">
        <f t="shared" si="32"/>
        <v>273396.00000000006</v>
      </c>
    </row>
    <row r="68" spans="3:15">
      <c r="C68" s="116">
        <v>2027</v>
      </c>
      <c r="D68" s="103">
        <f t="shared" si="31"/>
        <v>152775</v>
      </c>
      <c r="E68" s="103">
        <f t="shared" si="29"/>
        <v>50285</v>
      </c>
      <c r="F68" s="103">
        <f t="shared" si="29"/>
        <v>57354</v>
      </c>
      <c r="G68" s="103">
        <f t="shared" si="29"/>
        <v>142172</v>
      </c>
      <c r="H68" s="103">
        <f t="shared" si="29"/>
        <v>402586</v>
      </c>
      <c r="J68" s="116">
        <v>2027</v>
      </c>
      <c r="K68" s="103">
        <f t="shared" si="30"/>
        <v>122220</v>
      </c>
      <c r="L68" s="103">
        <f t="shared" si="30"/>
        <v>40228</v>
      </c>
      <c r="M68" s="103">
        <f t="shared" si="30"/>
        <v>45883.200000000004</v>
      </c>
      <c r="N68" s="103">
        <f t="shared" si="30"/>
        <v>113737.60000000001</v>
      </c>
      <c r="O68" s="103">
        <f t="shared" si="32"/>
        <v>322068.80000000005</v>
      </c>
    </row>
    <row r="69" spans="3:15">
      <c r="C69" s="116">
        <v>2028</v>
      </c>
      <c r="D69" s="103">
        <f t="shared" si="31"/>
        <v>167383</v>
      </c>
      <c r="E69" s="103">
        <f t="shared" si="29"/>
        <v>52411</v>
      </c>
      <c r="F69" s="103">
        <f t="shared" si="29"/>
        <v>60086</v>
      </c>
      <c r="G69" s="103">
        <f t="shared" si="29"/>
        <v>151877</v>
      </c>
      <c r="H69" s="103">
        <f t="shared" si="29"/>
        <v>431757</v>
      </c>
      <c r="J69" s="116">
        <v>2028</v>
      </c>
      <c r="K69" s="103">
        <f t="shared" si="30"/>
        <v>133906.4</v>
      </c>
      <c r="L69" s="103">
        <f t="shared" si="30"/>
        <v>41928.800000000003</v>
      </c>
      <c r="M69" s="103">
        <f t="shared" si="30"/>
        <v>48068.800000000003</v>
      </c>
      <c r="N69" s="103">
        <f t="shared" si="30"/>
        <v>121501.6</v>
      </c>
      <c r="O69" s="103">
        <f t="shared" si="32"/>
        <v>345405.6</v>
      </c>
    </row>
    <row r="70" spans="3:15">
      <c r="C70" s="116">
        <v>2029</v>
      </c>
      <c r="D70" s="103">
        <f t="shared" si="31"/>
        <v>170426</v>
      </c>
      <c r="E70" s="103">
        <f t="shared" si="29"/>
        <v>50996</v>
      </c>
      <c r="F70" s="103">
        <f t="shared" si="29"/>
        <v>57897</v>
      </c>
      <c r="G70" s="103">
        <f t="shared" si="29"/>
        <v>150491</v>
      </c>
      <c r="H70" s="103">
        <f t="shared" si="29"/>
        <v>429810</v>
      </c>
      <c r="J70" s="116">
        <v>2029</v>
      </c>
      <c r="K70" s="103">
        <f t="shared" si="30"/>
        <v>136340.80000000002</v>
      </c>
      <c r="L70" s="103">
        <f t="shared" si="30"/>
        <v>40796.800000000003</v>
      </c>
      <c r="M70" s="103">
        <f t="shared" si="30"/>
        <v>46317.600000000006</v>
      </c>
      <c r="N70" s="103">
        <f t="shared" si="30"/>
        <v>120392.8</v>
      </c>
      <c r="O70" s="103">
        <f t="shared" si="32"/>
        <v>343848.00000000006</v>
      </c>
    </row>
    <row r="71" spans="3:15">
      <c r="C71" s="116">
        <v>2030</v>
      </c>
      <c r="D71" s="103">
        <f t="shared" si="31"/>
        <v>164948</v>
      </c>
      <c r="E71" s="103">
        <f t="shared" si="29"/>
        <v>48162</v>
      </c>
      <c r="F71" s="103">
        <f t="shared" si="29"/>
        <v>53530</v>
      </c>
      <c r="G71" s="103">
        <f t="shared" si="29"/>
        <v>140093</v>
      </c>
      <c r="H71" s="103">
        <f t="shared" si="29"/>
        <v>406733</v>
      </c>
      <c r="J71" s="116">
        <v>2030</v>
      </c>
      <c r="K71" s="103">
        <f t="shared" si="30"/>
        <v>131958.39999999999</v>
      </c>
      <c r="L71" s="103">
        <f t="shared" si="30"/>
        <v>38529.599999999999</v>
      </c>
      <c r="M71" s="103">
        <f t="shared" si="30"/>
        <v>42824</v>
      </c>
      <c r="N71" s="103">
        <f t="shared" si="30"/>
        <v>112074.40000000001</v>
      </c>
      <c r="O71" s="103">
        <f t="shared" si="32"/>
        <v>325386.40000000002</v>
      </c>
    </row>
    <row r="72" spans="3:15">
      <c r="C72" s="116">
        <v>2031</v>
      </c>
      <c r="D72" s="103">
        <f t="shared" si="31"/>
        <v>158862</v>
      </c>
      <c r="E72" s="103">
        <f t="shared" si="29"/>
        <v>45327</v>
      </c>
      <c r="F72" s="103">
        <f t="shared" si="29"/>
        <v>48613</v>
      </c>
      <c r="G72" s="103">
        <f t="shared" si="29"/>
        <v>129687</v>
      </c>
      <c r="H72" s="103">
        <f t="shared" si="29"/>
        <v>382489</v>
      </c>
      <c r="J72" s="116">
        <v>2031</v>
      </c>
      <c r="K72" s="103">
        <f t="shared" si="30"/>
        <v>127089.60000000001</v>
      </c>
      <c r="L72" s="103">
        <f t="shared" si="30"/>
        <v>36261.599999999999</v>
      </c>
      <c r="M72" s="103">
        <f t="shared" si="30"/>
        <v>38890.400000000001</v>
      </c>
      <c r="N72" s="103">
        <f t="shared" si="30"/>
        <v>103749.6</v>
      </c>
      <c r="O72" s="103">
        <f t="shared" si="32"/>
        <v>305991.2</v>
      </c>
    </row>
    <row r="73" spans="3:15">
      <c r="C73" s="116">
        <v>2032</v>
      </c>
      <c r="D73" s="103">
        <f t="shared" si="31"/>
        <v>153384</v>
      </c>
      <c r="E73" s="103">
        <f t="shared" si="29"/>
        <v>42497</v>
      </c>
      <c r="F73" s="103">
        <f t="shared" si="29"/>
        <v>44788</v>
      </c>
      <c r="G73" s="103">
        <f t="shared" si="29"/>
        <v>120673</v>
      </c>
      <c r="H73" s="103">
        <f t="shared" si="29"/>
        <v>361342</v>
      </c>
      <c r="J73" s="116">
        <v>2032</v>
      </c>
      <c r="K73" s="103">
        <f t="shared" si="30"/>
        <v>122707.20000000001</v>
      </c>
      <c r="L73" s="103">
        <f t="shared" si="30"/>
        <v>33997.599999999999</v>
      </c>
      <c r="M73" s="103">
        <f t="shared" si="30"/>
        <v>35830.400000000001</v>
      </c>
      <c r="N73" s="103">
        <f t="shared" si="30"/>
        <v>96538.400000000009</v>
      </c>
      <c r="O73" s="103">
        <f t="shared" si="32"/>
        <v>289073.60000000003</v>
      </c>
    </row>
    <row r="74" spans="3:15">
      <c r="C74" s="116">
        <v>2033</v>
      </c>
      <c r="D74" s="103">
        <f t="shared" si="31"/>
        <v>147906</v>
      </c>
      <c r="E74" s="103">
        <f t="shared" si="29"/>
        <v>40370</v>
      </c>
      <c r="F74" s="103">
        <f t="shared" si="29"/>
        <v>40964</v>
      </c>
      <c r="G74" s="103">
        <f t="shared" si="29"/>
        <v>112346</v>
      </c>
      <c r="H74" s="103">
        <f t="shared" si="29"/>
        <v>341586</v>
      </c>
      <c r="J74" s="116">
        <v>2033</v>
      </c>
      <c r="K74" s="103">
        <f t="shared" si="30"/>
        <v>118324.8</v>
      </c>
      <c r="L74" s="103">
        <f t="shared" si="30"/>
        <v>32296</v>
      </c>
      <c r="M74" s="103">
        <f t="shared" si="30"/>
        <v>32771.200000000004</v>
      </c>
      <c r="N74" s="103">
        <f t="shared" si="30"/>
        <v>89876.800000000003</v>
      </c>
      <c r="O74" s="103">
        <f t="shared" si="32"/>
        <v>273268.8</v>
      </c>
    </row>
    <row r="75" spans="3:15">
      <c r="C75" s="116">
        <v>2034</v>
      </c>
      <c r="D75" s="103">
        <f t="shared" si="31"/>
        <v>143037</v>
      </c>
      <c r="E75" s="103">
        <f t="shared" si="29"/>
        <v>37539</v>
      </c>
      <c r="F75" s="103">
        <f t="shared" si="29"/>
        <v>37143</v>
      </c>
      <c r="G75" s="103">
        <f t="shared" si="29"/>
        <v>104027</v>
      </c>
      <c r="H75" s="103">
        <f t="shared" si="29"/>
        <v>321746</v>
      </c>
      <c r="J75" s="116">
        <v>2034</v>
      </c>
      <c r="K75" s="103">
        <f t="shared" si="30"/>
        <v>114429.6</v>
      </c>
      <c r="L75" s="103">
        <f t="shared" si="30"/>
        <v>30031.200000000001</v>
      </c>
      <c r="M75" s="103">
        <f t="shared" si="30"/>
        <v>29714.400000000001</v>
      </c>
      <c r="N75" s="103">
        <f t="shared" si="30"/>
        <v>83221.600000000006</v>
      </c>
      <c r="O75" s="103">
        <f t="shared" si="32"/>
        <v>257396.80000000002</v>
      </c>
    </row>
    <row r="76" spans="3:15">
      <c r="C76" s="116">
        <v>2035</v>
      </c>
      <c r="D76" s="103">
        <f t="shared" si="31"/>
        <v>138167</v>
      </c>
      <c r="E76" s="103">
        <f t="shared" si="29"/>
        <v>35412</v>
      </c>
      <c r="F76" s="103">
        <f t="shared" si="29"/>
        <v>33865</v>
      </c>
      <c r="G76" s="103">
        <f t="shared" si="29"/>
        <v>97090</v>
      </c>
      <c r="H76" s="103">
        <f t="shared" si="29"/>
        <v>304534</v>
      </c>
      <c r="J76" s="116">
        <v>2035</v>
      </c>
      <c r="K76" s="103">
        <f t="shared" si="30"/>
        <v>110533.6</v>
      </c>
      <c r="L76" s="103">
        <f t="shared" si="30"/>
        <v>28329.600000000002</v>
      </c>
      <c r="M76" s="103">
        <f t="shared" si="30"/>
        <v>27092</v>
      </c>
      <c r="N76" s="103">
        <f t="shared" si="30"/>
        <v>77672</v>
      </c>
      <c r="O76" s="103">
        <f t="shared" si="32"/>
        <v>243627.2</v>
      </c>
    </row>
    <row r="77" spans="3:15">
      <c r="C77" s="116">
        <v>2036</v>
      </c>
      <c r="D77" s="103">
        <f t="shared" si="31"/>
        <v>133298</v>
      </c>
      <c r="E77" s="103">
        <f t="shared" si="29"/>
        <v>33286</v>
      </c>
      <c r="F77" s="103">
        <f t="shared" si="29"/>
        <v>31133</v>
      </c>
      <c r="G77" s="103">
        <f t="shared" si="29"/>
        <v>90160</v>
      </c>
      <c r="H77" s="103">
        <f t="shared" si="29"/>
        <v>287877</v>
      </c>
      <c r="J77" s="116">
        <v>2036</v>
      </c>
      <c r="K77" s="103">
        <f t="shared" si="30"/>
        <v>106638.40000000001</v>
      </c>
      <c r="L77" s="103">
        <f t="shared" si="30"/>
        <v>26628.800000000003</v>
      </c>
      <c r="M77" s="103">
        <f t="shared" si="30"/>
        <v>24906.400000000001</v>
      </c>
      <c r="N77" s="103">
        <f t="shared" si="30"/>
        <v>72128</v>
      </c>
      <c r="O77" s="103">
        <f t="shared" si="32"/>
        <v>230301.6</v>
      </c>
    </row>
    <row r="78" spans="3:15">
      <c r="C78" s="116">
        <v>2037</v>
      </c>
      <c r="D78" s="103">
        <f t="shared" si="31"/>
        <v>128428</v>
      </c>
      <c r="E78" s="103">
        <f t="shared" si="31"/>
        <v>31875</v>
      </c>
      <c r="F78" s="103">
        <f t="shared" si="31"/>
        <v>28402</v>
      </c>
      <c r="G78" s="103">
        <f t="shared" si="31"/>
        <v>83916</v>
      </c>
      <c r="H78" s="103">
        <f t="shared" si="31"/>
        <v>272621</v>
      </c>
      <c r="J78" s="116">
        <v>2037</v>
      </c>
      <c r="K78" s="103">
        <f t="shared" si="30"/>
        <v>102742.40000000001</v>
      </c>
      <c r="L78" s="103">
        <f t="shared" si="30"/>
        <v>25500</v>
      </c>
      <c r="M78" s="103">
        <f t="shared" si="30"/>
        <v>22721.600000000002</v>
      </c>
      <c r="N78" s="103">
        <f t="shared" si="30"/>
        <v>67132.800000000003</v>
      </c>
      <c r="O78" s="103">
        <f t="shared" si="32"/>
        <v>218096.8</v>
      </c>
    </row>
    <row r="79" spans="3:15">
      <c r="C79" s="116">
        <v>2038</v>
      </c>
      <c r="D79" s="103">
        <f t="shared" ref="D79:H81" si="33">D51-K51</f>
        <v>124168</v>
      </c>
      <c r="E79" s="103">
        <f t="shared" si="33"/>
        <v>29748</v>
      </c>
      <c r="F79" s="103">
        <f t="shared" si="33"/>
        <v>26217</v>
      </c>
      <c r="G79" s="103">
        <f t="shared" si="33"/>
        <v>78364</v>
      </c>
      <c r="H79" s="103">
        <f t="shared" si="33"/>
        <v>258497</v>
      </c>
      <c r="J79" s="116">
        <v>2038</v>
      </c>
      <c r="K79" s="103">
        <f t="shared" si="30"/>
        <v>99334.400000000009</v>
      </c>
      <c r="L79" s="103">
        <f t="shared" si="30"/>
        <v>23798.400000000001</v>
      </c>
      <c r="M79" s="103">
        <f t="shared" si="30"/>
        <v>20973.600000000002</v>
      </c>
      <c r="N79" s="103">
        <f t="shared" si="30"/>
        <v>62691.200000000004</v>
      </c>
      <c r="O79" s="103">
        <f t="shared" si="32"/>
        <v>206797.60000000003</v>
      </c>
    </row>
    <row r="80" spans="3:15">
      <c r="C80" s="116">
        <v>2039</v>
      </c>
      <c r="D80" s="103">
        <f t="shared" si="33"/>
        <v>119907</v>
      </c>
      <c r="E80" s="103">
        <f t="shared" si="33"/>
        <v>27621</v>
      </c>
      <c r="F80" s="103">
        <f t="shared" si="33"/>
        <v>23489</v>
      </c>
      <c r="G80" s="103">
        <f t="shared" si="33"/>
        <v>72820</v>
      </c>
      <c r="H80" s="103">
        <f t="shared" si="33"/>
        <v>243837</v>
      </c>
      <c r="J80" s="116">
        <v>2039</v>
      </c>
      <c r="K80" s="103">
        <f t="shared" si="30"/>
        <v>95925.6</v>
      </c>
      <c r="L80" s="103">
        <f t="shared" si="30"/>
        <v>22096.800000000003</v>
      </c>
      <c r="M80" s="103">
        <f t="shared" si="30"/>
        <v>18791.2</v>
      </c>
      <c r="N80" s="103">
        <f t="shared" si="30"/>
        <v>58256</v>
      </c>
      <c r="O80" s="103">
        <f t="shared" si="32"/>
        <v>195069.6</v>
      </c>
    </row>
    <row r="81" spans="3:15">
      <c r="C81" s="116">
        <v>2040</v>
      </c>
      <c r="D81" s="103">
        <f t="shared" si="33"/>
        <v>115647</v>
      </c>
      <c r="E81" s="103">
        <f t="shared" si="33"/>
        <v>26206</v>
      </c>
      <c r="F81" s="103">
        <f t="shared" si="33"/>
        <v>21849</v>
      </c>
      <c r="G81" s="103">
        <f t="shared" si="33"/>
        <v>67272</v>
      </c>
      <c r="H81" s="103">
        <f t="shared" si="33"/>
        <v>230974</v>
      </c>
      <c r="J81" s="116">
        <v>2040</v>
      </c>
      <c r="K81" s="103">
        <f t="shared" si="30"/>
        <v>92517.6</v>
      </c>
      <c r="L81" s="103">
        <f t="shared" si="30"/>
        <v>20964.800000000003</v>
      </c>
      <c r="M81" s="103">
        <f t="shared" si="30"/>
        <v>17479.2</v>
      </c>
      <c r="N81" s="103">
        <f t="shared" si="30"/>
        <v>53817.600000000006</v>
      </c>
      <c r="O81" s="103">
        <f t="shared" si="32"/>
        <v>184779.2</v>
      </c>
    </row>
    <row r="82" spans="3:15">
      <c r="C82" s="116"/>
      <c r="D82" s="103">
        <f>SUM(D62:D81)</f>
        <v>2323278</v>
      </c>
      <c r="E82" s="103">
        <f>SUM(E62:E81)</f>
        <v>670726</v>
      </c>
      <c r="F82" s="103">
        <f t="shared" ref="F82:H82" si="34">SUM(F62:F81)</f>
        <v>684955</v>
      </c>
      <c r="G82" s="103">
        <f t="shared" si="34"/>
        <v>1839894</v>
      </c>
      <c r="H82" s="103">
        <f t="shared" si="34"/>
        <v>5518853</v>
      </c>
      <c r="J82" s="116"/>
      <c r="K82" s="103">
        <f>SUM(K62:K81)</f>
        <v>1858622.4000000001</v>
      </c>
      <c r="L82" s="103">
        <f>SUM(L62:L81)</f>
        <v>536580.79999999993</v>
      </c>
      <c r="M82" s="103">
        <f>SUM(M62:M81)</f>
        <v>547964</v>
      </c>
      <c r="N82" s="103">
        <f t="shared" ref="N82" si="35">SUM(N62:N81)</f>
        <v>1471915.2000000002</v>
      </c>
      <c r="O82" s="103">
        <f>SUM(O62:O81)</f>
        <v>4415082.4000000004</v>
      </c>
    </row>
    <row r="86" spans="3:15">
      <c r="C86" s="97" t="s">
        <v>72</v>
      </c>
      <c r="D86" s="97"/>
      <c r="E86" s="97"/>
      <c r="F86" s="97"/>
      <c r="G86" s="97"/>
      <c r="H86" s="97"/>
    </row>
    <row r="87" spans="3:15">
      <c r="C87" s="283"/>
      <c r="D87" s="100" t="s">
        <v>56</v>
      </c>
      <c r="E87" s="100" t="s">
        <v>57</v>
      </c>
      <c r="F87" s="100" t="s">
        <v>58</v>
      </c>
      <c r="G87" s="100" t="s">
        <v>59</v>
      </c>
      <c r="H87" s="284" t="s">
        <v>66</v>
      </c>
    </row>
    <row r="88" spans="3:15">
      <c r="C88" s="116">
        <v>2021</v>
      </c>
      <c r="D88" s="103">
        <f>ROUND(K62*$AB$8,0)</f>
        <v>0</v>
      </c>
      <c r="E88" s="103">
        <f t="shared" ref="E88:G88" si="36">ROUND(L62*$AB$8,0)</f>
        <v>0</v>
      </c>
      <c r="F88" s="103">
        <f t="shared" si="36"/>
        <v>0</v>
      </c>
      <c r="G88" s="103">
        <f t="shared" si="36"/>
        <v>0</v>
      </c>
      <c r="H88" s="112">
        <f>SUM(D88:G88)</f>
        <v>0</v>
      </c>
    </row>
    <row r="89" spans="3:15">
      <c r="C89" s="116">
        <v>2022</v>
      </c>
      <c r="D89" s="103">
        <f t="shared" ref="D89:D107" si="37">ROUND(K63*$AB$8,0)</f>
        <v>24541</v>
      </c>
      <c r="E89" s="103">
        <f t="shared" ref="E89:E107" si="38">ROUND(L63*$AB$8,0)</f>
        <v>14280</v>
      </c>
      <c r="F89" s="103">
        <f t="shared" ref="F89:F107" si="39">ROUND(M63*$AB$8,0)</f>
        <v>7342</v>
      </c>
      <c r="G89" s="103">
        <f t="shared" ref="G89:G107" si="40">ROUND(N63*$AB$8,0)</f>
        <v>25637</v>
      </c>
      <c r="H89" s="112">
        <f t="shared" ref="H89:H106" si="41">SUM(D89:G89)</f>
        <v>71800</v>
      </c>
    </row>
    <row r="90" spans="3:15">
      <c r="C90" s="116">
        <v>2023</v>
      </c>
      <c r="D90" s="103">
        <f t="shared" si="37"/>
        <v>85895</v>
      </c>
      <c r="E90" s="103">
        <f t="shared" si="38"/>
        <v>42837</v>
      </c>
      <c r="F90" s="103">
        <f t="shared" si="39"/>
        <v>33042</v>
      </c>
      <c r="G90" s="103">
        <f t="shared" si="40"/>
        <v>86218</v>
      </c>
      <c r="H90" s="112">
        <f t="shared" si="41"/>
        <v>247992</v>
      </c>
    </row>
    <row r="91" spans="3:15">
      <c r="C91" s="116">
        <v>2024</v>
      </c>
      <c r="D91" s="103">
        <f t="shared" si="37"/>
        <v>182015</v>
      </c>
      <c r="E91" s="103">
        <f t="shared" si="38"/>
        <v>76161</v>
      </c>
      <c r="F91" s="103">
        <f t="shared" si="39"/>
        <v>73416</v>
      </c>
      <c r="G91" s="103">
        <f t="shared" si="40"/>
        <v>181756</v>
      </c>
      <c r="H91" s="112">
        <f t="shared" si="41"/>
        <v>513348</v>
      </c>
    </row>
    <row r="92" spans="3:15">
      <c r="C92" s="116">
        <v>2025</v>
      </c>
      <c r="D92" s="103">
        <f t="shared" si="37"/>
        <v>306768</v>
      </c>
      <c r="E92" s="103">
        <f t="shared" si="38"/>
        <v>116609</v>
      </c>
      <c r="F92" s="103">
        <f t="shared" si="39"/>
        <v>122966</v>
      </c>
      <c r="G92" s="103">
        <f t="shared" si="40"/>
        <v>302934</v>
      </c>
      <c r="H92" s="112">
        <f t="shared" si="41"/>
        <v>849277</v>
      </c>
    </row>
    <row r="93" spans="3:15">
      <c r="C93" s="116">
        <v>2026</v>
      </c>
      <c r="D93" s="103">
        <f t="shared" si="37"/>
        <v>425386</v>
      </c>
      <c r="E93" s="103">
        <f t="shared" si="38"/>
        <v>149923</v>
      </c>
      <c r="F93" s="103">
        <f t="shared" si="39"/>
        <v>165174</v>
      </c>
      <c r="G93" s="103">
        <f t="shared" si="40"/>
        <v>407780</v>
      </c>
      <c r="H93" s="112">
        <f t="shared" si="41"/>
        <v>1148263</v>
      </c>
    </row>
    <row r="94" spans="3:15">
      <c r="C94" s="116">
        <v>2027</v>
      </c>
      <c r="D94" s="103">
        <f t="shared" si="37"/>
        <v>513324</v>
      </c>
      <c r="E94" s="103">
        <f t="shared" si="38"/>
        <v>168958</v>
      </c>
      <c r="F94" s="103">
        <f t="shared" si="39"/>
        <v>192709</v>
      </c>
      <c r="G94" s="103">
        <f t="shared" si="40"/>
        <v>477698</v>
      </c>
      <c r="H94" s="112">
        <f t="shared" si="41"/>
        <v>1352689</v>
      </c>
    </row>
    <row r="95" spans="3:15">
      <c r="C95" s="116">
        <v>2028</v>
      </c>
      <c r="D95" s="103">
        <f t="shared" si="37"/>
        <v>562407</v>
      </c>
      <c r="E95" s="103">
        <f t="shared" si="38"/>
        <v>176101</v>
      </c>
      <c r="F95" s="103">
        <f t="shared" si="39"/>
        <v>201889</v>
      </c>
      <c r="G95" s="103">
        <f t="shared" si="40"/>
        <v>510307</v>
      </c>
      <c r="H95" s="112">
        <f t="shared" si="41"/>
        <v>1450704</v>
      </c>
    </row>
    <row r="96" spans="3:15">
      <c r="C96" s="116">
        <v>2029</v>
      </c>
      <c r="D96" s="103">
        <f t="shared" si="37"/>
        <v>572631</v>
      </c>
      <c r="E96" s="103">
        <f t="shared" si="38"/>
        <v>171347</v>
      </c>
      <c r="F96" s="103">
        <f t="shared" si="39"/>
        <v>194534</v>
      </c>
      <c r="G96" s="103">
        <f t="shared" si="40"/>
        <v>505650</v>
      </c>
      <c r="H96" s="112">
        <f t="shared" si="41"/>
        <v>1444162</v>
      </c>
    </row>
    <row r="97" spans="2:36">
      <c r="C97" s="116">
        <v>2030</v>
      </c>
      <c r="D97" s="103">
        <f t="shared" si="37"/>
        <v>554225</v>
      </c>
      <c r="E97" s="103">
        <f t="shared" si="38"/>
        <v>161824</v>
      </c>
      <c r="F97" s="103">
        <f t="shared" si="39"/>
        <v>179861</v>
      </c>
      <c r="G97" s="103">
        <f t="shared" si="40"/>
        <v>470712</v>
      </c>
      <c r="H97" s="112">
        <f t="shared" si="41"/>
        <v>1366622</v>
      </c>
    </row>
    <row r="98" spans="2:36">
      <c r="C98" s="116">
        <v>2031</v>
      </c>
      <c r="D98" s="103">
        <f t="shared" si="37"/>
        <v>533776</v>
      </c>
      <c r="E98" s="103">
        <f t="shared" si="38"/>
        <v>152299</v>
      </c>
      <c r="F98" s="103">
        <f t="shared" si="39"/>
        <v>163340</v>
      </c>
      <c r="G98" s="103">
        <f t="shared" si="40"/>
        <v>435748</v>
      </c>
      <c r="H98" s="112">
        <f t="shared" si="41"/>
        <v>1285163</v>
      </c>
    </row>
    <row r="99" spans="2:36">
      <c r="C99" s="116">
        <v>2032</v>
      </c>
      <c r="D99" s="103">
        <f t="shared" si="37"/>
        <v>515370</v>
      </c>
      <c r="E99" s="103">
        <f t="shared" si="38"/>
        <v>142790</v>
      </c>
      <c r="F99" s="103">
        <f t="shared" si="39"/>
        <v>150488</v>
      </c>
      <c r="G99" s="103">
        <f t="shared" si="40"/>
        <v>405461</v>
      </c>
      <c r="H99" s="112">
        <f t="shared" si="41"/>
        <v>1214109</v>
      </c>
    </row>
    <row r="100" spans="2:36">
      <c r="C100" s="116">
        <v>2033</v>
      </c>
      <c r="D100" s="103">
        <f t="shared" si="37"/>
        <v>496964</v>
      </c>
      <c r="E100" s="103">
        <f t="shared" si="38"/>
        <v>135643</v>
      </c>
      <c r="F100" s="103">
        <f t="shared" si="39"/>
        <v>137639</v>
      </c>
      <c r="G100" s="103">
        <f t="shared" si="40"/>
        <v>377483</v>
      </c>
      <c r="H100" s="112">
        <f t="shared" si="41"/>
        <v>1147729</v>
      </c>
    </row>
    <row r="101" spans="2:36">
      <c r="C101" s="116">
        <v>2034</v>
      </c>
      <c r="D101" s="103">
        <f t="shared" si="37"/>
        <v>480604</v>
      </c>
      <c r="E101" s="103">
        <f t="shared" si="38"/>
        <v>126131</v>
      </c>
      <c r="F101" s="103">
        <f t="shared" si="39"/>
        <v>124800</v>
      </c>
      <c r="G101" s="103">
        <f t="shared" si="40"/>
        <v>349531</v>
      </c>
      <c r="H101" s="112">
        <f t="shared" si="41"/>
        <v>1081066</v>
      </c>
    </row>
    <row r="102" spans="2:36">
      <c r="C102" s="116">
        <v>2035</v>
      </c>
      <c r="D102" s="103">
        <f t="shared" si="37"/>
        <v>464241</v>
      </c>
      <c r="E102" s="103">
        <f t="shared" si="38"/>
        <v>118984</v>
      </c>
      <c r="F102" s="103">
        <f t="shared" si="39"/>
        <v>113786</v>
      </c>
      <c r="G102" s="103">
        <f t="shared" si="40"/>
        <v>326222</v>
      </c>
      <c r="H102" s="112">
        <f t="shared" si="41"/>
        <v>1023233</v>
      </c>
    </row>
    <row r="103" spans="2:36">
      <c r="C103" s="116">
        <v>2036</v>
      </c>
      <c r="D103" s="103">
        <f t="shared" si="37"/>
        <v>447881</v>
      </c>
      <c r="E103" s="103">
        <f t="shared" si="38"/>
        <v>111841</v>
      </c>
      <c r="F103" s="103">
        <f t="shared" si="39"/>
        <v>104607</v>
      </c>
      <c r="G103" s="103">
        <f t="shared" si="40"/>
        <v>302938</v>
      </c>
      <c r="H103" s="112">
        <f t="shared" si="41"/>
        <v>967267</v>
      </c>
    </row>
    <row r="104" spans="2:36">
      <c r="C104" s="116">
        <v>2037</v>
      </c>
      <c r="D104" s="103">
        <f t="shared" si="37"/>
        <v>431518</v>
      </c>
      <c r="E104" s="103">
        <f t="shared" si="38"/>
        <v>107100</v>
      </c>
      <c r="F104" s="103">
        <f t="shared" si="39"/>
        <v>95431</v>
      </c>
      <c r="G104" s="103">
        <f t="shared" si="40"/>
        <v>281958</v>
      </c>
      <c r="H104" s="112">
        <f t="shared" si="41"/>
        <v>916007</v>
      </c>
    </row>
    <row r="105" spans="2:36">
      <c r="C105" s="116">
        <v>2038</v>
      </c>
      <c r="D105" s="103">
        <f t="shared" si="37"/>
        <v>417204</v>
      </c>
      <c r="E105" s="103">
        <f t="shared" si="38"/>
        <v>99953</v>
      </c>
      <c r="F105" s="103">
        <f t="shared" si="39"/>
        <v>88089</v>
      </c>
      <c r="G105" s="103">
        <f t="shared" si="40"/>
        <v>263303</v>
      </c>
      <c r="H105" s="112">
        <f t="shared" si="41"/>
        <v>868549</v>
      </c>
    </row>
    <row r="106" spans="2:36">
      <c r="C106" s="116">
        <v>2039</v>
      </c>
      <c r="D106" s="103">
        <f t="shared" si="37"/>
        <v>402888</v>
      </c>
      <c r="E106" s="103">
        <f t="shared" si="38"/>
        <v>92807</v>
      </c>
      <c r="F106" s="103">
        <f t="shared" si="39"/>
        <v>78923</v>
      </c>
      <c r="G106" s="103">
        <f t="shared" si="40"/>
        <v>244675</v>
      </c>
      <c r="H106" s="112">
        <f t="shared" si="41"/>
        <v>819293</v>
      </c>
    </row>
    <row r="107" spans="2:36">
      <c r="C107" s="116">
        <v>2040</v>
      </c>
      <c r="D107" s="103">
        <f t="shared" si="37"/>
        <v>388574</v>
      </c>
      <c r="E107" s="103">
        <f t="shared" si="38"/>
        <v>88052</v>
      </c>
      <c r="F107" s="103">
        <f t="shared" si="39"/>
        <v>73413</v>
      </c>
      <c r="G107" s="103">
        <f t="shared" si="40"/>
        <v>226034</v>
      </c>
      <c r="H107" s="112">
        <f>SUM(D107:G107)</f>
        <v>776073</v>
      </c>
    </row>
    <row r="108" spans="2:36">
      <c r="C108" s="116"/>
      <c r="D108" s="103">
        <f>SUM(D88:D107)</f>
        <v>7806212</v>
      </c>
      <c r="E108" s="103">
        <f t="shared" ref="E108:G108" si="42">SUM(E88:E107)</f>
        <v>2253640</v>
      </c>
      <c r="F108" s="103">
        <f t="shared" si="42"/>
        <v>2301449</v>
      </c>
      <c r="G108" s="103">
        <f t="shared" si="42"/>
        <v>6182045</v>
      </c>
      <c r="H108" s="247">
        <f>SUM(H88:H107)</f>
        <v>18543346</v>
      </c>
    </row>
    <row r="112" spans="2:36">
      <c r="B112" s="321"/>
      <c r="C112" s="322"/>
      <c r="D112" s="322"/>
      <c r="E112" s="322"/>
      <c r="F112" s="322"/>
      <c r="G112" s="322"/>
      <c r="H112" s="322"/>
      <c r="I112" s="322"/>
      <c r="J112" s="322"/>
      <c r="K112" s="322"/>
      <c r="L112" s="322"/>
      <c r="M112" s="322"/>
      <c r="N112" s="322"/>
      <c r="O112" s="322"/>
      <c r="P112" s="322"/>
      <c r="Q112" s="322"/>
      <c r="R112" s="322"/>
      <c r="S112" s="322"/>
      <c r="T112" s="322"/>
      <c r="U112" s="322"/>
      <c r="V112" s="322"/>
      <c r="W112" s="322"/>
      <c r="X112" s="322"/>
      <c r="Y112" s="322"/>
      <c r="Z112" s="322"/>
      <c r="AA112" s="322"/>
      <c r="AB112" s="322"/>
      <c r="AC112" s="322"/>
      <c r="AD112" s="322"/>
      <c r="AE112" s="322"/>
      <c r="AF112" s="322"/>
      <c r="AG112" s="322"/>
      <c r="AH112" s="322"/>
      <c r="AI112" s="322"/>
      <c r="AJ112" s="323"/>
    </row>
    <row r="113" spans="2:36" ht="18">
      <c r="B113" s="324"/>
      <c r="C113" s="305" t="s">
        <v>169</v>
      </c>
      <c r="AJ113" s="325"/>
    </row>
    <row r="114" spans="2:36">
      <c r="B114" s="324"/>
      <c r="AJ114" s="325"/>
    </row>
    <row r="115" spans="2:36" ht="18">
      <c r="B115" s="324"/>
      <c r="C115" s="326" t="s">
        <v>170</v>
      </c>
      <c r="AJ115" s="325"/>
    </row>
    <row r="116" spans="2:36">
      <c r="B116" s="324"/>
      <c r="AJ116" s="325"/>
    </row>
    <row r="117" spans="2:36">
      <c r="B117" s="324"/>
      <c r="C117" s="95" t="s">
        <v>277</v>
      </c>
      <c r="I117" s="95">
        <v>2003</v>
      </c>
      <c r="J117" s="95">
        <v>2012</v>
      </c>
      <c r="AJ117" s="325"/>
    </row>
    <row r="118" spans="2:36" ht="13">
      <c r="B118" s="324"/>
      <c r="C118" s="483" t="s">
        <v>77</v>
      </c>
      <c r="D118" s="484" t="s">
        <v>171</v>
      </c>
      <c r="E118" s="485"/>
      <c r="F118" s="121"/>
      <c r="H118" s="95" t="s">
        <v>79</v>
      </c>
      <c r="I118" s="110">
        <v>23740</v>
      </c>
      <c r="J118" s="110">
        <v>17270</v>
      </c>
      <c r="K118" s="122">
        <f>(J118/I118)^(1/9)-1</f>
        <v>-3.4736829876434228E-2</v>
      </c>
      <c r="AJ118" s="325"/>
    </row>
    <row r="119" spans="2:36" ht="13">
      <c r="B119" s="324"/>
      <c r="C119" s="483"/>
      <c r="D119" s="123" t="s">
        <v>172</v>
      </c>
      <c r="E119" s="124" t="s">
        <v>78</v>
      </c>
      <c r="F119" s="327"/>
      <c r="H119" s="95" t="s">
        <v>81</v>
      </c>
      <c r="I119" s="110">
        <f>E120</f>
        <v>75020</v>
      </c>
      <c r="J119" s="110">
        <v>70540</v>
      </c>
      <c r="K119" s="122">
        <f>(J119/I119)^(1/9)-1</f>
        <v>-6.8182958680448325E-3</v>
      </c>
      <c r="L119" s="114"/>
      <c r="AJ119" s="325"/>
    </row>
    <row r="120" spans="2:36">
      <c r="B120" s="324"/>
      <c r="C120" s="125">
        <v>2003</v>
      </c>
      <c r="D120" s="117">
        <v>23740</v>
      </c>
      <c r="E120" s="117">
        <v>75020</v>
      </c>
      <c r="F120" s="110"/>
      <c r="AJ120" s="325"/>
    </row>
    <row r="121" spans="2:36">
      <c r="B121" s="324"/>
      <c r="C121" s="102">
        <v>2004</v>
      </c>
      <c r="D121" s="103">
        <f t="shared" ref="D121:D156" si="43">(D120*(1+$K$118))</f>
        <v>22915.347658733452</v>
      </c>
      <c r="E121" s="103">
        <f t="shared" ref="E121:E157" si="44">(E120*(1+$K$119))</f>
        <v>74508.491443979277</v>
      </c>
      <c r="F121" s="110"/>
      <c r="AJ121" s="325"/>
    </row>
    <row r="122" spans="2:36">
      <c r="B122" s="324"/>
      <c r="C122" s="102">
        <v>2005</v>
      </c>
      <c r="D122" s="103">
        <f t="shared" si="43"/>
        <v>22119.341125552681</v>
      </c>
      <c r="E122" s="103">
        <f t="shared" si="44"/>
        <v>74000.47050463254</v>
      </c>
      <c r="F122" s="110"/>
      <c r="AJ122" s="325"/>
    </row>
    <row r="123" spans="2:36">
      <c r="B123" s="324"/>
      <c r="C123" s="102">
        <v>2006</v>
      </c>
      <c r="D123" s="103">
        <f t="shared" si="43"/>
        <v>21350.985335895541</v>
      </c>
      <c r="E123" s="103">
        <f t="shared" si="44"/>
        <v>73495.91340235743</v>
      </c>
      <c r="F123" s="110"/>
      <c r="AJ123" s="325"/>
    </row>
    <row r="124" spans="2:36">
      <c r="B124" s="324"/>
      <c r="C124" s="102">
        <v>2007</v>
      </c>
      <c r="D124" s="103">
        <f t="shared" si="43"/>
        <v>20609.319790588295</v>
      </c>
      <c r="E124" s="103">
        <f t="shared" si="44"/>
        <v>72994.796519687952</v>
      </c>
      <c r="F124" s="110"/>
      <c r="AJ124" s="325"/>
    </row>
    <row r="125" spans="2:36">
      <c r="B125" s="324"/>
      <c r="C125" s="102">
        <v>2008</v>
      </c>
      <c r="D125" s="103">
        <f t="shared" si="43"/>
        <v>19893.417355153601</v>
      </c>
      <c r="E125" s="103">
        <f t="shared" si="44"/>
        <v>72497.096400188995</v>
      </c>
      <c r="F125" s="110"/>
      <c r="AJ125" s="325"/>
    </row>
    <row r="126" spans="2:36">
      <c r="B126" s="324"/>
      <c r="C126" s="102">
        <v>2009</v>
      </c>
      <c r="D126" s="103">
        <f t="shared" si="43"/>
        <v>19202.383100826726</v>
      </c>
      <c r="E126" s="103">
        <f t="shared" si="44"/>
        <v>72002.789747358343</v>
      </c>
      <c r="F126" s="110"/>
      <c r="AJ126" s="325"/>
    </row>
    <row r="127" spans="2:36">
      <c r="B127" s="324"/>
      <c r="C127" s="102">
        <v>2010</v>
      </c>
      <c r="D127" s="103">
        <f t="shared" si="43"/>
        <v>18535.353185831191</v>
      </c>
      <c r="E127" s="103">
        <f t="shared" si="44"/>
        <v>71511.853423536231</v>
      </c>
      <c r="F127" s="110"/>
      <c r="AJ127" s="325"/>
    </row>
    <row r="128" spans="2:36">
      <c r="B128" s="324"/>
      <c r="C128" s="102">
        <v>2011</v>
      </c>
      <c r="D128" s="103">
        <f t="shared" si="43"/>
        <v>17891.493775515348</v>
      </c>
      <c r="E128" s="103">
        <f t="shared" si="44"/>
        <v>71024.264448822301</v>
      </c>
      <c r="F128" s="110"/>
      <c r="AJ128" s="325"/>
    </row>
    <row r="129" spans="2:36">
      <c r="B129" s="324"/>
      <c r="C129" s="125">
        <v>2012</v>
      </c>
      <c r="D129" s="117">
        <f>(D128*(1+$K$118))</f>
        <v>17269.999999999989</v>
      </c>
      <c r="E129" s="117">
        <f t="shared" si="44"/>
        <v>70539.999999999971</v>
      </c>
      <c r="F129" s="110"/>
      <c r="AJ129" s="325"/>
    </row>
    <row r="130" spans="2:36">
      <c r="B130" s="324"/>
      <c r="C130" s="102">
        <v>2013</v>
      </c>
      <c r="D130" s="103">
        <f t="shared" si="43"/>
        <v>16670.09494803397</v>
      </c>
      <c r="E130" s="103">
        <f t="shared" si="44"/>
        <v>70059.037409468088</v>
      </c>
      <c r="F130" s="110"/>
      <c r="AJ130" s="325"/>
    </row>
    <row r="131" spans="2:36">
      <c r="B131" s="324"/>
      <c r="C131" s="102">
        <v>2014</v>
      </c>
      <c r="D131" s="103">
        <f t="shared" si="43"/>
        <v>16091.028695800107</v>
      </c>
      <c r="E131" s="103">
        <f t="shared" si="44"/>
        <v>69581.354164179909</v>
      </c>
      <c r="F131" s="110"/>
      <c r="K131" s="97"/>
      <c r="R131" s="114"/>
      <c r="AJ131" s="325"/>
    </row>
    <row r="132" spans="2:36">
      <c r="B132" s="324"/>
      <c r="C132" s="102">
        <v>2015</v>
      </c>
      <c r="D132" s="103">
        <f t="shared" si="43"/>
        <v>15532.077369457278</v>
      </c>
      <c r="E132" s="103">
        <f t="shared" si="44"/>
        <v>69106.92790458932</v>
      </c>
      <c r="F132" s="110"/>
      <c r="AJ132" s="325"/>
    </row>
    <row r="133" spans="2:36">
      <c r="B133" s="324"/>
      <c r="C133" s="102">
        <v>2016</v>
      </c>
      <c r="D133" s="103">
        <f t="shared" si="43"/>
        <v>14992.542240246827</v>
      </c>
      <c r="E133" s="103">
        <f t="shared" si="44"/>
        <v>68635.73642360419</v>
      </c>
      <c r="F133" s="110"/>
      <c r="AJ133" s="325"/>
    </row>
    <row r="134" spans="2:36" ht="16">
      <c r="B134" s="324"/>
      <c r="C134" s="102">
        <v>2017</v>
      </c>
      <c r="D134" s="103">
        <f t="shared" si="43"/>
        <v>14471.748851032118</v>
      </c>
      <c r="E134" s="103">
        <f t="shared" si="44"/>
        <v>68167.757665546917</v>
      </c>
      <c r="F134" s="110"/>
      <c r="G134" s="328" t="s">
        <v>173</v>
      </c>
      <c r="R134" s="328" t="s">
        <v>174</v>
      </c>
      <c r="AB134" s="328" t="s">
        <v>278</v>
      </c>
      <c r="AF134" s="328" t="s">
        <v>175</v>
      </c>
      <c r="AJ134" s="325"/>
    </row>
    <row r="135" spans="2:36" ht="15" customHeight="1">
      <c r="B135" s="324"/>
      <c r="C135" s="102">
        <v>2018</v>
      </c>
      <c r="D135" s="103">
        <f t="shared" si="43"/>
        <v>13969.046173179333</v>
      </c>
      <c r="E135" s="103">
        <f t="shared" si="44"/>
        <v>67702.969725122035</v>
      </c>
      <c r="F135" s="110"/>
      <c r="G135" s="300" t="s">
        <v>85</v>
      </c>
      <c r="H135" s="486" t="s">
        <v>176</v>
      </c>
      <c r="I135" s="487"/>
      <c r="J135" s="486" t="s">
        <v>177</v>
      </c>
      <c r="K135" s="488"/>
      <c r="L135" s="487"/>
      <c r="M135" s="486" t="s">
        <v>178</v>
      </c>
      <c r="N135" s="488"/>
      <c r="O135" s="487"/>
      <c r="R135" s="329" t="s">
        <v>85</v>
      </c>
      <c r="S135" s="489" t="s">
        <v>176</v>
      </c>
      <c r="T135" s="490"/>
      <c r="U135" s="489" t="s">
        <v>177</v>
      </c>
      <c r="V135" s="491"/>
      <c r="W135" s="490"/>
      <c r="X135" s="489" t="s">
        <v>179</v>
      </c>
      <c r="Y135" s="491"/>
      <c r="Z135" s="490"/>
      <c r="AB135" s="477" t="s">
        <v>85</v>
      </c>
      <c r="AC135" s="479" t="s">
        <v>180</v>
      </c>
      <c r="AF135" s="477" t="s">
        <v>85</v>
      </c>
      <c r="AG135" s="481" t="s">
        <v>180</v>
      </c>
      <c r="AH135" s="481" t="s">
        <v>181</v>
      </c>
      <c r="AI135" s="481" t="s">
        <v>182</v>
      </c>
      <c r="AJ135" s="325"/>
    </row>
    <row r="136" spans="2:36" ht="14">
      <c r="B136" s="324"/>
      <c r="C136" s="102">
        <v>2019</v>
      </c>
      <c r="D136" s="103">
        <f t="shared" si="43"/>
        <v>13483.805792725549</v>
      </c>
      <c r="E136" s="103">
        <f t="shared" si="44"/>
        <v>67241.350846390866</v>
      </c>
      <c r="F136" s="110"/>
      <c r="G136" s="99"/>
      <c r="H136" s="126" t="s">
        <v>86</v>
      </c>
      <c r="I136" s="126" t="s">
        <v>87</v>
      </c>
      <c r="J136" s="126" t="s">
        <v>86</v>
      </c>
      <c r="K136" s="126" t="s">
        <v>87</v>
      </c>
      <c r="L136" s="126" t="s">
        <v>88</v>
      </c>
      <c r="M136" s="126" t="s">
        <v>86</v>
      </c>
      <c r="N136" s="126" t="s">
        <v>87</v>
      </c>
      <c r="O136" s="126" t="s">
        <v>88</v>
      </c>
      <c r="R136" s="330"/>
      <c r="S136" s="331" t="s">
        <v>183</v>
      </c>
      <c r="T136" s="331" t="s">
        <v>184</v>
      </c>
      <c r="U136" s="331" t="s">
        <v>183</v>
      </c>
      <c r="V136" s="331" t="s">
        <v>184</v>
      </c>
      <c r="W136" s="332" t="s">
        <v>88</v>
      </c>
      <c r="X136" s="331" t="s">
        <v>183</v>
      </c>
      <c r="Y136" s="331" t="s">
        <v>184</v>
      </c>
      <c r="Z136" s="331" t="s">
        <v>88</v>
      </c>
      <c r="AB136" s="478"/>
      <c r="AC136" s="480"/>
      <c r="AF136" s="478"/>
      <c r="AG136" s="482"/>
      <c r="AH136" s="482"/>
      <c r="AI136" s="482"/>
      <c r="AJ136" s="325"/>
    </row>
    <row r="137" spans="2:36">
      <c r="B137" s="324"/>
      <c r="C137" s="125">
        <v>2020</v>
      </c>
      <c r="D137" s="117">
        <f t="shared" si="43"/>
        <v>13015.421124816763</v>
      </c>
      <c r="E137" s="117">
        <f t="shared" si="44"/>
        <v>66782.879421753169</v>
      </c>
      <c r="F137" s="110"/>
      <c r="G137" s="102">
        <v>2020</v>
      </c>
      <c r="H137" s="128">
        <f>ROUND(D136-D137,0)</f>
        <v>468</v>
      </c>
      <c r="I137" s="333">
        <f>ROUND(E136-E137,0)</f>
        <v>458</v>
      </c>
      <c r="J137" s="128">
        <f t="shared" ref="J137:J157" si="45">ROUND(H137*$AI$14,0)</f>
        <v>77688</v>
      </c>
      <c r="K137" s="129">
        <f t="shared" ref="K137:K157" si="46">ROUND(I137*$AI$25,0)</f>
        <v>32637</v>
      </c>
      <c r="L137" s="128">
        <f>J137+K137</f>
        <v>110325</v>
      </c>
      <c r="M137" s="128">
        <f>ROUND(J137*(44/12),0)</f>
        <v>284856</v>
      </c>
      <c r="N137" s="128">
        <f>ROUND(K137*(44/12),0)</f>
        <v>119669</v>
      </c>
      <c r="O137" s="128">
        <f>SUM(M137:N137)</f>
        <v>404525</v>
      </c>
      <c r="R137" s="102">
        <v>2020</v>
      </c>
      <c r="S137" s="128">
        <f>H137</f>
        <v>468</v>
      </c>
      <c r="T137" s="128">
        <f>I137</f>
        <v>458</v>
      </c>
      <c r="U137" s="103">
        <f t="shared" ref="U137:U157" si="47">ROUND(S137*$AI$14,0)</f>
        <v>77688</v>
      </c>
      <c r="V137" s="128">
        <f>K137</f>
        <v>32637</v>
      </c>
      <c r="W137" s="130">
        <f>U137+V137</f>
        <v>110325</v>
      </c>
      <c r="X137" s="103">
        <f>ROUND(U137*(44/12),0)</f>
        <v>284856</v>
      </c>
      <c r="Y137" s="128">
        <f>N137</f>
        <v>119669</v>
      </c>
      <c r="Z137" s="128">
        <f>SUM(X137:Y137)</f>
        <v>404525</v>
      </c>
      <c r="AB137" s="102">
        <v>2020</v>
      </c>
      <c r="AC137" s="103">
        <f>ROUND(D137,0)</f>
        <v>13015</v>
      </c>
      <c r="AF137" s="102">
        <v>2020</v>
      </c>
      <c r="AG137" s="103">
        <f t="shared" ref="AG137:AG157" si="48">H137-S137</f>
        <v>0</v>
      </c>
      <c r="AH137" s="103">
        <f t="shared" ref="AH137:AH157" si="49">L137-W137</f>
        <v>0</v>
      </c>
      <c r="AI137" s="103">
        <f t="shared" ref="AI137:AI157" si="50">O137-Z137</f>
        <v>0</v>
      </c>
      <c r="AJ137" s="325"/>
    </row>
    <row r="138" spans="2:36">
      <c r="B138" s="324"/>
      <c r="C138" s="102">
        <v>2021</v>
      </c>
      <c r="D138" s="103">
        <f t="shared" si="43"/>
        <v>12563.306655433855</v>
      </c>
      <c r="E138" s="103">
        <f t="shared" si="44"/>
        <v>66327.533990935699</v>
      </c>
      <c r="F138" s="110"/>
      <c r="G138" s="102">
        <v>2021</v>
      </c>
      <c r="H138" s="128">
        <f>ROUND(D137-D138,0)</f>
        <v>452</v>
      </c>
      <c r="I138" s="333">
        <f t="shared" ref="H138:I156" si="51">ROUND(E137-E138,0)</f>
        <v>455</v>
      </c>
      <c r="J138" s="128">
        <f t="shared" si="45"/>
        <v>75032</v>
      </c>
      <c r="K138" s="129">
        <f t="shared" si="46"/>
        <v>32423</v>
      </c>
      <c r="L138" s="128">
        <f t="shared" ref="L138:L157" si="52">J138+K138</f>
        <v>107455</v>
      </c>
      <c r="M138" s="128">
        <f t="shared" ref="M138:N153" si="53">ROUND(J138*(44/12),0)</f>
        <v>275117</v>
      </c>
      <c r="N138" s="128">
        <f t="shared" si="53"/>
        <v>118884</v>
      </c>
      <c r="O138" s="128">
        <f>SUM(M138:N138)</f>
        <v>394001</v>
      </c>
      <c r="R138" s="102">
        <v>2021</v>
      </c>
      <c r="S138" s="128">
        <f t="shared" ref="S138:S157" si="54">ROUND(H138-H138*C7,0)</f>
        <v>452</v>
      </c>
      <c r="T138" s="128">
        <f>I138</f>
        <v>455</v>
      </c>
      <c r="U138" s="103">
        <f t="shared" si="47"/>
        <v>75032</v>
      </c>
      <c r="V138" s="128">
        <f>K138</f>
        <v>32423</v>
      </c>
      <c r="W138" s="130">
        <f t="shared" ref="W138:W157" si="55">U138+V138</f>
        <v>107455</v>
      </c>
      <c r="X138" s="103">
        <f t="shared" ref="X138:X157" si="56">ROUND(U138*(44/12),0)</f>
        <v>275117</v>
      </c>
      <c r="Y138" s="128">
        <f t="shared" ref="Y138:Y157" si="57">N138</f>
        <v>118884</v>
      </c>
      <c r="Z138" s="128">
        <f>SUM(X138:Y138)</f>
        <v>394001</v>
      </c>
      <c r="AB138" s="102">
        <v>2021</v>
      </c>
      <c r="AC138" s="103">
        <f t="shared" ref="AC138:AC157" si="58">AC137-S138</f>
        <v>12563</v>
      </c>
      <c r="AF138" s="102">
        <v>2021</v>
      </c>
      <c r="AG138" s="103">
        <f t="shared" si="48"/>
        <v>0</v>
      </c>
      <c r="AH138" s="103">
        <f t="shared" si="49"/>
        <v>0</v>
      </c>
      <c r="AI138" s="103">
        <f t="shared" si="50"/>
        <v>0</v>
      </c>
      <c r="AJ138" s="325"/>
    </row>
    <row r="139" spans="2:36">
      <c r="B139" s="324"/>
      <c r="C139" s="102">
        <v>2022</v>
      </c>
      <c r="D139" s="103">
        <f t="shared" si="43"/>
        <v>12126.897209458575</v>
      </c>
      <c r="E139" s="103">
        <f t="shared" si="44"/>
        <v>65875.293239987703</v>
      </c>
      <c r="F139" s="110"/>
      <c r="G139" s="102">
        <v>2022</v>
      </c>
      <c r="H139" s="128">
        <f t="shared" si="51"/>
        <v>436</v>
      </c>
      <c r="I139" s="333">
        <f t="shared" si="51"/>
        <v>452</v>
      </c>
      <c r="J139" s="128">
        <f t="shared" si="45"/>
        <v>72376</v>
      </c>
      <c r="K139" s="129">
        <f t="shared" si="46"/>
        <v>32210</v>
      </c>
      <c r="L139" s="128">
        <f t="shared" si="52"/>
        <v>104586</v>
      </c>
      <c r="M139" s="128">
        <f t="shared" si="53"/>
        <v>265379</v>
      </c>
      <c r="N139" s="128">
        <f t="shared" si="53"/>
        <v>118103</v>
      </c>
      <c r="O139" s="128">
        <f t="shared" ref="O139:O157" si="59">SUM(M139:N139)</f>
        <v>383482</v>
      </c>
      <c r="R139" s="102">
        <v>2022</v>
      </c>
      <c r="S139" s="128">
        <f t="shared" si="54"/>
        <v>424</v>
      </c>
      <c r="T139" s="128">
        <f t="shared" ref="T139:T156" si="60">I139</f>
        <v>452</v>
      </c>
      <c r="U139" s="103">
        <f t="shared" si="47"/>
        <v>70384</v>
      </c>
      <c r="V139" s="128">
        <f>K139</f>
        <v>32210</v>
      </c>
      <c r="W139" s="130">
        <f t="shared" si="55"/>
        <v>102594</v>
      </c>
      <c r="X139" s="103">
        <f t="shared" si="56"/>
        <v>258075</v>
      </c>
      <c r="Y139" s="128">
        <f t="shared" si="57"/>
        <v>118103</v>
      </c>
      <c r="Z139" s="128">
        <f t="shared" ref="Z139:Z157" si="61">SUM(X139:Y139)</f>
        <v>376178</v>
      </c>
      <c r="AB139" s="102">
        <v>2022</v>
      </c>
      <c r="AC139" s="103">
        <f t="shared" si="58"/>
        <v>12139</v>
      </c>
      <c r="AF139" s="102">
        <v>2022</v>
      </c>
      <c r="AG139" s="103">
        <f t="shared" si="48"/>
        <v>12</v>
      </c>
      <c r="AH139" s="103">
        <f t="shared" si="49"/>
        <v>1992</v>
      </c>
      <c r="AI139" s="103">
        <f t="shared" si="50"/>
        <v>7304</v>
      </c>
      <c r="AJ139" s="325"/>
    </row>
    <row r="140" spans="2:36">
      <c r="B140" s="324"/>
      <c r="C140" s="102">
        <v>2023</v>
      </c>
      <c r="D140" s="103">
        <f t="shared" si="43"/>
        <v>11705.647244164607</v>
      </c>
      <c r="E140" s="103">
        <f t="shared" si="44"/>
        <v>65426.136000283252</v>
      </c>
      <c r="F140" s="110"/>
      <c r="G140" s="102">
        <v>2023</v>
      </c>
      <c r="H140" s="128">
        <f>ROUND(D139-D140,0)</f>
        <v>421</v>
      </c>
      <c r="I140" s="333">
        <f t="shared" si="51"/>
        <v>449</v>
      </c>
      <c r="J140" s="128">
        <f t="shared" si="45"/>
        <v>69886</v>
      </c>
      <c r="K140" s="129">
        <f t="shared" si="46"/>
        <v>31996</v>
      </c>
      <c r="L140" s="128">
        <f t="shared" si="52"/>
        <v>101882</v>
      </c>
      <c r="M140" s="128">
        <f t="shared" si="53"/>
        <v>256249</v>
      </c>
      <c r="N140" s="128">
        <f t="shared" si="53"/>
        <v>117319</v>
      </c>
      <c r="O140" s="128">
        <f t="shared" si="59"/>
        <v>373568</v>
      </c>
      <c r="R140" s="102">
        <v>2023</v>
      </c>
      <c r="S140" s="128">
        <f t="shared" si="54"/>
        <v>379</v>
      </c>
      <c r="T140" s="128">
        <f t="shared" si="60"/>
        <v>449</v>
      </c>
      <c r="U140" s="103">
        <f t="shared" si="47"/>
        <v>62914</v>
      </c>
      <c r="V140" s="128">
        <f t="shared" ref="V140:V157" si="62">K140</f>
        <v>31996</v>
      </c>
      <c r="W140" s="130">
        <f t="shared" si="55"/>
        <v>94910</v>
      </c>
      <c r="X140" s="103">
        <f t="shared" si="56"/>
        <v>230685</v>
      </c>
      <c r="Y140" s="128">
        <f t="shared" si="57"/>
        <v>117319</v>
      </c>
      <c r="Z140" s="128">
        <f t="shared" si="61"/>
        <v>348004</v>
      </c>
      <c r="AB140" s="102">
        <v>2023</v>
      </c>
      <c r="AC140" s="103">
        <f t="shared" si="58"/>
        <v>11760</v>
      </c>
      <c r="AF140" s="102">
        <v>2023</v>
      </c>
      <c r="AG140" s="103">
        <f t="shared" si="48"/>
        <v>42</v>
      </c>
      <c r="AH140" s="103">
        <f t="shared" si="49"/>
        <v>6972</v>
      </c>
      <c r="AI140" s="103">
        <f t="shared" si="50"/>
        <v>25564</v>
      </c>
      <c r="AJ140" s="325"/>
    </row>
    <row r="141" spans="2:36">
      <c r="B141" s="324"/>
      <c r="C141" s="102">
        <v>2024</v>
      </c>
      <c r="D141" s="103">
        <f t="shared" si="43"/>
        <v>11299.03016725051</v>
      </c>
      <c r="E141" s="103">
        <f t="shared" si="44"/>
        <v>64980.041247530382</v>
      </c>
      <c r="F141" s="110"/>
      <c r="G141" s="102">
        <v>2024</v>
      </c>
      <c r="H141" s="128">
        <f t="shared" si="51"/>
        <v>407</v>
      </c>
      <c r="I141" s="333">
        <f t="shared" si="51"/>
        <v>446</v>
      </c>
      <c r="J141" s="128">
        <f t="shared" si="45"/>
        <v>67562</v>
      </c>
      <c r="K141" s="129">
        <f t="shared" si="46"/>
        <v>31782</v>
      </c>
      <c r="L141" s="128">
        <f t="shared" si="52"/>
        <v>99344</v>
      </c>
      <c r="M141" s="128">
        <f t="shared" si="53"/>
        <v>247727</v>
      </c>
      <c r="N141" s="128">
        <f t="shared" si="53"/>
        <v>116534</v>
      </c>
      <c r="O141" s="128">
        <f t="shared" si="59"/>
        <v>364261</v>
      </c>
      <c r="R141" s="102">
        <v>2024</v>
      </c>
      <c r="S141" s="128">
        <f t="shared" si="54"/>
        <v>318</v>
      </c>
      <c r="T141" s="128">
        <f t="shared" si="60"/>
        <v>446</v>
      </c>
      <c r="U141" s="103">
        <f t="shared" si="47"/>
        <v>52788</v>
      </c>
      <c r="V141" s="128">
        <f t="shared" si="62"/>
        <v>31782</v>
      </c>
      <c r="W141" s="130">
        <f t="shared" si="55"/>
        <v>84570</v>
      </c>
      <c r="X141" s="103">
        <f t="shared" si="56"/>
        <v>193556</v>
      </c>
      <c r="Y141" s="128">
        <f t="shared" si="57"/>
        <v>116534</v>
      </c>
      <c r="Z141" s="128">
        <f t="shared" si="61"/>
        <v>310090</v>
      </c>
      <c r="AB141" s="102">
        <v>2024</v>
      </c>
      <c r="AC141" s="103">
        <f t="shared" si="58"/>
        <v>11442</v>
      </c>
      <c r="AF141" s="102">
        <v>2024</v>
      </c>
      <c r="AG141" s="103">
        <f t="shared" si="48"/>
        <v>89</v>
      </c>
      <c r="AH141" s="103">
        <f t="shared" si="49"/>
        <v>14774</v>
      </c>
      <c r="AI141" s="103">
        <f t="shared" si="50"/>
        <v>54171</v>
      </c>
      <c r="AJ141" s="325"/>
    </row>
    <row r="142" spans="2:36">
      <c r="B142" s="324"/>
      <c r="C142" s="102">
        <v>2025</v>
      </c>
      <c r="D142" s="103">
        <f t="shared" si="43"/>
        <v>10906.537678562032</v>
      </c>
      <c r="E142" s="103">
        <f t="shared" si="44"/>
        <v>64536.988100786963</v>
      </c>
      <c r="F142" s="110"/>
      <c r="G142" s="102">
        <v>2025</v>
      </c>
      <c r="H142" s="128">
        <f t="shared" si="51"/>
        <v>392</v>
      </c>
      <c r="I142" s="333">
        <f t="shared" si="51"/>
        <v>443</v>
      </c>
      <c r="J142" s="128">
        <f t="shared" si="45"/>
        <v>65072</v>
      </c>
      <c r="K142" s="129">
        <f t="shared" si="46"/>
        <v>31568</v>
      </c>
      <c r="L142" s="128">
        <f t="shared" si="52"/>
        <v>96640</v>
      </c>
      <c r="M142" s="128">
        <f t="shared" si="53"/>
        <v>238597</v>
      </c>
      <c r="N142" s="128">
        <f t="shared" si="53"/>
        <v>115749</v>
      </c>
      <c r="O142" s="128">
        <f t="shared" si="59"/>
        <v>354346</v>
      </c>
      <c r="R142" s="102">
        <v>2025</v>
      </c>
      <c r="S142" s="128">
        <f t="shared" si="54"/>
        <v>242</v>
      </c>
      <c r="T142" s="128">
        <f t="shared" si="60"/>
        <v>443</v>
      </c>
      <c r="U142" s="103">
        <f t="shared" si="47"/>
        <v>40172</v>
      </c>
      <c r="V142" s="128">
        <f t="shared" si="62"/>
        <v>31568</v>
      </c>
      <c r="W142" s="130">
        <f t="shared" si="55"/>
        <v>71740</v>
      </c>
      <c r="X142" s="103">
        <f t="shared" si="56"/>
        <v>147297</v>
      </c>
      <c r="Y142" s="128">
        <f t="shared" si="57"/>
        <v>115749</v>
      </c>
      <c r="Z142" s="128">
        <f t="shared" si="61"/>
        <v>263046</v>
      </c>
      <c r="AB142" s="102">
        <v>2025</v>
      </c>
      <c r="AC142" s="103">
        <f t="shared" si="58"/>
        <v>11200</v>
      </c>
      <c r="AF142" s="102">
        <v>2025</v>
      </c>
      <c r="AG142" s="103">
        <f t="shared" si="48"/>
        <v>150</v>
      </c>
      <c r="AH142" s="103">
        <f t="shared" si="49"/>
        <v>24900</v>
      </c>
      <c r="AI142" s="103">
        <f t="shared" si="50"/>
        <v>91300</v>
      </c>
      <c r="AJ142" s="325"/>
    </row>
    <row r="143" spans="2:36">
      <c r="B143" s="324"/>
      <c r="C143" s="102">
        <v>2026</v>
      </c>
      <c r="D143" s="103">
        <f t="shared" si="43"/>
        <v>10527.679134680902</v>
      </c>
      <c r="E143" s="103">
        <f t="shared" si="44"/>
        <v>64096.955821483309</v>
      </c>
      <c r="F143" s="110"/>
      <c r="G143" s="102">
        <v>2026</v>
      </c>
      <c r="H143" s="128">
        <f t="shared" si="51"/>
        <v>379</v>
      </c>
      <c r="I143" s="333">
        <f t="shared" si="51"/>
        <v>440</v>
      </c>
      <c r="J143" s="128">
        <f t="shared" si="45"/>
        <v>62914</v>
      </c>
      <c r="K143" s="129">
        <f t="shared" si="46"/>
        <v>31354</v>
      </c>
      <c r="L143" s="128">
        <f t="shared" si="52"/>
        <v>94268</v>
      </c>
      <c r="M143" s="128">
        <f t="shared" si="53"/>
        <v>230685</v>
      </c>
      <c r="N143" s="128">
        <f t="shared" si="53"/>
        <v>114965</v>
      </c>
      <c r="O143" s="128">
        <f t="shared" si="59"/>
        <v>345650</v>
      </c>
      <c r="R143" s="102">
        <v>2026</v>
      </c>
      <c r="S143" s="128">
        <f t="shared" si="54"/>
        <v>171</v>
      </c>
      <c r="T143" s="128">
        <f t="shared" si="60"/>
        <v>440</v>
      </c>
      <c r="U143" s="103">
        <f t="shared" si="47"/>
        <v>28386</v>
      </c>
      <c r="V143" s="128">
        <f t="shared" si="62"/>
        <v>31354</v>
      </c>
      <c r="W143" s="130">
        <f t="shared" si="55"/>
        <v>59740</v>
      </c>
      <c r="X143" s="103">
        <f t="shared" si="56"/>
        <v>104082</v>
      </c>
      <c r="Y143" s="128">
        <f t="shared" si="57"/>
        <v>114965</v>
      </c>
      <c r="Z143" s="128">
        <f t="shared" si="61"/>
        <v>219047</v>
      </c>
      <c r="AB143" s="102">
        <v>2026</v>
      </c>
      <c r="AC143" s="103">
        <f t="shared" si="58"/>
        <v>11029</v>
      </c>
      <c r="AF143" s="102">
        <v>2026</v>
      </c>
      <c r="AG143" s="103">
        <f t="shared" si="48"/>
        <v>208</v>
      </c>
      <c r="AH143" s="103">
        <f t="shared" si="49"/>
        <v>34528</v>
      </c>
      <c r="AI143" s="103">
        <f t="shared" si="50"/>
        <v>126603</v>
      </c>
      <c r="AJ143" s="325"/>
    </row>
    <row r="144" spans="2:36">
      <c r="B144" s="324"/>
      <c r="C144" s="102">
        <v>2027</v>
      </c>
      <c r="D144" s="103">
        <f t="shared" si="43"/>
        <v>10161.980935585805</v>
      </c>
      <c r="E144" s="103">
        <f t="shared" si="44"/>
        <v>63659.923812451438</v>
      </c>
      <c r="F144" s="110"/>
      <c r="G144" s="102">
        <v>2027</v>
      </c>
      <c r="H144" s="128">
        <f t="shared" si="51"/>
        <v>366</v>
      </c>
      <c r="I144" s="333">
        <f t="shared" si="51"/>
        <v>437</v>
      </c>
      <c r="J144" s="128">
        <f t="shared" si="45"/>
        <v>60756</v>
      </c>
      <c r="K144" s="129">
        <f t="shared" si="46"/>
        <v>31141</v>
      </c>
      <c r="L144" s="128">
        <f t="shared" si="52"/>
        <v>91897</v>
      </c>
      <c r="M144" s="128">
        <f t="shared" si="53"/>
        <v>222772</v>
      </c>
      <c r="N144" s="128">
        <f t="shared" si="53"/>
        <v>114184</v>
      </c>
      <c r="O144" s="128">
        <f t="shared" si="59"/>
        <v>336956</v>
      </c>
      <c r="R144" s="102">
        <v>2027</v>
      </c>
      <c r="S144" s="128">
        <f t="shared" si="54"/>
        <v>115</v>
      </c>
      <c r="T144" s="128">
        <f t="shared" si="60"/>
        <v>437</v>
      </c>
      <c r="U144" s="103">
        <f t="shared" si="47"/>
        <v>19090</v>
      </c>
      <c r="V144" s="128">
        <f t="shared" si="62"/>
        <v>31141</v>
      </c>
      <c r="W144" s="130">
        <f t="shared" si="55"/>
        <v>50231</v>
      </c>
      <c r="X144" s="103">
        <f t="shared" si="56"/>
        <v>69997</v>
      </c>
      <c r="Y144" s="128">
        <f t="shared" si="57"/>
        <v>114184</v>
      </c>
      <c r="Z144" s="128">
        <f t="shared" si="61"/>
        <v>184181</v>
      </c>
      <c r="AB144" s="102">
        <v>2027</v>
      </c>
      <c r="AC144" s="103">
        <f t="shared" si="58"/>
        <v>10914</v>
      </c>
      <c r="AF144" s="102">
        <v>2027</v>
      </c>
      <c r="AG144" s="103">
        <f t="shared" si="48"/>
        <v>251</v>
      </c>
      <c r="AH144" s="103">
        <f t="shared" si="49"/>
        <v>41666</v>
      </c>
      <c r="AI144" s="103">
        <f t="shared" si="50"/>
        <v>152775</v>
      </c>
      <c r="AJ144" s="325"/>
    </row>
    <row r="145" spans="2:36">
      <c r="B145" s="324"/>
      <c r="C145" s="102">
        <v>2028</v>
      </c>
      <c r="D145" s="103">
        <f t="shared" si="43"/>
        <v>9808.9859326187925</v>
      </c>
      <c r="E145" s="103">
        <f t="shared" si="44"/>
        <v>63225.871616960954</v>
      </c>
      <c r="G145" s="102">
        <v>2028</v>
      </c>
      <c r="H145" s="128">
        <f t="shared" si="51"/>
        <v>353</v>
      </c>
      <c r="I145" s="333">
        <f t="shared" si="51"/>
        <v>434</v>
      </c>
      <c r="J145" s="128">
        <f t="shared" si="45"/>
        <v>58598</v>
      </c>
      <c r="K145" s="129">
        <f t="shared" si="46"/>
        <v>30927</v>
      </c>
      <c r="L145" s="128">
        <f t="shared" si="52"/>
        <v>89525</v>
      </c>
      <c r="M145" s="128">
        <f t="shared" si="53"/>
        <v>214859</v>
      </c>
      <c r="N145" s="128">
        <f t="shared" si="53"/>
        <v>113399</v>
      </c>
      <c r="O145" s="128">
        <f t="shared" si="59"/>
        <v>328258</v>
      </c>
      <c r="R145" s="102">
        <v>2028</v>
      </c>
      <c r="S145" s="128">
        <f t="shared" si="54"/>
        <v>78</v>
      </c>
      <c r="T145" s="128">
        <f t="shared" si="60"/>
        <v>434</v>
      </c>
      <c r="U145" s="103">
        <f t="shared" si="47"/>
        <v>12948</v>
      </c>
      <c r="V145" s="128">
        <f t="shared" si="62"/>
        <v>30927</v>
      </c>
      <c r="W145" s="130">
        <f t="shared" si="55"/>
        <v>43875</v>
      </c>
      <c r="X145" s="103">
        <f t="shared" si="56"/>
        <v>47476</v>
      </c>
      <c r="Y145" s="128">
        <f t="shared" si="57"/>
        <v>113399</v>
      </c>
      <c r="Z145" s="128">
        <f t="shared" si="61"/>
        <v>160875</v>
      </c>
      <c r="AB145" s="102">
        <v>2028</v>
      </c>
      <c r="AC145" s="103">
        <f t="shared" si="58"/>
        <v>10836</v>
      </c>
      <c r="AF145" s="102">
        <v>2028</v>
      </c>
      <c r="AG145" s="103">
        <f t="shared" si="48"/>
        <v>275</v>
      </c>
      <c r="AH145" s="103">
        <f t="shared" si="49"/>
        <v>45650</v>
      </c>
      <c r="AI145" s="103">
        <f t="shared" si="50"/>
        <v>167383</v>
      </c>
      <c r="AJ145" s="325"/>
    </row>
    <row r="146" spans="2:36">
      <c r="B146" s="324"/>
      <c r="C146" s="102">
        <v>2029</v>
      </c>
      <c r="D146" s="103">
        <f t="shared" si="43"/>
        <v>9468.2528570170762</v>
      </c>
      <c r="E146" s="103">
        <f t="shared" si="44"/>
        <v>62794.778917761498</v>
      </c>
      <c r="G146" s="102">
        <v>2029</v>
      </c>
      <c r="H146" s="128">
        <f t="shared" si="51"/>
        <v>341</v>
      </c>
      <c r="I146" s="333">
        <f t="shared" si="51"/>
        <v>431</v>
      </c>
      <c r="J146" s="128">
        <f t="shared" si="45"/>
        <v>56606</v>
      </c>
      <c r="K146" s="129">
        <f t="shared" si="46"/>
        <v>30713</v>
      </c>
      <c r="L146" s="128">
        <f t="shared" si="52"/>
        <v>87319</v>
      </c>
      <c r="M146" s="128">
        <f t="shared" si="53"/>
        <v>207555</v>
      </c>
      <c r="N146" s="128">
        <f t="shared" si="53"/>
        <v>112614</v>
      </c>
      <c r="O146" s="128">
        <f t="shared" si="59"/>
        <v>320169</v>
      </c>
      <c r="R146" s="102">
        <v>2029</v>
      </c>
      <c r="S146" s="128">
        <f t="shared" si="54"/>
        <v>61</v>
      </c>
      <c r="T146" s="128">
        <f t="shared" si="60"/>
        <v>431</v>
      </c>
      <c r="U146" s="103">
        <f t="shared" si="47"/>
        <v>10126</v>
      </c>
      <c r="V146" s="128">
        <f t="shared" si="62"/>
        <v>30713</v>
      </c>
      <c r="W146" s="130">
        <f t="shared" si="55"/>
        <v>40839</v>
      </c>
      <c r="X146" s="103">
        <f t="shared" si="56"/>
        <v>37129</v>
      </c>
      <c r="Y146" s="128">
        <f t="shared" si="57"/>
        <v>112614</v>
      </c>
      <c r="Z146" s="128">
        <f t="shared" si="61"/>
        <v>149743</v>
      </c>
      <c r="AB146" s="102">
        <v>2029</v>
      </c>
      <c r="AC146" s="103">
        <f t="shared" si="58"/>
        <v>10775</v>
      </c>
      <c r="AF146" s="102">
        <v>2029</v>
      </c>
      <c r="AG146" s="103">
        <f t="shared" si="48"/>
        <v>280</v>
      </c>
      <c r="AH146" s="103">
        <f t="shared" si="49"/>
        <v>46480</v>
      </c>
      <c r="AI146" s="103">
        <f t="shared" si="50"/>
        <v>170426</v>
      </c>
      <c r="AJ146" s="325"/>
    </row>
    <row r="147" spans="2:36">
      <c r="B147" s="324"/>
      <c r="C147" s="102">
        <v>2030</v>
      </c>
      <c r="D147" s="103">
        <f t="shared" si="43"/>
        <v>9139.3557682958108</v>
      </c>
      <c r="E147" s="103">
        <f t="shared" si="44"/>
        <v>62366.625536131738</v>
      </c>
      <c r="G147" s="102">
        <v>2030</v>
      </c>
      <c r="H147" s="128">
        <f t="shared" si="51"/>
        <v>329</v>
      </c>
      <c r="I147" s="333">
        <f t="shared" si="51"/>
        <v>428</v>
      </c>
      <c r="J147" s="128">
        <f t="shared" si="45"/>
        <v>54614</v>
      </c>
      <c r="K147" s="129">
        <f t="shared" si="46"/>
        <v>30499</v>
      </c>
      <c r="L147" s="128">
        <f t="shared" si="52"/>
        <v>85113</v>
      </c>
      <c r="M147" s="128">
        <f t="shared" si="53"/>
        <v>200251</v>
      </c>
      <c r="N147" s="128">
        <f t="shared" si="53"/>
        <v>111830</v>
      </c>
      <c r="O147" s="128">
        <f t="shared" si="59"/>
        <v>312081</v>
      </c>
      <c r="R147" s="102">
        <v>2030</v>
      </c>
      <c r="S147" s="128">
        <f t="shared" si="54"/>
        <v>58</v>
      </c>
      <c r="T147" s="128">
        <f t="shared" si="60"/>
        <v>428</v>
      </c>
      <c r="U147" s="103">
        <f t="shared" si="47"/>
        <v>9628</v>
      </c>
      <c r="V147" s="128">
        <f t="shared" si="62"/>
        <v>30499</v>
      </c>
      <c r="W147" s="130">
        <f t="shared" si="55"/>
        <v>40127</v>
      </c>
      <c r="X147" s="103">
        <f t="shared" si="56"/>
        <v>35303</v>
      </c>
      <c r="Y147" s="128">
        <f t="shared" si="57"/>
        <v>111830</v>
      </c>
      <c r="Z147" s="128">
        <f t="shared" si="61"/>
        <v>147133</v>
      </c>
      <c r="AB147" s="102">
        <v>2030</v>
      </c>
      <c r="AC147" s="103">
        <f t="shared" si="58"/>
        <v>10717</v>
      </c>
      <c r="AF147" s="102">
        <v>2030</v>
      </c>
      <c r="AG147" s="103">
        <f t="shared" si="48"/>
        <v>271</v>
      </c>
      <c r="AH147" s="103">
        <f t="shared" si="49"/>
        <v>44986</v>
      </c>
      <c r="AI147" s="103">
        <f t="shared" si="50"/>
        <v>164948</v>
      </c>
      <c r="AJ147" s="325"/>
    </row>
    <row r="148" spans="2:36">
      <c r="B148" s="324"/>
      <c r="C148" s="102">
        <v>2031</v>
      </c>
      <c r="D148" s="103">
        <f t="shared" si="43"/>
        <v>8821.8835217923115</v>
      </c>
      <c r="E148" s="103">
        <f t="shared" si="44"/>
        <v>61941.391430934833</v>
      </c>
      <c r="G148" s="102">
        <v>2031</v>
      </c>
      <c r="H148" s="128">
        <f t="shared" si="51"/>
        <v>317</v>
      </c>
      <c r="I148" s="333">
        <f t="shared" si="51"/>
        <v>425</v>
      </c>
      <c r="J148" s="128">
        <f t="shared" si="45"/>
        <v>52622</v>
      </c>
      <c r="K148" s="129">
        <f t="shared" si="46"/>
        <v>30286</v>
      </c>
      <c r="L148" s="128">
        <f t="shared" si="52"/>
        <v>82908</v>
      </c>
      <c r="M148" s="128">
        <f>ROUND(J148*(44/12),0)</f>
        <v>192947</v>
      </c>
      <c r="N148" s="128">
        <f t="shared" si="53"/>
        <v>111049</v>
      </c>
      <c r="O148" s="128">
        <f t="shared" si="59"/>
        <v>303996</v>
      </c>
      <c r="R148" s="102">
        <v>2031</v>
      </c>
      <c r="S148" s="128">
        <f t="shared" si="54"/>
        <v>56</v>
      </c>
      <c r="T148" s="128">
        <f t="shared" si="60"/>
        <v>425</v>
      </c>
      <c r="U148" s="103">
        <f t="shared" si="47"/>
        <v>9296</v>
      </c>
      <c r="V148" s="128">
        <f t="shared" si="62"/>
        <v>30286</v>
      </c>
      <c r="W148" s="130">
        <f t="shared" si="55"/>
        <v>39582</v>
      </c>
      <c r="X148" s="103">
        <f t="shared" si="56"/>
        <v>34085</v>
      </c>
      <c r="Y148" s="128">
        <f t="shared" si="57"/>
        <v>111049</v>
      </c>
      <c r="Z148" s="128">
        <f t="shared" si="61"/>
        <v>145134</v>
      </c>
      <c r="AB148" s="102">
        <v>2031</v>
      </c>
      <c r="AC148" s="103">
        <f t="shared" si="58"/>
        <v>10661</v>
      </c>
      <c r="AF148" s="102">
        <v>2031</v>
      </c>
      <c r="AG148" s="103">
        <f t="shared" si="48"/>
        <v>261</v>
      </c>
      <c r="AH148" s="103">
        <f t="shared" si="49"/>
        <v>43326</v>
      </c>
      <c r="AI148" s="103">
        <f t="shared" si="50"/>
        <v>158862</v>
      </c>
      <c r="AJ148" s="325"/>
    </row>
    <row r="149" spans="2:36">
      <c r="B149" s="324"/>
      <c r="C149" s="102">
        <v>2032</v>
      </c>
      <c r="D149" s="103">
        <f t="shared" si="43"/>
        <v>8515.4392547060943</v>
      </c>
      <c r="E149" s="103">
        <f t="shared" si="44"/>
        <v>61519.056697680346</v>
      </c>
      <c r="G149" s="102">
        <v>2032</v>
      </c>
      <c r="H149" s="128">
        <f t="shared" si="51"/>
        <v>306</v>
      </c>
      <c r="I149" s="333">
        <f t="shared" si="51"/>
        <v>422</v>
      </c>
      <c r="J149" s="128">
        <f t="shared" si="45"/>
        <v>50796</v>
      </c>
      <c r="K149" s="129">
        <f t="shared" si="46"/>
        <v>30072</v>
      </c>
      <c r="L149" s="128">
        <f t="shared" si="52"/>
        <v>80868</v>
      </c>
      <c r="M149" s="128">
        <f t="shared" si="53"/>
        <v>186252</v>
      </c>
      <c r="N149" s="128">
        <f t="shared" si="53"/>
        <v>110264</v>
      </c>
      <c r="O149" s="128">
        <f t="shared" si="59"/>
        <v>296516</v>
      </c>
      <c r="R149" s="102">
        <v>2032</v>
      </c>
      <c r="S149" s="128">
        <f t="shared" si="54"/>
        <v>54</v>
      </c>
      <c r="T149" s="128">
        <f t="shared" si="60"/>
        <v>422</v>
      </c>
      <c r="U149" s="103">
        <f t="shared" si="47"/>
        <v>8964</v>
      </c>
      <c r="V149" s="128">
        <f t="shared" si="62"/>
        <v>30072</v>
      </c>
      <c r="W149" s="130">
        <f t="shared" si="55"/>
        <v>39036</v>
      </c>
      <c r="X149" s="103">
        <f t="shared" si="56"/>
        <v>32868</v>
      </c>
      <c r="Y149" s="128">
        <f t="shared" si="57"/>
        <v>110264</v>
      </c>
      <c r="Z149" s="128">
        <f t="shared" si="61"/>
        <v>143132</v>
      </c>
      <c r="AB149" s="102">
        <v>2032</v>
      </c>
      <c r="AC149" s="103">
        <f t="shared" si="58"/>
        <v>10607</v>
      </c>
      <c r="AF149" s="102">
        <v>2032</v>
      </c>
      <c r="AG149" s="103">
        <f t="shared" si="48"/>
        <v>252</v>
      </c>
      <c r="AH149" s="103">
        <f t="shared" si="49"/>
        <v>41832</v>
      </c>
      <c r="AI149" s="103">
        <f t="shared" si="50"/>
        <v>153384</v>
      </c>
      <c r="AJ149" s="325"/>
    </row>
    <row r="150" spans="2:36">
      <c r="B150" s="324"/>
      <c r="C150" s="102">
        <v>2033</v>
      </c>
      <c r="D150" s="103">
        <f t="shared" si="43"/>
        <v>8219.6398899922588</v>
      </c>
      <c r="E150" s="103">
        <f t="shared" si="44"/>
        <v>61099.601567592537</v>
      </c>
      <c r="G150" s="102">
        <v>2033</v>
      </c>
      <c r="H150" s="128">
        <f t="shared" si="51"/>
        <v>296</v>
      </c>
      <c r="I150" s="333">
        <f t="shared" si="51"/>
        <v>419</v>
      </c>
      <c r="J150" s="128">
        <f t="shared" si="45"/>
        <v>49136</v>
      </c>
      <c r="K150" s="129">
        <f t="shared" si="46"/>
        <v>29858</v>
      </c>
      <c r="L150" s="128">
        <f t="shared" si="52"/>
        <v>78994</v>
      </c>
      <c r="M150" s="128">
        <f t="shared" si="53"/>
        <v>180165</v>
      </c>
      <c r="N150" s="128">
        <f t="shared" si="53"/>
        <v>109479</v>
      </c>
      <c r="O150" s="128">
        <f t="shared" si="59"/>
        <v>289644</v>
      </c>
      <c r="R150" s="102">
        <v>2033</v>
      </c>
      <c r="S150" s="128">
        <f t="shared" si="54"/>
        <v>53</v>
      </c>
      <c r="T150" s="128">
        <f t="shared" si="60"/>
        <v>419</v>
      </c>
      <c r="U150" s="103">
        <f t="shared" si="47"/>
        <v>8798</v>
      </c>
      <c r="V150" s="128">
        <f t="shared" si="62"/>
        <v>29858</v>
      </c>
      <c r="W150" s="130">
        <f t="shared" si="55"/>
        <v>38656</v>
      </c>
      <c r="X150" s="103">
        <f t="shared" si="56"/>
        <v>32259</v>
      </c>
      <c r="Y150" s="128">
        <f t="shared" si="57"/>
        <v>109479</v>
      </c>
      <c r="Z150" s="128">
        <f t="shared" si="61"/>
        <v>141738</v>
      </c>
      <c r="AB150" s="102">
        <v>2033</v>
      </c>
      <c r="AC150" s="103">
        <f t="shared" si="58"/>
        <v>10554</v>
      </c>
      <c r="AF150" s="102">
        <v>2033</v>
      </c>
      <c r="AG150" s="103">
        <f t="shared" si="48"/>
        <v>243</v>
      </c>
      <c r="AH150" s="103">
        <f t="shared" si="49"/>
        <v>40338</v>
      </c>
      <c r="AI150" s="103">
        <f t="shared" si="50"/>
        <v>147906</v>
      </c>
      <c r="AJ150" s="325"/>
    </row>
    <row r="151" spans="2:36">
      <c r="B151" s="324"/>
      <c r="C151" s="102">
        <v>2034</v>
      </c>
      <c r="D151" s="103">
        <f t="shared" si="43"/>
        <v>7934.1156574880451</v>
      </c>
      <c r="E151" s="103">
        <f t="shared" si="44"/>
        <v>60683.006406685039</v>
      </c>
      <c r="G151" s="102">
        <v>2034</v>
      </c>
      <c r="H151" s="128">
        <f t="shared" si="51"/>
        <v>286</v>
      </c>
      <c r="I151" s="333">
        <f t="shared" si="51"/>
        <v>417</v>
      </c>
      <c r="J151" s="128">
        <f t="shared" si="45"/>
        <v>47476</v>
      </c>
      <c r="K151" s="129">
        <f t="shared" si="46"/>
        <v>29715</v>
      </c>
      <c r="L151" s="128">
        <f t="shared" si="52"/>
        <v>77191</v>
      </c>
      <c r="M151" s="128">
        <f t="shared" si="53"/>
        <v>174079</v>
      </c>
      <c r="N151" s="128">
        <f t="shared" si="53"/>
        <v>108955</v>
      </c>
      <c r="O151" s="128">
        <f t="shared" si="59"/>
        <v>283034</v>
      </c>
      <c r="R151" s="102">
        <v>2034</v>
      </c>
      <c r="S151" s="128">
        <f t="shared" si="54"/>
        <v>51</v>
      </c>
      <c r="T151" s="128">
        <f t="shared" si="60"/>
        <v>417</v>
      </c>
      <c r="U151" s="103">
        <f t="shared" si="47"/>
        <v>8466</v>
      </c>
      <c r="V151" s="128">
        <f t="shared" si="62"/>
        <v>29715</v>
      </c>
      <c r="W151" s="130">
        <f t="shared" si="55"/>
        <v>38181</v>
      </c>
      <c r="X151" s="103">
        <f t="shared" si="56"/>
        <v>31042</v>
      </c>
      <c r="Y151" s="128">
        <f t="shared" si="57"/>
        <v>108955</v>
      </c>
      <c r="Z151" s="128">
        <f t="shared" si="61"/>
        <v>139997</v>
      </c>
      <c r="AB151" s="102">
        <v>2034</v>
      </c>
      <c r="AC151" s="103">
        <f t="shared" si="58"/>
        <v>10503</v>
      </c>
      <c r="AF151" s="102">
        <v>2034</v>
      </c>
      <c r="AG151" s="103">
        <f t="shared" si="48"/>
        <v>235</v>
      </c>
      <c r="AH151" s="103">
        <f t="shared" si="49"/>
        <v>39010</v>
      </c>
      <c r="AI151" s="103">
        <f t="shared" si="50"/>
        <v>143037</v>
      </c>
      <c r="AJ151" s="325"/>
    </row>
    <row r="152" spans="2:36">
      <c r="B152" s="324"/>
      <c r="C152" s="102">
        <v>2035</v>
      </c>
      <c r="D152" s="103">
        <f t="shared" si="43"/>
        <v>7658.50963167393</v>
      </c>
      <c r="E152" s="103">
        <f t="shared" si="44"/>
        <v>60269.251714841797</v>
      </c>
      <c r="G152" s="102">
        <v>2035</v>
      </c>
      <c r="H152" s="128">
        <f t="shared" si="51"/>
        <v>276</v>
      </c>
      <c r="I152" s="333">
        <f t="shared" si="51"/>
        <v>414</v>
      </c>
      <c r="J152" s="128">
        <f t="shared" si="45"/>
        <v>45816</v>
      </c>
      <c r="K152" s="129">
        <f t="shared" si="46"/>
        <v>29502</v>
      </c>
      <c r="L152" s="128">
        <f t="shared" si="52"/>
        <v>75318</v>
      </c>
      <c r="M152" s="128">
        <f t="shared" si="53"/>
        <v>167992</v>
      </c>
      <c r="N152" s="128">
        <f t="shared" si="53"/>
        <v>108174</v>
      </c>
      <c r="O152" s="128">
        <f t="shared" si="59"/>
        <v>276166</v>
      </c>
      <c r="R152" s="102">
        <v>2035</v>
      </c>
      <c r="S152" s="128">
        <f t="shared" si="54"/>
        <v>49</v>
      </c>
      <c r="T152" s="128">
        <f t="shared" si="60"/>
        <v>414</v>
      </c>
      <c r="U152" s="103">
        <f t="shared" si="47"/>
        <v>8134</v>
      </c>
      <c r="V152" s="128">
        <f t="shared" si="62"/>
        <v>29502</v>
      </c>
      <c r="W152" s="130">
        <f t="shared" si="55"/>
        <v>37636</v>
      </c>
      <c r="X152" s="103">
        <f t="shared" si="56"/>
        <v>29825</v>
      </c>
      <c r="Y152" s="128">
        <f t="shared" si="57"/>
        <v>108174</v>
      </c>
      <c r="Z152" s="128">
        <f t="shared" si="61"/>
        <v>137999</v>
      </c>
      <c r="AB152" s="102">
        <v>2035</v>
      </c>
      <c r="AC152" s="103">
        <f t="shared" si="58"/>
        <v>10454</v>
      </c>
      <c r="AF152" s="102">
        <v>2035</v>
      </c>
      <c r="AG152" s="103">
        <f t="shared" si="48"/>
        <v>227</v>
      </c>
      <c r="AH152" s="103">
        <f t="shared" si="49"/>
        <v>37682</v>
      </c>
      <c r="AI152" s="103">
        <f t="shared" si="50"/>
        <v>138167</v>
      </c>
      <c r="AJ152" s="325"/>
    </row>
    <row r="153" spans="2:36">
      <c r="B153" s="324"/>
      <c r="C153" s="102">
        <v>2036</v>
      </c>
      <c r="D153" s="103">
        <f t="shared" si="43"/>
        <v>7392.4772854914399</v>
      </c>
      <c r="E153" s="103">
        <f t="shared" si="44"/>
        <v>59858.318124904341</v>
      </c>
      <c r="G153" s="102">
        <v>2036</v>
      </c>
      <c r="H153" s="128">
        <f t="shared" si="51"/>
        <v>266</v>
      </c>
      <c r="I153" s="333">
        <f t="shared" si="51"/>
        <v>411</v>
      </c>
      <c r="J153" s="128">
        <f t="shared" si="45"/>
        <v>44156</v>
      </c>
      <c r="K153" s="129">
        <f t="shared" si="46"/>
        <v>29288</v>
      </c>
      <c r="L153" s="128">
        <f t="shared" si="52"/>
        <v>73444</v>
      </c>
      <c r="M153" s="128">
        <f t="shared" si="53"/>
        <v>161905</v>
      </c>
      <c r="N153" s="128">
        <f t="shared" si="53"/>
        <v>107389</v>
      </c>
      <c r="O153" s="128">
        <f t="shared" si="59"/>
        <v>269294</v>
      </c>
      <c r="R153" s="102">
        <v>2036</v>
      </c>
      <c r="S153" s="128">
        <f t="shared" si="54"/>
        <v>47</v>
      </c>
      <c r="T153" s="128">
        <f t="shared" si="60"/>
        <v>411</v>
      </c>
      <c r="U153" s="103">
        <f t="shared" si="47"/>
        <v>7802</v>
      </c>
      <c r="V153" s="128">
        <f t="shared" si="62"/>
        <v>29288</v>
      </c>
      <c r="W153" s="130">
        <f t="shared" si="55"/>
        <v>37090</v>
      </c>
      <c r="X153" s="103">
        <f t="shared" si="56"/>
        <v>28607</v>
      </c>
      <c r="Y153" s="128">
        <f t="shared" si="57"/>
        <v>107389</v>
      </c>
      <c r="Z153" s="128">
        <f t="shared" si="61"/>
        <v>135996</v>
      </c>
      <c r="AB153" s="102">
        <v>2036</v>
      </c>
      <c r="AC153" s="103">
        <f t="shared" si="58"/>
        <v>10407</v>
      </c>
      <c r="AF153" s="102">
        <v>2036</v>
      </c>
      <c r="AG153" s="103">
        <f t="shared" si="48"/>
        <v>219</v>
      </c>
      <c r="AH153" s="103">
        <f t="shared" si="49"/>
        <v>36354</v>
      </c>
      <c r="AI153" s="103">
        <f t="shared" si="50"/>
        <v>133298</v>
      </c>
      <c r="AJ153" s="325"/>
    </row>
    <row r="154" spans="2:36">
      <c r="B154" s="324"/>
      <c r="C154" s="102">
        <v>2037</v>
      </c>
      <c r="D154" s="103">
        <f t="shared" si="43"/>
        <v>7135.6860596599199</v>
      </c>
      <c r="E154" s="103">
        <f t="shared" si="44"/>
        <v>59450.18640176519</v>
      </c>
      <c r="G154" s="102">
        <v>2037</v>
      </c>
      <c r="H154" s="128">
        <f t="shared" si="51"/>
        <v>257</v>
      </c>
      <c r="I154" s="333">
        <f t="shared" si="51"/>
        <v>408</v>
      </c>
      <c r="J154" s="128">
        <f t="shared" si="45"/>
        <v>42662</v>
      </c>
      <c r="K154" s="129">
        <f t="shared" si="46"/>
        <v>29074</v>
      </c>
      <c r="L154" s="128">
        <f t="shared" si="52"/>
        <v>71736</v>
      </c>
      <c r="M154" s="128">
        <f t="shared" ref="M154:N157" si="63">ROUND(J154*(44/12),0)</f>
        <v>156427</v>
      </c>
      <c r="N154" s="128">
        <f t="shared" si="63"/>
        <v>106605</v>
      </c>
      <c r="O154" s="128">
        <f t="shared" si="59"/>
        <v>263032</v>
      </c>
      <c r="R154" s="102">
        <v>2037</v>
      </c>
      <c r="S154" s="128">
        <f t="shared" si="54"/>
        <v>46</v>
      </c>
      <c r="T154" s="128">
        <f t="shared" si="60"/>
        <v>408</v>
      </c>
      <c r="U154" s="103">
        <f t="shared" si="47"/>
        <v>7636</v>
      </c>
      <c r="V154" s="128">
        <f t="shared" si="62"/>
        <v>29074</v>
      </c>
      <c r="W154" s="130">
        <f t="shared" si="55"/>
        <v>36710</v>
      </c>
      <c r="X154" s="103">
        <f t="shared" si="56"/>
        <v>27999</v>
      </c>
      <c r="Y154" s="128">
        <f t="shared" si="57"/>
        <v>106605</v>
      </c>
      <c r="Z154" s="128">
        <f t="shared" si="61"/>
        <v>134604</v>
      </c>
      <c r="AB154" s="102">
        <v>2037</v>
      </c>
      <c r="AC154" s="103">
        <f t="shared" si="58"/>
        <v>10361</v>
      </c>
      <c r="AF154" s="102">
        <v>2037</v>
      </c>
      <c r="AG154" s="103">
        <f t="shared" si="48"/>
        <v>211</v>
      </c>
      <c r="AH154" s="103">
        <f t="shared" si="49"/>
        <v>35026</v>
      </c>
      <c r="AI154" s="103">
        <f t="shared" si="50"/>
        <v>128428</v>
      </c>
      <c r="AJ154" s="325"/>
    </row>
    <row r="155" spans="2:36">
      <c r="B155" s="324"/>
      <c r="C155" s="102">
        <v>2038</v>
      </c>
      <c r="D155" s="103">
        <f t="shared" si="43"/>
        <v>6887.8149469538703</v>
      </c>
      <c r="E155" s="103">
        <f t="shared" si="44"/>
        <v>59044.837441467542</v>
      </c>
      <c r="G155" s="102">
        <v>2038</v>
      </c>
      <c r="H155" s="128">
        <f t="shared" si="51"/>
        <v>248</v>
      </c>
      <c r="I155" s="333">
        <f t="shared" si="51"/>
        <v>405</v>
      </c>
      <c r="J155" s="128">
        <f t="shared" si="45"/>
        <v>41168</v>
      </c>
      <c r="K155" s="129">
        <f t="shared" si="46"/>
        <v>28860</v>
      </c>
      <c r="L155" s="128">
        <f t="shared" si="52"/>
        <v>70028</v>
      </c>
      <c r="M155" s="128">
        <f t="shared" si="63"/>
        <v>150949</v>
      </c>
      <c r="N155" s="128">
        <f t="shared" si="63"/>
        <v>105820</v>
      </c>
      <c r="O155" s="128">
        <f t="shared" si="59"/>
        <v>256769</v>
      </c>
      <c r="R155" s="102">
        <v>2038</v>
      </c>
      <c r="S155" s="128">
        <f t="shared" si="54"/>
        <v>44</v>
      </c>
      <c r="T155" s="128">
        <f t="shared" si="60"/>
        <v>405</v>
      </c>
      <c r="U155" s="103">
        <f t="shared" si="47"/>
        <v>7304</v>
      </c>
      <c r="V155" s="128">
        <f t="shared" si="62"/>
        <v>28860</v>
      </c>
      <c r="W155" s="130">
        <f t="shared" si="55"/>
        <v>36164</v>
      </c>
      <c r="X155" s="103">
        <f t="shared" si="56"/>
        <v>26781</v>
      </c>
      <c r="Y155" s="128">
        <f t="shared" si="57"/>
        <v>105820</v>
      </c>
      <c r="Z155" s="128">
        <f t="shared" si="61"/>
        <v>132601</v>
      </c>
      <c r="AB155" s="102">
        <v>2038</v>
      </c>
      <c r="AC155" s="103">
        <f t="shared" si="58"/>
        <v>10317</v>
      </c>
      <c r="AF155" s="102">
        <v>2038</v>
      </c>
      <c r="AG155" s="103">
        <f t="shared" si="48"/>
        <v>204</v>
      </c>
      <c r="AH155" s="103">
        <f t="shared" si="49"/>
        <v>33864</v>
      </c>
      <c r="AI155" s="103">
        <f t="shared" si="50"/>
        <v>124168</v>
      </c>
      <c r="AJ155" s="325"/>
    </row>
    <row r="156" spans="2:36">
      <c r="B156" s="324"/>
      <c r="C156" s="102">
        <v>2039</v>
      </c>
      <c r="D156" s="103">
        <f t="shared" si="43"/>
        <v>6648.5540909211732</v>
      </c>
      <c r="E156" s="103">
        <f t="shared" si="44"/>
        <v>58642.252270311008</v>
      </c>
      <c r="G156" s="102">
        <v>2039</v>
      </c>
      <c r="H156" s="128">
        <f t="shared" si="51"/>
        <v>239</v>
      </c>
      <c r="I156" s="333">
        <f t="shared" si="51"/>
        <v>403</v>
      </c>
      <c r="J156" s="128">
        <f t="shared" si="45"/>
        <v>39674</v>
      </c>
      <c r="K156" s="129">
        <f t="shared" si="46"/>
        <v>28718</v>
      </c>
      <c r="L156" s="128">
        <f t="shared" si="52"/>
        <v>68392</v>
      </c>
      <c r="M156" s="128">
        <f t="shared" si="63"/>
        <v>145471</v>
      </c>
      <c r="N156" s="128">
        <f t="shared" si="63"/>
        <v>105299</v>
      </c>
      <c r="O156" s="128">
        <f t="shared" si="59"/>
        <v>250770</v>
      </c>
      <c r="R156" s="102">
        <v>2039</v>
      </c>
      <c r="S156" s="128">
        <f t="shared" si="54"/>
        <v>42</v>
      </c>
      <c r="T156" s="128">
        <f t="shared" si="60"/>
        <v>403</v>
      </c>
      <c r="U156" s="103">
        <f t="shared" si="47"/>
        <v>6972</v>
      </c>
      <c r="V156" s="128">
        <f t="shared" si="62"/>
        <v>28718</v>
      </c>
      <c r="W156" s="130">
        <f t="shared" si="55"/>
        <v>35690</v>
      </c>
      <c r="X156" s="103">
        <f t="shared" si="56"/>
        <v>25564</v>
      </c>
      <c r="Y156" s="128">
        <f t="shared" si="57"/>
        <v>105299</v>
      </c>
      <c r="Z156" s="128">
        <f t="shared" si="61"/>
        <v>130863</v>
      </c>
      <c r="AB156" s="102">
        <v>2039</v>
      </c>
      <c r="AC156" s="103">
        <f t="shared" si="58"/>
        <v>10275</v>
      </c>
      <c r="AF156" s="102">
        <v>2039</v>
      </c>
      <c r="AG156" s="103">
        <f t="shared" si="48"/>
        <v>197</v>
      </c>
      <c r="AH156" s="103">
        <f t="shared" si="49"/>
        <v>32702</v>
      </c>
      <c r="AI156" s="103">
        <f t="shared" si="50"/>
        <v>119907</v>
      </c>
      <c r="AJ156" s="325"/>
    </row>
    <row r="157" spans="2:36">
      <c r="B157" s="324"/>
      <c r="C157" s="102">
        <v>2040</v>
      </c>
      <c r="D157" s="103">
        <f>(D156*(1+$K$118))</f>
        <v>6417.6043985405731</v>
      </c>
      <c r="E157" s="103">
        <f t="shared" si="44"/>
        <v>58242.412043963501</v>
      </c>
      <c r="G157" s="102">
        <v>2040</v>
      </c>
      <c r="H157" s="128">
        <f>ROUND(D156-D157,0)</f>
        <v>231</v>
      </c>
      <c r="I157" s="333">
        <f t="shared" ref="I157" si="64">ROUND(E156-E157,0)</f>
        <v>400</v>
      </c>
      <c r="J157" s="128">
        <f t="shared" si="45"/>
        <v>38346</v>
      </c>
      <c r="K157" s="129">
        <f t="shared" si="46"/>
        <v>28504</v>
      </c>
      <c r="L157" s="128">
        <f t="shared" si="52"/>
        <v>66850</v>
      </c>
      <c r="M157" s="128">
        <f t="shared" si="63"/>
        <v>140602</v>
      </c>
      <c r="N157" s="128">
        <f>ROUND(K157*(44/12),0)</f>
        <v>104515</v>
      </c>
      <c r="O157" s="128">
        <f t="shared" si="59"/>
        <v>245117</v>
      </c>
      <c r="R157" s="102">
        <v>2040</v>
      </c>
      <c r="S157" s="128">
        <f t="shared" si="54"/>
        <v>41</v>
      </c>
      <c r="T157" s="128">
        <f>I157</f>
        <v>400</v>
      </c>
      <c r="U157" s="103">
        <f t="shared" si="47"/>
        <v>6806</v>
      </c>
      <c r="V157" s="128">
        <f t="shared" si="62"/>
        <v>28504</v>
      </c>
      <c r="W157" s="130">
        <f t="shared" si="55"/>
        <v>35310</v>
      </c>
      <c r="X157" s="103">
        <f t="shared" si="56"/>
        <v>24955</v>
      </c>
      <c r="Y157" s="128">
        <f t="shared" si="57"/>
        <v>104515</v>
      </c>
      <c r="Z157" s="128">
        <f t="shared" si="61"/>
        <v>129470</v>
      </c>
      <c r="AB157" s="102">
        <v>2040</v>
      </c>
      <c r="AC157" s="103">
        <f t="shared" si="58"/>
        <v>10234</v>
      </c>
      <c r="AF157" s="102">
        <v>2040</v>
      </c>
      <c r="AG157" s="103">
        <f t="shared" si="48"/>
        <v>190</v>
      </c>
      <c r="AH157" s="103">
        <f t="shared" si="49"/>
        <v>31540</v>
      </c>
      <c r="AI157" s="103">
        <f t="shared" si="50"/>
        <v>115647</v>
      </c>
      <c r="AJ157" s="325"/>
    </row>
    <row r="158" spans="2:36">
      <c r="B158" s="324"/>
      <c r="D158" s="110"/>
      <c r="S158" s="132"/>
      <c r="AB158" s="110"/>
      <c r="AD158" s="141"/>
      <c r="AF158" s="141"/>
      <c r="AH158" s="322"/>
      <c r="AJ158" s="325"/>
    </row>
    <row r="159" spans="2:36">
      <c r="B159" s="324"/>
      <c r="D159" s="110"/>
      <c r="S159" s="132"/>
      <c r="AB159" s="110"/>
      <c r="AD159" s="141"/>
      <c r="AF159" s="141"/>
      <c r="AJ159" s="325"/>
    </row>
    <row r="160" spans="2:36">
      <c r="B160" s="324"/>
      <c r="D160" s="110"/>
      <c r="S160" s="132"/>
      <c r="AB160" s="110"/>
      <c r="AD160" s="141"/>
      <c r="AF160" s="141"/>
      <c r="AJ160" s="325"/>
    </row>
    <row r="161" spans="2:36">
      <c r="B161" s="324"/>
      <c r="D161" s="110"/>
      <c r="S161" s="132"/>
      <c r="AB161" s="110"/>
      <c r="AD161" s="141"/>
      <c r="AF161" s="141"/>
      <c r="AJ161" s="325"/>
    </row>
    <row r="162" spans="2:36">
      <c r="B162" s="334"/>
      <c r="C162" s="107"/>
      <c r="D162" s="335"/>
      <c r="E162" s="107"/>
      <c r="F162" s="107"/>
      <c r="G162" s="107"/>
      <c r="H162" s="107"/>
      <c r="I162" s="107"/>
      <c r="J162" s="107"/>
      <c r="K162" s="107"/>
      <c r="L162" s="107"/>
      <c r="M162" s="107"/>
      <c r="N162" s="107"/>
      <c r="O162" s="336"/>
      <c r="P162" s="107"/>
      <c r="Q162" s="107"/>
      <c r="R162" s="107"/>
      <c r="S162" s="337"/>
      <c r="T162" s="107"/>
      <c r="U162" s="107"/>
      <c r="V162" s="107"/>
      <c r="W162" s="107"/>
      <c r="X162" s="107"/>
      <c r="Y162" s="107"/>
      <c r="Z162" s="336"/>
      <c r="AA162" s="107"/>
      <c r="AB162" s="107"/>
      <c r="AC162" s="107"/>
      <c r="AD162" s="107"/>
      <c r="AE162" s="107"/>
      <c r="AF162" s="107"/>
      <c r="AG162" s="107"/>
      <c r="AH162" s="107"/>
      <c r="AI162" s="107"/>
      <c r="AJ162" s="338"/>
    </row>
    <row r="165" spans="2:36">
      <c r="B165" s="321"/>
      <c r="C165" s="322"/>
      <c r="D165" s="322"/>
      <c r="E165" s="322"/>
      <c r="F165" s="322"/>
      <c r="G165" s="322"/>
      <c r="H165" s="322"/>
      <c r="I165" s="322"/>
      <c r="J165" s="322"/>
      <c r="K165" s="322"/>
      <c r="L165" s="322"/>
      <c r="M165" s="322"/>
      <c r="N165" s="322"/>
      <c r="O165" s="322"/>
      <c r="P165" s="322"/>
      <c r="Q165" s="322"/>
      <c r="R165" s="322"/>
      <c r="S165" s="322"/>
      <c r="T165" s="322"/>
      <c r="U165" s="322"/>
      <c r="V165" s="322"/>
      <c r="W165" s="322"/>
      <c r="X165" s="322"/>
      <c r="Y165" s="322"/>
      <c r="Z165" s="322"/>
      <c r="AA165" s="322"/>
      <c r="AB165" s="322"/>
      <c r="AC165" s="322"/>
      <c r="AD165" s="322"/>
      <c r="AE165" s="322"/>
      <c r="AF165" s="322"/>
      <c r="AG165" s="322"/>
      <c r="AH165" s="322"/>
      <c r="AI165" s="322"/>
      <c r="AJ165" s="323"/>
    </row>
    <row r="166" spans="2:36" ht="18">
      <c r="B166" s="324"/>
      <c r="C166" s="326" t="s">
        <v>185</v>
      </c>
      <c r="AJ166" s="325"/>
    </row>
    <row r="167" spans="2:36">
      <c r="B167" s="324"/>
      <c r="AJ167" s="325"/>
    </row>
    <row r="168" spans="2:36">
      <c r="B168" s="324"/>
      <c r="C168" s="95" t="s">
        <v>279</v>
      </c>
      <c r="AJ168" s="325"/>
    </row>
    <row r="169" spans="2:36" ht="13">
      <c r="B169" s="324"/>
      <c r="C169" s="483" t="s">
        <v>77</v>
      </c>
      <c r="D169" s="484" t="s">
        <v>171</v>
      </c>
      <c r="E169" s="485"/>
      <c r="F169" s="121"/>
      <c r="I169" s="95">
        <v>2003</v>
      </c>
      <c r="J169" s="95">
        <v>2012</v>
      </c>
      <c r="AJ169" s="325"/>
    </row>
    <row r="170" spans="2:36" ht="13" customHeight="1">
      <c r="B170" s="324"/>
      <c r="C170" s="483"/>
      <c r="D170" s="123" t="s">
        <v>172</v>
      </c>
      <c r="E170" s="124" t="s">
        <v>78</v>
      </c>
      <c r="F170" s="327"/>
      <c r="H170" s="95" t="s">
        <v>79</v>
      </c>
      <c r="I170" s="110">
        <v>9170</v>
      </c>
      <c r="J170" s="110">
        <v>5300</v>
      </c>
      <c r="K170" s="122">
        <f>(J170/I170)^(1/9)-1</f>
        <v>-5.9096312813252894E-2</v>
      </c>
      <c r="AJ170" s="325"/>
    </row>
    <row r="171" spans="2:36">
      <c r="B171" s="324"/>
      <c r="C171" s="125">
        <v>2003</v>
      </c>
      <c r="D171" s="117">
        <v>9170</v>
      </c>
      <c r="E171" s="117">
        <v>17350</v>
      </c>
      <c r="F171" s="110"/>
      <c r="H171" s="95" t="s">
        <v>81</v>
      </c>
      <c r="I171" s="110">
        <v>17350</v>
      </c>
      <c r="J171" s="110">
        <v>11070</v>
      </c>
      <c r="K171" s="122">
        <f>(J171/I171)^(1/9)-1</f>
        <v>-4.8702270512014811E-2</v>
      </c>
      <c r="AJ171" s="325"/>
    </row>
    <row r="172" spans="2:36">
      <c r="B172" s="324"/>
      <c r="C172" s="102">
        <v>2004</v>
      </c>
      <c r="D172" s="103">
        <f t="shared" ref="D172:D208" si="65">(D171*(1+$K$170))</f>
        <v>8628.0868115024714</v>
      </c>
      <c r="E172" s="103">
        <f t="shared" ref="E172:E208" si="66">(E171*(1+$K$171))</f>
        <v>16505.015606616544</v>
      </c>
      <c r="F172" s="110"/>
      <c r="AJ172" s="325"/>
    </row>
    <row r="173" spans="2:36">
      <c r="B173" s="324"/>
      <c r="C173" s="102">
        <v>2005</v>
      </c>
      <c r="D173" s="103">
        <f t="shared" si="65"/>
        <v>8118.1986943100192</v>
      </c>
      <c r="E173" s="103">
        <f t="shared" si="66"/>
        <v>15701.183871738078</v>
      </c>
      <c r="F173" s="110"/>
      <c r="AJ173" s="325"/>
    </row>
    <row r="174" spans="2:36">
      <c r="B174" s="324"/>
      <c r="C174" s="102">
        <v>2006</v>
      </c>
      <c r="D174" s="103">
        <f t="shared" si="65"/>
        <v>7638.4430847909334</v>
      </c>
      <c r="E174" s="103">
        <f t="shared" si="66"/>
        <v>14936.500567457806</v>
      </c>
      <c r="F174" s="110"/>
      <c r="AJ174" s="325"/>
    </row>
    <row r="175" spans="2:36">
      <c r="B175" s="324"/>
      <c r="C175" s="102">
        <v>2007</v>
      </c>
      <c r="D175" s="103">
        <f t="shared" si="65"/>
        <v>7187.0392628459003</v>
      </c>
      <c r="E175" s="103">
        <f t="shared" si="66"/>
        <v>14209.059076318614</v>
      </c>
      <c r="F175" s="110"/>
      <c r="AJ175" s="325"/>
    </row>
    <row r="176" spans="2:36">
      <c r="B176" s="324"/>
      <c r="C176" s="102">
        <v>2008</v>
      </c>
      <c r="D176" s="103">
        <f t="shared" si="65"/>
        <v>6762.3117423676285</v>
      </c>
      <c r="E176" s="103">
        <f t="shared" si="66"/>
        <v>13517.045637462545</v>
      </c>
      <c r="F176" s="110"/>
      <c r="AJ176" s="325"/>
    </row>
    <row r="177" spans="2:36">
      <c r="B177" s="324"/>
      <c r="C177" s="102">
        <v>2009</v>
      </c>
      <c r="D177" s="103">
        <f t="shared" si="65"/>
        <v>6362.6840522999382</v>
      </c>
      <c r="E177" s="103">
        <f t="shared" si="66"/>
        <v>12858.734824303594</v>
      </c>
      <c r="F177" s="110"/>
      <c r="AJ177" s="325"/>
    </row>
    <row r="178" spans="2:36">
      <c r="B178" s="324"/>
      <c r="C178" s="102">
        <v>2010</v>
      </c>
      <c r="D178" s="103">
        <f t="shared" si="65"/>
        <v>5986.6728852133256</v>
      </c>
      <c r="E178" s="103">
        <f t="shared" si="66"/>
        <v>12232.485242448096</v>
      </c>
      <c r="F178" s="110"/>
      <c r="AJ178" s="325"/>
    </row>
    <row r="179" spans="2:36">
      <c r="B179" s="324"/>
      <c r="C179" s="102">
        <v>2011</v>
      </c>
      <c r="D179" s="103">
        <f t="shared" si="65"/>
        <v>5632.8825916781398</v>
      </c>
      <c r="E179" s="103">
        <f t="shared" si="66"/>
        <v>11636.73543713616</v>
      </c>
      <c r="F179" s="110"/>
      <c r="AJ179" s="325"/>
    </row>
    <row r="180" spans="2:36">
      <c r="B180" s="324"/>
      <c r="C180" s="125">
        <v>2012</v>
      </c>
      <c r="D180" s="117">
        <f t="shared" si="65"/>
        <v>5300.0000000000018</v>
      </c>
      <c r="E180" s="117">
        <f t="shared" si="66"/>
        <v>11070.000000000005</v>
      </c>
      <c r="F180" s="110"/>
      <c r="AJ180" s="325"/>
    </row>
    <row r="181" spans="2:36">
      <c r="B181" s="324"/>
      <c r="C181" s="102">
        <v>2013</v>
      </c>
      <c r="D181" s="103">
        <f t="shared" si="65"/>
        <v>4986.7895420897612</v>
      </c>
      <c r="E181" s="103">
        <f t="shared" si="66"/>
        <v>10530.865865432001</v>
      </c>
      <c r="F181" s="110"/>
      <c r="AJ181" s="325"/>
    </row>
    <row r="182" spans="2:36">
      <c r="B182" s="324"/>
      <c r="C182" s="102">
        <v>2014</v>
      </c>
      <c r="D182" s="103">
        <f t="shared" si="65"/>
        <v>4692.0886673765663</v>
      </c>
      <c r="E182" s="103">
        <f t="shared" si="66"/>
        <v>10017.988787327988</v>
      </c>
      <c r="F182" s="110"/>
      <c r="AJ182" s="325"/>
    </row>
    <row r="183" spans="2:36">
      <c r="B183" s="324"/>
      <c r="C183" s="102">
        <v>2015</v>
      </c>
      <c r="D183" s="103">
        <f t="shared" si="65"/>
        <v>4414.8035277417621</v>
      </c>
      <c r="E183" s="103">
        <f t="shared" si="66"/>
        <v>9530.0899874212082</v>
      </c>
      <c r="F183" s="110"/>
      <c r="AJ183" s="325"/>
    </row>
    <row r="184" spans="2:36">
      <c r="B184" s="324"/>
      <c r="C184" s="102">
        <v>2016</v>
      </c>
      <c r="D184" s="103">
        <f t="shared" si="65"/>
        <v>4153.9049174572829</v>
      </c>
      <c r="E184" s="103">
        <f t="shared" si="66"/>
        <v>9065.9529668499763</v>
      </c>
      <c r="F184" s="110"/>
      <c r="AJ184" s="325"/>
    </row>
    <row r="185" spans="2:36" ht="16">
      <c r="B185" s="324"/>
      <c r="C185" s="102">
        <v>2017</v>
      </c>
      <c r="D185" s="103">
        <f t="shared" si="65"/>
        <v>3908.424453058718</v>
      </c>
      <c r="E185" s="103">
        <f t="shared" si="66"/>
        <v>8624.4204730092461</v>
      </c>
      <c r="F185" s="110"/>
      <c r="G185" s="328" t="s">
        <v>186</v>
      </c>
      <c r="R185" s="328" t="s">
        <v>187</v>
      </c>
      <c r="AB185" s="328" t="s">
        <v>278</v>
      </c>
      <c r="AF185" s="328" t="s">
        <v>175</v>
      </c>
      <c r="AJ185" s="325"/>
    </row>
    <row r="186" spans="2:36" ht="15">
      <c r="B186" s="324"/>
      <c r="C186" s="102">
        <v>2018</v>
      </c>
      <c r="D186" s="103">
        <f t="shared" si="65"/>
        <v>3677.4509789737931</v>
      </c>
      <c r="E186" s="103">
        <f t="shared" si="66"/>
        <v>8204.3916141233913</v>
      </c>
      <c r="F186" s="110"/>
      <c r="G186" s="300" t="s">
        <v>85</v>
      </c>
      <c r="H186" s="486" t="s">
        <v>176</v>
      </c>
      <c r="I186" s="487"/>
      <c r="J186" s="486" t="s">
        <v>177</v>
      </c>
      <c r="K186" s="488"/>
      <c r="L186" s="487"/>
      <c r="M186" s="486" t="s">
        <v>178</v>
      </c>
      <c r="N186" s="488"/>
      <c r="O186" s="487"/>
      <c r="R186" s="329" t="s">
        <v>85</v>
      </c>
      <c r="S186" s="489" t="s">
        <v>176</v>
      </c>
      <c r="T186" s="490"/>
      <c r="U186" s="489" t="s">
        <v>177</v>
      </c>
      <c r="V186" s="491"/>
      <c r="W186" s="490"/>
      <c r="X186" s="489" t="s">
        <v>179</v>
      </c>
      <c r="Y186" s="491"/>
      <c r="Z186" s="490"/>
      <c r="AB186" s="477" t="s">
        <v>85</v>
      </c>
      <c r="AC186" s="479" t="s">
        <v>180</v>
      </c>
      <c r="AF186" s="477" t="s">
        <v>85</v>
      </c>
      <c r="AG186" s="481" t="s">
        <v>180</v>
      </c>
      <c r="AH186" s="481" t="s">
        <v>181</v>
      </c>
      <c r="AI186" s="481" t="s">
        <v>182</v>
      </c>
      <c r="AJ186" s="325"/>
    </row>
    <row r="187" spans="2:36" ht="14">
      <c r="B187" s="324"/>
      <c r="C187" s="102">
        <v>2019</v>
      </c>
      <c r="D187" s="103">
        <f t="shared" si="65"/>
        <v>3460.1271855649547</v>
      </c>
      <c r="E187" s="103">
        <f t="shared" si="66"/>
        <v>7804.819114345848</v>
      </c>
      <c r="F187" s="110"/>
      <c r="G187" s="99"/>
      <c r="H187" s="126" t="s">
        <v>86</v>
      </c>
      <c r="I187" s="126" t="s">
        <v>87</v>
      </c>
      <c r="J187" s="126" t="s">
        <v>86</v>
      </c>
      <c r="K187" s="126" t="s">
        <v>87</v>
      </c>
      <c r="L187" s="126" t="s">
        <v>88</v>
      </c>
      <c r="M187" s="126" t="s">
        <v>86</v>
      </c>
      <c r="N187" s="126" t="s">
        <v>87</v>
      </c>
      <c r="O187" s="126" t="s">
        <v>88</v>
      </c>
      <c r="R187" s="330"/>
      <c r="S187" s="331" t="s">
        <v>183</v>
      </c>
      <c r="T187" s="331" t="s">
        <v>184</v>
      </c>
      <c r="U187" s="331" t="s">
        <v>183</v>
      </c>
      <c r="V187" s="331" t="s">
        <v>184</v>
      </c>
      <c r="W187" s="332" t="s">
        <v>88</v>
      </c>
      <c r="X187" s="331" t="s">
        <v>183</v>
      </c>
      <c r="Y187" s="331" t="s">
        <v>184</v>
      </c>
      <c r="Z187" s="331" t="s">
        <v>88</v>
      </c>
      <c r="AB187" s="478"/>
      <c r="AC187" s="480"/>
      <c r="AF187" s="478"/>
      <c r="AG187" s="482"/>
      <c r="AH187" s="482"/>
      <c r="AI187" s="482"/>
      <c r="AJ187" s="325"/>
    </row>
    <row r="188" spans="2:36">
      <c r="B188" s="324"/>
      <c r="C188" s="125">
        <v>2020</v>
      </c>
      <c r="D188" s="117">
        <f t="shared" si="65"/>
        <v>3255.646427033168</v>
      </c>
      <c r="E188" s="117">
        <f t="shared" si="66"/>
        <v>7424.7067025416327</v>
      </c>
      <c r="F188" s="110"/>
      <c r="G188" s="102">
        <v>2020</v>
      </c>
      <c r="H188" s="127">
        <f>ROUND(D187-D188,0)</f>
        <v>204</v>
      </c>
      <c r="I188" s="333">
        <f>ROUND(E187-E188,0)</f>
        <v>380</v>
      </c>
      <c r="J188" s="128">
        <f t="shared" ref="J188:J208" si="67">ROUND(H188*$AI$13,0)</f>
        <v>39405</v>
      </c>
      <c r="K188" s="129">
        <f t="shared" ref="K188:K208" si="68">ROUND(I188*$AI$24,0)</f>
        <v>31825</v>
      </c>
      <c r="L188" s="333">
        <f>SUM(J188:K188)</f>
        <v>71230</v>
      </c>
      <c r="M188" s="333">
        <f>ROUND(J188*(44/12),0)</f>
        <v>144485</v>
      </c>
      <c r="N188" s="333">
        <f>ROUND(K188*(44/12),0)</f>
        <v>116692</v>
      </c>
      <c r="O188" s="133">
        <f>SUM(M188:N188)</f>
        <v>261177</v>
      </c>
      <c r="R188" s="102">
        <v>2020</v>
      </c>
      <c r="S188" s="128">
        <f>H188</f>
        <v>204</v>
      </c>
      <c r="T188" s="128">
        <f>I188</f>
        <v>380</v>
      </c>
      <c r="U188" s="103">
        <f t="shared" ref="U188:U208" si="69">ROUND(S188*$AI$13,0)</f>
        <v>39405</v>
      </c>
      <c r="V188" s="128">
        <f>K188</f>
        <v>31825</v>
      </c>
      <c r="W188" s="130">
        <f>U188+V188</f>
        <v>71230</v>
      </c>
      <c r="X188" s="103">
        <f>ROUND(U188*(44/12),0)</f>
        <v>144485</v>
      </c>
      <c r="Y188" s="128">
        <f>N188</f>
        <v>116692</v>
      </c>
      <c r="Z188" s="128">
        <f>SUM(X188:Y188)</f>
        <v>261177</v>
      </c>
      <c r="AB188" s="102">
        <v>2020</v>
      </c>
      <c r="AC188" s="103">
        <f>ROUND(D188,0)</f>
        <v>3256</v>
      </c>
      <c r="AF188" s="102">
        <v>2020</v>
      </c>
      <c r="AG188" s="103">
        <f t="shared" ref="AG188:AG208" si="70">H188-S188</f>
        <v>0</v>
      </c>
      <c r="AH188" s="103">
        <f t="shared" ref="AH188:AH208" si="71">L188-W188</f>
        <v>0</v>
      </c>
      <c r="AI188" s="103">
        <f t="shared" ref="AI188:AI208" si="72">O188-Z188</f>
        <v>0</v>
      </c>
      <c r="AJ188" s="325"/>
    </row>
    <row r="189" spans="2:36">
      <c r="B189" s="324"/>
      <c r="C189" s="102">
        <v>2021</v>
      </c>
      <c r="D189" s="103">
        <f t="shared" si="65"/>
        <v>3063.2497273718668</v>
      </c>
      <c r="E189" s="103">
        <f t="shared" si="66"/>
        <v>7063.1066282420807</v>
      </c>
      <c r="F189" s="110"/>
      <c r="G189" s="102">
        <v>2021</v>
      </c>
      <c r="H189" s="128">
        <f t="shared" ref="H189:I208" si="73">ROUND(D188-D189,0)</f>
        <v>192</v>
      </c>
      <c r="I189" s="333">
        <f t="shared" si="73"/>
        <v>362</v>
      </c>
      <c r="J189" s="128">
        <f t="shared" si="67"/>
        <v>37087</v>
      </c>
      <c r="K189" s="129">
        <f t="shared" si="68"/>
        <v>30318</v>
      </c>
      <c r="L189" s="333">
        <f t="shared" ref="L189:L208" si="74">SUM(J189:K189)</f>
        <v>67405</v>
      </c>
      <c r="M189" s="128">
        <f t="shared" ref="M189:N204" si="75">ROUND(J189*(44/12),0)</f>
        <v>135986</v>
      </c>
      <c r="N189" s="128">
        <f t="shared" si="75"/>
        <v>111166</v>
      </c>
      <c r="O189" s="134">
        <f t="shared" ref="O189:O208" si="76">SUM(M189:N189)</f>
        <v>247152</v>
      </c>
      <c r="R189" s="102">
        <v>2021</v>
      </c>
      <c r="S189" s="128">
        <f t="shared" ref="S189:S208" si="77">ROUND(H189-H189*D7,0)</f>
        <v>192</v>
      </c>
      <c r="T189" s="128">
        <f>I189</f>
        <v>362</v>
      </c>
      <c r="U189" s="103">
        <f t="shared" si="69"/>
        <v>37087</v>
      </c>
      <c r="V189" s="128">
        <f t="shared" ref="V189:V208" si="78">K189</f>
        <v>30318</v>
      </c>
      <c r="W189" s="130">
        <f t="shared" ref="W189:W208" si="79">U189+V189</f>
        <v>67405</v>
      </c>
      <c r="X189" s="103">
        <f>ROUND(U189*(44/12),0)</f>
        <v>135986</v>
      </c>
      <c r="Y189" s="128">
        <f t="shared" ref="Y189:Y208" si="80">N189</f>
        <v>111166</v>
      </c>
      <c r="Z189" s="128">
        <f>SUM(X189:Y189)</f>
        <v>247152</v>
      </c>
      <c r="AB189" s="102">
        <v>2021</v>
      </c>
      <c r="AC189" s="103">
        <f t="shared" ref="AC189:AC208" si="81">AC188-S189</f>
        <v>3064</v>
      </c>
      <c r="AF189" s="102">
        <v>2021</v>
      </c>
      <c r="AG189" s="103">
        <f t="shared" si="70"/>
        <v>0</v>
      </c>
      <c r="AH189" s="103">
        <f t="shared" si="71"/>
        <v>0</v>
      </c>
      <c r="AI189" s="103">
        <f t="shared" si="72"/>
        <v>0</v>
      </c>
      <c r="AJ189" s="325"/>
    </row>
    <row r="190" spans="2:36">
      <c r="B190" s="324"/>
      <c r="C190" s="102">
        <v>2022</v>
      </c>
      <c r="D190" s="103">
        <f t="shared" si="65"/>
        <v>2882.2229632579874</v>
      </c>
      <c r="E190" s="103">
        <f t="shared" si="66"/>
        <v>6719.1172985782296</v>
      </c>
      <c r="F190" s="110"/>
      <c r="G190" s="102">
        <v>2022</v>
      </c>
      <c r="H190" s="128">
        <f t="shared" si="73"/>
        <v>181</v>
      </c>
      <c r="I190" s="333">
        <f t="shared" si="73"/>
        <v>344</v>
      </c>
      <c r="J190" s="128">
        <f t="shared" si="67"/>
        <v>34962</v>
      </c>
      <c r="K190" s="129">
        <f t="shared" si="68"/>
        <v>28810</v>
      </c>
      <c r="L190" s="333">
        <f t="shared" si="74"/>
        <v>63772</v>
      </c>
      <c r="M190" s="128">
        <f t="shared" si="75"/>
        <v>128194</v>
      </c>
      <c r="N190" s="128">
        <f t="shared" si="75"/>
        <v>105637</v>
      </c>
      <c r="O190" s="134">
        <f t="shared" si="76"/>
        <v>233831</v>
      </c>
      <c r="R190" s="102">
        <v>2022</v>
      </c>
      <c r="S190" s="128">
        <f t="shared" si="77"/>
        <v>175</v>
      </c>
      <c r="T190" s="128">
        <f>I190</f>
        <v>344</v>
      </c>
      <c r="U190" s="103">
        <f t="shared" si="69"/>
        <v>33803</v>
      </c>
      <c r="V190" s="128">
        <f t="shared" si="78"/>
        <v>28810</v>
      </c>
      <c r="W190" s="130">
        <f t="shared" si="79"/>
        <v>62613</v>
      </c>
      <c r="X190" s="103">
        <f t="shared" ref="X190:X208" si="82">ROUND(U190*(44/12),0)</f>
        <v>123944</v>
      </c>
      <c r="Y190" s="128">
        <f t="shared" si="80"/>
        <v>105637</v>
      </c>
      <c r="Z190" s="128">
        <f t="shared" ref="Z190:Z208" si="83">SUM(X190:Y190)</f>
        <v>229581</v>
      </c>
      <c r="AB190" s="102">
        <v>2022</v>
      </c>
      <c r="AC190" s="103">
        <f t="shared" si="81"/>
        <v>2889</v>
      </c>
      <c r="AF190" s="102">
        <v>2022</v>
      </c>
      <c r="AG190" s="103">
        <f t="shared" si="70"/>
        <v>6</v>
      </c>
      <c r="AH190" s="103">
        <f t="shared" si="71"/>
        <v>1159</v>
      </c>
      <c r="AI190" s="103">
        <f t="shared" si="72"/>
        <v>4250</v>
      </c>
      <c r="AJ190" s="325"/>
    </row>
    <row r="191" spans="2:36">
      <c r="B191" s="324"/>
      <c r="C191" s="102">
        <v>2023</v>
      </c>
      <c r="D191" s="103">
        <f t="shared" si="65"/>
        <v>2711.8942134237527</v>
      </c>
      <c r="E191" s="103">
        <f t="shared" si="66"/>
        <v>6391.8810303009141</v>
      </c>
      <c r="F191" s="110"/>
      <c r="G191" s="102">
        <v>2023</v>
      </c>
      <c r="H191" s="128">
        <f t="shared" si="73"/>
        <v>170</v>
      </c>
      <c r="I191" s="333">
        <f t="shared" si="73"/>
        <v>327</v>
      </c>
      <c r="J191" s="128">
        <f t="shared" si="67"/>
        <v>32837</v>
      </c>
      <c r="K191" s="129">
        <f t="shared" si="68"/>
        <v>27386</v>
      </c>
      <c r="L191" s="333">
        <f t="shared" si="74"/>
        <v>60223</v>
      </c>
      <c r="M191" s="128">
        <f t="shared" si="75"/>
        <v>120402</v>
      </c>
      <c r="N191" s="128">
        <f t="shared" si="75"/>
        <v>100415</v>
      </c>
      <c r="O191" s="134">
        <f t="shared" si="76"/>
        <v>220817</v>
      </c>
      <c r="R191" s="102">
        <v>2023</v>
      </c>
      <c r="S191" s="128">
        <f t="shared" si="77"/>
        <v>152</v>
      </c>
      <c r="T191" s="128">
        <f t="shared" ref="T191:T208" si="84">I191</f>
        <v>327</v>
      </c>
      <c r="U191" s="103">
        <f t="shared" si="69"/>
        <v>29360</v>
      </c>
      <c r="V191" s="128">
        <f t="shared" si="78"/>
        <v>27386</v>
      </c>
      <c r="W191" s="130">
        <f t="shared" si="79"/>
        <v>56746</v>
      </c>
      <c r="X191" s="103">
        <f t="shared" si="82"/>
        <v>107653</v>
      </c>
      <c r="Y191" s="128">
        <f t="shared" si="80"/>
        <v>100415</v>
      </c>
      <c r="Z191" s="128">
        <f t="shared" si="83"/>
        <v>208068</v>
      </c>
      <c r="AB191" s="102">
        <v>2023</v>
      </c>
      <c r="AC191" s="103">
        <f t="shared" si="81"/>
        <v>2737</v>
      </c>
      <c r="AF191" s="102">
        <v>2023</v>
      </c>
      <c r="AG191" s="103">
        <f t="shared" si="70"/>
        <v>18</v>
      </c>
      <c r="AH191" s="103">
        <f t="shared" si="71"/>
        <v>3477</v>
      </c>
      <c r="AI191" s="103">
        <f t="shared" si="72"/>
        <v>12749</v>
      </c>
      <c r="AJ191" s="325"/>
    </row>
    <row r="192" spans="2:36">
      <c r="B192" s="324"/>
      <c r="C192" s="102">
        <v>2024</v>
      </c>
      <c r="D192" s="103">
        <f t="shared" si="65"/>
        <v>2551.631264670812</v>
      </c>
      <c r="E192" s="103">
        <f t="shared" si="66"/>
        <v>6080.581911282583</v>
      </c>
      <c r="F192" s="110"/>
      <c r="G192" s="102">
        <v>2024</v>
      </c>
      <c r="H192" s="128">
        <f t="shared" si="73"/>
        <v>160</v>
      </c>
      <c r="I192" s="333">
        <f t="shared" si="73"/>
        <v>311</v>
      </c>
      <c r="J192" s="128">
        <f t="shared" si="67"/>
        <v>30906</v>
      </c>
      <c r="K192" s="129">
        <f t="shared" si="68"/>
        <v>26046</v>
      </c>
      <c r="L192" s="333">
        <f t="shared" si="74"/>
        <v>56952</v>
      </c>
      <c r="M192" s="128">
        <f t="shared" si="75"/>
        <v>113322</v>
      </c>
      <c r="N192" s="128">
        <f t="shared" si="75"/>
        <v>95502</v>
      </c>
      <c r="O192" s="134">
        <f t="shared" si="76"/>
        <v>208824</v>
      </c>
      <c r="R192" s="102">
        <v>2024</v>
      </c>
      <c r="S192" s="128">
        <f t="shared" si="77"/>
        <v>128</v>
      </c>
      <c r="T192" s="128">
        <f t="shared" si="84"/>
        <v>311</v>
      </c>
      <c r="U192" s="103">
        <f t="shared" si="69"/>
        <v>24724</v>
      </c>
      <c r="V192" s="128">
        <f t="shared" si="78"/>
        <v>26046</v>
      </c>
      <c r="W192" s="130">
        <f t="shared" si="79"/>
        <v>50770</v>
      </c>
      <c r="X192" s="103">
        <f t="shared" si="82"/>
        <v>90655</v>
      </c>
      <c r="Y192" s="128">
        <f t="shared" si="80"/>
        <v>95502</v>
      </c>
      <c r="Z192" s="128">
        <f t="shared" si="83"/>
        <v>186157</v>
      </c>
      <c r="AB192" s="102">
        <v>2024</v>
      </c>
      <c r="AC192" s="103">
        <f t="shared" si="81"/>
        <v>2609</v>
      </c>
      <c r="AF192" s="102">
        <v>2024</v>
      </c>
      <c r="AG192" s="103">
        <f t="shared" si="70"/>
        <v>32</v>
      </c>
      <c r="AH192" s="103">
        <f t="shared" si="71"/>
        <v>6182</v>
      </c>
      <c r="AI192" s="103">
        <f t="shared" si="72"/>
        <v>22667</v>
      </c>
      <c r="AJ192" s="325"/>
    </row>
    <row r="193" spans="2:36">
      <c r="B193" s="324"/>
      <c r="C193" s="102">
        <v>2025</v>
      </c>
      <c r="D193" s="103">
        <f t="shared" si="65"/>
        <v>2400.8392652697498</v>
      </c>
      <c r="E193" s="103">
        <f t="shared" si="66"/>
        <v>5784.4437661688344</v>
      </c>
      <c r="F193" s="110"/>
      <c r="G193" s="102">
        <v>2025</v>
      </c>
      <c r="H193" s="128">
        <f t="shared" si="73"/>
        <v>151</v>
      </c>
      <c r="I193" s="333">
        <f t="shared" si="73"/>
        <v>296</v>
      </c>
      <c r="J193" s="128">
        <f t="shared" si="67"/>
        <v>29167</v>
      </c>
      <c r="K193" s="129">
        <f t="shared" si="68"/>
        <v>24790</v>
      </c>
      <c r="L193" s="333">
        <f t="shared" si="74"/>
        <v>53957</v>
      </c>
      <c r="M193" s="128">
        <f t="shared" si="75"/>
        <v>106946</v>
      </c>
      <c r="N193" s="128">
        <f t="shared" si="75"/>
        <v>90897</v>
      </c>
      <c r="O193" s="134">
        <f t="shared" si="76"/>
        <v>197843</v>
      </c>
      <c r="R193" s="102">
        <v>2025</v>
      </c>
      <c r="S193" s="128">
        <f t="shared" si="77"/>
        <v>102</v>
      </c>
      <c r="T193" s="128">
        <f t="shared" si="84"/>
        <v>296</v>
      </c>
      <c r="U193" s="103">
        <f t="shared" si="69"/>
        <v>19702</v>
      </c>
      <c r="V193" s="128">
        <f t="shared" si="78"/>
        <v>24790</v>
      </c>
      <c r="W193" s="130">
        <f t="shared" si="79"/>
        <v>44492</v>
      </c>
      <c r="X193" s="103">
        <f t="shared" si="82"/>
        <v>72241</v>
      </c>
      <c r="Y193" s="128">
        <f t="shared" si="80"/>
        <v>90897</v>
      </c>
      <c r="Z193" s="128">
        <f t="shared" si="83"/>
        <v>163138</v>
      </c>
      <c r="AB193" s="102">
        <v>2025</v>
      </c>
      <c r="AC193" s="103">
        <f t="shared" si="81"/>
        <v>2507</v>
      </c>
      <c r="AF193" s="102">
        <v>2025</v>
      </c>
      <c r="AG193" s="103">
        <f t="shared" si="70"/>
        <v>49</v>
      </c>
      <c r="AH193" s="103">
        <f t="shared" si="71"/>
        <v>9465</v>
      </c>
      <c r="AI193" s="103">
        <f t="shared" si="72"/>
        <v>34705</v>
      </c>
      <c r="AJ193" s="325"/>
    </row>
    <row r="194" spans="2:36">
      <c r="B194" s="324"/>
      <c r="C194" s="102">
        <v>2026</v>
      </c>
      <c r="D194" s="103">
        <f t="shared" si="65"/>
        <v>2258.9585170350283</v>
      </c>
      <c r="E194" s="103">
        <f t="shared" si="66"/>
        <v>5502.7282211073416</v>
      </c>
      <c r="F194" s="110"/>
      <c r="G194" s="102">
        <v>2026</v>
      </c>
      <c r="H194" s="128">
        <f t="shared" si="73"/>
        <v>142</v>
      </c>
      <c r="I194" s="333">
        <f t="shared" si="73"/>
        <v>282</v>
      </c>
      <c r="J194" s="128">
        <f t="shared" si="67"/>
        <v>27429</v>
      </c>
      <c r="K194" s="129">
        <f t="shared" si="68"/>
        <v>23618</v>
      </c>
      <c r="L194" s="333">
        <f t="shared" si="74"/>
        <v>51047</v>
      </c>
      <c r="M194" s="128">
        <f t="shared" si="75"/>
        <v>100573</v>
      </c>
      <c r="N194" s="128">
        <f t="shared" si="75"/>
        <v>86599</v>
      </c>
      <c r="O194" s="134">
        <f t="shared" si="76"/>
        <v>187172</v>
      </c>
      <c r="R194" s="102">
        <v>2026</v>
      </c>
      <c r="S194" s="128">
        <f t="shared" si="77"/>
        <v>79</v>
      </c>
      <c r="T194" s="128">
        <f t="shared" si="84"/>
        <v>282</v>
      </c>
      <c r="U194" s="103">
        <f t="shared" si="69"/>
        <v>15260</v>
      </c>
      <c r="V194" s="128">
        <f t="shared" si="78"/>
        <v>23618</v>
      </c>
      <c r="W194" s="130">
        <f t="shared" si="79"/>
        <v>38878</v>
      </c>
      <c r="X194" s="103">
        <f t="shared" si="82"/>
        <v>55953</v>
      </c>
      <c r="Y194" s="128">
        <f t="shared" si="80"/>
        <v>86599</v>
      </c>
      <c r="Z194" s="128">
        <f t="shared" si="83"/>
        <v>142552</v>
      </c>
      <c r="AB194" s="102">
        <v>2026</v>
      </c>
      <c r="AC194" s="103">
        <f t="shared" si="81"/>
        <v>2428</v>
      </c>
      <c r="AF194" s="102">
        <v>2026</v>
      </c>
      <c r="AG194" s="103">
        <f t="shared" si="70"/>
        <v>63</v>
      </c>
      <c r="AH194" s="103">
        <f t="shared" si="71"/>
        <v>12169</v>
      </c>
      <c r="AI194" s="103">
        <f t="shared" si="72"/>
        <v>44620</v>
      </c>
      <c r="AJ194" s="325"/>
    </row>
    <row r="195" spans="2:36">
      <c r="B195" s="324"/>
      <c r="C195" s="102">
        <v>2027</v>
      </c>
      <c r="D195" s="103">
        <f t="shared" si="65"/>
        <v>2125.4623978801642</v>
      </c>
      <c r="E195" s="103">
        <f t="shared" si="66"/>
        <v>5234.7328627288734</v>
      </c>
      <c r="F195" s="110"/>
      <c r="G195" s="102">
        <v>2027</v>
      </c>
      <c r="H195" s="128">
        <f t="shared" si="73"/>
        <v>133</v>
      </c>
      <c r="I195" s="333">
        <f t="shared" si="73"/>
        <v>268</v>
      </c>
      <c r="J195" s="128">
        <f t="shared" si="67"/>
        <v>25690</v>
      </c>
      <c r="K195" s="129">
        <f t="shared" si="68"/>
        <v>22445</v>
      </c>
      <c r="L195" s="333">
        <f t="shared" si="74"/>
        <v>48135</v>
      </c>
      <c r="M195" s="131">
        <f t="shared" si="75"/>
        <v>94197</v>
      </c>
      <c r="N195" s="131">
        <f t="shared" si="75"/>
        <v>82298</v>
      </c>
      <c r="O195" s="135">
        <f t="shared" si="76"/>
        <v>176495</v>
      </c>
      <c r="R195" s="102">
        <v>2027</v>
      </c>
      <c r="S195" s="128">
        <f t="shared" si="77"/>
        <v>62</v>
      </c>
      <c r="T195" s="128">
        <f t="shared" si="84"/>
        <v>268</v>
      </c>
      <c r="U195" s="103">
        <f t="shared" si="69"/>
        <v>11976</v>
      </c>
      <c r="V195" s="128">
        <f t="shared" si="78"/>
        <v>22445</v>
      </c>
      <c r="W195" s="130">
        <f t="shared" si="79"/>
        <v>34421</v>
      </c>
      <c r="X195" s="103">
        <f t="shared" si="82"/>
        <v>43912</v>
      </c>
      <c r="Y195" s="128">
        <f t="shared" si="80"/>
        <v>82298</v>
      </c>
      <c r="Z195" s="128">
        <f t="shared" si="83"/>
        <v>126210</v>
      </c>
      <c r="AB195" s="102">
        <v>2027</v>
      </c>
      <c r="AC195" s="103">
        <f t="shared" si="81"/>
        <v>2366</v>
      </c>
      <c r="AF195" s="102">
        <v>2027</v>
      </c>
      <c r="AG195" s="103">
        <f t="shared" si="70"/>
        <v>71</v>
      </c>
      <c r="AH195" s="103">
        <f t="shared" si="71"/>
        <v>13714</v>
      </c>
      <c r="AI195" s="103">
        <f t="shared" si="72"/>
        <v>50285</v>
      </c>
      <c r="AJ195" s="325"/>
    </row>
    <row r="196" spans="2:36">
      <c r="B196" s="324"/>
      <c r="C196" s="102">
        <v>2028</v>
      </c>
      <c r="D196" s="103">
        <f t="shared" si="65"/>
        <v>1999.8554071422313</v>
      </c>
      <c r="E196" s="103">
        <f t="shared" si="66"/>
        <v>4979.7894867901177</v>
      </c>
      <c r="G196" s="102">
        <v>2028</v>
      </c>
      <c r="H196" s="128">
        <f t="shared" si="73"/>
        <v>126</v>
      </c>
      <c r="I196" s="333">
        <f t="shared" si="73"/>
        <v>255</v>
      </c>
      <c r="J196" s="128">
        <f t="shared" si="67"/>
        <v>24338</v>
      </c>
      <c r="K196" s="129">
        <f t="shared" si="68"/>
        <v>21356</v>
      </c>
      <c r="L196" s="333">
        <f t="shared" si="74"/>
        <v>45694</v>
      </c>
      <c r="M196" s="131">
        <f t="shared" si="75"/>
        <v>89239</v>
      </c>
      <c r="N196" s="131">
        <f t="shared" si="75"/>
        <v>78305</v>
      </c>
      <c r="O196" s="135">
        <f t="shared" si="76"/>
        <v>167544</v>
      </c>
      <c r="R196" s="102">
        <v>2028</v>
      </c>
      <c r="S196" s="128">
        <f t="shared" si="77"/>
        <v>52</v>
      </c>
      <c r="T196" s="128">
        <f t="shared" si="84"/>
        <v>255</v>
      </c>
      <c r="U196" s="103">
        <f t="shared" si="69"/>
        <v>10044</v>
      </c>
      <c r="V196" s="128">
        <f t="shared" si="78"/>
        <v>21356</v>
      </c>
      <c r="W196" s="130">
        <f t="shared" si="79"/>
        <v>31400</v>
      </c>
      <c r="X196" s="103">
        <f t="shared" si="82"/>
        <v>36828</v>
      </c>
      <c r="Y196" s="128">
        <f t="shared" si="80"/>
        <v>78305</v>
      </c>
      <c r="Z196" s="128">
        <f t="shared" si="83"/>
        <v>115133</v>
      </c>
      <c r="AB196" s="102">
        <v>2028</v>
      </c>
      <c r="AC196" s="103">
        <f t="shared" si="81"/>
        <v>2314</v>
      </c>
      <c r="AF196" s="102">
        <v>2028</v>
      </c>
      <c r="AG196" s="103">
        <f t="shared" si="70"/>
        <v>74</v>
      </c>
      <c r="AH196" s="103">
        <f t="shared" si="71"/>
        <v>14294</v>
      </c>
      <c r="AI196" s="103">
        <f t="shared" si="72"/>
        <v>52411</v>
      </c>
      <c r="AJ196" s="325"/>
    </row>
    <row r="197" spans="2:36">
      <c r="B197" s="324"/>
      <c r="C197" s="102">
        <v>2029</v>
      </c>
      <c r="D197" s="103">
        <f t="shared" si="65"/>
        <v>1881.6713264204789</v>
      </c>
      <c r="E197" s="103">
        <f t="shared" si="66"/>
        <v>4737.2624321115782</v>
      </c>
      <c r="G197" s="102">
        <v>2029</v>
      </c>
      <c r="H197" s="128">
        <f t="shared" si="73"/>
        <v>118</v>
      </c>
      <c r="I197" s="333">
        <f t="shared" si="73"/>
        <v>243</v>
      </c>
      <c r="J197" s="128">
        <f t="shared" si="67"/>
        <v>22793</v>
      </c>
      <c r="K197" s="129">
        <f t="shared" si="68"/>
        <v>20351</v>
      </c>
      <c r="L197" s="333">
        <f t="shared" si="74"/>
        <v>43144</v>
      </c>
      <c r="M197" s="131">
        <f t="shared" si="75"/>
        <v>83574</v>
      </c>
      <c r="N197" s="131">
        <f t="shared" si="75"/>
        <v>74620</v>
      </c>
      <c r="O197" s="135">
        <f t="shared" si="76"/>
        <v>158194</v>
      </c>
      <c r="R197" s="102">
        <v>2029</v>
      </c>
      <c r="S197" s="128">
        <f t="shared" si="77"/>
        <v>46</v>
      </c>
      <c r="T197" s="128">
        <f t="shared" si="84"/>
        <v>243</v>
      </c>
      <c r="U197" s="103">
        <f t="shared" si="69"/>
        <v>8885</v>
      </c>
      <c r="V197" s="128">
        <f t="shared" si="78"/>
        <v>20351</v>
      </c>
      <c r="W197" s="130">
        <f t="shared" si="79"/>
        <v>29236</v>
      </c>
      <c r="X197" s="103">
        <f t="shared" si="82"/>
        <v>32578</v>
      </c>
      <c r="Y197" s="128">
        <f t="shared" si="80"/>
        <v>74620</v>
      </c>
      <c r="Z197" s="128">
        <f t="shared" si="83"/>
        <v>107198</v>
      </c>
      <c r="AB197" s="102">
        <v>2029</v>
      </c>
      <c r="AC197" s="103">
        <f t="shared" si="81"/>
        <v>2268</v>
      </c>
      <c r="AF197" s="102">
        <v>2029</v>
      </c>
      <c r="AG197" s="103">
        <f t="shared" si="70"/>
        <v>72</v>
      </c>
      <c r="AH197" s="103">
        <f t="shared" si="71"/>
        <v>13908</v>
      </c>
      <c r="AI197" s="103">
        <f t="shared" si="72"/>
        <v>50996</v>
      </c>
      <c r="AJ197" s="325"/>
    </row>
    <row r="198" spans="2:36">
      <c r="B198" s="324"/>
      <c r="C198" s="102">
        <v>2030</v>
      </c>
      <c r="D198" s="103">
        <f t="shared" si="65"/>
        <v>1770.4714891026058</v>
      </c>
      <c r="E198" s="103">
        <f t="shared" si="66"/>
        <v>4506.5469956564748</v>
      </c>
      <c r="G198" s="102">
        <v>2030</v>
      </c>
      <c r="H198" s="128">
        <f t="shared" si="73"/>
        <v>111</v>
      </c>
      <c r="I198" s="333">
        <f t="shared" si="73"/>
        <v>231</v>
      </c>
      <c r="J198" s="128">
        <f t="shared" si="67"/>
        <v>21441</v>
      </c>
      <c r="K198" s="129">
        <f t="shared" si="68"/>
        <v>19346</v>
      </c>
      <c r="L198" s="333">
        <f t="shared" si="74"/>
        <v>40787</v>
      </c>
      <c r="M198" s="131">
        <f t="shared" si="75"/>
        <v>78617</v>
      </c>
      <c r="N198" s="131">
        <f t="shared" si="75"/>
        <v>70935</v>
      </c>
      <c r="O198" s="135">
        <f t="shared" si="76"/>
        <v>149552</v>
      </c>
      <c r="R198" s="102">
        <v>2030</v>
      </c>
      <c r="S198" s="128">
        <f t="shared" si="77"/>
        <v>43</v>
      </c>
      <c r="T198" s="128">
        <f t="shared" si="84"/>
        <v>231</v>
      </c>
      <c r="U198" s="103">
        <f t="shared" si="69"/>
        <v>8306</v>
      </c>
      <c r="V198" s="128">
        <f t="shared" si="78"/>
        <v>19346</v>
      </c>
      <c r="W198" s="130">
        <f t="shared" si="79"/>
        <v>27652</v>
      </c>
      <c r="X198" s="103">
        <f t="shared" si="82"/>
        <v>30455</v>
      </c>
      <c r="Y198" s="128">
        <f t="shared" si="80"/>
        <v>70935</v>
      </c>
      <c r="Z198" s="128">
        <f t="shared" si="83"/>
        <v>101390</v>
      </c>
      <c r="AB198" s="102">
        <v>2030</v>
      </c>
      <c r="AC198" s="103">
        <f t="shared" si="81"/>
        <v>2225</v>
      </c>
      <c r="AF198" s="102">
        <v>2030</v>
      </c>
      <c r="AG198" s="103">
        <f t="shared" si="70"/>
        <v>68</v>
      </c>
      <c r="AH198" s="103">
        <f t="shared" si="71"/>
        <v>13135</v>
      </c>
      <c r="AI198" s="103">
        <f t="shared" si="72"/>
        <v>48162</v>
      </c>
      <c r="AJ198" s="325"/>
    </row>
    <row r="199" spans="2:36">
      <c r="B199" s="324"/>
      <c r="C199" s="102">
        <v>2031</v>
      </c>
      <c r="D199" s="103">
        <f t="shared" si="65"/>
        <v>1665.8431521556527</v>
      </c>
      <c r="E199" s="103">
        <f t="shared" si="66"/>
        <v>4287.0679247989056</v>
      </c>
      <c r="G199" s="102">
        <v>2031</v>
      </c>
      <c r="H199" s="128">
        <f t="shared" si="73"/>
        <v>105</v>
      </c>
      <c r="I199" s="333">
        <f t="shared" si="73"/>
        <v>219</v>
      </c>
      <c r="J199" s="128">
        <f t="shared" si="67"/>
        <v>20282</v>
      </c>
      <c r="K199" s="129">
        <f t="shared" si="68"/>
        <v>18341</v>
      </c>
      <c r="L199" s="333">
        <f t="shared" si="74"/>
        <v>38623</v>
      </c>
      <c r="M199" s="131">
        <f t="shared" si="75"/>
        <v>74367</v>
      </c>
      <c r="N199" s="131">
        <f t="shared" si="75"/>
        <v>67250</v>
      </c>
      <c r="O199" s="135">
        <f t="shared" si="76"/>
        <v>141617</v>
      </c>
      <c r="R199" s="102">
        <v>2031</v>
      </c>
      <c r="S199" s="128">
        <f t="shared" si="77"/>
        <v>41</v>
      </c>
      <c r="T199" s="128">
        <f t="shared" si="84"/>
        <v>219</v>
      </c>
      <c r="U199" s="103">
        <f t="shared" si="69"/>
        <v>7920</v>
      </c>
      <c r="V199" s="128">
        <f t="shared" si="78"/>
        <v>18341</v>
      </c>
      <c r="W199" s="130">
        <f t="shared" si="79"/>
        <v>26261</v>
      </c>
      <c r="X199" s="103">
        <f t="shared" si="82"/>
        <v>29040</v>
      </c>
      <c r="Y199" s="128">
        <f t="shared" si="80"/>
        <v>67250</v>
      </c>
      <c r="Z199" s="128">
        <f t="shared" si="83"/>
        <v>96290</v>
      </c>
      <c r="AB199" s="102">
        <v>2031</v>
      </c>
      <c r="AC199" s="103">
        <f t="shared" si="81"/>
        <v>2184</v>
      </c>
      <c r="AF199" s="102">
        <v>2031</v>
      </c>
      <c r="AG199" s="103">
        <f t="shared" si="70"/>
        <v>64</v>
      </c>
      <c r="AH199" s="103">
        <f t="shared" si="71"/>
        <v>12362</v>
      </c>
      <c r="AI199" s="103">
        <f t="shared" si="72"/>
        <v>45327</v>
      </c>
      <c r="AJ199" s="325"/>
    </row>
    <row r="200" spans="2:36">
      <c r="B200" s="324"/>
      <c r="C200" s="102">
        <v>2032</v>
      </c>
      <c r="D200" s="103">
        <f t="shared" si="65"/>
        <v>1567.397964138047</v>
      </c>
      <c r="E200" s="103">
        <f t="shared" si="66"/>
        <v>4078.2779830219674</v>
      </c>
      <c r="G200" s="102">
        <v>2032</v>
      </c>
      <c r="H200" s="128">
        <f t="shared" si="73"/>
        <v>98</v>
      </c>
      <c r="I200" s="333">
        <f t="shared" si="73"/>
        <v>209</v>
      </c>
      <c r="J200" s="128">
        <f t="shared" si="67"/>
        <v>18930</v>
      </c>
      <c r="K200" s="129">
        <f t="shared" si="68"/>
        <v>17504</v>
      </c>
      <c r="L200" s="333">
        <f t="shared" si="74"/>
        <v>36434</v>
      </c>
      <c r="M200" s="131">
        <f t="shared" si="75"/>
        <v>69410</v>
      </c>
      <c r="N200" s="131">
        <f t="shared" si="75"/>
        <v>64181</v>
      </c>
      <c r="O200" s="135">
        <f t="shared" si="76"/>
        <v>133591</v>
      </c>
      <c r="R200" s="102">
        <v>2032</v>
      </c>
      <c r="S200" s="128">
        <f t="shared" si="77"/>
        <v>38</v>
      </c>
      <c r="T200" s="128">
        <f t="shared" si="84"/>
        <v>209</v>
      </c>
      <c r="U200" s="103">
        <f t="shared" si="69"/>
        <v>7340</v>
      </c>
      <c r="V200" s="128">
        <f t="shared" si="78"/>
        <v>17504</v>
      </c>
      <c r="W200" s="130">
        <f t="shared" si="79"/>
        <v>24844</v>
      </c>
      <c r="X200" s="103">
        <f t="shared" si="82"/>
        <v>26913</v>
      </c>
      <c r="Y200" s="128">
        <f t="shared" si="80"/>
        <v>64181</v>
      </c>
      <c r="Z200" s="128">
        <f t="shared" si="83"/>
        <v>91094</v>
      </c>
      <c r="AB200" s="102">
        <v>2032</v>
      </c>
      <c r="AC200" s="103">
        <f t="shared" si="81"/>
        <v>2146</v>
      </c>
      <c r="AF200" s="102">
        <v>2032</v>
      </c>
      <c r="AG200" s="103">
        <f t="shared" si="70"/>
        <v>60</v>
      </c>
      <c r="AH200" s="103">
        <f t="shared" si="71"/>
        <v>11590</v>
      </c>
      <c r="AI200" s="103">
        <f t="shared" si="72"/>
        <v>42497</v>
      </c>
      <c r="AJ200" s="325"/>
    </row>
    <row r="201" spans="2:36">
      <c r="B201" s="324"/>
      <c r="C201" s="102">
        <v>2033</v>
      </c>
      <c r="D201" s="103">
        <f t="shared" si="65"/>
        <v>1474.7705237464893</v>
      </c>
      <c r="E201" s="103">
        <f t="shared" si="66"/>
        <v>3879.6565854696373</v>
      </c>
      <c r="G201" s="102">
        <v>2033</v>
      </c>
      <c r="H201" s="128">
        <f t="shared" si="73"/>
        <v>93</v>
      </c>
      <c r="I201" s="333">
        <f t="shared" si="73"/>
        <v>199</v>
      </c>
      <c r="J201" s="128">
        <f t="shared" si="67"/>
        <v>17964</v>
      </c>
      <c r="K201" s="129">
        <f t="shared" si="68"/>
        <v>16666</v>
      </c>
      <c r="L201" s="333">
        <f t="shared" si="74"/>
        <v>34630</v>
      </c>
      <c r="M201" s="131">
        <f t="shared" si="75"/>
        <v>65868</v>
      </c>
      <c r="N201" s="131">
        <f t="shared" si="75"/>
        <v>61109</v>
      </c>
      <c r="O201" s="135">
        <f t="shared" si="76"/>
        <v>126977</v>
      </c>
      <c r="R201" s="102">
        <v>2033</v>
      </c>
      <c r="S201" s="128">
        <f t="shared" si="77"/>
        <v>36</v>
      </c>
      <c r="T201" s="128">
        <f t="shared" si="84"/>
        <v>199</v>
      </c>
      <c r="U201" s="103">
        <f t="shared" si="69"/>
        <v>6954</v>
      </c>
      <c r="V201" s="128">
        <f t="shared" si="78"/>
        <v>16666</v>
      </c>
      <c r="W201" s="130">
        <f t="shared" si="79"/>
        <v>23620</v>
      </c>
      <c r="X201" s="103">
        <f t="shared" si="82"/>
        <v>25498</v>
      </c>
      <c r="Y201" s="128">
        <f t="shared" si="80"/>
        <v>61109</v>
      </c>
      <c r="Z201" s="128">
        <f t="shared" si="83"/>
        <v>86607</v>
      </c>
      <c r="AB201" s="102">
        <v>2033</v>
      </c>
      <c r="AC201" s="103">
        <f t="shared" si="81"/>
        <v>2110</v>
      </c>
      <c r="AF201" s="102">
        <v>2033</v>
      </c>
      <c r="AG201" s="103">
        <f t="shared" si="70"/>
        <v>57</v>
      </c>
      <c r="AH201" s="103">
        <f t="shared" si="71"/>
        <v>11010</v>
      </c>
      <c r="AI201" s="103">
        <f t="shared" si="72"/>
        <v>40370</v>
      </c>
      <c r="AJ201" s="325"/>
    </row>
    <row r="202" spans="2:36">
      <c r="B202" s="324"/>
      <c r="C202" s="102">
        <v>2034</v>
      </c>
      <c r="D202" s="103">
        <f t="shared" si="65"/>
        <v>1387.6170235474019</v>
      </c>
      <c r="E202" s="103">
        <f t="shared" si="66"/>
        <v>3690.7085009503753</v>
      </c>
      <c r="G202" s="102">
        <v>2034</v>
      </c>
      <c r="H202" s="128">
        <f t="shared" si="73"/>
        <v>87</v>
      </c>
      <c r="I202" s="333">
        <f t="shared" si="73"/>
        <v>189</v>
      </c>
      <c r="J202" s="128">
        <f t="shared" si="67"/>
        <v>16805</v>
      </c>
      <c r="K202" s="129">
        <f t="shared" si="68"/>
        <v>15829</v>
      </c>
      <c r="L202" s="333">
        <f t="shared" si="74"/>
        <v>32634</v>
      </c>
      <c r="M202" s="131">
        <f t="shared" si="75"/>
        <v>61618</v>
      </c>
      <c r="N202" s="131">
        <f t="shared" si="75"/>
        <v>58040</v>
      </c>
      <c r="O202" s="135">
        <f t="shared" si="76"/>
        <v>119658</v>
      </c>
      <c r="R202" s="102">
        <v>2034</v>
      </c>
      <c r="S202" s="128">
        <f t="shared" si="77"/>
        <v>34</v>
      </c>
      <c r="T202" s="128">
        <f t="shared" si="84"/>
        <v>189</v>
      </c>
      <c r="U202" s="103">
        <f t="shared" si="69"/>
        <v>6567</v>
      </c>
      <c r="V202" s="128">
        <f t="shared" si="78"/>
        <v>15829</v>
      </c>
      <c r="W202" s="130">
        <f t="shared" si="79"/>
        <v>22396</v>
      </c>
      <c r="X202" s="103">
        <f t="shared" si="82"/>
        <v>24079</v>
      </c>
      <c r="Y202" s="128">
        <f t="shared" si="80"/>
        <v>58040</v>
      </c>
      <c r="Z202" s="128">
        <f t="shared" si="83"/>
        <v>82119</v>
      </c>
      <c r="AB202" s="102">
        <v>2034</v>
      </c>
      <c r="AC202" s="103">
        <f t="shared" si="81"/>
        <v>2076</v>
      </c>
      <c r="AF202" s="102">
        <v>2034</v>
      </c>
      <c r="AG202" s="103">
        <f t="shared" si="70"/>
        <v>53</v>
      </c>
      <c r="AH202" s="103">
        <f t="shared" si="71"/>
        <v>10238</v>
      </c>
      <c r="AI202" s="103">
        <f t="shared" si="72"/>
        <v>37539</v>
      </c>
      <c r="AJ202" s="325"/>
    </row>
    <row r="203" spans="2:36">
      <c r="B203" s="324"/>
      <c r="C203" s="102">
        <v>2035</v>
      </c>
      <c r="D203" s="103">
        <f t="shared" si="65"/>
        <v>1305.6139738588497</v>
      </c>
      <c r="E203" s="103">
        <f t="shared" si="66"/>
        <v>3510.9626171560976</v>
      </c>
      <c r="G203" s="102">
        <v>2035</v>
      </c>
      <c r="H203" s="128">
        <f t="shared" si="73"/>
        <v>82</v>
      </c>
      <c r="I203" s="333">
        <f t="shared" si="73"/>
        <v>180</v>
      </c>
      <c r="J203" s="128">
        <f t="shared" si="67"/>
        <v>15839</v>
      </c>
      <c r="K203" s="129">
        <f t="shared" si="68"/>
        <v>15075</v>
      </c>
      <c r="L203" s="333">
        <f t="shared" si="74"/>
        <v>30914</v>
      </c>
      <c r="M203" s="131">
        <f t="shared" si="75"/>
        <v>58076</v>
      </c>
      <c r="N203" s="131">
        <f t="shared" si="75"/>
        <v>55275</v>
      </c>
      <c r="O203" s="135">
        <f t="shared" si="76"/>
        <v>113351</v>
      </c>
      <c r="R203" s="102">
        <v>2035</v>
      </c>
      <c r="S203" s="128">
        <f t="shared" si="77"/>
        <v>32</v>
      </c>
      <c r="T203" s="128">
        <f t="shared" si="84"/>
        <v>180</v>
      </c>
      <c r="U203" s="103">
        <f t="shared" si="69"/>
        <v>6181</v>
      </c>
      <c r="V203" s="128">
        <f t="shared" si="78"/>
        <v>15075</v>
      </c>
      <c r="W203" s="130">
        <f t="shared" si="79"/>
        <v>21256</v>
      </c>
      <c r="X203" s="103">
        <f t="shared" si="82"/>
        <v>22664</v>
      </c>
      <c r="Y203" s="128">
        <f t="shared" si="80"/>
        <v>55275</v>
      </c>
      <c r="Z203" s="128">
        <f t="shared" si="83"/>
        <v>77939</v>
      </c>
      <c r="AB203" s="102">
        <v>2035</v>
      </c>
      <c r="AC203" s="103">
        <f t="shared" si="81"/>
        <v>2044</v>
      </c>
      <c r="AF203" s="102">
        <v>2035</v>
      </c>
      <c r="AG203" s="103">
        <f t="shared" si="70"/>
        <v>50</v>
      </c>
      <c r="AH203" s="103">
        <f t="shared" si="71"/>
        <v>9658</v>
      </c>
      <c r="AI203" s="103">
        <f t="shared" si="72"/>
        <v>35412</v>
      </c>
      <c r="AJ203" s="325"/>
    </row>
    <row r="204" spans="2:36">
      <c r="B204" s="324"/>
      <c r="C204" s="102">
        <v>2036</v>
      </c>
      <c r="D204" s="103">
        <f t="shared" si="65"/>
        <v>1228.4570020463329</v>
      </c>
      <c r="E204" s="103">
        <f t="shared" si="66"/>
        <v>3339.9707660177901</v>
      </c>
      <c r="G204" s="102">
        <v>2036</v>
      </c>
      <c r="H204" s="128">
        <f t="shared" si="73"/>
        <v>77</v>
      </c>
      <c r="I204" s="333">
        <f t="shared" si="73"/>
        <v>171</v>
      </c>
      <c r="J204" s="128">
        <f t="shared" si="67"/>
        <v>14873</v>
      </c>
      <c r="K204" s="129">
        <f t="shared" si="68"/>
        <v>14321</v>
      </c>
      <c r="L204" s="333">
        <f t="shared" si="74"/>
        <v>29194</v>
      </c>
      <c r="M204" s="131">
        <f t="shared" si="75"/>
        <v>54534</v>
      </c>
      <c r="N204" s="131">
        <f t="shared" si="75"/>
        <v>52510</v>
      </c>
      <c r="O204" s="135">
        <f t="shared" si="76"/>
        <v>107044</v>
      </c>
      <c r="R204" s="102">
        <v>2036</v>
      </c>
      <c r="S204" s="128">
        <f t="shared" si="77"/>
        <v>30</v>
      </c>
      <c r="T204" s="128">
        <f t="shared" si="84"/>
        <v>171</v>
      </c>
      <c r="U204" s="103">
        <f t="shared" si="69"/>
        <v>5795</v>
      </c>
      <c r="V204" s="128">
        <f t="shared" si="78"/>
        <v>14321</v>
      </c>
      <c r="W204" s="130">
        <f t="shared" si="79"/>
        <v>20116</v>
      </c>
      <c r="X204" s="103">
        <f t="shared" si="82"/>
        <v>21248</v>
      </c>
      <c r="Y204" s="128">
        <f t="shared" si="80"/>
        <v>52510</v>
      </c>
      <c r="Z204" s="128">
        <f t="shared" si="83"/>
        <v>73758</v>
      </c>
      <c r="AB204" s="102">
        <v>2036</v>
      </c>
      <c r="AC204" s="103">
        <f t="shared" si="81"/>
        <v>2014</v>
      </c>
      <c r="AF204" s="102">
        <v>2036</v>
      </c>
      <c r="AG204" s="103">
        <f t="shared" si="70"/>
        <v>47</v>
      </c>
      <c r="AH204" s="103">
        <f t="shared" si="71"/>
        <v>9078</v>
      </c>
      <c r="AI204" s="103">
        <f t="shared" si="72"/>
        <v>33286</v>
      </c>
      <c r="AJ204" s="325"/>
    </row>
    <row r="205" spans="2:36">
      <c r="B205" s="324"/>
      <c r="C205" s="102">
        <v>2037</v>
      </c>
      <c r="D205" s="103">
        <f t="shared" si="65"/>
        <v>1155.8597227757721</v>
      </c>
      <c r="E205" s="103">
        <f t="shared" si="66"/>
        <v>3177.3066062689704</v>
      </c>
      <c r="G205" s="102">
        <v>2037</v>
      </c>
      <c r="H205" s="128">
        <f t="shared" si="73"/>
        <v>73</v>
      </c>
      <c r="I205" s="333">
        <f t="shared" si="73"/>
        <v>163</v>
      </c>
      <c r="J205" s="128">
        <f t="shared" si="67"/>
        <v>14101</v>
      </c>
      <c r="K205" s="129">
        <f t="shared" si="68"/>
        <v>13651</v>
      </c>
      <c r="L205" s="333">
        <f t="shared" si="74"/>
        <v>27752</v>
      </c>
      <c r="M205" s="131">
        <f t="shared" ref="M205:N208" si="85">ROUND(J205*(44/12),0)</f>
        <v>51704</v>
      </c>
      <c r="N205" s="131">
        <f t="shared" si="85"/>
        <v>50054</v>
      </c>
      <c r="O205" s="135">
        <f t="shared" si="76"/>
        <v>101758</v>
      </c>
      <c r="R205" s="102">
        <v>2037</v>
      </c>
      <c r="S205" s="128">
        <f t="shared" si="77"/>
        <v>28</v>
      </c>
      <c r="T205" s="128">
        <f t="shared" si="84"/>
        <v>163</v>
      </c>
      <c r="U205" s="103">
        <f t="shared" si="69"/>
        <v>5408</v>
      </c>
      <c r="V205" s="128">
        <f t="shared" si="78"/>
        <v>13651</v>
      </c>
      <c r="W205" s="130">
        <f t="shared" si="79"/>
        <v>19059</v>
      </c>
      <c r="X205" s="103">
        <f t="shared" si="82"/>
        <v>19829</v>
      </c>
      <c r="Y205" s="128">
        <f t="shared" si="80"/>
        <v>50054</v>
      </c>
      <c r="Z205" s="128">
        <f t="shared" si="83"/>
        <v>69883</v>
      </c>
      <c r="AB205" s="102">
        <v>2037</v>
      </c>
      <c r="AC205" s="103">
        <f t="shared" si="81"/>
        <v>1986</v>
      </c>
      <c r="AF205" s="102">
        <v>2037</v>
      </c>
      <c r="AG205" s="103">
        <f t="shared" si="70"/>
        <v>45</v>
      </c>
      <c r="AH205" s="103">
        <f t="shared" si="71"/>
        <v>8693</v>
      </c>
      <c r="AI205" s="103">
        <f t="shared" si="72"/>
        <v>31875</v>
      </c>
      <c r="AJ205" s="325"/>
    </row>
    <row r="206" spans="2:36">
      <c r="B206" s="324"/>
      <c r="C206" s="102">
        <v>2038</v>
      </c>
      <c r="D206" s="103">
        <f t="shared" si="65"/>
        <v>1087.5526750303752</v>
      </c>
      <c r="E206" s="103">
        <f t="shared" si="66"/>
        <v>3022.5645604308475</v>
      </c>
      <c r="G206" s="102">
        <v>2038</v>
      </c>
      <c r="H206" s="128">
        <f t="shared" si="73"/>
        <v>68</v>
      </c>
      <c r="I206" s="333">
        <f t="shared" si="73"/>
        <v>155</v>
      </c>
      <c r="J206" s="128">
        <f t="shared" si="67"/>
        <v>13135</v>
      </c>
      <c r="K206" s="129">
        <f t="shared" si="68"/>
        <v>12981</v>
      </c>
      <c r="L206" s="333">
        <f t="shared" si="74"/>
        <v>26116</v>
      </c>
      <c r="M206" s="131">
        <f t="shared" si="85"/>
        <v>48162</v>
      </c>
      <c r="N206" s="131">
        <f t="shared" si="85"/>
        <v>47597</v>
      </c>
      <c r="O206" s="135">
        <f t="shared" si="76"/>
        <v>95759</v>
      </c>
      <c r="R206" s="102">
        <v>2038</v>
      </c>
      <c r="S206" s="128">
        <f t="shared" si="77"/>
        <v>26</v>
      </c>
      <c r="T206" s="128">
        <f t="shared" si="84"/>
        <v>155</v>
      </c>
      <c r="U206" s="103">
        <f t="shared" si="69"/>
        <v>5022</v>
      </c>
      <c r="V206" s="128">
        <f t="shared" si="78"/>
        <v>12981</v>
      </c>
      <c r="W206" s="130">
        <f t="shared" si="79"/>
        <v>18003</v>
      </c>
      <c r="X206" s="103">
        <f t="shared" si="82"/>
        <v>18414</v>
      </c>
      <c r="Y206" s="128">
        <f t="shared" si="80"/>
        <v>47597</v>
      </c>
      <c r="Z206" s="128">
        <f t="shared" si="83"/>
        <v>66011</v>
      </c>
      <c r="AB206" s="102">
        <v>2038</v>
      </c>
      <c r="AC206" s="103">
        <f t="shared" si="81"/>
        <v>1960</v>
      </c>
      <c r="AF206" s="102">
        <v>2038</v>
      </c>
      <c r="AG206" s="103">
        <f t="shared" si="70"/>
        <v>42</v>
      </c>
      <c r="AH206" s="103">
        <f t="shared" si="71"/>
        <v>8113</v>
      </c>
      <c r="AI206" s="103">
        <f t="shared" si="72"/>
        <v>29748</v>
      </c>
      <c r="AJ206" s="325"/>
    </row>
    <row r="207" spans="2:36">
      <c r="B207" s="324"/>
      <c r="C207" s="102">
        <v>2039</v>
      </c>
      <c r="D207" s="103">
        <f t="shared" si="65"/>
        <v>1023.2823219458902</v>
      </c>
      <c r="E207" s="103">
        <f t="shared" si="66"/>
        <v>2875.3588035687153</v>
      </c>
      <c r="G207" s="102">
        <v>2039</v>
      </c>
      <c r="H207" s="128">
        <f t="shared" si="73"/>
        <v>64</v>
      </c>
      <c r="I207" s="333">
        <f t="shared" si="73"/>
        <v>147</v>
      </c>
      <c r="J207" s="128">
        <f t="shared" si="67"/>
        <v>12362</v>
      </c>
      <c r="K207" s="129">
        <f t="shared" si="68"/>
        <v>12311</v>
      </c>
      <c r="L207" s="333">
        <f t="shared" si="74"/>
        <v>24673</v>
      </c>
      <c r="M207" s="131">
        <f t="shared" si="85"/>
        <v>45327</v>
      </c>
      <c r="N207" s="131">
        <f t="shared" si="85"/>
        <v>45140</v>
      </c>
      <c r="O207" s="135">
        <f t="shared" si="76"/>
        <v>90467</v>
      </c>
      <c r="R207" s="102">
        <v>2039</v>
      </c>
      <c r="S207" s="128">
        <f t="shared" si="77"/>
        <v>25</v>
      </c>
      <c r="T207" s="128">
        <f t="shared" si="84"/>
        <v>147</v>
      </c>
      <c r="U207" s="103">
        <f t="shared" si="69"/>
        <v>4829</v>
      </c>
      <c r="V207" s="128">
        <f t="shared" si="78"/>
        <v>12311</v>
      </c>
      <c r="W207" s="130">
        <f t="shared" si="79"/>
        <v>17140</v>
      </c>
      <c r="X207" s="103">
        <f t="shared" si="82"/>
        <v>17706</v>
      </c>
      <c r="Y207" s="128">
        <f t="shared" si="80"/>
        <v>45140</v>
      </c>
      <c r="Z207" s="128">
        <f t="shared" si="83"/>
        <v>62846</v>
      </c>
      <c r="AB207" s="102">
        <v>2039</v>
      </c>
      <c r="AC207" s="103">
        <f t="shared" si="81"/>
        <v>1935</v>
      </c>
      <c r="AF207" s="102">
        <v>2039</v>
      </c>
      <c r="AG207" s="103">
        <f t="shared" si="70"/>
        <v>39</v>
      </c>
      <c r="AH207" s="103">
        <f t="shared" si="71"/>
        <v>7533</v>
      </c>
      <c r="AI207" s="103">
        <f t="shared" si="72"/>
        <v>27621</v>
      </c>
      <c r="AJ207" s="325"/>
    </row>
    <row r="208" spans="2:36">
      <c r="B208" s="324"/>
      <c r="C208" s="102">
        <v>2040</v>
      </c>
      <c r="D208" s="103">
        <f t="shared" si="65"/>
        <v>962.81010975190406</v>
      </c>
      <c r="E208" s="103">
        <f t="shared" si="66"/>
        <v>2735.3223012982085</v>
      </c>
      <c r="G208" s="102">
        <v>2040</v>
      </c>
      <c r="H208" s="128">
        <f t="shared" si="73"/>
        <v>60</v>
      </c>
      <c r="I208" s="128">
        <f t="shared" si="73"/>
        <v>140</v>
      </c>
      <c r="J208" s="128">
        <f t="shared" si="67"/>
        <v>11590</v>
      </c>
      <c r="K208" s="129">
        <f t="shared" si="68"/>
        <v>11725</v>
      </c>
      <c r="L208" s="128">
        <f t="shared" si="74"/>
        <v>23315</v>
      </c>
      <c r="M208" s="131">
        <f t="shared" si="85"/>
        <v>42497</v>
      </c>
      <c r="N208" s="131">
        <f t="shared" si="85"/>
        <v>42992</v>
      </c>
      <c r="O208" s="135">
        <f t="shared" si="76"/>
        <v>85489</v>
      </c>
      <c r="R208" s="102">
        <v>2040</v>
      </c>
      <c r="S208" s="128">
        <f t="shared" si="77"/>
        <v>23</v>
      </c>
      <c r="T208" s="128">
        <f t="shared" si="84"/>
        <v>140</v>
      </c>
      <c r="U208" s="103">
        <f t="shared" si="69"/>
        <v>4443</v>
      </c>
      <c r="V208" s="128">
        <f t="shared" si="78"/>
        <v>11725</v>
      </c>
      <c r="W208" s="130">
        <f t="shared" si="79"/>
        <v>16168</v>
      </c>
      <c r="X208" s="103">
        <f t="shared" si="82"/>
        <v>16291</v>
      </c>
      <c r="Y208" s="128">
        <f t="shared" si="80"/>
        <v>42992</v>
      </c>
      <c r="Z208" s="128">
        <f t="shared" si="83"/>
        <v>59283</v>
      </c>
      <c r="AB208" s="102">
        <v>2040</v>
      </c>
      <c r="AC208" s="103">
        <f t="shared" si="81"/>
        <v>1912</v>
      </c>
      <c r="AF208" s="102">
        <v>2040</v>
      </c>
      <c r="AG208" s="103">
        <f t="shared" si="70"/>
        <v>37</v>
      </c>
      <c r="AH208" s="103">
        <f t="shared" si="71"/>
        <v>7147</v>
      </c>
      <c r="AI208" s="103">
        <f t="shared" si="72"/>
        <v>26206</v>
      </c>
      <c r="AJ208" s="325"/>
    </row>
    <row r="209" spans="2:36">
      <c r="B209" s="324"/>
      <c r="AB209" s="110"/>
      <c r="AD209" s="141"/>
      <c r="AE209" s="141"/>
      <c r="AF209" s="141"/>
      <c r="AJ209" s="325"/>
    </row>
    <row r="210" spans="2:36">
      <c r="B210" s="324"/>
      <c r="AB210" s="110"/>
      <c r="AD210" s="141"/>
      <c r="AE210" s="141"/>
      <c r="AF210" s="141"/>
      <c r="AJ210" s="325"/>
    </row>
    <row r="211" spans="2:36">
      <c r="B211" s="324"/>
      <c r="AB211" s="110"/>
      <c r="AD211" s="141"/>
      <c r="AE211" s="141"/>
      <c r="AF211" s="141"/>
      <c r="AJ211" s="325"/>
    </row>
    <row r="212" spans="2:36">
      <c r="B212" s="324"/>
      <c r="AB212" s="110"/>
      <c r="AD212" s="141"/>
      <c r="AE212" s="141"/>
      <c r="AF212" s="141"/>
      <c r="AJ212" s="325"/>
    </row>
    <row r="213" spans="2:36">
      <c r="B213" s="334"/>
      <c r="C213" s="107"/>
      <c r="D213" s="107"/>
      <c r="E213" s="107"/>
      <c r="F213" s="107"/>
      <c r="G213" s="107"/>
      <c r="H213" s="107"/>
      <c r="I213" s="107"/>
      <c r="J213" s="107"/>
      <c r="K213" s="107"/>
      <c r="L213" s="107"/>
      <c r="M213" s="107"/>
      <c r="N213" s="107"/>
      <c r="O213" s="107"/>
      <c r="P213" s="107"/>
      <c r="Q213" s="107"/>
      <c r="R213" s="107"/>
      <c r="S213" s="107"/>
      <c r="T213" s="107"/>
      <c r="U213" s="107"/>
      <c r="V213" s="107"/>
      <c r="W213" s="107"/>
      <c r="X213" s="107"/>
      <c r="Y213" s="107"/>
      <c r="Z213" s="107"/>
      <c r="AA213" s="107"/>
      <c r="AB213" s="335"/>
      <c r="AC213" s="107"/>
      <c r="AD213" s="336"/>
      <c r="AE213" s="336"/>
      <c r="AF213" s="336"/>
      <c r="AG213" s="107"/>
      <c r="AH213" s="107"/>
      <c r="AI213" s="107"/>
      <c r="AJ213" s="338"/>
    </row>
    <row r="214" spans="2:36">
      <c r="AB214" s="110"/>
      <c r="AD214" s="141"/>
      <c r="AE214" s="141"/>
      <c r="AF214" s="141"/>
    </row>
    <row r="215" spans="2:36">
      <c r="AB215" s="110"/>
      <c r="AD215" s="141"/>
      <c r="AE215" s="141"/>
      <c r="AF215" s="141"/>
    </row>
    <row r="216" spans="2:36" ht="18">
      <c r="B216" s="321"/>
      <c r="C216" s="339"/>
      <c r="D216" s="322"/>
      <c r="E216" s="322"/>
      <c r="F216" s="322"/>
      <c r="G216" s="322"/>
      <c r="H216" s="322"/>
      <c r="I216" s="322"/>
      <c r="J216" s="322"/>
      <c r="K216" s="322"/>
      <c r="L216" s="322"/>
      <c r="M216" s="322"/>
      <c r="N216" s="322"/>
      <c r="O216" s="322"/>
      <c r="P216" s="322"/>
      <c r="Q216" s="322"/>
      <c r="R216" s="322"/>
      <c r="S216" s="322"/>
      <c r="T216" s="322"/>
      <c r="U216" s="322"/>
      <c r="V216" s="322"/>
      <c r="W216" s="322"/>
      <c r="X216" s="322"/>
      <c r="Y216" s="322"/>
      <c r="Z216" s="322"/>
      <c r="AA216" s="322"/>
      <c r="AB216" s="189"/>
      <c r="AC216" s="322"/>
      <c r="AD216" s="340"/>
      <c r="AE216" s="340"/>
      <c r="AF216" s="340"/>
      <c r="AG216" s="322"/>
      <c r="AH216" s="322"/>
      <c r="AI216" s="322"/>
      <c r="AJ216" s="323"/>
    </row>
    <row r="217" spans="2:36" ht="18">
      <c r="B217" s="324"/>
      <c r="C217" s="326" t="s">
        <v>188</v>
      </c>
      <c r="AF217" s="110"/>
      <c r="AJ217" s="325"/>
    </row>
    <row r="218" spans="2:36">
      <c r="B218" s="324"/>
      <c r="AJ218" s="325"/>
    </row>
    <row r="219" spans="2:36">
      <c r="B219" s="324"/>
      <c r="C219" s="95" t="s">
        <v>280</v>
      </c>
      <c r="AJ219" s="325"/>
    </row>
    <row r="220" spans="2:36" ht="13">
      <c r="B220" s="324"/>
      <c r="C220" s="483" t="s">
        <v>77</v>
      </c>
      <c r="D220" s="484" t="s">
        <v>171</v>
      </c>
      <c r="E220" s="485"/>
      <c r="F220" s="121"/>
      <c r="I220" s="95">
        <v>2003</v>
      </c>
      <c r="J220" s="95">
        <v>2012</v>
      </c>
      <c r="AJ220" s="325"/>
    </row>
    <row r="221" spans="2:36" ht="13">
      <c r="B221" s="324"/>
      <c r="C221" s="483"/>
      <c r="D221" s="123" t="s">
        <v>172</v>
      </c>
      <c r="E221" s="124" t="s">
        <v>78</v>
      </c>
      <c r="F221" s="327"/>
      <c r="H221" s="95" t="s">
        <v>79</v>
      </c>
      <c r="I221" s="110">
        <v>13410</v>
      </c>
      <c r="J221" s="110">
        <v>5960</v>
      </c>
      <c r="K221" s="122">
        <f>(J221/I221)^(1/9)-1</f>
        <v>-8.6163271359421367E-2</v>
      </c>
      <c r="AJ221" s="325"/>
    </row>
    <row r="222" spans="2:36">
      <c r="B222" s="324"/>
      <c r="C222" s="125">
        <v>2003</v>
      </c>
      <c r="D222" s="117">
        <v>13410</v>
      </c>
      <c r="E222" s="117">
        <v>26720</v>
      </c>
      <c r="F222" s="110"/>
      <c r="H222" s="95" t="s">
        <v>81</v>
      </c>
      <c r="I222" s="110">
        <v>26720</v>
      </c>
      <c r="J222" s="110">
        <v>19870</v>
      </c>
      <c r="K222" s="122">
        <f>(J222/I222)^(1/9)-1</f>
        <v>-3.237557208009223E-2</v>
      </c>
      <c r="AJ222" s="325"/>
    </row>
    <row r="223" spans="2:36">
      <c r="B223" s="324"/>
      <c r="C223" s="102">
        <v>2004</v>
      </c>
      <c r="D223" s="103">
        <f t="shared" ref="D223:D259" si="86">(D222*(1+$K$221))</f>
        <v>12254.550531070159</v>
      </c>
      <c r="E223" s="103">
        <f t="shared" ref="E223:E259" si="87">(E222*(1+$K$222))</f>
        <v>25854.924714019937</v>
      </c>
      <c r="F223" s="110"/>
      <c r="AJ223" s="325"/>
    </row>
    <row r="224" spans="2:36">
      <c r="B224" s="324"/>
      <c r="C224" s="102">
        <v>2005</v>
      </c>
      <c r="D224" s="103">
        <f t="shared" si="86"/>
        <v>11198.65836827382</v>
      </c>
      <c r="E224" s="103">
        <f t="shared" si="87"/>
        <v>25017.856735315825</v>
      </c>
      <c r="F224" s="110"/>
      <c r="AJ224" s="325"/>
    </row>
    <row r="225" spans="2:36">
      <c r="B225" s="324"/>
      <c r="C225" s="102">
        <v>2006</v>
      </c>
      <c r="D225" s="103">
        <f t="shared" si="86"/>
        <v>10233.745328426789</v>
      </c>
      <c r="E225" s="103">
        <f t="shared" si="87"/>
        <v>24207.889311292187</v>
      </c>
      <c r="F225" s="110"/>
      <c r="AJ225" s="325"/>
    </row>
    <row r="226" spans="2:36">
      <c r="B226" s="324"/>
      <c r="C226" s="102">
        <v>2007</v>
      </c>
      <c r="D226" s="103">
        <f t="shared" si="86"/>
        <v>9351.9723526703401</v>
      </c>
      <c r="E226" s="103">
        <f t="shared" si="87"/>
        <v>23424.145045987552</v>
      </c>
      <c r="F226" s="110"/>
      <c r="AJ226" s="325"/>
    </row>
    <row r="227" spans="2:36">
      <c r="B227" s="324"/>
      <c r="C227" s="102">
        <v>2008</v>
      </c>
      <c r="D227" s="103">
        <f t="shared" si="86"/>
        <v>8546.1758211013985</v>
      </c>
      <c r="E227" s="103">
        <f t="shared" si="87"/>
        <v>22665.774949636649</v>
      </c>
      <c r="F227" s="110"/>
      <c r="AJ227" s="325"/>
    </row>
    <row r="228" spans="2:36">
      <c r="B228" s="324"/>
      <c r="C228" s="102">
        <v>2009</v>
      </c>
      <c r="D228" s="103">
        <f t="shared" si="86"/>
        <v>7809.8093547425133</v>
      </c>
      <c r="E228" s="103">
        <f t="shared" si="87"/>
        <v>21931.957519003539</v>
      </c>
      <c r="F228" s="110"/>
      <c r="AJ228" s="325"/>
    </row>
    <row r="229" spans="2:36">
      <c r="B229" s="324"/>
      <c r="C229" s="102">
        <v>2010</v>
      </c>
      <c r="D229" s="103">
        <f t="shared" si="86"/>
        <v>7136.8906320444867</v>
      </c>
      <c r="E229" s="103">
        <f t="shared" si="87"/>
        <v>21221.897847489519</v>
      </c>
      <c r="F229" s="110"/>
      <c r="AJ229" s="325"/>
    </row>
    <row r="230" spans="2:36">
      <c r="B230" s="324"/>
      <c r="C230" s="102">
        <v>2011</v>
      </c>
      <c r="D230" s="103">
        <f t="shared" si="86"/>
        <v>6521.9527878531253</v>
      </c>
      <c r="E230" s="103">
        <f t="shared" si="87"/>
        <v>20534.82676405177</v>
      </c>
      <c r="F230" s="110"/>
      <c r="AJ230" s="325"/>
    </row>
    <row r="231" spans="2:36">
      <c r="B231" s="324"/>
      <c r="C231" s="125">
        <v>2012</v>
      </c>
      <c r="D231" s="117">
        <f t="shared" si="86"/>
        <v>5960.0000000000018</v>
      </c>
      <c r="E231" s="117">
        <f t="shared" si="87"/>
        <v>19870.000000000004</v>
      </c>
      <c r="F231" s="110"/>
      <c r="AJ231" s="325"/>
    </row>
    <row r="232" spans="2:36">
      <c r="B232" s="324"/>
      <c r="C232" s="102">
        <v>2013</v>
      </c>
      <c r="D232" s="103">
        <f t="shared" si="86"/>
        <v>5446.4669026978499</v>
      </c>
      <c r="E232" s="103">
        <f t="shared" si="87"/>
        <v>19226.697382768572</v>
      </c>
      <c r="F232" s="110"/>
      <c r="AJ232" s="325"/>
    </row>
    <row r="233" spans="2:36">
      <c r="B233" s="324"/>
      <c r="C233" s="102">
        <v>2014</v>
      </c>
      <c r="D233" s="103">
        <f t="shared" si="86"/>
        <v>4977.1814970105879</v>
      </c>
      <c r="E233" s="103">
        <f t="shared" si="87"/>
        <v>18604.222055790629</v>
      </c>
      <c r="F233" s="110"/>
      <c r="AJ233" s="325"/>
    </row>
    <row r="234" spans="2:36">
      <c r="B234" s="324"/>
      <c r="C234" s="102">
        <v>2015</v>
      </c>
      <c r="D234" s="103">
        <f t="shared" si="86"/>
        <v>4548.3312570785738</v>
      </c>
      <c r="E234" s="103">
        <f t="shared" si="87"/>
        <v>18001.89972362934</v>
      </c>
      <c r="F234" s="110"/>
      <c r="AJ234" s="325"/>
    </row>
    <row r="235" spans="2:36">
      <c r="B235" s="324"/>
      <c r="C235" s="102">
        <v>2016</v>
      </c>
      <c r="D235" s="103">
        <f t="shared" si="86"/>
        <v>4156.4321567423749</v>
      </c>
      <c r="E235" s="103">
        <f t="shared" si="87"/>
        <v>17419.077921548385</v>
      </c>
      <c r="F235" s="110"/>
      <c r="AJ235" s="325"/>
    </row>
    <row r="236" spans="2:36" ht="16">
      <c r="B236" s="324"/>
      <c r="C236" s="102">
        <v>2017</v>
      </c>
      <c r="D236" s="103">
        <f t="shared" si="86"/>
        <v>3798.3003649339566</v>
      </c>
      <c r="E236" s="103">
        <f t="shared" si="87"/>
        <v>16855.125308730552</v>
      </c>
      <c r="F236" s="110"/>
      <c r="G236" s="328" t="s">
        <v>189</v>
      </c>
      <c r="R236" s="328" t="s">
        <v>190</v>
      </c>
      <c r="AB236" s="328" t="s">
        <v>278</v>
      </c>
      <c r="AF236" s="328" t="s">
        <v>175</v>
      </c>
      <c r="AJ236" s="325"/>
    </row>
    <row r="237" spans="2:36" ht="15">
      <c r="B237" s="324"/>
      <c r="C237" s="102">
        <v>2018</v>
      </c>
      <c r="D237" s="103">
        <f t="shared" si="86"/>
        <v>3471.0263798855631</v>
      </c>
      <c r="E237" s="103">
        <f t="shared" si="87"/>
        <v>16309.43098437876</v>
      </c>
      <c r="F237" s="110"/>
      <c r="G237" s="300" t="s">
        <v>85</v>
      </c>
      <c r="H237" s="486" t="s">
        <v>176</v>
      </c>
      <c r="I237" s="487"/>
      <c r="J237" s="486" t="s">
        <v>177</v>
      </c>
      <c r="K237" s="488"/>
      <c r="L237" s="487"/>
      <c r="M237" s="486" t="s">
        <v>178</v>
      </c>
      <c r="N237" s="488"/>
      <c r="O237" s="487"/>
      <c r="R237" s="329" t="s">
        <v>85</v>
      </c>
      <c r="S237" s="489" t="s">
        <v>176</v>
      </c>
      <c r="T237" s="490"/>
      <c r="U237" s="489" t="s">
        <v>177</v>
      </c>
      <c r="V237" s="491"/>
      <c r="W237" s="490"/>
      <c r="X237" s="489" t="s">
        <v>179</v>
      </c>
      <c r="Y237" s="491"/>
      <c r="Z237" s="490"/>
      <c r="AB237" s="477" t="s">
        <v>85</v>
      </c>
      <c r="AC237" s="479" t="s">
        <v>180</v>
      </c>
      <c r="AF237" s="477" t="s">
        <v>85</v>
      </c>
      <c r="AG237" s="481" t="s">
        <v>180</v>
      </c>
      <c r="AH237" s="481" t="s">
        <v>181</v>
      </c>
      <c r="AI237" s="481" t="s">
        <v>182</v>
      </c>
      <c r="AJ237" s="325"/>
    </row>
    <row r="238" spans="2:36" ht="14">
      <c r="B238" s="324"/>
      <c r="C238" s="102">
        <v>2019</v>
      </c>
      <c r="D238" s="103">
        <f t="shared" si="86"/>
        <v>3171.9513920197733</v>
      </c>
      <c r="E238" s="103">
        <f t="shared" si="87"/>
        <v>15781.403825958716</v>
      </c>
      <c r="F238" s="110"/>
      <c r="G238" s="99"/>
      <c r="H238" s="126" t="s">
        <v>86</v>
      </c>
      <c r="I238" s="126" t="s">
        <v>87</v>
      </c>
      <c r="J238" s="126" t="s">
        <v>86</v>
      </c>
      <c r="K238" s="126" t="s">
        <v>87</v>
      </c>
      <c r="L238" s="126" t="s">
        <v>88</v>
      </c>
      <c r="M238" s="126" t="s">
        <v>86</v>
      </c>
      <c r="N238" s="126" t="s">
        <v>87</v>
      </c>
      <c r="O238" s="126" t="s">
        <v>88</v>
      </c>
      <c r="R238" s="330"/>
      <c r="S238" s="331" t="s">
        <v>183</v>
      </c>
      <c r="T238" s="331" t="s">
        <v>184</v>
      </c>
      <c r="U238" s="331" t="s">
        <v>183</v>
      </c>
      <c r="V238" s="331" t="s">
        <v>184</v>
      </c>
      <c r="W238" s="332" t="s">
        <v>88</v>
      </c>
      <c r="X238" s="331" t="s">
        <v>183</v>
      </c>
      <c r="Y238" s="331" t="s">
        <v>184</v>
      </c>
      <c r="Z238" s="331" t="s">
        <v>88</v>
      </c>
      <c r="AB238" s="478"/>
      <c r="AC238" s="480"/>
      <c r="AF238" s="478"/>
      <c r="AG238" s="482"/>
      <c r="AH238" s="482"/>
      <c r="AI238" s="482"/>
      <c r="AJ238" s="325"/>
    </row>
    <row r="239" spans="2:36">
      <c r="B239" s="324"/>
      <c r="C239" s="125">
        <v>2020</v>
      </c>
      <c r="D239" s="117">
        <f t="shared" si="86"/>
        <v>2898.6456834902792</v>
      </c>
      <c r="E239" s="117">
        <f t="shared" si="87"/>
        <v>15270.471848866346</v>
      </c>
      <c r="F239" s="110"/>
      <c r="G239" s="102">
        <v>2020</v>
      </c>
      <c r="H239" s="128">
        <f>ROUND(D238-D239,0)</f>
        <v>273</v>
      </c>
      <c r="I239" s="128">
        <f>ROUND(E238-E239,0)</f>
        <v>511</v>
      </c>
      <c r="J239" s="128">
        <f t="shared" ref="J239:J259" si="88">ROUND(H239*$AI$15,0)</f>
        <v>40669</v>
      </c>
      <c r="K239" s="128">
        <f t="shared" ref="K239:K259" si="89">ROUND(I239*$AI$26,0)</f>
        <v>62950</v>
      </c>
      <c r="L239" s="128">
        <f>SUM(J239:K239)</f>
        <v>103619</v>
      </c>
      <c r="M239" s="128">
        <f>ROUND(J239*(44/12),0)</f>
        <v>149120</v>
      </c>
      <c r="N239" s="128">
        <f>ROUND(K239*(44/12),0)</f>
        <v>230817</v>
      </c>
      <c r="O239" s="128">
        <f>SUM(M239:N239)</f>
        <v>379937</v>
      </c>
      <c r="R239" s="102">
        <v>2020</v>
      </c>
      <c r="S239" s="128">
        <f>H239</f>
        <v>273</v>
      </c>
      <c r="T239" s="128">
        <f>I239</f>
        <v>511</v>
      </c>
      <c r="U239" s="103">
        <f t="shared" ref="U239:U259" si="90">ROUND(S239*$AI$15,0)</f>
        <v>40669</v>
      </c>
      <c r="V239" s="128">
        <f>K239</f>
        <v>62950</v>
      </c>
      <c r="W239" s="130">
        <f>U239+V239</f>
        <v>103619</v>
      </c>
      <c r="X239" s="103">
        <f>ROUND(U239*(44/12),0)</f>
        <v>149120</v>
      </c>
      <c r="Y239" s="128">
        <f>N239</f>
        <v>230817</v>
      </c>
      <c r="Z239" s="128">
        <f>SUM(X239:Y239)</f>
        <v>379937</v>
      </c>
      <c r="AB239" s="102">
        <v>2020</v>
      </c>
      <c r="AC239" s="103">
        <f>ROUND(D239,0)</f>
        <v>2899</v>
      </c>
      <c r="AF239" s="102">
        <v>2020</v>
      </c>
      <c r="AG239" s="103">
        <f t="shared" ref="AG239:AG259" si="91">H239-S239</f>
        <v>0</v>
      </c>
      <c r="AH239" s="103">
        <f t="shared" ref="AH239:AH259" si="92">L239-W239</f>
        <v>0</v>
      </c>
      <c r="AI239" s="103">
        <f t="shared" ref="AI239:AI259" si="93">O239-Z239</f>
        <v>0</v>
      </c>
      <c r="AJ239" s="325"/>
    </row>
    <row r="240" spans="2:36">
      <c r="B240" s="324"/>
      <c r="C240" s="102">
        <v>2021</v>
      </c>
      <c r="D240" s="103">
        <f t="shared" si="86"/>
        <v>2648.888888888891</v>
      </c>
      <c r="E240" s="103">
        <f t="shared" si="87"/>
        <v>14776.081586826354</v>
      </c>
      <c r="F240" s="110"/>
      <c r="G240" s="102">
        <v>2021</v>
      </c>
      <c r="H240" s="128">
        <f t="shared" ref="H240:I259" si="94">ROUND(D239-D240,0)</f>
        <v>250</v>
      </c>
      <c r="I240" s="128">
        <f t="shared" si="94"/>
        <v>494</v>
      </c>
      <c r="J240" s="128">
        <f t="shared" si="88"/>
        <v>37243</v>
      </c>
      <c r="K240" s="128">
        <f t="shared" si="89"/>
        <v>60856</v>
      </c>
      <c r="L240" s="128">
        <f t="shared" ref="L240:L259" si="95">SUM(J240:K240)</f>
        <v>98099</v>
      </c>
      <c r="M240" s="128">
        <f>ROUND(J240*(44/12),0)</f>
        <v>136558</v>
      </c>
      <c r="N240" s="128">
        <f t="shared" ref="N240:N259" si="96">ROUND(K240*(44/12),0)</f>
        <v>223139</v>
      </c>
      <c r="O240" s="128">
        <f t="shared" ref="O240:O258" si="97">SUM(M240:N240)</f>
        <v>359697</v>
      </c>
      <c r="R240" s="102">
        <v>2021</v>
      </c>
      <c r="S240" s="128">
        <f t="shared" ref="S240:S259" si="98">ROUND(H240-H240*E7,0)</f>
        <v>250</v>
      </c>
      <c r="T240" s="128">
        <f t="shared" ref="T240:T259" si="99">I240</f>
        <v>494</v>
      </c>
      <c r="U240" s="103">
        <f t="shared" si="90"/>
        <v>37243</v>
      </c>
      <c r="V240" s="128">
        <f t="shared" ref="V240:V259" si="100">K240</f>
        <v>60856</v>
      </c>
      <c r="W240" s="130">
        <f t="shared" ref="W240:W259" si="101">U240+V240</f>
        <v>98099</v>
      </c>
      <c r="X240" s="103">
        <f t="shared" ref="X240:X259" si="102">ROUND(U240*(44/12),0)</f>
        <v>136558</v>
      </c>
      <c r="Y240" s="128">
        <f t="shared" ref="Y240:Y259" si="103">N240</f>
        <v>223139</v>
      </c>
      <c r="Z240" s="128">
        <f t="shared" ref="Z240:Z259" si="104">SUM(X240:Y240)</f>
        <v>359697</v>
      </c>
      <c r="AB240" s="102">
        <v>2021</v>
      </c>
      <c r="AC240" s="103">
        <f t="shared" ref="AC240:AC259" si="105">AC239-S240</f>
        <v>2649</v>
      </c>
      <c r="AF240" s="102">
        <v>2021</v>
      </c>
      <c r="AG240" s="103">
        <f t="shared" si="91"/>
        <v>0</v>
      </c>
      <c r="AH240" s="103">
        <f t="shared" si="92"/>
        <v>0</v>
      </c>
      <c r="AI240" s="103">
        <f t="shared" si="93"/>
        <v>0</v>
      </c>
      <c r="AJ240" s="325"/>
    </row>
    <row r="241" spans="2:36">
      <c r="B241" s="324"/>
      <c r="C241" s="102">
        <v>2022</v>
      </c>
      <c r="D241" s="103">
        <f t="shared" si="86"/>
        <v>2420.6519567546011</v>
      </c>
      <c r="E241" s="103">
        <f t="shared" si="87"/>
        <v>14297.697492350735</v>
      </c>
      <c r="F241" s="110"/>
      <c r="G241" s="102">
        <v>2022</v>
      </c>
      <c r="H241" s="128">
        <f t="shared" si="94"/>
        <v>228</v>
      </c>
      <c r="I241" s="128">
        <f t="shared" si="94"/>
        <v>478</v>
      </c>
      <c r="J241" s="128">
        <f t="shared" si="88"/>
        <v>33965</v>
      </c>
      <c r="K241" s="128">
        <f t="shared" si="89"/>
        <v>58885</v>
      </c>
      <c r="L241" s="128">
        <f t="shared" si="95"/>
        <v>92850</v>
      </c>
      <c r="M241" s="128">
        <f t="shared" ref="M241:M258" si="106">ROUND(J241*(44/12),0)</f>
        <v>124538</v>
      </c>
      <c r="N241" s="128">
        <f t="shared" si="96"/>
        <v>215912</v>
      </c>
      <c r="O241" s="128">
        <f t="shared" si="97"/>
        <v>340450</v>
      </c>
      <c r="R241" s="102">
        <v>2022</v>
      </c>
      <c r="S241" s="128">
        <f t="shared" si="98"/>
        <v>224</v>
      </c>
      <c r="T241" s="128">
        <f t="shared" si="99"/>
        <v>478</v>
      </c>
      <c r="U241" s="103">
        <f t="shared" si="90"/>
        <v>33369</v>
      </c>
      <c r="V241" s="128">
        <f t="shared" si="100"/>
        <v>58885</v>
      </c>
      <c r="W241" s="130">
        <f t="shared" si="101"/>
        <v>92254</v>
      </c>
      <c r="X241" s="103">
        <f t="shared" si="102"/>
        <v>122353</v>
      </c>
      <c r="Y241" s="128">
        <f t="shared" si="103"/>
        <v>215912</v>
      </c>
      <c r="Z241" s="128">
        <f t="shared" si="104"/>
        <v>338265</v>
      </c>
      <c r="AB241" s="102">
        <v>2022</v>
      </c>
      <c r="AC241" s="103">
        <f t="shared" si="105"/>
        <v>2425</v>
      </c>
      <c r="AF241" s="102">
        <v>2022</v>
      </c>
      <c r="AG241" s="103">
        <f t="shared" si="91"/>
        <v>4</v>
      </c>
      <c r="AH241" s="103">
        <f t="shared" si="92"/>
        <v>596</v>
      </c>
      <c r="AI241" s="103">
        <f t="shared" si="93"/>
        <v>2185</v>
      </c>
      <c r="AJ241" s="325"/>
    </row>
    <row r="242" spans="2:36">
      <c r="B242" s="324"/>
      <c r="C242" s="102">
        <v>2023</v>
      </c>
      <c r="D242" s="103">
        <f t="shared" si="86"/>
        <v>2212.08066533804</v>
      </c>
      <c r="E242" s="103">
        <f t="shared" si="87"/>
        <v>13834.801356607781</v>
      </c>
      <c r="F242" s="110"/>
      <c r="G242" s="102">
        <v>2023</v>
      </c>
      <c r="H242" s="128">
        <f t="shared" si="94"/>
        <v>209</v>
      </c>
      <c r="I242" s="128">
        <f t="shared" si="94"/>
        <v>463</v>
      </c>
      <c r="J242" s="128">
        <f t="shared" si="88"/>
        <v>31135</v>
      </c>
      <c r="K242" s="128">
        <f t="shared" si="89"/>
        <v>57037</v>
      </c>
      <c r="L242" s="128">
        <f t="shared" si="95"/>
        <v>88172</v>
      </c>
      <c r="M242" s="128">
        <f t="shared" si="106"/>
        <v>114162</v>
      </c>
      <c r="N242" s="128">
        <f t="shared" si="96"/>
        <v>209136</v>
      </c>
      <c r="O242" s="128">
        <f t="shared" si="97"/>
        <v>323298</v>
      </c>
      <c r="R242" s="102">
        <v>2023</v>
      </c>
      <c r="S242" s="128">
        <f t="shared" si="98"/>
        <v>191</v>
      </c>
      <c r="T242" s="128">
        <f t="shared" si="99"/>
        <v>463</v>
      </c>
      <c r="U242" s="103">
        <f t="shared" si="90"/>
        <v>28453</v>
      </c>
      <c r="V242" s="128">
        <f t="shared" si="100"/>
        <v>57037</v>
      </c>
      <c r="W242" s="130">
        <f t="shared" si="101"/>
        <v>85490</v>
      </c>
      <c r="X242" s="103">
        <f t="shared" si="102"/>
        <v>104328</v>
      </c>
      <c r="Y242" s="128">
        <f t="shared" si="103"/>
        <v>209136</v>
      </c>
      <c r="Z242" s="128">
        <f t="shared" si="104"/>
        <v>313464</v>
      </c>
      <c r="AB242" s="102">
        <v>2023</v>
      </c>
      <c r="AC242" s="103">
        <f t="shared" si="105"/>
        <v>2234</v>
      </c>
      <c r="AF242" s="102">
        <v>2023</v>
      </c>
      <c r="AG242" s="103">
        <f t="shared" si="91"/>
        <v>18</v>
      </c>
      <c r="AH242" s="103">
        <f t="shared" si="92"/>
        <v>2682</v>
      </c>
      <c r="AI242" s="103">
        <f t="shared" si="93"/>
        <v>9834</v>
      </c>
      <c r="AJ242" s="325"/>
    </row>
    <row r="243" spans="2:36">
      <c r="B243" s="324"/>
      <c r="C243" s="102">
        <v>2024</v>
      </c>
      <c r="D243" s="103">
        <f t="shared" si="86"/>
        <v>2021.4805587015892</v>
      </c>
      <c r="E243" s="103">
        <f t="shared" si="87"/>
        <v>13386.891748073167</v>
      </c>
      <c r="F243" s="110"/>
      <c r="G243" s="102">
        <v>2024</v>
      </c>
      <c r="H243" s="128">
        <f t="shared" si="94"/>
        <v>191</v>
      </c>
      <c r="I243" s="128">
        <f t="shared" si="94"/>
        <v>448</v>
      </c>
      <c r="J243" s="128">
        <f t="shared" si="88"/>
        <v>28453</v>
      </c>
      <c r="K243" s="128">
        <f t="shared" si="89"/>
        <v>55189</v>
      </c>
      <c r="L243" s="128">
        <f t="shared" si="95"/>
        <v>83642</v>
      </c>
      <c r="M243" s="128">
        <f t="shared" si="106"/>
        <v>104328</v>
      </c>
      <c r="N243" s="128">
        <f t="shared" si="96"/>
        <v>202360</v>
      </c>
      <c r="O243" s="128">
        <f t="shared" si="97"/>
        <v>306688</v>
      </c>
      <c r="R243" s="102">
        <v>2024</v>
      </c>
      <c r="S243" s="128">
        <f t="shared" si="98"/>
        <v>151</v>
      </c>
      <c r="T243" s="128">
        <f t="shared" si="99"/>
        <v>448</v>
      </c>
      <c r="U243" s="103">
        <f t="shared" si="90"/>
        <v>22494</v>
      </c>
      <c r="V243" s="128">
        <f t="shared" si="100"/>
        <v>55189</v>
      </c>
      <c r="W243" s="130">
        <f t="shared" si="101"/>
        <v>77683</v>
      </c>
      <c r="X243" s="103">
        <f t="shared" si="102"/>
        <v>82478</v>
      </c>
      <c r="Y243" s="128">
        <f t="shared" si="103"/>
        <v>202360</v>
      </c>
      <c r="Z243" s="128">
        <f t="shared" si="104"/>
        <v>284838</v>
      </c>
      <c r="AB243" s="102">
        <v>2024</v>
      </c>
      <c r="AC243" s="103">
        <f t="shared" si="105"/>
        <v>2083</v>
      </c>
      <c r="AF243" s="102">
        <v>2024</v>
      </c>
      <c r="AG243" s="103">
        <f t="shared" si="91"/>
        <v>40</v>
      </c>
      <c r="AH243" s="103">
        <f t="shared" si="92"/>
        <v>5959</v>
      </c>
      <c r="AI243" s="103">
        <f t="shared" si="93"/>
        <v>21850</v>
      </c>
      <c r="AJ243" s="325"/>
    </row>
    <row r="244" spans="2:36">
      <c r="B244" s="324"/>
      <c r="C244" s="102">
        <v>2025</v>
      </c>
      <c r="D244" s="103">
        <f t="shared" si="86"/>
        <v>1847.3031807743894</v>
      </c>
      <c r="E244" s="103">
        <f t="shared" si="87"/>
        <v>12953.483469355033</v>
      </c>
      <c r="F244" s="110"/>
      <c r="G244" s="102">
        <v>2025</v>
      </c>
      <c r="H244" s="128">
        <f t="shared" si="94"/>
        <v>174</v>
      </c>
      <c r="I244" s="128">
        <f t="shared" si="94"/>
        <v>433</v>
      </c>
      <c r="J244" s="128">
        <f t="shared" si="88"/>
        <v>25921</v>
      </c>
      <c r="K244" s="128">
        <f t="shared" si="89"/>
        <v>53341</v>
      </c>
      <c r="L244" s="128">
        <f t="shared" si="95"/>
        <v>79262</v>
      </c>
      <c r="M244" s="128">
        <f t="shared" si="106"/>
        <v>95044</v>
      </c>
      <c r="N244" s="128">
        <f t="shared" si="96"/>
        <v>195584</v>
      </c>
      <c r="O244" s="128">
        <f t="shared" si="97"/>
        <v>290628</v>
      </c>
      <c r="R244" s="102">
        <v>2025</v>
      </c>
      <c r="S244" s="128">
        <f t="shared" si="98"/>
        <v>107</v>
      </c>
      <c r="T244" s="128">
        <f t="shared" si="99"/>
        <v>433</v>
      </c>
      <c r="U244" s="103">
        <f t="shared" si="90"/>
        <v>15940</v>
      </c>
      <c r="V244" s="128">
        <f t="shared" si="100"/>
        <v>53341</v>
      </c>
      <c r="W244" s="130">
        <f t="shared" si="101"/>
        <v>69281</v>
      </c>
      <c r="X244" s="103">
        <f t="shared" si="102"/>
        <v>58447</v>
      </c>
      <c r="Y244" s="128">
        <f t="shared" si="103"/>
        <v>195584</v>
      </c>
      <c r="Z244" s="128">
        <f t="shared" si="104"/>
        <v>254031</v>
      </c>
      <c r="AB244" s="102">
        <v>2025</v>
      </c>
      <c r="AC244" s="103">
        <f t="shared" si="105"/>
        <v>1976</v>
      </c>
      <c r="AF244" s="102">
        <v>2025</v>
      </c>
      <c r="AG244" s="103">
        <f t="shared" si="91"/>
        <v>67</v>
      </c>
      <c r="AH244" s="103">
        <f t="shared" si="92"/>
        <v>9981</v>
      </c>
      <c r="AI244" s="103">
        <f t="shared" si="93"/>
        <v>36597</v>
      </c>
      <c r="AJ244" s="325"/>
    </row>
    <row r="245" spans="2:36">
      <c r="B245" s="324"/>
      <c r="C245" s="102">
        <v>2026</v>
      </c>
      <c r="D245" s="103">
        <f t="shared" si="86"/>
        <v>1688.1334955262034</v>
      </c>
      <c r="E245" s="103">
        <f t="shared" si="87"/>
        <v>12534.107031604646</v>
      </c>
      <c r="F245" s="110"/>
      <c r="G245" s="102">
        <v>2026</v>
      </c>
      <c r="H245" s="128">
        <f t="shared" si="94"/>
        <v>159</v>
      </c>
      <c r="I245" s="128">
        <f t="shared" si="94"/>
        <v>419</v>
      </c>
      <c r="J245" s="128">
        <f t="shared" si="88"/>
        <v>23686</v>
      </c>
      <c r="K245" s="128">
        <f t="shared" si="89"/>
        <v>51617</v>
      </c>
      <c r="L245" s="128">
        <f t="shared" si="95"/>
        <v>75303</v>
      </c>
      <c r="M245" s="128">
        <f t="shared" si="106"/>
        <v>86849</v>
      </c>
      <c r="N245" s="128">
        <f t="shared" si="96"/>
        <v>189262</v>
      </c>
      <c r="O245" s="128">
        <f t="shared" si="97"/>
        <v>276111</v>
      </c>
      <c r="R245" s="102">
        <v>2026</v>
      </c>
      <c r="S245" s="128">
        <f t="shared" si="98"/>
        <v>69</v>
      </c>
      <c r="T245" s="128">
        <f t="shared" si="99"/>
        <v>419</v>
      </c>
      <c r="U245" s="103">
        <f t="shared" si="90"/>
        <v>10279</v>
      </c>
      <c r="V245" s="128">
        <f t="shared" si="100"/>
        <v>51617</v>
      </c>
      <c r="W245" s="130">
        <f t="shared" si="101"/>
        <v>61896</v>
      </c>
      <c r="X245" s="103">
        <f t="shared" si="102"/>
        <v>37690</v>
      </c>
      <c r="Y245" s="128">
        <f t="shared" si="103"/>
        <v>189262</v>
      </c>
      <c r="Z245" s="128">
        <f t="shared" si="104"/>
        <v>226952</v>
      </c>
      <c r="AB245" s="102">
        <v>2026</v>
      </c>
      <c r="AC245" s="103">
        <f t="shared" si="105"/>
        <v>1907</v>
      </c>
      <c r="AF245" s="102">
        <v>2026</v>
      </c>
      <c r="AG245" s="103">
        <f t="shared" si="91"/>
        <v>90</v>
      </c>
      <c r="AH245" s="103">
        <f t="shared" si="92"/>
        <v>13407</v>
      </c>
      <c r="AI245" s="103">
        <f t="shared" si="93"/>
        <v>49159</v>
      </c>
      <c r="AJ245" s="325"/>
    </row>
    <row r="246" spans="2:36">
      <c r="B246" s="324"/>
      <c r="C246" s="102">
        <v>2027</v>
      </c>
      <c r="D246" s="103">
        <f t="shared" si="86"/>
        <v>1542.6783910602505</v>
      </c>
      <c r="E246" s="103">
        <f t="shared" si="87"/>
        <v>12128.30814594334</v>
      </c>
      <c r="F246" s="110"/>
      <c r="G246" s="102">
        <v>2027</v>
      </c>
      <c r="H246" s="128">
        <f t="shared" si="94"/>
        <v>145</v>
      </c>
      <c r="I246" s="128">
        <f t="shared" si="94"/>
        <v>406</v>
      </c>
      <c r="J246" s="128">
        <f t="shared" si="88"/>
        <v>21601</v>
      </c>
      <c r="K246" s="128">
        <f t="shared" si="89"/>
        <v>50015</v>
      </c>
      <c r="L246" s="128">
        <f t="shared" si="95"/>
        <v>71616</v>
      </c>
      <c r="M246" s="128">
        <f t="shared" si="106"/>
        <v>79204</v>
      </c>
      <c r="N246" s="128">
        <f t="shared" si="96"/>
        <v>183388</v>
      </c>
      <c r="O246" s="128">
        <f t="shared" si="97"/>
        <v>262592</v>
      </c>
      <c r="R246" s="102">
        <v>2027</v>
      </c>
      <c r="S246" s="128">
        <f t="shared" si="98"/>
        <v>40</v>
      </c>
      <c r="T246" s="128">
        <f t="shared" si="99"/>
        <v>406</v>
      </c>
      <c r="U246" s="103">
        <f t="shared" si="90"/>
        <v>5959</v>
      </c>
      <c r="V246" s="128">
        <f t="shared" si="100"/>
        <v>50015</v>
      </c>
      <c r="W246" s="130">
        <f t="shared" si="101"/>
        <v>55974</v>
      </c>
      <c r="X246" s="103">
        <f t="shared" si="102"/>
        <v>21850</v>
      </c>
      <c r="Y246" s="128">
        <f t="shared" si="103"/>
        <v>183388</v>
      </c>
      <c r="Z246" s="128">
        <f t="shared" si="104"/>
        <v>205238</v>
      </c>
      <c r="AB246" s="102">
        <v>2027</v>
      </c>
      <c r="AC246" s="103">
        <f t="shared" si="105"/>
        <v>1867</v>
      </c>
      <c r="AF246" s="102">
        <v>2027</v>
      </c>
      <c r="AG246" s="103">
        <f t="shared" si="91"/>
        <v>105</v>
      </c>
      <c r="AH246" s="103">
        <f t="shared" si="92"/>
        <v>15642</v>
      </c>
      <c r="AI246" s="103">
        <f t="shared" si="93"/>
        <v>57354</v>
      </c>
      <c r="AJ246" s="325"/>
    </row>
    <row r="247" spans="2:36">
      <c r="B247" s="324"/>
      <c r="C247" s="102">
        <v>2028</v>
      </c>
      <c r="D247" s="103">
        <f t="shared" si="86"/>
        <v>1409.7561742310106</v>
      </c>
      <c r="E247" s="103">
        <f t="shared" si="87"/>
        <v>11735.647231354782</v>
      </c>
      <c r="F247" s="110"/>
      <c r="G247" s="102">
        <v>2028</v>
      </c>
      <c r="H247" s="128">
        <f t="shared" si="94"/>
        <v>133</v>
      </c>
      <c r="I247" s="128">
        <f t="shared" si="94"/>
        <v>393</v>
      </c>
      <c r="J247" s="128">
        <f t="shared" si="88"/>
        <v>19813</v>
      </c>
      <c r="K247" s="128">
        <f t="shared" si="89"/>
        <v>48414</v>
      </c>
      <c r="L247" s="128">
        <f t="shared" si="95"/>
        <v>68227</v>
      </c>
      <c r="M247" s="128">
        <f t="shared" si="106"/>
        <v>72648</v>
      </c>
      <c r="N247" s="128">
        <f t="shared" si="96"/>
        <v>177518</v>
      </c>
      <c r="O247" s="128">
        <f t="shared" si="97"/>
        <v>250166</v>
      </c>
      <c r="R247" s="102">
        <v>2028</v>
      </c>
      <c r="S247" s="128">
        <f t="shared" si="98"/>
        <v>23</v>
      </c>
      <c r="T247" s="128">
        <f t="shared" si="99"/>
        <v>393</v>
      </c>
      <c r="U247" s="103">
        <f t="shared" si="90"/>
        <v>3426</v>
      </c>
      <c r="V247" s="128">
        <f t="shared" si="100"/>
        <v>48414</v>
      </c>
      <c r="W247" s="130">
        <f t="shared" si="101"/>
        <v>51840</v>
      </c>
      <c r="X247" s="103">
        <f t="shared" si="102"/>
        <v>12562</v>
      </c>
      <c r="Y247" s="128">
        <f t="shared" si="103"/>
        <v>177518</v>
      </c>
      <c r="Z247" s="128">
        <f t="shared" si="104"/>
        <v>190080</v>
      </c>
      <c r="AB247" s="102">
        <v>2028</v>
      </c>
      <c r="AC247" s="103">
        <f t="shared" si="105"/>
        <v>1844</v>
      </c>
      <c r="AF247" s="102">
        <v>2028</v>
      </c>
      <c r="AG247" s="103">
        <f t="shared" si="91"/>
        <v>110</v>
      </c>
      <c r="AH247" s="103">
        <f t="shared" si="92"/>
        <v>16387</v>
      </c>
      <c r="AI247" s="103">
        <f t="shared" si="93"/>
        <v>60086</v>
      </c>
      <c r="AJ247" s="325"/>
    </row>
    <row r="248" spans="2:36">
      <c r="B248" s="324"/>
      <c r="C248" s="102">
        <v>2029</v>
      </c>
      <c r="D248" s="103">
        <f t="shared" si="86"/>
        <v>1288.2869704401244</v>
      </c>
      <c r="E248" s="103">
        <f t="shared" si="87"/>
        <v>11355.69893850952</v>
      </c>
      <c r="F248" s="110"/>
      <c r="G248" s="102">
        <v>2029</v>
      </c>
      <c r="H248" s="128">
        <f t="shared" si="94"/>
        <v>121</v>
      </c>
      <c r="I248" s="128">
        <f t="shared" si="94"/>
        <v>380</v>
      </c>
      <c r="J248" s="128">
        <f t="shared" si="88"/>
        <v>18025</v>
      </c>
      <c r="K248" s="128">
        <f t="shared" si="89"/>
        <v>46812</v>
      </c>
      <c r="L248" s="128">
        <f t="shared" si="95"/>
        <v>64837</v>
      </c>
      <c r="M248" s="128">
        <f t="shared" si="106"/>
        <v>66092</v>
      </c>
      <c r="N248" s="128">
        <f t="shared" si="96"/>
        <v>171644</v>
      </c>
      <c r="O248" s="128">
        <f t="shared" si="97"/>
        <v>237736</v>
      </c>
      <c r="R248" s="102">
        <v>2029</v>
      </c>
      <c r="S248" s="128">
        <f t="shared" si="98"/>
        <v>15</v>
      </c>
      <c r="T248" s="128">
        <f t="shared" si="99"/>
        <v>380</v>
      </c>
      <c r="U248" s="103">
        <f t="shared" si="90"/>
        <v>2235</v>
      </c>
      <c r="V248" s="128">
        <f t="shared" si="100"/>
        <v>46812</v>
      </c>
      <c r="W248" s="130">
        <f t="shared" si="101"/>
        <v>49047</v>
      </c>
      <c r="X248" s="103">
        <f t="shared" si="102"/>
        <v>8195</v>
      </c>
      <c r="Y248" s="128">
        <f t="shared" si="103"/>
        <v>171644</v>
      </c>
      <c r="Z248" s="128">
        <f t="shared" si="104"/>
        <v>179839</v>
      </c>
      <c r="AB248" s="102">
        <v>2029</v>
      </c>
      <c r="AC248" s="103">
        <f t="shared" si="105"/>
        <v>1829</v>
      </c>
      <c r="AF248" s="102">
        <v>2029</v>
      </c>
      <c r="AG248" s="103">
        <f t="shared" si="91"/>
        <v>106</v>
      </c>
      <c r="AH248" s="103">
        <f t="shared" si="92"/>
        <v>15790</v>
      </c>
      <c r="AI248" s="103">
        <f t="shared" si="93"/>
        <v>57897</v>
      </c>
      <c r="AJ248" s="325"/>
    </row>
    <row r="249" spans="2:36">
      <c r="B249" s="324"/>
      <c r="C249" s="102">
        <v>2030</v>
      </c>
      <c r="D249" s="103">
        <f t="shared" si="86"/>
        <v>1177.2839506172852</v>
      </c>
      <c r="E249" s="103">
        <f t="shared" si="87"/>
        <v>10988.051689005979</v>
      </c>
      <c r="F249" s="110"/>
      <c r="G249" s="102">
        <v>2030</v>
      </c>
      <c r="H249" s="128">
        <f t="shared" si="94"/>
        <v>111</v>
      </c>
      <c r="I249" s="128">
        <f t="shared" si="94"/>
        <v>368</v>
      </c>
      <c r="J249" s="128">
        <f t="shared" si="88"/>
        <v>16536</v>
      </c>
      <c r="K249" s="128">
        <f t="shared" si="89"/>
        <v>45334</v>
      </c>
      <c r="L249" s="128">
        <f t="shared" si="95"/>
        <v>61870</v>
      </c>
      <c r="M249" s="128">
        <f t="shared" si="106"/>
        <v>60632</v>
      </c>
      <c r="N249" s="128">
        <f t="shared" si="96"/>
        <v>166225</v>
      </c>
      <c r="O249" s="128">
        <f t="shared" si="97"/>
        <v>226857</v>
      </c>
      <c r="R249" s="102">
        <v>2030</v>
      </c>
      <c r="S249" s="128">
        <f t="shared" si="98"/>
        <v>13</v>
      </c>
      <c r="T249" s="128">
        <f t="shared" si="99"/>
        <v>368</v>
      </c>
      <c r="U249" s="103">
        <f t="shared" si="90"/>
        <v>1937</v>
      </c>
      <c r="V249" s="128">
        <f t="shared" si="100"/>
        <v>45334</v>
      </c>
      <c r="W249" s="130">
        <f t="shared" si="101"/>
        <v>47271</v>
      </c>
      <c r="X249" s="103">
        <f t="shared" si="102"/>
        <v>7102</v>
      </c>
      <c r="Y249" s="128">
        <f t="shared" si="103"/>
        <v>166225</v>
      </c>
      <c r="Z249" s="128">
        <f t="shared" si="104"/>
        <v>173327</v>
      </c>
      <c r="AB249" s="102">
        <v>2030</v>
      </c>
      <c r="AC249" s="103">
        <f t="shared" si="105"/>
        <v>1816</v>
      </c>
      <c r="AF249" s="102">
        <v>2030</v>
      </c>
      <c r="AG249" s="103">
        <f t="shared" si="91"/>
        <v>98</v>
      </c>
      <c r="AH249" s="103">
        <f t="shared" si="92"/>
        <v>14599</v>
      </c>
      <c r="AI249" s="103">
        <f t="shared" si="93"/>
        <v>53530</v>
      </c>
      <c r="AJ249" s="325"/>
    </row>
    <row r="250" spans="2:36">
      <c r="B250" s="324"/>
      <c r="C250" s="102">
        <v>2031</v>
      </c>
      <c r="D250" s="103">
        <f t="shared" si="86"/>
        <v>1075.8453141131565</v>
      </c>
      <c r="E250" s="103">
        <f t="shared" si="87"/>
        <v>10632.307229528788</v>
      </c>
      <c r="F250" s="110"/>
      <c r="G250" s="102">
        <v>2031</v>
      </c>
      <c r="H250" s="128">
        <f t="shared" si="94"/>
        <v>101</v>
      </c>
      <c r="I250" s="128">
        <f t="shared" si="94"/>
        <v>356</v>
      </c>
      <c r="J250" s="128">
        <f t="shared" si="88"/>
        <v>15046</v>
      </c>
      <c r="K250" s="128">
        <f t="shared" si="89"/>
        <v>43856</v>
      </c>
      <c r="L250" s="128">
        <f t="shared" si="95"/>
        <v>58902</v>
      </c>
      <c r="M250" s="128">
        <f t="shared" si="106"/>
        <v>55169</v>
      </c>
      <c r="N250" s="128">
        <f t="shared" si="96"/>
        <v>160805</v>
      </c>
      <c r="O250" s="128">
        <f t="shared" si="97"/>
        <v>215974</v>
      </c>
      <c r="R250" s="102">
        <v>2031</v>
      </c>
      <c r="S250" s="128">
        <f t="shared" si="98"/>
        <v>12</v>
      </c>
      <c r="T250" s="128">
        <f t="shared" si="99"/>
        <v>356</v>
      </c>
      <c r="U250" s="103">
        <f t="shared" si="90"/>
        <v>1788</v>
      </c>
      <c r="V250" s="128">
        <f t="shared" si="100"/>
        <v>43856</v>
      </c>
      <c r="W250" s="130">
        <f t="shared" si="101"/>
        <v>45644</v>
      </c>
      <c r="X250" s="103">
        <f t="shared" si="102"/>
        <v>6556</v>
      </c>
      <c r="Y250" s="128">
        <f t="shared" si="103"/>
        <v>160805</v>
      </c>
      <c r="Z250" s="128">
        <f t="shared" si="104"/>
        <v>167361</v>
      </c>
      <c r="AB250" s="102">
        <v>2031</v>
      </c>
      <c r="AC250" s="103">
        <f t="shared" si="105"/>
        <v>1804</v>
      </c>
      <c r="AF250" s="102">
        <v>2031</v>
      </c>
      <c r="AG250" s="103">
        <f t="shared" si="91"/>
        <v>89</v>
      </c>
      <c r="AH250" s="103">
        <f t="shared" si="92"/>
        <v>13258</v>
      </c>
      <c r="AI250" s="103">
        <f t="shared" si="93"/>
        <v>48613</v>
      </c>
      <c r="AJ250" s="325"/>
    </row>
    <row r="251" spans="2:36">
      <c r="B251" s="324"/>
      <c r="C251" s="102">
        <v>2032</v>
      </c>
      <c r="D251" s="103">
        <f t="shared" si="86"/>
        <v>983.14696237246267</v>
      </c>
      <c r="E251" s="103">
        <f t="shared" si="87"/>
        <v>10288.080200441493</v>
      </c>
      <c r="F251" s="110"/>
      <c r="G251" s="102">
        <v>2032</v>
      </c>
      <c r="H251" s="128">
        <f t="shared" si="94"/>
        <v>93</v>
      </c>
      <c r="I251" s="128">
        <f t="shared" si="94"/>
        <v>344</v>
      </c>
      <c r="J251" s="128">
        <f t="shared" si="88"/>
        <v>13854</v>
      </c>
      <c r="K251" s="128">
        <f t="shared" si="89"/>
        <v>42377</v>
      </c>
      <c r="L251" s="128">
        <f t="shared" si="95"/>
        <v>56231</v>
      </c>
      <c r="M251" s="128">
        <f t="shared" si="106"/>
        <v>50798</v>
      </c>
      <c r="N251" s="128">
        <f t="shared" si="96"/>
        <v>155382</v>
      </c>
      <c r="O251" s="128">
        <f t="shared" si="97"/>
        <v>206180</v>
      </c>
      <c r="R251" s="102">
        <v>2032</v>
      </c>
      <c r="S251" s="128">
        <f t="shared" si="98"/>
        <v>11</v>
      </c>
      <c r="T251" s="128">
        <f t="shared" si="99"/>
        <v>344</v>
      </c>
      <c r="U251" s="103">
        <f t="shared" si="90"/>
        <v>1639</v>
      </c>
      <c r="V251" s="128">
        <f t="shared" si="100"/>
        <v>42377</v>
      </c>
      <c r="W251" s="130">
        <f t="shared" si="101"/>
        <v>44016</v>
      </c>
      <c r="X251" s="103">
        <f t="shared" si="102"/>
        <v>6010</v>
      </c>
      <c r="Y251" s="128">
        <f t="shared" si="103"/>
        <v>155382</v>
      </c>
      <c r="Z251" s="128">
        <f t="shared" si="104"/>
        <v>161392</v>
      </c>
      <c r="AB251" s="102">
        <v>2032</v>
      </c>
      <c r="AC251" s="103">
        <f t="shared" si="105"/>
        <v>1793</v>
      </c>
      <c r="AF251" s="102">
        <v>2032</v>
      </c>
      <c r="AG251" s="103">
        <f t="shared" si="91"/>
        <v>82</v>
      </c>
      <c r="AH251" s="103">
        <f t="shared" si="92"/>
        <v>12215</v>
      </c>
      <c r="AI251" s="103">
        <f t="shared" si="93"/>
        <v>44788</v>
      </c>
      <c r="AJ251" s="325"/>
    </row>
    <row r="252" spans="2:36">
      <c r="B252" s="324"/>
      <c r="C252" s="102">
        <v>2033</v>
      </c>
      <c r="D252" s="103">
        <f t="shared" si="86"/>
        <v>898.43580386737335</v>
      </c>
      <c r="E252" s="103">
        <f t="shared" si="87"/>
        <v>9954.9977183463288</v>
      </c>
      <c r="F252" s="110"/>
      <c r="G252" s="102">
        <v>2033</v>
      </c>
      <c r="H252" s="128">
        <f t="shared" si="94"/>
        <v>85</v>
      </c>
      <c r="I252" s="128">
        <f t="shared" si="94"/>
        <v>333</v>
      </c>
      <c r="J252" s="128">
        <f t="shared" si="88"/>
        <v>12662</v>
      </c>
      <c r="K252" s="128">
        <f t="shared" si="89"/>
        <v>41022</v>
      </c>
      <c r="L252" s="128">
        <f t="shared" si="95"/>
        <v>53684</v>
      </c>
      <c r="M252" s="128">
        <f t="shared" si="106"/>
        <v>46427</v>
      </c>
      <c r="N252" s="128">
        <f t="shared" si="96"/>
        <v>150414</v>
      </c>
      <c r="O252" s="128">
        <f t="shared" si="97"/>
        <v>196841</v>
      </c>
      <c r="R252" s="102">
        <v>2033</v>
      </c>
      <c r="S252" s="128">
        <f t="shared" si="98"/>
        <v>10</v>
      </c>
      <c r="T252" s="128">
        <f t="shared" si="99"/>
        <v>333</v>
      </c>
      <c r="U252" s="103">
        <f t="shared" si="90"/>
        <v>1490</v>
      </c>
      <c r="V252" s="128">
        <f t="shared" si="100"/>
        <v>41022</v>
      </c>
      <c r="W252" s="130">
        <f t="shared" si="101"/>
        <v>42512</v>
      </c>
      <c r="X252" s="103">
        <f t="shared" si="102"/>
        <v>5463</v>
      </c>
      <c r="Y252" s="128">
        <f t="shared" si="103"/>
        <v>150414</v>
      </c>
      <c r="Z252" s="128">
        <f t="shared" si="104"/>
        <v>155877</v>
      </c>
      <c r="AB252" s="102">
        <v>2033</v>
      </c>
      <c r="AC252" s="103">
        <f t="shared" si="105"/>
        <v>1783</v>
      </c>
      <c r="AF252" s="102">
        <v>2033</v>
      </c>
      <c r="AG252" s="103">
        <f t="shared" si="91"/>
        <v>75</v>
      </c>
      <c r="AH252" s="103">
        <f t="shared" si="92"/>
        <v>11172</v>
      </c>
      <c r="AI252" s="103">
        <f t="shared" si="93"/>
        <v>40964</v>
      </c>
      <c r="AJ252" s="325"/>
    </row>
    <row r="253" spans="2:36">
      <c r="B253" s="324"/>
      <c r="C253" s="102">
        <v>2034</v>
      </c>
      <c r="D253" s="103">
        <f t="shared" si="86"/>
        <v>821.02363589972902</v>
      </c>
      <c r="E253" s="103">
        <f t="shared" si="87"/>
        <v>9632.6989721588543</v>
      </c>
      <c r="F253" s="110"/>
      <c r="G253" s="102">
        <v>2034</v>
      </c>
      <c r="H253" s="128">
        <f t="shared" si="94"/>
        <v>77</v>
      </c>
      <c r="I253" s="128">
        <f t="shared" si="94"/>
        <v>322</v>
      </c>
      <c r="J253" s="128">
        <f t="shared" si="88"/>
        <v>11471</v>
      </c>
      <c r="K253" s="128">
        <f t="shared" si="89"/>
        <v>39667</v>
      </c>
      <c r="L253" s="128">
        <f t="shared" si="95"/>
        <v>51138</v>
      </c>
      <c r="M253" s="128">
        <f t="shared" si="106"/>
        <v>42060</v>
      </c>
      <c r="N253" s="128">
        <f t="shared" si="96"/>
        <v>145446</v>
      </c>
      <c r="O253" s="128">
        <f t="shared" si="97"/>
        <v>187506</v>
      </c>
      <c r="R253" s="102">
        <v>2034</v>
      </c>
      <c r="S253" s="128">
        <f t="shared" si="98"/>
        <v>9</v>
      </c>
      <c r="T253" s="128">
        <f t="shared" si="99"/>
        <v>322</v>
      </c>
      <c r="U253" s="103">
        <f t="shared" si="90"/>
        <v>1341</v>
      </c>
      <c r="V253" s="128">
        <f t="shared" si="100"/>
        <v>39667</v>
      </c>
      <c r="W253" s="130">
        <f t="shared" si="101"/>
        <v>41008</v>
      </c>
      <c r="X253" s="103">
        <f t="shared" si="102"/>
        <v>4917</v>
      </c>
      <c r="Y253" s="128">
        <f t="shared" si="103"/>
        <v>145446</v>
      </c>
      <c r="Z253" s="128">
        <f t="shared" si="104"/>
        <v>150363</v>
      </c>
      <c r="AB253" s="102">
        <v>2034</v>
      </c>
      <c r="AC253" s="103">
        <f t="shared" si="105"/>
        <v>1774</v>
      </c>
      <c r="AF253" s="102">
        <v>2034</v>
      </c>
      <c r="AG253" s="103">
        <f t="shared" si="91"/>
        <v>68</v>
      </c>
      <c r="AH253" s="103">
        <f t="shared" si="92"/>
        <v>10130</v>
      </c>
      <c r="AI253" s="103">
        <f t="shared" si="93"/>
        <v>37143</v>
      </c>
      <c r="AJ253" s="325"/>
    </row>
    <row r="254" spans="2:36">
      <c r="B254" s="324"/>
      <c r="C254" s="102">
        <v>2035</v>
      </c>
      <c r="D254" s="103">
        <f t="shared" si="86"/>
        <v>750.28155356720185</v>
      </c>
      <c r="E254" s="103">
        <f t="shared" si="87"/>
        <v>9320.8348322598958</v>
      </c>
      <c r="F254" s="110"/>
      <c r="G254" s="102">
        <v>2035</v>
      </c>
      <c r="H254" s="128">
        <f t="shared" si="94"/>
        <v>71</v>
      </c>
      <c r="I254" s="128">
        <f t="shared" si="94"/>
        <v>312</v>
      </c>
      <c r="J254" s="128">
        <f t="shared" si="88"/>
        <v>10577</v>
      </c>
      <c r="K254" s="128">
        <f t="shared" si="89"/>
        <v>38435</v>
      </c>
      <c r="L254" s="128">
        <f t="shared" si="95"/>
        <v>49012</v>
      </c>
      <c r="M254" s="128">
        <f t="shared" si="106"/>
        <v>38782</v>
      </c>
      <c r="N254" s="128">
        <f t="shared" si="96"/>
        <v>140928</v>
      </c>
      <c r="O254" s="128">
        <f t="shared" si="97"/>
        <v>179710</v>
      </c>
      <c r="R254" s="102">
        <v>2035</v>
      </c>
      <c r="S254" s="128">
        <f t="shared" si="98"/>
        <v>9</v>
      </c>
      <c r="T254" s="128">
        <f t="shared" si="99"/>
        <v>312</v>
      </c>
      <c r="U254" s="103">
        <f t="shared" si="90"/>
        <v>1341</v>
      </c>
      <c r="V254" s="128">
        <f t="shared" si="100"/>
        <v>38435</v>
      </c>
      <c r="W254" s="130">
        <f t="shared" si="101"/>
        <v>39776</v>
      </c>
      <c r="X254" s="103">
        <f t="shared" si="102"/>
        <v>4917</v>
      </c>
      <c r="Y254" s="128">
        <f t="shared" si="103"/>
        <v>140928</v>
      </c>
      <c r="Z254" s="128">
        <f t="shared" si="104"/>
        <v>145845</v>
      </c>
      <c r="AB254" s="102">
        <v>2035</v>
      </c>
      <c r="AC254" s="103">
        <f t="shared" si="105"/>
        <v>1765</v>
      </c>
      <c r="AF254" s="102">
        <v>2035</v>
      </c>
      <c r="AG254" s="103">
        <f t="shared" si="91"/>
        <v>62</v>
      </c>
      <c r="AH254" s="103">
        <f t="shared" si="92"/>
        <v>9236</v>
      </c>
      <c r="AI254" s="103">
        <f t="shared" si="93"/>
        <v>33865</v>
      </c>
      <c r="AJ254" s="325"/>
    </row>
    <row r="255" spans="2:36">
      <c r="B255" s="324"/>
      <c r="C255" s="102">
        <v>2036</v>
      </c>
      <c r="D255" s="103">
        <f t="shared" si="86"/>
        <v>685.63484047122279</v>
      </c>
      <c r="E255" s="103">
        <f t="shared" si="87"/>
        <v>9019.0674723014308</v>
      </c>
      <c r="F255" s="110"/>
      <c r="G255" s="102">
        <v>2036</v>
      </c>
      <c r="H255" s="128">
        <f t="shared" si="94"/>
        <v>65</v>
      </c>
      <c r="I255" s="128">
        <f t="shared" si="94"/>
        <v>302</v>
      </c>
      <c r="J255" s="128">
        <f t="shared" si="88"/>
        <v>9683</v>
      </c>
      <c r="K255" s="128">
        <f t="shared" si="89"/>
        <v>37203</v>
      </c>
      <c r="L255" s="128">
        <f t="shared" si="95"/>
        <v>46886</v>
      </c>
      <c r="M255" s="128">
        <f t="shared" si="106"/>
        <v>35504</v>
      </c>
      <c r="N255" s="128">
        <f t="shared" si="96"/>
        <v>136411</v>
      </c>
      <c r="O255" s="128">
        <f t="shared" si="97"/>
        <v>171915</v>
      </c>
      <c r="R255" s="102">
        <v>2036</v>
      </c>
      <c r="S255" s="128">
        <f t="shared" si="98"/>
        <v>8</v>
      </c>
      <c r="T255" s="128">
        <f t="shared" si="99"/>
        <v>302</v>
      </c>
      <c r="U255" s="103">
        <f t="shared" si="90"/>
        <v>1192</v>
      </c>
      <c r="V255" s="128">
        <f t="shared" si="100"/>
        <v>37203</v>
      </c>
      <c r="W255" s="130">
        <f t="shared" si="101"/>
        <v>38395</v>
      </c>
      <c r="X255" s="103">
        <f t="shared" si="102"/>
        <v>4371</v>
      </c>
      <c r="Y255" s="128">
        <f t="shared" si="103"/>
        <v>136411</v>
      </c>
      <c r="Z255" s="128">
        <f t="shared" si="104"/>
        <v>140782</v>
      </c>
      <c r="AB255" s="102">
        <v>2036</v>
      </c>
      <c r="AC255" s="103">
        <f t="shared" si="105"/>
        <v>1757</v>
      </c>
      <c r="AF255" s="102">
        <v>2036</v>
      </c>
      <c r="AG255" s="103">
        <f t="shared" si="91"/>
        <v>57</v>
      </c>
      <c r="AH255" s="103">
        <f t="shared" si="92"/>
        <v>8491</v>
      </c>
      <c r="AI255" s="103">
        <f t="shared" si="93"/>
        <v>31133</v>
      </c>
      <c r="AJ255" s="325"/>
    </row>
    <row r="256" spans="2:36">
      <c r="B256" s="324"/>
      <c r="C256" s="102">
        <v>2037</v>
      </c>
      <c r="D256" s="103">
        <f t="shared" si="86"/>
        <v>626.55829965822727</v>
      </c>
      <c r="E256" s="103">
        <f t="shared" si="87"/>
        <v>8727.0700032567202</v>
      </c>
      <c r="F256" s="110"/>
      <c r="G256" s="102">
        <v>2037</v>
      </c>
      <c r="H256" s="128">
        <f t="shared" si="94"/>
        <v>59</v>
      </c>
      <c r="I256" s="128">
        <f t="shared" si="94"/>
        <v>292</v>
      </c>
      <c r="J256" s="128">
        <f t="shared" si="88"/>
        <v>8789</v>
      </c>
      <c r="K256" s="128">
        <f t="shared" si="89"/>
        <v>35971</v>
      </c>
      <c r="L256" s="128">
        <f t="shared" si="95"/>
        <v>44760</v>
      </c>
      <c r="M256" s="128">
        <f t="shared" si="106"/>
        <v>32226</v>
      </c>
      <c r="N256" s="128">
        <f t="shared" si="96"/>
        <v>131894</v>
      </c>
      <c r="O256" s="128">
        <f t="shared" si="97"/>
        <v>164120</v>
      </c>
      <c r="R256" s="102">
        <v>2037</v>
      </c>
      <c r="S256" s="128">
        <f t="shared" si="98"/>
        <v>7</v>
      </c>
      <c r="T256" s="128">
        <f t="shared" si="99"/>
        <v>292</v>
      </c>
      <c r="U256" s="103">
        <f t="shared" si="90"/>
        <v>1043</v>
      </c>
      <c r="V256" s="128">
        <f t="shared" si="100"/>
        <v>35971</v>
      </c>
      <c r="W256" s="130">
        <f t="shared" si="101"/>
        <v>37014</v>
      </c>
      <c r="X256" s="103">
        <f t="shared" si="102"/>
        <v>3824</v>
      </c>
      <c r="Y256" s="128">
        <f t="shared" si="103"/>
        <v>131894</v>
      </c>
      <c r="Z256" s="128">
        <f t="shared" si="104"/>
        <v>135718</v>
      </c>
      <c r="AB256" s="102">
        <v>2037</v>
      </c>
      <c r="AC256" s="103">
        <f t="shared" si="105"/>
        <v>1750</v>
      </c>
      <c r="AF256" s="102">
        <v>2037</v>
      </c>
      <c r="AG256" s="103">
        <f t="shared" si="91"/>
        <v>52</v>
      </c>
      <c r="AH256" s="103">
        <f t="shared" si="92"/>
        <v>7746</v>
      </c>
      <c r="AI256" s="103">
        <f t="shared" si="93"/>
        <v>28402</v>
      </c>
      <c r="AJ256" s="325"/>
    </row>
    <row r="257" spans="2:36">
      <c r="B257" s="324"/>
      <c r="C257" s="102">
        <v>2038</v>
      </c>
      <c r="D257" s="103">
        <f t="shared" si="86"/>
        <v>572.57198686227775</v>
      </c>
      <c r="E257" s="103">
        <f t="shared" si="87"/>
        <v>8444.5261193182723</v>
      </c>
      <c r="F257" s="110"/>
      <c r="G257" s="102">
        <v>2038</v>
      </c>
      <c r="H257" s="128">
        <f t="shared" si="94"/>
        <v>54</v>
      </c>
      <c r="I257" s="128">
        <f t="shared" si="94"/>
        <v>283</v>
      </c>
      <c r="J257" s="128">
        <f t="shared" si="88"/>
        <v>8044</v>
      </c>
      <c r="K257" s="128">
        <f t="shared" si="89"/>
        <v>34863</v>
      </c>
      <c r="L257" s="128">
        <f t="shared" si="95"/>
        <v>42907</v>
      </c>
      <c r="M257" s="128">
        <f t="shared" si="106"/>
        <v>29495</v>
      </c>
      <c r="N257" s="128">
        <f t="shared" si="96"/>
        <v>127831</v>
      </c>
      <c r="O257" s="128">
        <f t="shared" si="97"/>
        <v>157326</v>
      </c>
      <c r="R257" s="102">
        <v>2038</v>
      </c>
      <c r="S257" s="128">
        <f t="shared" si="98"/>
        <v>6</v>
      </c>
      <c r="T257" s="128">
        <f t="shared" si="99"/>
        <v>283</v>
      </c>
      <c r="U257" s="103">
        <f t="shared" si="90"/>
        <v>894</v>
      </c>
      <c r="V257" s="128">
        <f t="shared" si="100"/>
        <v>34863</v>
      </c>
      <c r="W257" s="130">
        <f t="shared" si="101"/>
        <v>35757</v>
      </c>
      <c r="X257" s="103">
        <f t="shared" si="102"/>
        <v>3278</v>
      </c>
      <c r="Y257" s="128">
        <f t="shared" si="103"/>
        <v>127831</v>
      </c>
      <c r="Z257" s="128">
        <f t="shared" si="104"/>
        <v>131109</v>
      </c>
      <c r="AB257" s="102">
        <v>2038</v>
      </c>
      <c r="AC257" s="103">
        <f t="shared" si="105"/>
        <v>1744</v>
      </c>
      <c r="AF257" s="102">
        <v>2038</v>
      </c>
      <c r="AG257" s="103">
        <f t="shared" si="91"/>
        <v>48</v>
      </c>
      <c r="AH257" s="103">
        <f t="shared" si="92"/>
        <v>7150</v>
      </c>
      <c r="AI257" s="103">
        <f t="shared" si="93"/>
        <v>26217</v>
      </c>
      <c r="AJ257" s="325"/>
    </row>
    <row r="258" spans="2:36">
      <c r="B258" s="324"/>
      <c r="C258" s="102">
        <v>2039</v>
      </c>
      <c r="D258" s="103">
        <f t="shared" si="86"/>
        <v>523.23731138546032</v>
      </c>
      <c r="E258" s="103">
        <f t="shared" si="87"/>
        <v>8171.1297552600618</v>
      </c>
      <c r="F258" s="110"/>
      <c r="G258" s="102">
        <v>2039</v>
      </c>
      <c r="H258" s="128">
        <f t="shared" si="94"/>
        <v>49</v>
      </c>
      <c r="I258" s="128">
        <f t="shared" si="94"/>
        <v>273</v>
      </c>
      <c r="J258" s="128">
        <f t="shared" si="88"/>
        <v>7300</v>
      </c>
      <c r="K258" s="128">
        <f t="shared" si="89"/>
        <v>33631</v>
      </c>
      <c r="L258" s="128">
        <f t="shared" si="95"/>
        <v>40931</v>
      </c>
      <c r="M258" s="128">
        <f t="shared" si="106"/>
        <v>26767</v>
      </c>
      <c r="N258" s="128">
        <f t="shared" si="96"/>
        <v>123314</v>
      </c>
      <c r="O258" s="128">
        <f t="shared" si="97"/>
        <v>150081</v>
      </c>
      <c r="R258" s="102">
        <v>2039</v>
      </c>
      <c r="S258" s="128">
        <f t="shared" si="98"/>
        <v>6</v>
      </c>
      <c r="T258" s="128">
        <f t="shared" si="99"/>
        <v>273</v>
      </c>
      <c r="U258" s="103">
        <f t="shared" si="90"/>
        <v>894</v>
      </c>
      <c r="V258" s="128">
        <f t="shared" si="100"/>
        <v>33631</v>
      </c>
      <c r="W258" s="130">
        <f t="shared" si="101"/>
        <v>34525</v>
      </c>
      <c r="X258" s="103">
        <f t="shared" si="102"/>
        <v>3278</v>
      </c>
      <c r="Y258" s="128">
        <f t="shared" si="103"/>
        <v>123314</v>
      </c>
      <c r="Z258" s="128">
        <f t="shared" si="104"/>
        <v>126592</v>
      </c>
      <c r="AB258" s="102">
        <v>2039</v>
      </c>
      <c r="AC258" s="103">
        <f t="shared" si="105"/>
        <v>1738</v>
      </c>
      <c r="AF258" s="102">
        <v>2039</v>
      </c>
      <c r="AG258" s="103">
        <f t="shared" si="91"/>
        <v>43</v>
      </c>
      <c r="AH258" s="103">
        <f t="shared" si="92"/>
        <v>6406</v>
      </c>
      <c r="AI258" s="103">
        <f t="shared" si="93"/>
        <v>23489</v>
      </c>
      <c r="AJ258" s="325"/>
    </row>
    <row r="259" spans="2:36">
      <c r="B259" s="324"/>
      <c r="C259" s="102">
        <v>2040</v>
      </c>
      <c r="D259" s="103">
        <f t="shared" si="86"/>
        <v>478.15347293918086</v>
      </c>
      <c r="E259" s="103">
        <f t="shared" si="87"/>
        <v>7906.5847548928532</v>
      </c>
      <c r="F259" s="110"/>
      <c r="G259" s="102">
        <v>2040</v>
      </c>
      <c r="H259" s="128">
        <f t="shared" si="94"/>
        <v>45</v>
      </c>
      <c r="I259" s="128">
        <f t="shared" si="94"/>
        <v>265</v>
      </c>
      <c r="J259" s="128">
        <f t="shared" si="88"/>
        <v>6704</v>
      </c>
      <c r="K259" s="128">
        <f t="shared" si="89"/>
        <v>32645</v>
      </c>
      <c r="L259" s="128">
        <f t="shared" si="95"/>
        <v>39349</v>
      </c>
      <c r="M259" s="128">
        <f>ROUND(J259*(44/12),0)</f>
        <v>24581</v>
      </c>
      <c r="N259" s="128">
        <f t="shared" si="96"/>
        <v>119698</v>
      </c>
      <c r="O259" s="128">
        <f>SUM(M259:N259)</f>
        <v>144279</v>
      </c>
      <c r="R259" s="102">
        <v>2040</v>
      </c>
      <c r="S259" s="128">
        <f t="shared" si="98"/>
        <v>5</v>
      </c>
      <c r="T259" s="128">
        <f t="shared" si="99"/>
        <v>265</v>
      </c>
      <c r="U259" s="103">
        <f t="shared" si="90"/>
        <v>745</v>
      </c>
      <c r="V259" s="128">
        <f t="shared" si="100"/>
        <v>32645</v>
      </c>
      <c r="W259" s="130">
        <f t="shared" si="101"/>
        <v>33390</v>
      </c>
      <c r="X259" s="103">
        <f t="shared" si="102"/>
        <v>2732</v>
      </c>
      <c r="Y259" s="128">
        <f t="shared" si="103"/>
        <v>119698</v>
      </c>
      <c r="Z259" s="128">
        <f t="shared" si="104"/>
        <v>122430</v>
      </c>
      <c r="AB259" s="102">
        <v>2040</v>
      </c>
      <c r="AC259" s="103">
        <f t="shared" si="105"/>
        <v>1733</v>
      </c>
      <c r="AF259" s="102">
        <v>2040</v>
      </c>
      <c r="AG259" s="103">
        <f t="shared" si="91"/>
        <v>40</v>
      </c>
      <c r="AH259" s="103">
        <f t="shared" si="92"/>
        <v>5959</v>
      </c>
      <c r="AI259" s="103">
        <f t="shared" si="93"/>
        <v>21849</v>
      </c>
      <c r="AJ259" s="325"/>
    </row>
    <row r="260" spans="2:36">
      <c r="B260" s="324"/>
      <c r="D260" s="110"/>
      <c r="E260" s="110"/>
      <c r="F260" s="110"/>
      <c r="H260" s="141"/>
      <c r="I260" s="141"/>
      <c r="J260" s="141"/>
      <c r="K260" s="141"/>
      <c r="L260" s="141"/>
      <c r="M260" s="141"/>
      <c r="N260" s="141"/>
      <c r="O260" s="141"/>
      <c r="AC260" s="110"/>
      <c r="AD260" s="141"/>
      <c r="AE260" s="141"/>
      <c r="AF260" s="141"/>
      <c r="AJ260" s="325"/>
    </row>
    <row r="261" spans="2:36">
      <c r="B261" s="324"/>
      <c r="D261" s="110"/>
      <c r="E261" s="110"/>
      <c r="F261" s="110"/>
      <c r="H261" s="141"/>
      <c r="I261" s="141"/>
      <c r="J261" s="141"/>
      <c r="K261" s="141"/>
      <c r="L261" s="141"/>
      <c r="M261" s="141"/>
      <c r="N261" s="141"/>
      <c r="O261" s="141"/>
      <c r="AC261" s="110"/>
      <c r="AD261" s="141"/>
      <c r="AE261" s="141"/>
      <c r="AF261" s="141"/>
      <c r="AJ261" s="325"/>
    </row>
    <row r="262" spans="2:36">
      <c r="B262" s="324"/>
      <c r="D262" s="110"/>
      <c r="E262" s="110"/>
      <c r="F262" s="110"/>
      <c r="H262" s="141"/>
      <c r="I262" s="141"/>
      <c r="J262" s="141"/>
      <c r="K262" s="141"/>
      <c r="L262" s="141"/>
      <c r="M262" s="141"/>
      <c r="N262" s="141"/>
      <c r="O262" s="141"/>
      <c r="AC262" s="110"/>
      <c r="AD262" s="141"/>
      <c r="AE262" s="141"/>
      <c r="AF262" s="141"/>
      <c r="AJ262" s="325"/>
    </row>
    <row r="263" spans="2:36">
      <c r="B263" s="324"/>
      <c r="D263" s="110"/>
      <c r="E263" s="110"/>
      <c r="F263" s="110"/>
      <c r="H263" s="141"/>
      <c r="I263" s="141"/>
      <c r="J263" s="141"/>
      <c r="K263" s="141"/>
      <c r="L263" s="141"/>
      <c r="M263" s="141"/>
      <c r="N263" s="141"/>
      <c r="O263" s="141"/>
      <c r="AC263" s="110"/>
      <c r="AD263" s="141"/>
      <c r="AE263" s="141"/>
      <c r="AF263" s="141"/>
      <c r="AJ263" s="325"/>
    </row>
    <row r="264" spans="2:36">
      <c r="B264" s="334"/>
      <c r="C264" s="107"/>
      <c r="D264" s="335"/>
      <c r="E264" s="335"/>
      <c r="F264" s="335"/>
      <c r="G264" s="107"/>
      <c r="H264" s="336"/>
      <c r="I264" s="336"/>
      <c r="J264" s="336"/>
      <c r="K264" s="336"/>
      <c r="L264" s="336"/>
      <c r="M264" s="336"/>
      <c r="N264" s="336"/>
      <c r="O264" s="336"/>
      <c r="P264" s="107"/>
      <c r="Q264" s="107"/>
      <c r="R264" s="107"/>
      <c r="S264" s="107"/>
      <c r="T264" s="107"/>
      <c r="U264" s="107"/>
      <c r="V264" s="107"/>
      <c r="W264" s="107"/>
      <c r="X264" s="107"/>
      <c r="Y264" s="107"/>
      <c r="Z264" s="107"/>
      <c r="AA264" s="107"/>
      <c r="AB264" s="107"/>
      <c r="AC264" s="335"/>
      <c r="AD264" s="336"/>
      <c r="AE264" s="336"/>
      <c r="AF264" s="336"/>
      <c r="AG264" s="107"/>
      <c r="AH264" s="107"/>
      <c r="AI264" s="107"/>
      <c r="AJ264" s="338"/>
    </row>
    <row r="265" spans="2:36">
      <c r="D265" s="110"/>
      <c r="E265" s="110"/>
      <c r="F265" s="110"/>
      <c r="H265" s="141"/>
      <c r="I265" s="141"/>
      <c r="J265" s="141"/>
      <c r="K265" s="141"/>
      <c r="L265" s="141"/>
      <c r="M265" s="141"/>
      <c r="N265" s="141"/>
      <c r="O265" s="141"/>
      <c r="AC265" s="110"/>
      <c r="AD265" s="141"/>
      <c r="AE265" s="141"/>
      <c r="AF265" s="141"/>
    </row>
    <row r="266" spans="2:36">
      <c r="D266" s="110"/>
      <c r="E266" s="110"/>
      <c r="F266" s="110"/>
      <c r="H266" s="141"/>
      <c r="I266" s="141"/>
      <c r="J266" s="141"/>
      <c r="K266" s="141"/>
      <c r="L266" s="141"/>
      <c r="M266" s="141"/>
      <c r="N266" s="141"/>
      <c r="O266" s="141"/>
      <c r="AC266" s="110"/>
      <c r="AD266" s="141"/>
      <c r="AE266" s="141"/>
      <c r="AF266" s="141"/>
    </row>
    <row r="267" spans="2:36">
      <c r="B267" s="321"/>
      <c r="C267" s="322"/>
      <c r="D267" s="189"/>
      <c r="E267" s="189"/>
      <c r="F267" s="189"/>
      <c r="G267" s="322"/>
      <c r="H267" s="340"/>
      <c r="I267" s="340"/>
      <c r="J267" s="340"/>
      <c r="K267" s="340"/>
      <c r="L267" s="340"/>
      <c r="M267" s="340"/>
      <c r="N267" s="340"/>
      <c r="O267" s="340"/>
      <c r="P267" s="322"/>
      <c r="Q267" s="322"/>
      <c r="R267" s="322"/>
      <c r="S267" s="322"/>
      <c r="T267" s="322"/>
      <c r="U267" s="322"/>
      <c r="V267" s="322"/>
      <c r="W267" s="322"/>
      <c r="X267" s="322"/>
      <c r="Y267" s="322"/>
      <c r="Z267" s="322"/>
      <c r="AA267" s="322"/>
      <c r="AB267" s="322"/>
      <c r="AC267" s="189"/>
      <c r="AD267" s="340"/>
      <c r="AE267" s="340"/>
      <c r="AF267" s="340"/>
      <c r="AG267" s="322"/>
      <c r="AH267" s="322"/>
      <c r="AI267" s="322"/>
      <c r="AJ267" s="323"/>
    </row>
    <row r="268" spans="2:36">
      <c r="B268" s="324"/>
      <c r="D268" s="110"/>
      <c r="E268" s="110"/>
      <c r="F268" s="110"/>
      <c r="H268" s="141"/>
      <c r="I268" s="141"/>
      <c r="J268" s="141"/>
      <c r="K268" s="141"/>
      <c r="L268" s="141"/>
      <c r="M268" s="141"/>
      <c r="N268" s="141"/>
      <c r="O268" s="141"/>
      <c r="AC268" s="110"/>
      <c r="AD268" s="141"/>
      <c r="AE268" s="141"/>
      <c r="AF268" s="141"/>
      <c r="AJ268" s="325"/>
    </row>
    <row r="269" spans="2:36">
      <c r="B269" s="324"/>
      <c r="D269" s="110"/>
      <c r="E269" s="110"/>
      <c r="F269" s="110"/>
      <c r="H269" s="141"/>
      <c r="I269" s="141"/>
      <c r="J269" s="141"/>
      <c r="K269" s="141"/>
      <c r="L269" s="141"/>
      <c r="M269" s="141"/>
      <c r="N269" s="141"/>
      <c r="O269" s="141"/>
      <c r="AC269" s="110"/>
      <c r="AD269" s="141"/>
      <c r="AE269" s="141"/>
      <c r="AF269" s="141"/>
      <c r="AJ269" s="325"/>
    </row>
    <row r="270" spans="2:36" ht="18">
      <c r="B270" s="324"/>
      <c r="C270" s="326" t="s">
        <v>191</v>
      </c>
      <c r="AD270" s="141"/>
      <c r="AE270" s="141"/>
      <c r="AF270" s="141"/>
      <c r="AJ270" s="325"/>
    </row>
    <row r="271" spans="2:36">
      <c r="B271" s="324"/>
      <c r="AJ271" s="325"/>
    </row>
    <row r="272" spans="2:36">
      <c r="B272" s="324"/>
      <c r="C272" s="95" t="s">
        <v>281</v>
      </c>
      <c r="AJ272" s="325"/>
    </row>
    <row r="273" spans="2:36" ht="13">
      <c r="B273" s="324"/>
      <c r="C273" s="483" t="s">
        <v>77</v>
      </c>
      <c r="D273" s="484" t="s">
        <v>171</v>
      </c>
      <c r="E273" s="485"/>
      <c r="F273" s="121"/>
      <c r="I273" s="95">
        <v>2003</v>
      </c>
      <c r="J273" s="95">
        <v>2012</v>
      </c>
      <c r="AJ273" s="325"/>
    </row>
    <row r="274" spans="2:36" ht="13">
      <c r="B274" s="324"/>
      <c r="C274" s="483"/>
      <c r="D274" s="123" t="s">
        <v>172</v>
      </c>
      <c r="E274" s="124" t="s">
        <v>78</v>
      </c>
      <c r="F274" s="327"/>
      <c r="H274" s="95" t="s">
        <v>79</v>
      </c>
      <c r="I274" s="110">
        <v>24720</v>
      </c>
      <c r="J274" s="110">
        <v>12840</v>
      </c>
      <c r="K274" s="122">
        <f>(J274/I274)^(1/9)-1</f>
        <v>-7.0197459245380345E-2</v>
      </c>
      <c r="AJ274" s="325"/>
    </row>
    <row r="275" spans="2:36">
      <c r="B275" s="324"/>
      <c r="C275" s="125">
        <v>2003</v>
      </c>
      <c r="D275" s="117">
        <v>24720</v>
      </c>
      <c r="E275" s="117">
        <v>47900</v>
      </c>
      <c r="F275" s="110"/>
      <c r="H275" s="95" t="s">
        <v>89</v>
      </c>
      <c r="I275" s="110">
        <v>23180</v>
      </c>
      <c r="J275" s="110">
        <v>20550</v>
      </c>
      <c r="K275" s="122">
        <f>(J275/I275)^(1/9)-1</f>
        <v>-1.3291861105507508E-2</v>
      </c>
      <c r="AJ275" s="325"/>
    </row>
    <row r="276" spans="2:36">
      <c r="B276" s="324"/>
      <c r="C276" s="102">
        <v>2004</v>
      </c>
      <c r="D276" s="103">
        <f t="shared" ref="D276:D312" si="107">(D275*(1+$K$274))</f>
        <v>22984.718807454199</v>
      </c>
      <c r="E276" s="103">
        <f t="shared" ref="E276:E312" si="108">(E275*(1+$K$276))</f>
        <v>46017.421560517236</v>
      </c>
      <c r="F276" s="110"/>
      <c r="H276" s="95" t="s">
        <v>81</v>
      </c>
      <c r="I276" s="110">
        <v>47900</v>
      </c>
      <c r="J276" s="110">
        <v>33390</v>
      </c>
      <c r="K276" s="122">
        <f>(J276/I276)^(1/9)-1</f>
        <v>-3.9302263872291521E-2</v>
      </c>
      <c r="AJ276" s="325"/>
    </row>
    <row r="277" spans="2:36">
      <c r="B277" s="324"/>
      <c r="C277" s="102">
        <v>2005</v>
      </c>
      <c r="D277" s="103">
        <f t="shared" si="107"/>
        <v>21371.249945701406</v>
      </c>
      <c r="E277" s="103">
        <f t="shared" si="108"/>
        <v>44208.832715623314</v>
      </c>
      <c r="F277" s="110"/>
      <c r="AJ277" s="325"/>
    </row>
    <row r="278" spans="2:36">
      <c r="B278" s="324"/>
      <c r="C278" s="102">
        <v>2006</v>
      </c>
      <c r="D278" s="103">
        <f t="shared" si="107"/>
        <v>19871.042498615196</v>
      </c>
      <c r="E278" s="103">
        <f t="shared" si="108"/>
        <v>42471.325506747889</v>
      </c>
      <c r="F278" s="110"/>
      <c r="AJ278" s="325"/>
    </row>
    <row r="279" spans="2:36">
      <c r="B279" s="324"/>
      <c r="C279" s="102">
        <v>2007</v>
      </c>
      <c r="D279" s="103">
        <f t="shared" si="107"/>
        <v>18476.145802655436</v>
      </c>
      <c r="E279" s="103">
        <f t="shared" si="108"/>
        <v>40802.106264675698</v>
      </c>
      <c r="F279" s="110"/>
      <c r="AJ279" s="325"/>
    </row>
    <row r="280" spans="2:36">
      <c r="B280" s="324"/>
      <c r="C280" s="102">
        <v>2008</v>
      </c>
      <c r="D280" s="103">
        <f t="shared" si="107"/>
        <v>17179.167310661825</v>
      </c>
      <c r="E280" s="103">
        <f t="shared" si="108"/>
        <v>39198.491117716134</v>
      </c>
      <c r="F280" s="110"/>
      <c r="AJ280" s="325"/>
    </row>
    <row r="281" spans="2:36">
      <c r="B281" s="324"/>
      <c r="C281" s="102">
        <v>2009</v>
      </c>
      <c r="D281" s="103">
        <f t="shared" si="107"/>
        <v>15973.233413502072</v>
      </c>
      <c r="E281" s="103">
        <f t="shared" si="108"/>
        <v>37657.901676411981</v>
      </c>
      <c r="F281" s="110"/>
      <c r="AJ281" s="325"/>
    </row>
    <row r="282" spans="2:36">
      <c r="B282" s="324"/>
      <c r="C282" s="102">
        <v>2010</v>
      </c>
      <c r="D282" s="103">
        <f t="shared" si="107"/>
        <v>14851.953011940812</v>
      </c>
      <c r="E282" s="103">
        <f t="shared" si="108"/>
        <v>36177.86088784883</v>
      </c>
      <c r="F282" s="110"/>
      <c r="AJ282" s="325"/>
    </row>
    <row r="283" spans="2:36">
      <c r="B283" s="324"/>
      <c r="C283" s="102">
        <v>2011</v>
      </c>
      <c r="D283" s="103">
        <f t="shared" si="107"/>
        <v>13809.383645670792</v>
      </c>
      <c r="E283" s="103">
        <f t="shared" si="108"/>
        <v>34755.989052899538</v>
      </c>
      <c r="F283" s="110"/>
      <c r="AJ283" s="325"/>
    </row>
    <row r="284" spans="2:36">
      <c r="B284" s="324"/>
      <c r="C284" s="125">
        <v>2012</v>
      </c>
      <c r="D284" s="117">
        <f t="shared" si="107"/>
        <v>12839.999999999995</v>
      </c>
      <c r="E284" s="117">
        <f t="shared" si="108"/>
        <v>33390.000000000007</v>
      </c>
      <c r="F284" s="110"/>
      <c r="AJ284" s="325"/>
    </row>
    <row r="285" spans="2:36">
      <c r="B285" s="324"/>
      <c r="C285" s="102">
        <v>2013</v>
      </c>
      <c r="D285" s="103">
        <f t="shared" si="107"/>
        <v>11938.664623289311</v>
      </c>
      <c r="E285" s="103">
        <f t="shared" si="108"/>
        <v>32077.697409304194</v>
      </c>
      <c r="F285" s="110"/>
      <c r="AJ285" s="325"/>
    </row>
    <row r="286" spans="2:36">
      <c r="B286" s="324"/>
      <c r="C286" s="102">
        <v>2014</v>
      </c>
      <c r="D286" s="103">
        <f t="shared" si="107"/>
        <v>11100.600699951696</v>
      </c>
      <c r="E286" s="103">
        <f t="shared" si="108"/>
        <v>30816.971281308197</v>
      </c>
      <c r="F286" s="110"/>
      <c r="AJ286" s="325"/>
    </row>
    <row r="287" spans="2:36">
      <c r="B287" s="324"/>
      <c r="C287" s="102">
        <v>2015</v>
      </c>
      <c r="D287" s="103">
        <f t="shared" si="107"/>
        <v>10321.366734717596</v>
      </c>
      <c r="E287" s="103">
        <f t="shared" si="108"/>
        <v>29605.794544265391</v>
      </c>
      <c r="F287" s="110"/>
      <c r="AJ287" s="325"/>
    </row>
    <row r="288" spans="2:36">
      <c r="B288" s="324"/>
      <c r="C288" s="102">
        <v>2016</v>
      </c>
      <c r="D288" s="103">
        <f t="shared" si="107"/>
        <v>9596.8330140006328</v>
      </c>
      <c r="E288" s="103">
        <f t="shared" si="108"/>
        <v>28442.219794937824</v>
      </c>
      <c r="F288" s="110"/>
      <c r="AJ288" s="325"/>
    </row>
    <row r="289" spans="2:36" ht="16">
      <c r="B289" s="324"/>
      <c r="C289" s="102">
        <v>2017</v>
      </c>
      <c r="D289" s="103">
        <f t="shared" si="107"/>
        <v>8923.1597196156035</v>
      </c>
      <c r="E289" s="103">
        <f t="shared" si="108"/>
        <v>27324.376167443465</v>
      </c>
      <c r="F289" s="110"/>
      <c r="G289" s="328" t="s">
        <v>192</v>
      </c>
      <c r="R289" s="328" t="s">
        <v>193</v>
      </c>
      <c r="AB289" s="328" t="s">
        <v>278</v>
      </c>
      <c r="AF289" s="328" t="s">
        <v>175</v>
      </c>
      <c r="AJ289" s="325"/>
    </row>
    <row r="290" spans="2:36" ht="15">
      <c r="B290" s="324"/>
      <c r="C290" s="102">
        <v>2018</v>
      </c>
      <c r="D290" s="103">
        <f t="shared" si="107"/>
        <v>8296.7765788578672</v>
      </c>
      <c r="E290" s="103">
        <f t="shared" si="108"/>
        <v>26250.466325164849</v>
      </c>
      <c r="F290" s="110"/>
      <c r="G290" s="300" t="s">
        <v>85</v>
      </c>
      <c r="H290" s="486" t="s">
        <v>176</v>
      </c>
      <c r="I290" s="487"/>
      <c r="J290" s="486" t="s">
        <v>177</v>
      </c>
      <c r="K290" s="488"/>
      <c r="L290" s="487"/>
      <c r="M290" s="486" t="s">
        <v>178</v>
      </c>
      <c r="N290" s="488"/>
      <c r="O290" s="487"/>
      <c r="R290" s="329" t="s">
        <v>85</v>
      </c>
      <c r="S290" s="489" t="s">
        <v>176</v>
      </c>
      <c r="T290" s="490"/>
      <c r="U290" s="489" t="s">
        <v>177</v>
      </c>
      <c r="V290" s="491"/>
      <c r="W290" s="490"/>
      <c r="X290" s="489" t="s">
        <v>179</v>
      </c>
      <c r="Y290" s="491"/>
      <c r="Z290" s="490"/>
      <c r="AB290" s="477" t="s">
        <v>85</v>
      </c>
      <c r="AC290" s="479" t="s">
        <v>180</v>
      </c>
      <c r="AF290" s="477" t="s">
        <v>85</v>
      </c>
      <c r="AG290" s="481" t="s">
        <v>180</v>
      </c>
      <c r="AH290" s="481" t="s">
        <v>181</v>
      </c>
      <c r="AI290" s="481" t="s">
        <v>182</v>
      </c>
      <c r="AJ290" s="325"/>
    </row>
    <row r="291" spans="2:36" ht="14">
      <c r="B291" s="324"/>
      <c r="C291" s="102">
        <v>2019</v>
      </c>
      <c r="D291" s="103">
        <f t="shared" si="107"/>
        <v>7714.3639430954663</v>
      </c>
      <c r="E291" s="103">
        <f t="shared" si="108"/>
        <v>25218.763570882518</v>
      </c>
      <c r="F291" s="110"/>
      <c r="G291" s="99"/>
      <c r="H291" s="126" t="s">
        <v>86</v>
      </c>
      <c r="I291" s="126" t="s">
        <v>87</v>
      </c>
      <c r="J291" s="126" t="s">
        <v>86</v>
      </c>
      <c r="K291" s="126" t="s">
        <v>87</v>
      </c>
      <c r="L291" s="126" t="s">
        <v>88</v>
      </c>
      <c r="M291" s="126" t="s">
        <v>86</v>
      </c>
      <c r="N291" s="126" t="s">
        <v>87</v>
      </c>
      <c r="O291" s="126" t="s">
        <v>88</v>
      </c>
      <c r="R291" s="330"/>
      <c r="S291" s="331" t="s">
        <v>183</v>
      </c>
      <c r="T291" s="331" t="s">
        <v>184</v>
      </c>
      <c r="U291" s="331" t="s">
        <v>183</v>
      </c>
      <c r="V291" s="331" t="s">
        <v>184</v>
      </c>
      <c r="W291" s="332" t="s">
        <v>88</v>
      </c>
      <c r="X291" s="331" t="s">
        <v>183</v>
      </c>
      <c r="Y291" s="331" t="s">
        <v>184</v>
      </c>
      <c r="Z291" s="331" t="s">
        <v>88</v>
      </c>
      <c r="AB291" s="478"/>
      <c r="AC291" s="480"/>
      <c r="AF291" s="478"/>
      <c r="AG291" s="482"/>
      <c r="AH291" s="482"/>
      <c r="AI291" s="482"/>
      <c r="AJ291" s="325"/>
    </row>
    <row r="292" spans="2:36">
      <c r="B292" s="324"/>
      <c r="C292" s="125">
        <v>2020</v>
      </c>
      <c r="D292" s="117">
        <f t="shared" si="107"/>
        <v>7172.8351945959903</v>
      </c>
      <c r="E292" s="117">
        <f t="shared" si="108"/>
        <v>24227.60907048676</v>
      </c>
      <c r="F292" s="110"/>
      <c r="G292" s="102">
        <v>2020</v>
      </c>
      <c r="H292" s="128">
        <f>ROUND(D291-D292,0)</f>
        <v>542</v>
      </c>
      <c r="I292" s="128">
        <f>ROUND(E291-E292,0)</f>
        <v>991</v>
      </c>
      <c r="J292" s="128">
        <f t="shared" ref="J292:J312" si="109">ROUND(H292*$AI$16,0)</f>
        <v>102514</v>
      </c>
      <c r="K292" s="128">
        <f t="shared" ref="K292:K312" si="110">ROUND(I292*$AI$27,0)</f>
        <v>94502</v>
      </c>
      <c r="L292" s="128">
        <f>SUM(J292:K292)</f>
        <v>197016</v>
      </c>
      <c r="M292" s="128">
        <f>ROUND(J292*(44/12),0)</f>
        <v>375885</v>
      </c>
      <c r="N292" s="128">
        <f>ROUND(K292*(44/12),0)</f>
        <v>346507</v>
      </c>
      <c r="O292" s="128">
        <f>SUM(M292:N292)</f>
        <v>722392</v>
      </c>
      <c r="R292" s="102">
        <v>2020</v>
      </c>
      <c r="S292" s="128">
        <f>H292</f>
        <v>542</v>
      </c>
      <c r="T292" s="128">
        <f>I292</f>
        <v>991</v>
      </c>
      <c r="U292" s="103">
        <f t="shared" ref="U292:U312" si="111">ROUND(S292*$AI$16,0)</f>
        <v>102514</v>
      </c>
      <c r="V292" s="128">
        <f>K292</f>
        <v>94502</v>
      </c>
      <c r="W292" s="130">
        <f>U292+V292</f>
        <v>197016</v>
      </c>
      <c r="X292" s="103">
        <f>ROUND(U292*(44/12),0)</f>
        <v>375885</v>
      </c>
      <c r="Y292" s="128">
        <f>N292</f>
        <v>346507</v>
      </c>
      <c r="Z292" s="128">
        <f>SUM(X292:Y292)</f>
        <v>722392</v>
      </c>
      <c r="AB292" s="102">
        <v>2020</v>
      </c>
      <c r="AC292" s="103">
        <f>ROUND(D292,0)</f>
        <v>7173</v>
      </c>
      <c r="AF292" s="102">
        <v>2020</v>
      </c>
      <c r="AG292" s="103">
        <f t="shared" ref="AG292:AG312" si="112">H292-S292</f>
        <v>0</v>
      </c>
      <c r="AH292" s="103">
        <f t="shared" ref="AH292:AH312" si="113">L292-W292</f>
        <v>0</v>
      </c>
      <c r="AI292" s="103">
        <f t="shared" ref="AI292:AI312" si="114">O292-Z292</f>
        <v>0</v>
      </c>
      <c r="AJ292" s="325"/>
    </row>
    <row r="293" spans="2:36">
      <c r="B293" s="324"/>
      <c r="C293" s="102">
        <v>2021</v>
      </c>
      <c r="D293" s="103">
        <f t="shared" si="107"/>
        <v>6669.3203883495089</v>
      </c>
      <c r="E293" s="103">
        <f t="shared" si="108"/>
        <v>23275.409185803765</v>
      </c>
      <c r="F293" s="110"/>
      <c r="G293" s="102">
        <v>2021</v>
      </c>
      <c r="H293" s="128">
        <f t="shared" ref="H293:I312" si="115">ROUND(D292-D293,0)</f>
        <v>504</v>
      </c>
      <c r="I293" s="128">
        <f t="shared" si="115"/>
        <v>952</v>
      </c>
      <c r="J293" s="128">
        <f t="shared" si="109"/>
        <v>95327</v>
      </c>
      <c r="K293" s="128">
        <f t="shared" si="110"/>
        <v>90783</v>
      </c>
      <c r="L293" s="128">
        <f t="shared" ref="L293:L312" si="116">SUM(J293:K293)</f>
        <v>186110</v>
      </c>
      <c r="M293" s="128">
        <f>ROUND(J293*(44/12),0)</f>
        <v>349532</v>
      </c>
      <c r="N293" s="128">
        <f t="shared" ref="N293:N312" si="117">ROUND(K293*(44/12),0)</f>
        <v>332871</v>
      </c>
      <c r="O293" s="128">
        <f t="shared" ref="O293:O312" si="118">SUM(M293:N293)</f>
        <v>682403</v>
      </c>
      <c r="R293" s="102">
        <v>2021</v>
      </c>
      <c r="S293" s="128">
        <f t="shared" ref="S293:S312" si="119">ROUND(H293-H293*F7,0)</f>
        <v>504</v>
      </c>
      <c r="T293" s="128">
        <f t="shared" ref="T293:T312" si="120">I293</f>
        <v>952</v>
      </c>
      <c r="U293" s="103">
        <f t="shared" si="111"/>
        <v>95327</v>
      </c>
      <c r="V293" s="128">
        <f t="shared" ref="V293:V312" si="121">K293</f>
        <v>90783</v>
      </c>
      <c r="W293" s="130">
        <f t="shared" ref="W293:W312" si="122">U293+V293</f>
        <v>186110</v>
      </c>
      <c r="X293" s="103">
        <f t="shared" ref="X293:X312" si="123">ROUND(U293*(44/12),0)</f>
        <v>349532</v>
      </c>
      <c r="Y293" s="128">
        <f t="shared" ref="Y293:Y312" si="124">N293</f>
        <v>332871</v>
      </c>
      <c r="Z293" s="128">
        <f t="shared" ref="Z293:Z312" si="125">SUM(X293:Y293)</f>
        <v>682403</v>
      </c>
      <c r="AB293" s="102">
        <v>2021</v>
      </c>
      <c r="AC293" s="103">
        <f t="shared" ref="AC293:AC312" si="126">AC292-S293</f>
        <v>6669</v>
      </c>
      <c r="AF293" s="102">
        <v>2021</v>
      </c>
      <c r="AG293" s="103">
        <f t="shared" si="112"/>
        <v>0</v>
      </c>
      <c r="AH293" s="103">
        <f t="shared" si="113"/>
        <v>0</v>
      </c>
      <c r="AI293" s="103">
        <f t="shared" si="114"/>
        <v>0</v>
      </c>
      <c r="AJ293" s="325"/>
    </row>
    <row r="294" spans="2:36">
      <c r="B294" s="324"/>
      <c r="C294" s="102">
        <v>2022</v>
      </c>
      <c r="D294" s="103">
        <f t="shared" si="107"/>
        <v>6201.1510421939602</v>
      </c>
      <c r="E294" s="103">
        <f t="shared" si="108"/>
        <v>22360.632912247747</v>
      </c>
      <c r="F294" s="110"/>
      <c r="G294" s="102">
        <v>2022</v>
      </c>
      <c r="H294" s="128">
        <f t="shared" si="115"/>
        <v>468</v>
      </c>
      <c r="I294" s="128">
        <f t="shared" si="115"/>
        <v>915</v>
      </c>
      <c r="J294" s="128">
        <f t="shared" si="109"/>
        <v>88518</v>
      </c>
      <c r="K294" s="128">
        <f t="shared" si="110"/>
        <v>87254</v>
      </c>
      <c r="L294" s="128">
        <f t="shared" si="116"/>
        <v>175772</v>
      </c>
      <c r="M294" s="128">
        <f t="shared" ref="M294:M312" si="127">ROUND(J294*(44/12),0)</f>
        <v>324566</v>
      </c>
      <c r="N294" s="128">
        <f t="shared" si="117"/>
        <v>319931</v>
      </c>
      <c r="O294" s="128">
        <f t="shared" si="118"/>
        <v>644497</v>
      </c>
      <c r="R294" s="102">
        <v>2022</v>
      </c>
      <c r="S294" s="128">
        <f t="shared" si="119"/>
        <v>457</v>
      </c>
      <c r="T294" s="128">
        <f t="shared" si="120"/>
        <v>915</v>
      </c>
      <c r="U294" s="103">
        <f t="shared" si="111"/>
        <v>86437</v>
      </c>
      <c r="V294" s="128">
        <f t="shared" si="121"/>
        <v>87254</v>
      </c>
      <c r="W294" s="130">
        <f t="shared" si="122"/>
        <v>173691</v>
      </c>
      <c r="X294" s="103">
        <f t="shared" si="123"/>
        <v>316936</v>
      </c>
      <c r="Y294" s="128">
        <f t="shared" si="124"/>
        <v>319931</v>
      </c>
      <c r="Z294" s="128">
        <f t="shared" si="125"/>
        <v>636867</v>
      </c>
      <c r="AB294" s="102">
        <v>2022</v>
      </c>
      <c r="AC294" s="103">
        <f t="shared" si="126"/>
        <v>6212</v>
      </c>
      <c r="AF294" s="102">
        <v>2022</v>
      </c>
      <c r="AG294" s="103">
        <f t="shared" si="112"/>
        <v>11</v>
      </c>
      <c r="AH294" s="103">
        <f t="shared" si="113"/>
        <v>2081</v>
      </c>
      <c r="AI294" s="103">
        <f t="shared" si="114"/>
        <v>7630</v>
      </c>
      <c r="AJ294" s="325"/>
    </row>
    <row r="295" spans="2:36">
      <c r="B295" s="324"/>
      <c r="C295" s="102">
        <v>2023</v>
      </c>
      <c r="D295" s="103">
        <f t="shared" si="107"/>
        <v>5765.8459946351022</v>
      </c>
      <c r="E295" s="103">
        <f t="shared" si="108"/>
        <v>21481.809417179138</v>
      </c>
      <c r="F295" s="110"/>
      <c r="G295" s="102">
        <v>2023</v>
      </c>
      <c r="H295" s="128">
        <f t="shared" si="115"/>
        <v>435</v>
      </c>
      <c r="I295" s="128">
        <f t="shared" si="115"/>
        <v>879</v>
      </c>
      <c r="J295" s="128">
        <f t="shared" si="109"/>
        <v>82276</v>
      </c>
      <c r="K295" s="128">
        <f t="shared" si="110"/>
        <v>83821</v>
      </c>
      <c r="L295" s="128">
        <f t="shared" si="116"/>
        <v>166097</v>
      </c>
      <c r="M295" s="128">
        <f t="shared" si="127"/>
        <v>301679</v>
      </c>
      <c r="N295" s="128">
        <f t="shared" si="117"/>
        <v>307344</v>
      </c>
      <c r="O295" s="128">
        <f t="shared" si="118"/>
        <v>609023</v>
      </c>
      <c r="R295" s="102">
        <v>2023</v>
      </c>
      <c r="S295" s="128">
        <f t="shared" si="119"/>
        <v>398</v>
      </c>
      <c r="T295" s="128">
        <f t="shared" si="120"/>
        <v>879</v>
      </c>
      <c r="U295" s="103">
        <f t="shared" si="111"/>
        <v>75278</v>
      </c>
      <c r="V295" s="128">
        <f t="shared" si="121"/>
        <v>83821</v>
      </c>
      <c r="W295" s="130">
        <f t="shared" si="122"/>
        <v>159099</v>
      </c>
      <c r="X295" s="103">
        <f t="shared" si="123"/>
        <v>276019</v>
      </c>
      <c r="Y295" s="128">
        <f t="shared" si="124"/>
        <v>307344</v>
      </c>
      <c r="Z295" s="128">
        <f t="shared" si="125"/>
        <v>583363</v>
      </c>
      <c r="AB295" s="102">
        <v>2023</v>
      </c>
      <c r="AC295" s="103">
        <f t="shared" si="126"/>
        <v>5814</v>
      </c>
      <c r="AF295" s="102">
        <v>2023</v>
      </c>
      <c r="AG295" s="103">
        <f t="shared" si="112"/>
        <v>37</v>
      </c>
      <c r="AH295" s="103">
        <f t="shared" si="113"/>
        <v>6998</v>
      </c>
      <c r="AI295" s="103">
        <f t="shared" si="114"/>
        <v>25660</v>
      </c>
      <c r="AJ295" s="325"/>
    </row>
    <row r="296" spans="2:36">
      <c r="B296" s="324"/>
      <c r="C296" s="102">
        <v>2024</v>
      </c>
      <c r="D296" s="103">
        <f t="shared" si="107"/>
        <v>5361.0982554115653</v>
      </c>
      <c r="E296" s="103">
        <f t="shared" si="108"/>
        <v>20637.525675010886</v>
      </c>
      <c r="F296" s="110"/>
      <c r="G296" s="102">
        <v>2024</v>
      </c>
      <c r="H296" s="128">
        <f t="shared" si="115"/>
        <v>405</v>
      </c>
      <c r="I296" s="128">
        <f t="shared" si="115"/>
        <v>844</v>
      </c>
      <c r="J296" s="128">
        <f t="shared" si="109"/>
        <v>76602</v>
      </c>
      <c r="K296" s="128">
        <f t="shared" si="110"/>
        <v>80484</v>
      </c>
      <c r="L296" s="128">
        <f t="shared" si="116"/>
        <v>157086</v>
      </c>
      <c r="M296" s="128">
        <f t="shared" si="127"/>
        <v>280874</v>
      </c>
      <c r="N296" s="128">
        <f t="shared" si="117"/>
        <v>295108</v>
      </c>
      <c r="O296" s="128">
        <f t="shared" si="118"/>
        <v>575982</v>
      </c>
      <c r="R296" s="102">
        <v>2024</v>
      </c>
      <c r="S296" s="128">
        <f t="shared" si="119"/>
        <v>327</v>
      </c>
      <c r="T296" s="128">
        <f t="shared" si="120"/>
        <v>844</v>
      </c>
      <c r="U296" s="103">
        <f t="shared" si="111"/>
        <v>61849</v>
      </c>
      <c r="V296" s="128">
        <f t="shared" si="121"/>
        <v>80484</v>
      </c>
      <c r="W296" s="130">
        <f t="shared" si="122"/>
        <v>142333</v>
      </c>
      <c r="X296" s="103">
        <f t="shared" si="123"/>
        <v>226780</v>
      </c>
      <c r="Y296" s="128">
        <f t="shared" si="124"/>
        <v>295108</v>
      </c>
      <c r="Z296" s="128">
        <f t="shared" si="125"/>
        <v>521888</v>
      </c>
      <c r="AB296" s="102">
        <v>2024</v>
      </c>
      <c r="AC296" s="103">
        <f t="shared" si="126"/>
        <v>5487</v>
      </c>
      <c r="AF296" s="102">
        <v>2024</v>
      </c>
      <c r="AG296" s="103">
        <f t="shared" si="112"/>
        <v>78</v>
      </c>
      <c r="AH296" s="103">
        <f t="shared" si="113"/>
        <v>14753</v>
      </c>
      <c r="AI296" s="103">
        <f t="shared" si="114"/>
        <v>54094</v>
      </c>
      <c r="AJ296" s="325"/>
    </row>
    <row r="297" spans="2:36">
      <c r="B297" s="324"/>
      <c r="C297" s="102">
        <v>2025</v>
      </c>
      <c r="D297" s="103">
        <f t="shared" si="107"/>
        <v>4984.7627791168325</v>
      </c>
      <c r="E297" s="103">
        <f t="shared" si="108"/>
        <v>19826.424195260417</v>
      </c>
      <c r="F297" s="110"/>
      <c r="G297" s="102">
        <v>2025</v>
      </c>
      <c r="H297" s="128">
        <f t="shared" si="115"/>
        <v>376</v>
      </c>
      <c r="I297" s="128">
        <f t="shared" si="115"/>
        <v>811</v>
      </c>
      <c r="J297" s="128">
        <f t="shared" si="109"/>
        <v>71117</v>
      </c>
      <c r="K297" s="128">
        <f t="shared" si="110"/>
        <v>77337</v>
      </c>
      <c r="L297" s="128">
        <f t="shared" si="116"/>
        <v>148454</v>
      </c>
      <c r="M297" s="128">
        <f t="shared" si="127"/>
        <v>260762</v>
      </c>
      <c r="N297" s="128">
        <f t="shared" si="117"/>
        <v>283569</v>
      </c>
      <c r="O297" s="128">
        <f t="shared" si="118"/>
        <v>544331</v>
      </c>
      <c r="R297" s="102">
        <v>2025</v>
      </c>
      <c r="S297" s="128">
        <f t="shared" si="119"/>
        <v>246</v>
      </c>
      <c r="T297" s="128">
        <f t="shared" si="120"/>
        <v>811</v>
      </c>
      <c r="U297" s="103">
        <f t="shared" si="111"/>
        <v>46528</v>
      </c>
      <c r="V297" s="128">
        <f t="shared" si="121"/>
        <v>77337</v>
      </c>
      <c r="W297" s="130">
        <f t="shared" si="122"/>
        <v>123865</v>
      </c>
      <c r="X297" s="103">
        <f t="shared" si="123"/>
        <v>170603</v>
      </c>
      <c r="Y297" s="128">
        <f t="shared" si="124"/>
        <v>283569</v>
      </c>
      <c r="Z297" s="128">
        <f t="shared" si="125"/>
        <v>454172</v>
      </c>
      <c r="AB297" s="102">
        <v>2025</v>
      </c>
      <c r="AC297" s="103">
        <f t="shared" si="126"/>
        <v>5241</v>
      </c>
      <c r="AF297" s="102">
        <v>2025</v>
      </c>
      <c r="AG297" s="103">
        <f t="shared" si="112"/>
        <v>130</v>
      </c>
      <c r="AH297" s="103">
        <f t="shared" si="113"/>
        <v>24589</v>
      </c>
      <c r="AI297" s="103">
        <f t="shared" si="114"/>
        <v>90159</v>
      </c>
      <c r="AJ297" s="325"/>
    </row>
    <row r="298" spans="2:36">
      <c r="B298" s="324"/>
      <c r="C298" s="102">
        <v>2026</v>
      </c>
      <c r="D298" s="103">
        <f t="shared" si="107"/>
        <v>4634.8450970818894</v>
      </c>
      <c r="E298" s="103">
        <f t="shared" si="108"/>
        <v>19047.200839894307</v>
      </c>
      <c r="F298" s="110"/>
      <c r="G298" s="102">
        <v>2026</v>
      </c>
      <c r="H298" s="128">
        <f t="shared" si="115"/>
        <v>350</v>
      </c>
      <c r="I298" s="128">
        <f t="shared" si="115"/>
        <v>779</v>
      </c>
      <c r="J298" s="128">
        <f t="shared" si="109"/>
        <v>66199</v>
      </c>
      <c r="K298" s="128">
        <f t="shared" si="110"/>
        <v>74285</v>
      </c>
      <c r="L298" s="128">
        <f t="shared" si="116"/>
        <v>140484</v>
      </c>
      <c r="M298" s="128">
        <f t="shared" si="127"/>
        <v>242730</v>
      </c>
      <c r="N298" s="128">
        <f t="shared" si="117"/>
        <v>272378</v>
      </c>
      <c r="O298" s="128">
        <f t="shared" si="118"/>
        <v>515108</v>
      </c>
      <c r="R298" s="102">
        <v>2026</v>
      </c>
      <c r="S298" s="128">
        <f t="shared" si="119"/>
        <v>175</v>
      </c>
      <c r="T298" s="128">
        <f t="shared" si="120"/>
        <v>779</v>
      </c>
      <c r="U298" s="103">
        <f t="shared" si="111"/>
        <v>33100</v>
      </c>
      <c r="V298" s="128">
        <f t="shared" si="121"/>
        <v>74285</v>
      </c>
      <c r="W298" s="130">
        <f t="shared" si="122"/>
        <v>107385</v>
      </c>
      <c r="X298" s="103">
        <f t="shared" si="123"/>
        <v>121367</v>
      </c>
      <c r="Y298" s="128">
        <f t="shared" si="124"/>
        <v>272378</v>
      </c>
      <c r="Z298" s="128">
        <f t="shared" si="125"/>
        <v>393745</v>
      </c>
      <c r="AB298" s="102">
        <v>2026</v>
      </c>
      <c r="AC298" s="103">
        <f t="shared" si="126"/>
        <v>5066</v>
      </c>
      <c r="AF298" s="102">
        <v>2026</v>
      </c>
      <c r="AG298" s="103">
        <f t="shared" si="112"/>
        <v>175</v>
      </c>
      <c r="AH298" s="103">
        <f t="shared" si="113"/>
        <v>33099</v>
      </c>
      <c r="AI298" s="103">
        <f t="shared" si="114"/>
        <v>121363</v>
      </c>
      <c r="AJ298" s="325"/>
    </row>
    <row r="299" spans="2:36">
      <c r="B299" s="324"/>
      <c r="C299" s="102">
        <v>2027</v>
      </c>
      <c r="D299" s="103">
        <f t="shared" si="107"/>
        <v>4309.4907472708328</v>
      </c>
      <c r="E299" s="103">
        <f t="shared" si="108"/>
        <v>18298.602726456247</v>
      </c>
      <c r="F299" s="110"/>
      <c r="G299" s="102">
        <v>2027</v>
      </c>
      <c r="H299" s="128">
        <f t="shared" si="115"/>
        <v>325</v>
      </c>
      <c r="I299" s="128">
        <f t="shared" si="115"/>
        <v>749</v>
      </c>
      <c r="J299" s="128">
        <f t="shared" si="109"/>
        <v>61471</v>
      </c>
      <c r="K299" s="128">
        <f t="shared" si="110"/>
        <v>71425</v>
      </c>
      <c r="L299" s="128">
        <f t="shared" si="116"/>
        <v>132896</v>
      </c>
      <c r="M299" s="128">
        <f t="shared" si="127"/>
        <v>225394</v>
      </c>
      <c r="N299" s="128">
        <f t="shared" si="117"/>
        <v>261892</v>
      </c>
      <c r="O299" s="128">
        <f t="shared" si="118"/>
        <v>487286</v>
      </c>
      <c r="R299" s="102">
        <v>2027</v>
      </c>
      <c r="S299" s="128">
        <f t="shared" si="119"/>
        <v>120</v>
      </c>
      <c r="T299" s="128">
        <f t="shared" si="120"/>
        <v>749</v>
      </c>
      <c r="U299" s="103">
        <f t="shared" si="111"/>
        <v>22697</v>
      </c>
      <c r="V299" s="128">
        <f t="shared" si="121"/>
        <v>71425</v>
      </c>
      <c r="W299" s="130">
        <f t="shared" si="122"/>
        <v>94122</v>
      </c>
      <c r="X299" s="103">
        <f t="shared" si="123"/>
        <v>83222</v>
      </c>
      <c r="Y299" s="128">
        <f t="shared" si="124"/>
        <v>261892</v>
      </c>
      <c r="Z299" s="128">
        <f t="shared" si="125"/>
        <v>345114</v>
      </c>
      <c r="AB299" s="102">
        <v>2027</v>
      </c>
      <c r="AC299" s="103">
        <f t="shared" si="126"/>
        <v>4946</v>
      </c>
      <c r="AF299" s="102">
        <v>2027</v>
      </c>
      <c r="AG299" s="103">
        <f t="shared" si="112"/>
        <v>205</v>
      </c>
      <c r="AH299" s="103">
        <f t="shared" si="113"/>
        <v>38774</v>
      </c>
      <c r="AI299" s="103">
        <f t="shared" si="114"/>
        <v>142172</v>
      </c>
      <c r="AJ299" s="325"/>
    </row>
    <row r="300" spans="2:36">
      <c r="B300" s="324"/>
      <c r="C300" s="102">
        <v>2028</v>
      </c>
      <c r="D300" s="103">
        <f t="shared" si="107"/>
        <v>4006.9754461709449</v>
      </c>
      <c r="E300" s="103">
        <f t="shared" si="108"/>
        <v>17579.426213606832</v>
      </c>
      <c r="G300" s="102">
        <v>2028</v>
      </c>
      <c r="H300" s="128">
        <f t="shared" si="115"/>
        <v>303</v>
      </c>
      <c r="I300" s="128">
        <f t="shared" si="115"/>
        <v>719</v>
      </c>
      <c r="J300" s="128">
        <f t="shared" si="109"/>
        <v>57309</v>
      </c>
      <c r="K300" s="128">
        <f t="shared" si="110"/>
        <v>68564</v>
      </c>
      <c r="L300" s="128">
        <f t="shared" si="116"/>
        <v>125873</v>
      </c>
      <c r="M300" s="128">
        <f t="shared" si="127"/>
        <v>210133</v>
      </c>
      <c r="N300" s="128">
        <f t="shared" si="117"/>
        <v>251401</v>
      </c>
      <c r="O300" s="128">
        <f t="shared" si="118"/>
        <v>461534</v>
      </c>
      <c r="R300" s="102">
        <v>2028</v>
      </c>
      <c r="S300" s="128">
        <f t="shared" si="119"/>
        <v>84</v>
      </c>
      <c r="T300" s="128">
        <f t="shared" si="120"/>
        <v>719</v>
      </c>
      <c r="U300" s="103">
        <f t="shared" si="111"/>
        <v>15888</v>
      </c>
      <c r="V300" s="128">
        <f t="shared" si="121"/>
        <v>68564</v>
      </c>
      <c r="W300" s="130">
        <f t="shared" si="122"/>
        <v>84452</v>
      </c>
      <c r="X300" s="103">
        <f t="shared" si="123"/>
        <v>58256</v>
      </c>
      <c r="Y300" s="128">
        <f t="shared" si="124"/>
        <v>251401</v>
      </c>
      <c r="Z300" s="128">
        <f t="shared" si="125"/>
        <v>309657</v>
      </c>
      <c r="AB300" s="102">
        <v>2028</v>
      </c>
      <c r="AC300" s="103">
        <f t="shared" si="126"/>
        <v>4862</v>
      </c>
      <c r="AF300" s="102">
        <v>2028</v>
      </c>
      <c r="AG300" s="103">
        <f t="shared" si="112"/>
        <v>219</v>
      </c>
      <c r="AH300" s="103">
        <f t="shared" si="113"/>
        <v>41421</v>
      </c>
      <c r="AI300" s="103">
        <f t="shared" si="114"/>
        <v>151877</v>
      </c>
      <c r="AJ300" s="325"/>
    </row>
    <row r="301" spans="2:36">
      <c r="B301" s="324"/>
      <c r="C301" s="102">
        <v>2029</v>
      </c>
      <c r="D301" s="103">
        <f t="shared" si="107"/>
        <v>3725.6959505911204</v>
      </c>
      <c r="E301" s="103">
        <f t="shared" si="108"/>
        <v>16888.514965836177</v>
      </c>
      <c r="G301" s="102">
        <v>2029</v>
      </c>
      <c r="H301" s="128">
        <f t="shared" si="115"/>
        <v>281</v>
      </c>
      <c r="I301" s="128">
        <f t="shared" si="115"/>
        <v>691</v>
      </c>
      <c r="J301" s="128">
        <f t="shared" si="109"/>
        <v>53148</v>
      </c>
      <c r="K301" s="128">
        <f t="shared" si="110"/>
        <v>65894</v>
      </c>
      <c r="L301" s="128">
        <f t="shared" si="116"/>
        <v>119042</v>
      </c>
      <c r="M301" s="128">
        <f t="shared" si="127"/>
        <v>194876</v>
      </c>
      <c r="N301" s="128">
        <f t="shared" si="117"/>
        <v>241611</v>
      </c>
      <c r="O301" s="128">
        <f t="shared" si="118"/>
        <v>436487</v>
      </c>
      <c r="R301" s="102">
        <v>2029</v>
      </c>
      <c r="S301" s="128">
        <f t="shared" si="119"/>
        <v>64</v>
      </c>
      <c r="T301" s="128">
        <f t="shared" si="120"/>
        <v>691</v>
      </c>
      <c r="U301" s="103">
        <f t="shared" si="111"/>
        <v>12105</v>
      </c>
      <c r="V301" s="128">
        <f t="shared" si="121"/>
        <v>65894</v>
      </c>
      <c r="W301" s="130">
        <f t="shared" si="122"/>
        <v>77999</v>
      </c>
      <c r="X301" s="103">
        <f t="shared" si="123"/>
        <v>44385</v>
      </c>
      <c r="Y301" s="128">
        <f t="shared" si="124"/>
        <v>241611</v>
      </c>
      <c r="Z301" s="128">
        <f t="shared" si="125"/>
        <v>285996</v>
      </c>
      <c r="AB301" s="102">
        <v>2029</v>
      </c>
      <c r="AC301" s="103">
        <f t="shared" si="126"/>
        <v>4798</v>
      </c>
      <c r="AF301" s="102">
        <v>2029</v>
      </c>
      <c r="AG301" s="103">
        <f t="shared" si="112"/>
        <v>217</v>
      </c>
      <c r="AH301" s="103">
        <f t="shared" si="113"/>
        <v>41043</v>
      </c>
      <c r="AI301" s="103">
        <f t="shared" si="114"/>
        <v>150491</v>
      </c>
      <c r="AJ301" s="325"/>
    </row>
    <row r="302" spans="2:36">
      <c r="B302" s="324"/>
      <c r="C302" s="102">
        <v>2030</v>
      </c>
      <c r="D302" s="103">
        <f t="shared" si="107"/>
        <v>3464.1615609388218</v>
      </c>
      <c r="E302" s="103">
        <f t="shared" si="108"/>
        <v>16224.758094237739</v>
      </c>
      <c r="G302" s="102">
        <v>2030</v>
      </c>
      <c r="H302" s="128">
        <f t="shared" si="115"/>
        <v>262</v>
      </c>
      <c r="I302" s="128">
        <f t="shared" si="115"/>
        <v>664</v>
      </c>
      <c r="J302" s="128">
        <f t="shared" si="109"/>
        <v>49555</v>
      </c>
      <c r="K302" s="128">
        <f t="shared" si="110"/>
        <v>63319</v>
      </c>
      <c r="L302" s="128">
        <f t="shared" si="116"/>
        <v>112874</v>
      </c>
      <c r="M302" s="128">
        <f t="shared" si="127"/>
        <v>181702</v>
      </c>
      <c r="N302" s="128">
        <f t="shared" si="117"/>
        <v>232170</v>
      </c>
      <c r="O302" s="128">
        <f t="shared" si="118"/>
        <v>413872</v>
      </c>
      <c r="R302" s="102">
        <v>2030</v>
      </c>
      <c r="S302" s="128">
        <f t="shared" si="119"/>
        <v>60</v>
      </c>
      <c r="T302" s="128">
        <f t="shared" si="120"/>
        <v>664</v>
      </c>
      <c r="U302" s="103">
        <f t="shared" si="111"/>
        <v>11348</v>
      </c>
      <c r="V302" s="128">
        <f t="shared" si="121"/>
        <v>63319</v>
      </c>
      <c r="W302" s="130">
        <f t="shared" si="122"/>
        <v>74667</v>
      </c>
      <c r="X302" s="103">
        <f t="shared" si="123"/>
        <v>41609</v>
      </c>
      <c r="Y302" s="128">
        <f t="shared" si="124"/>
        <v>232170</v>
      </c>
      <c r="Z302" s="128">
        <f t="shared" si="125"/>
        <v>273779</v>
      </c>
      <c r="AB302" s="102">
        <v>2030</v>
      </c>
      <c r="AC302" s="103">
        <f t="shared" si="126"/>
        <v>4738</v>
      </c>
      <c r="AF302" s="102">
        <v>2030</v>
      </c>
      <c r="AG302" s="103">
        <f t="shared" si="112"/>
        <v>202</v>
      </c>
      <c r="AH302" s="103">
        <f t="shared" si="113"/>
        <v>38207</v>
      </c>
      <c r="AI302" s="103">
        <f t="shared" si="114"/>
        <v>140093</v>
      </c>
      <c r="AJ302" s="325"/>
    </row>
    <row r="303" spans="2:36">
      <c r="B303" s="324"/>
      <c r="C303" s="102">
        <v>2031</v>
      </c>
      <c r="D303" s="103">
        <f t="shared" si="107"/>
        <v>3220.9862209454059</v>
      </c>
      <c r="E303" s="103">
        <f t="shared" si="108"/>
        <v>15587.088370353909</v>
      </c>
      <c r="G303" s="102">
        <v>2031</v>
      </c>
      <c r="H303" s="128">
        <f t="shared" si="115"/>
        <v>243</v>
      </c>
      <c r="I303" s="128">
        <f t="shared" si="115"/>
        <v>638</v>
      </c>
      <c r="J303" s="128">
        <f t="shared" si="109"/>
        <v>45961</v>
      </c>
      <c r="K303" s="128">
        <f t="shared" si="110"/>
        <v>60840</v>
      </c>
      <c r="L303" s="128">
        <f t="shared" si="116"/>
        <v>106801</v>
      </c>
      <c r="M303" s="128">
        <f t="shared" si="127"/>
        <v>168524</v>
      </c>
      <c r="N303" s="128">
        <f t="shared" si="117"/>
        <v>223080</v>
      </c>
      <c r="O303" s="128">
        <f t="shared" si="118"/>
        <v>391604</v>
      </c>
      <c r="R303" s="102">
        <v>2031</v>
      </c>
      <c r="S303" s="128">
        <f t="shared" si="119"/>
        <v>56</v>
      </c>
      <c r="T303" s="128">
        <f t="shared" si="120"/>
        <v>638</v>
      </c>
      <c r="U303" s="103">
        <f t="shared" si="111"/>
        <v>10592</v>
      </c>
      <c r="V303" s="128">
        <f t="shared" si="121"/>
        <v>60840</v>
      </c>
      <c r="W303" s="130">
        <f t="shared" si="122"/>
        <v>71432</v>
      </c>
      <c r="X303" s="103">
        <f t="shared" si="123"/>
        <v>38837</v>
      </c>
      <c r="Y303" s="128">
        <f t="shared" si="124"/>
        <v>223080</v>
      </c>
      <c r="Z303" s="128">
        <f t="shared" si="125"/>
        <v>261917</v>
      </c>
      <c r="AB303" s="102">
        <v>2031</v>
      </c>
      <c r="AC303" s="103">
        <f t="shared" si="126"/>
        <v>4682</v>
      </c>
      <c r="AF303" s="102">
        <v>2031</v>
      </c>
      <c r="AG303" s="103">
        <f t="shared" si="112"/>
        <v>187</v>
      </c>
      <c r="AH303" s="103">
        <f t="shared" si="113"/>
        <v>35369</v>
      </c>
      <c r="AI303" s="103">
        <f t="shared" si="114"/>
        <v>129687</v>
      </c>
      <c r="AJ303" s="325"/>
    </row>
    <row r="304" spans="2:36">
      <c r="B304" s="324"/>
      <c r="C304" s="102">
        <v>2032</v>
      </c>
      <c r="D304" s="103">
        <f t="shared" si="107"/>
        <v>2994.8811719706591</v>
      </c>
      <c r="E304" s="103">
        <f t="shared" si="108"/>
        <v>14974.480510221534</v>
      </c>
      <c r="G304" s="102">
        <v>2032</v>
      </c>
      <c r="H304" s="128">
        <f t="shared" si="115"/>
        <v>226</v>
      </c>
      <c r="I304" s="128">
        <f t="shared" si="115"/>
        <v>613</v>
      </c>
      <c r="J304" s="128">
        <f t="shared" si="109"/>
        <v>42746</v>
      </c>
      <c r="K304" s="128">
        <f t="shared" si="110"/>
        <v>58456</v>
      </c>
      <c r="L304" s="128">
        <f t="shared" si="116"/>
        <v>101202</v>
      </c>
      <c r="M304" s="128">
        <f t="shared" si="127"/>
        <v>156735</v>
      </c>
      <c r="N304" s="128">
        <f t="shared" si="117"/>
        <v>214339</v>
      </c>
      <c r="O304" s="128">
        <f t="shared" si="118"/>
        <v>371074</v>
      </c>
      <c r="R304" s="102">
        <v>2032</v>
      </c>
      <c r="S304" s="128">
        <f t="shared" si="119"/>
        <v>52</v>
      </c>
      <c r="T304" s="128">
        <f t="shared" si="120"/>
        <v>613</v>
      </c>
      <c r="U304" s="103">
        <f t="shared" si="111"/>
        <v>9835</v>
      </c>
      <c r="V304" s="128">
        <f t="shared" si="121"/>
        <v>58456</v>
      </c>
      <c r="W304" s="130">
        <f t="shared" si="122"/>
        <v>68291</v>
      </c>
      <c r="X304" s="103">
        <f t="shared" si="123"/>
        <v>36062</v>
      </c>
      <c r="Y304" s="128">
        <f t="shared" si="124"/>
        <v>214339</v>
      </c>
      <c r="Z304" s="128">
        <f t="shared" si="125"/>
        <v>250401</v>
      </c>
      <c r="AB304" s="102">
        <v>2032</v>
      </c>
      <c r="AC304" s="103">
        <f t="shared" si="126"/>
        <v>4630</v>
      </c>
      <c r="AF304" s="102">
        <v>2032</v>
      </c>
      <c r="AG304" s="103">
        <f t="shared" si="112"/>
        <v>174</v>
      </c>
      <c r="AH304" s="103">
        <f t="shared" si="113"/>
        <v>32911</v>
      </c>
      <c r="AI304" s="103">
        <f t="shared" si="114"/>
        <v>120673</v>
      </c>
      <c r="AJ304" s="325"/>
    </row>
    <row r="305" spans="2:36">
      <c r="B305" s="324"/>
      <c r="C305" s="102">
        <v>2033</v>
      </c>
      <c r="D305" s="103">
        <f t="shared" si="107"/>
        <v>2784.648122956492</v>
      </c>
      <c r="E305" s="103">
        <f t="shared" si="108"/>
        <v>14385.949525858321</v>
      </c>
      <c r="G305" s="102">
        <v>2033</v>
      </c>
      <c r="H305" s="128">
        <f t="shared" si="115"/>
        <v>210</v>
      </c>
      <c r="I305" s="128">
        <f t="shared" si="115"/>
        <v>589</v>
      </c>
      <c r="J305" s="128">
        <f t="shared" si="109"/>
        <v>39719</v>
      </c>
      <c r="K305" s="128">
        <f t="shared" si="110"/>
        <v>56167</v>
      </c>
      <c r="L305" s="128">
        <f t="shared" si="116"/>
        <v>95886</v>
      </c>
      <c r="M305" s="128">
        <f t="shared" si="127"/>
        <v>145636</v>
      </c>
      <c r="N305" s="128">
        <f t="shared" si="117"/>
        <v>205946</v>
      </c>
      <c r="O305" s="128">
        <f t="shared" si="118"/>
        <v>351582</v>
      </c>
      <c r="R305" s="102">
        <v>2033</v>
      </c>
      <c r="S305" s="128">
        <f t="shared" si="119"/>
        <v>48</v>
      </c>
      <c r="T305" s="128">
        <f t="shared" si="120"/>
        <v>589</v>
      </c>
      <c r="U305" s="103">
        <f t="shared" si="111"/>
        <v>9079</v>
      </c>
      <c r="V305" s="128">
        <f t="shared" si="121"/>
        <v>56167</v>
      </c>
      <c r="W305" s="130">
        <f t="shared" si="122"/>
        <v>65246</v>
      </c>
      <c r="X305" s="103">
        <f t="shared" si="123"/>
        <v>33290</v>
      </c>
      <c r="Y305" s="128">
        <f t="shared" si="124"/>
        <v>205946</v>
      </c>
      <c r="Z305" s="128">
        <f t="shared" si="125"/>
        <v>239236</v>
      </c>
      <c r="AB305" s="102">
        <v>2033</v>
      </c>
      <c r="AC305" s="103">
        <f t="shared" si="126"/>
        <v>4582</v>
      </c>
      <c r="AF305" s="102">
        <v>2033</v>
      </c>
      <c r="AG305" s="103">
        <f t="shared" si="112"/>
        <v>162</v>
      </c>
      <c r="AH305" s="103">
        <f t="shared" si="113"/>
        <v>30640</v>
      </c>
      <c r="AI305" s="103">
        <f t="shared" si="114"/>
        <v>112346</v>
      </c>
      <c r="AJ305" s="325"/>
    </row>
    <row r="306" spans="2:36">
      <c r="B306" s="324"/>
      <c r="C306" s="102">
        <v>2034</v>
      </c>
      <c r="D306" s="103">
        <f t="shared" si="107"/>
        <v>2589.1728998325289</v>
      </c>
      <c r="E306" s="103">
        <f t="shared" si="108"/>
        <v>13820.54914153957</v>
      </c>
      <c r="G306" s="102">
        <v>2034</v>
      </c>
      <c r="H306" s="128">
        <f t="shared" si="115"/>
        <v>195</v>
      </c>
      <c r="I306" s="128">
        <f t="shared" si="115"/>
        <v>565</v>
      </c>
      <c r="J306" s="128">
        <f t="shared" si="109"/>
        <v>36882</v>
      </c>
      <c r="K306" s="128">
        <f t="shared" si="110"/>
        <v>53878</v>
      </c>
      <c r="L306" s="128">
        <f t="shared" si="116"/>
        <v>90760</v>
      </c>
      <c r="M306" s="128">
        <f t="shared" si="127"/>
        <v>135234</v>
      </c>
      <c r="N306" s="128">
        <f t="shared" si="117"/>
        <v>197553</v>
      </c>
      <c r="O306" s="128">
        <f t="shared" si="118"/>
        <v>332787</v>
      </c>
      <c r="R306" s="102">
        <v>2034</v>
      </c>
      <c r="S306" s="128">
        <f t="shared" si="119"/>
        <v>45</v>
      </c>
      <c r="T306" s="128">
        <f t="shared" si="120"/>
        <v>565</v>
      </c>
      <c r="U306" s="103">
        <f t="shared" si="111"/>
        <v>8511</v>
      </c>
      <c r="V306" s="128">
        <f t="shared" si="121"/>
        <v>53878</v>
      </c>
      <c r="W306" s="130">
        <f t="shared" si="122"/>
        <v>62389</v>
      </c>
      <c r="X306" s="103">
        <f t="shared" si="123"/>
        <v>31207</v>
      </c>
      <c r="Y306" s="128">
        <f t="shared" si="124"/>
        <v>197553</v>
      </c>
      <c r="Z306" s="128">
        <f t="shared" si="125"/>
        <v>228760</v>
      </c>
      <c r="AB306" s="102">
        <v>2034</v>
      </c>
      <c r="AC306" s="103">
        <f t="shared" si="126"/>
        <v>4537</v>
      </c>
      <c r="AF306" s="102">
        <v>2034</v>
      </c>
      <c r="AG306" s="103">
        <f t="shared" si="112"/>
        <v>150</v>
      </c>
      <c r="AH306" s="103">
        <f t="shared" si="113"/>
        <v>28371</v>
      </c>
      <c r="AI306" s="103">
        <f t="shared" si="114"/>
        <v>104027</v>
      </c>
      <c r="AJ306" s="325"/>
    </row>
    <row r="307" spans="2:36">
      <c r="B307" s="324"/>
      <c r="C307" s="102">
        <v>2035</v>
      </c>
      <c r="D307" s="103">
        <f t="shared" si="107"/>
        <v>2407.4195407172915</v>
      </c>
      <c r="E307" s="103">
        <f t="shared" si="108"/>
        <v>13277.370272318809</v>
      </c>
      <c r="G307" s="102">
        <v>2035</v>
      </c>
      <c r="H307" s="128">
        <f t="shared" si="115"/>
        <v>182</v>
      </c>
      <c r="I307" s="128">
        <f t="shared" si="115"/>
        <v>543</v>
      </c>
      <c r="J307" s="128">
        <f t="shared" si="109"/>
        <v>34423</v>
      </c>
      <c r="K307" s="128">
        <f t="shared" si="110"/>
        <v>51780</v>
      </c>
      <c r="L307" s="128">
        <f t="shared" si="116"/>
        <v>86203</v>
      </c>
      <c r="M307" s="128">
        <f t="shared" si="127"/>
        <v>126218</v>
      </c>
      <c r="N307" s="128">
        <f t="shared" si="117"/>
        <v>189860</v>
      </c>
      <c r="O307" s="128">
        <f t="shared" si="118"/>
        <v>316078</v>
      </c>
      <c r="R307" s="102">
        <v>2035</v>
      </c>
      <c r="S307" s="128">
        <f t="shared" si="119"/>
        <v>42</v>
      </c>
      <c r="T307" s="128">
        <f t="shared" si="120"/>
        <v>543</v>
      </c>
      <c r="U307" s="103">
        <f t="shared" si="111"/>
        <v>7944</v>
      </c>
      <c r="V307" s="128">
        <f t="shared" si="121"/>
        <v>51780</v>
      </c>
      <c r="W307" s="130">
        <f t="shared" si="122"/>
        <v>59724</v>
      </c>
      <c r="X307" s="103">
        <f t="shared" si="123"/>
        <v>29128</v>
      </c>
      <c r="Y307" s="128">
        <f t="shared" si="124"/>
        <v>189860</v>
      </c>
      <c r="Z307" s="128">
        <f t="shared" si="125"/>
        <v>218988</v>
      </c>
      <c r="AB307" s="102">
        <v>2035</v>
      </c>
      <c r="AC307" s="103">
        <f t="shared" si="126"/>
        <v>4495</v>
      </c>
      <c r="AF307" s="102">
        <v>2035</v>
      </c>
      <c r="AG307" s="103">
        <f t="shared" si="112"/>
        <v>140</v>
      </c>
      <c r="AH307" s="103">
        <f t="shared" si="113"/>
        <v>26479</v>
      </c>
      <c r="AI307" s="103">
        <f t="shared" si="114"/>
        <v>97090</v>
      </c>
      <c r="AJ307" s="325"/>
    </row>
    <row r="308" spans="2:36">
      <c r="B308" s="324"/>
      <c r="C308" s="102">
        <v>2036</v>
      </c>
      <c r="D308" s="103">
        <f t="shared" si="107"/>
        <v>2238.4248056212573</v>
      </c>
      <c r="E308" s="103">
        <f t="shared" si="108"/>
        <v>12755.539562346015</v>
      </c>
      <c r="G308" s="102">
        <v>2036</v>
      </c>
      <c r="H308" s="128">
        <f t="shared" si="115"/>
        <v>169</v>
      </c>
      <c r="I308" s="128">
        <f t="shared" si="115"/>
        <v>522</v>
      </c>
      <c r="J308" s="128">
        <f t="shared" si="109"/>
        <v>31965</v>
      </c>
      <c r="K308" s="128">
        <f t="shared" si="110"/>
        <v>49778</v>
      </c>
      <c r="L308" s="128">
        <f t="shared" si="116"/>
        <v>81743</v>
      </c>
      <c r="M308" s="128">
        <f t="shared" si="127"/>
        <v>117205</v>
      </c>
      <c r="N308" s="128">
        <f t="shared" si="117"/>
        <v>182519</v>
      </c>
      <c r="O308" s="128">
        <f t="shared" si="118"/>
        <v>299724</v>
      </c>
      <c r="R308" s="102">
        <v>2036</v>
      </c>
      <c r="S308" s="128">
        <f t="shared" si="119"/>
        <v>39</v>
      </c>
      <c r="T308" s="128">
        <f t="shared" si="120"/>
        <v>522</v>
      </c>
      <c r="U308" s="103">
        <f t="shared" si="111"/>
        <v>7376</v>
      </c>
      <c r="V308" s="128">
        <f t="shared" si="121"/>
        <v>49778</v>
      </c>
      <c r="W308" s="130">
        <f t="shared" si="122"/>
        <v>57154</v>
      </c>
      <c r="X308" s="103">
        <f t="shared" si="123"/>
        <v>27045</v>
      </c>
      <c r="Y308" s="128">
        <f t="shared" si="124"/>
        <v>182519</v>
      </c>
      <c r="Z308" s="128">
        <f t="shared" si="125"/>
        <v>209564</v>
      </c>
      <c r="AB308" s="102">
        <v>2036</v>
      </c>
      <c r="AC308" s="103">
        <f t="shared" si="126"/>
        <v>4456</v>
      </c>
      <c r="AF308" s="102">
        <v>2036</v>
      </c>
      <c r="AG308" s="103">
        <f t="shared" si="112"/>
        <v>130</v>
      </c>
      <c r="AH308" s="103">
        <f t="shared" si="113"/>
        <v>24589</v>
      </c>
      <c r="AI308" s="103">
        <f t="shared" si="114"/>
        <v>90160</v>
      </c>
      <c r="AJ308" s="325"/>
    </row>
    <row r="309" spans="2:36">
      <c r="B309" s="324"/>
      <c r="C309" s="102">
        <v>2037</v>
      </c>
      <c r="D309" s="103">
        <f t="shared" si="107"/>
        <v>2081.2930715548105</v>
      </c>
      <c r="E309" s="103">
        <f t="shared" si="108"/>
        <v>12254.217980633239</v>
      </c>
      <c r="G309" s="102">
        <v>2037</v>
      </c>
      <c r="H309" s="128">
        <f t="shared" si="115"/>
        <v>157</v>
      </c>
      <c r="I309" s="128">
        <f t="shared" si="115"/>
        <v>501</v>
      </c>
      <c r="J309" s="128">
        <f t="shared" si="109"/>
        <v>29695</v>
      </c>
      <c r="K309" s="128">
        <f t="shared" si="110"/>
        <v>47775</v>
      </c>
      <c r="L309" s="128">
        <f t="shared" si="116"/>
        <v>77470</v>
      </c>
      <c r="M309" s="128">
        <f t="shared" si="127"/>
        <v>108882</v>
      </c>
      <c r="N309" s="128">
        <f t="shared" si="117"/>
        <v>175175</v>
      </c>
      <c r="O309" s="128">
        <f t="shared" si="118"/>
        <v>284057</v>
      </c>
      <c r="R309" s="102">
        <v>2037</v>
      </c>
      <c r="S309" s="128">
        <f t="shared" si="119"/>
        <v>36</v>
      </c>
      <c r="T309" s="128">
        <f t="shared" si="120"/>
        <v>501</v>
      </c>
      <c r="U309" s="103">
        <f t="shared" si="111"/>
        <v>6809</v>
      </c>
      <c r="V309" s="128">
        <f t="shared" si="121"/>
        <v>47775</v>
      </c>
      <c r="W309" s="130">
        <f t="shared" si="122"/>
        <v>54584</v>
      </c>
      <c r="X309" s="103">
        <f t="shared" si="123"/>
        <v>24966</v>
      </c>
      <c r="Y309" s="128">
        <f t="shared" si="124"/>
        <v>175175</v>
      </c>
      <c r="Z309" s="128">
        <f t="shared" si="125"/>
        <v>200141</v>
      </c>
      <c r="AB309" s="102">
        <v>2037</v>
      </c>
      <c r="AC309" s="103">
        <f t="shared" si="126"/>
        <v>4420</v>
      </c>
      <c r="AF309" s="102">
        <v>2037</v>
      </c>
      <c r="AG309" s="103">
        <f t="shared" si="112"/>
        <v>121</v>
      </c>
      <c r="AH309" s="103">
        <f t="shared" si="113"/>
        <v>22886</v>
      </c>
      <c r="AI309" s="103">
        <f t="shared" si="114"/>
        <v>83916</v>
      </c>
      <c r="AJ309" s="325"/>
    </row>
    <row r="310" spans="2:36">
      <c r="B310" s="324"/>
      <c r="C310" s="102">
        <v>2038</v>
      </c>
      <c r="D310" s="103">
        <f t="shared" si="107"/>
        <v>1935.1915859866492</v>
      </c>
      <c r="E310" s="103">
        <f t="shared" si="108"/>
        <v>11772.599472009812</v>
      </c>
      <c r="G310" s="102">
        <v>2038</v>
      </c>
      <c r="H310" s="128">
        <f t="shared" si="115"/>
        <v>146</v>
      </c>
      <c r="I310" s="128">
        <f t="shared" si="115"/>
        <v>482</v>
      </c>
      <c r="J310" s="128">
        <f t="shared" si="109"/>
        <v>27614</v>
      </c>
      <c r="K310" s="128">
        <f t="shared" si="110"/>
        <v>45964</v>
      </c>
      <c r="L310" s="128">
        <f t="shared" si="116"/>
        <v>73578</v>
      </c>
      <c r="M310" s="128">
        <f t="shared" si="127"/>
        <v>101251</v>
      </c>
      <c r="N310" s="128">
        <f t="shared" si="117"/>
        <v>168535</v>
      </c>
      <c r="O310" s="128">
        <f t="shared" si="118"/>
        <v>269786</v>
      </c>
      <c r="R310" s="102">
        <v>2038</v>
      </c>
      <c r="S310" s="128">
        <f t="shared" si="119"/>
        <v>33</v>
      </c>
      <c r="T310" s="128">
        <f t="shared" si="120"/>
        <v>482</v>
      </c>
      <c r="U310" s="103">
        <f t="shared" si="111"/>
        <v>6242</v>
      </c>
      <c r="V310" s="128">
        <f t="shared" si="121"/>
        <v>45964</v>
      </c>
      <c r="W310" s="130">
        <f t="shared" si="122"/>
        <v>52206</v>
      </c>
      <c r="X310" s="103">
        <f t="shared" si="123"/>
        <v>22887</v>
      </c>
      <c r="Y310" s="128">
        <f t="shared" si="124"/>
        <v>168535</v>
      </c>
      <c r="Z310" s="128">
        <f t="shared" si="125"/>
        <v>191422</v>
      </c>
      <c r="AB310" s="102">
        <v>2038</v>
      </c>
      <c r="AC310" s="103">
        <f t="shared" si="126"/>
        <v>4387</v>
      </c>
      <c r="AF310" s="102">
        <v>2038</v>
      </c>
      <c r="AG310" s="103">
        <f t="shared" si="112"/>
        <v>113</v>
      </c>
      <c r="AH310" s="103">
        <f t="shared" si="113"/>
        <v>21372</v>
      </c>
      <c r="AI310" s="103">
        <f t="shared" si="114"/>
        <v>78364</v>
      </c>
      <c r="AJ310" s="325"/>
    </row>
    <row r="311" spans="2:36">
      <c r="B311" s="324"/>
      <c r="C311" s="102">
        <v>2039</v>
      </c>
      <c r="D311" s="103">
        <f t="shared" si="107"/>
        <v>1799.3460534973485</v>
      </c>
      <c r="E311" s="103">
        <f t="shared" si="108"/>
        <v>11309.909661098081</v>
      </c>
      <c r="G311" s="102">
        <v>2039</v>
      </c>
      <c r="H311" s="128">
        <f t="shared" si="115"/>
        <v>136</v>
      </c>
      <c r="I311" s="128">
        <f t="shared" si="115"/>
        <v>463</v>
      </c>
      <c r="J311" s="128">
        <f t="shared" si="109"/>
        <v>25723</v>
      </c>
      <c r="K311" s="128">
        <f t="shared" si="110"/>
        <v>44152</v>
      </c>
      <c r="L311" s="128">
        <f t="shared" si="116"/>
        <v>69875</v>
      </c>
      <c r="M311" s="128">
        <f t="shared" si="127"/>
        <v>94318</v>
      </c>
      <c r="N311" s="128">
        <f t="shared" si="117"/>
        <v>161891</v>
      </c>
      <c r="O311" s="128">
        <f t="shared" si="118"/>
        <v>256209</v>
      </c>
      <c r="R311" s="102">
        <v>2039</v>
      </c>
      <c r="S311" s="128">
        <f t="shared" si="119"/>
        <v>31</v>
      </c>
      <c r="T311" s="128">
        <f t="shared" si="120"/>
        <v>463</v>
      </c>
      <c r="U311" s="103">
        <f t="shared" si="111"/>
        <v>5863</v>
      </c>
      <c r="V311" s="128">
        <f t="shared" si="121"/>
        <v>44152</v>
      </c>
      <c r="W311" s="130">
        <f t="shared" si="122"/>
        <v>50015</v>
      </c>
      <c r="X311" s="103">
        <f t="shared" si="123"/>
        <v>21498</v>
      </c>
      <c r="Y311" s="128">
        <f t="shared" si="124"/>
        <v>161891</v>
      </c>
      <c r="Z311" s="128">
        <f t="shared" si="125"/>
        <v>183389</v>
      </c>
      <c r="AB311" s="102">
        <v>2039</v>
      </c>
      <c r="AC311" s="103">
        <f t="shared" si="126"/>
        <v>4356</v>
      </c>
      <c r="AF311" s="102">
        <v>2039</v>
      </c>
      <c r="AG311" s="103">
        <f t="shared" si="112"/>
        <v>105</v>
      </c>
      <c r="AH311" s="103">
        <f t="shared" si="113"/>
        <v>19860</v>
      </c>
      <c r="AI311" s="103">
        <f t="shared" si="114"/>
        <v>72820</v>
      </c>
      <c r="AJ311" s="325"/>
    </row>
    <row r="312" spans="2:36">
      <c r="B312" s="324"/>
      <c r="C312" s="102">
        <v>2040</v>
      </c>
      <c r="D312" s="103">
        <f t="shared" si="107"/>
        <v>1673.0365322386324</v>
      </c>
      <c r="E312" s="103">
        <f t="shared" si="108"/>
        <v>10865.404607225826</v>
      </c>
      <c r="G312" s="102">
        <v>2040</v>
      </c>
      <c r="H312" s="128">
        <f t="shared" si="115"/>
        <v>126</v>
      </c>
      <c r="I312" s="128">
        <f t="shared" si="115"/>
        <v>445</v>
      </c>
      <c r="J312" s="128">
        <f t="shared" si="109"/>
        <v>23832</v>
      </c>
      <c r="K312" s="128">
        <f t="shared" si="110"/>
        <v>42435</v>
      </c>
      <c r="L312" s="128">
        <f t="shared" si="116"/>
        <v>66267</v>
      </c>
      <c r="M312" s="128">
        <f t="shared" si="127"/>
        <v>87384</v>
      </c>
      <c r="N312" s="128">
        <f t="shared" si="117"/>
        <v>155595</v>
      </c>
      <c r="O312" s="128">
        <f t="shared" si="118"/>
        <v>242979</v>
      </c>
      <c r="R312" s="102">
        <v>2040</v>
      </c>
      <c r="S312" s="128">
        <f t="shared" si="119"/>
        <v>29</v>
      </c>
      <c r="T312" s="128">
        <f t="shared" si="120"/>
        <v>445</v>
      </c>
      <c r="U312" s="103">
        <f t="shared" si="111"/>
        <v>5485</v>
      </c>
      <c r="V312" s="128">
        <f t="shared" si="121"/>
        <v>42435</v>
      </c>
      <c r="W312" s="130">
        <f t="shared" si="122"/>
        <v>47920</v>
      </c>
      <c r="X312" s="103">
        <f t="shared" si="123"/>
        <v>20112</v>
      </c>
      <c r="Y312" s="128">
        <f t="shared" si="124"/>
        <v>155595</v>
      </c>
      <c r="Z312" s="128">
        <f t="shared" si="125"/>
        <v>175707</v>
      </c>
      <c r="AB312" s="102">
        <v>2040</v>
      </c>
      <c r="AC312" s="103">
        <f t="shared" si="126"/>
        <v>4327</v>
      </c>
      <c r="AF312" s="102">
        <v>2040</v>
      </c>
      <c r="AG312" s="103">
        <f t="shared" si="112"/>
        <v>97</v>
      </c>
      <c r="AH312" s="103">
        <f t="shared" si="113"/>
        <v>18347</v>
      </c>
      <c r="AI312" s="103">
        <f t="shared" si="114"/>
        <v>67272</v>
      </c>
      <c r="AJ312" s="325"/>
    </row>
    <row r="313" spans="2:36">
      <c r="B313" s="324"/>
      <c r="T313" s="270"/>
      <c r="AB313" s="110"/>
      <c r="AD313" s="141"/>
      <c r="AE313" s="141"/>
      <c r="AF313" s="141"/>
      <c r="AJ313" s="325"/>
    </row>
    <row r="314" spans="2:36">
      <c r="B314" s="324"/>
      <c r="AJ314" s="325"/>
    </row>
    <row r="315" spans="2:36">
      <c r="B315" s="324"/>
      <c r="AJ315" s="325"/>
    </row>
    <row r="316" spans="2:36">
      <c r="B316" s="324"/>
      <c r="AJ316" s="325"/>
    </row>
    <row r="317" spans="2:36">
      <c r="B317" s="334"/>
      <c r="C317" s="107"/>
      <c r="D317" s="107"/>
      <c r="E317" s="107"/>
      <c r="F317" s="107"/>
      <c r="G317" s="107"/>
      <c r="H317" s="107"/>
      <c r="I317" s="107"/>
      <c r="J317" s="107"/>
      <c r="K317" s="107"/>
      <c r="L317" s="107"/>
      <c r="M317" s="107"/>
      <c r="N317" s="107"/>
      <c r="O317" s="107"/>
      <c r="P317" s="107"/>
      <c r="Q317" s="107"/>
      <c r="R317" s="107"/>
      <c r="S317" s="107"/>
      <c r="T317" s="107"/>
      <c r="U317" s="107"/>
      <c r="V317" s="107"/>
      <c r="W317" s="107"/>
      <c r="X317" s="107"/>
      <c r="Y317" s="107"/>
      <c r="Z317" s="107"/>
      <c r="AA317" s="107"/>
      <c r="AB317" s="107"/>
      <c r="AC317" s="107"/>
      <c r="AD317" s="107"/>
      <c r="AE317" s="107"/>
      <c r="AF317" s="107"/>
      <c r="AG317" s="107"/>
      <c r="AH317" s="107"/>
      <c r="AI317" s="107"/>
      <c r="AJ317" s="338"/>
    </row>
  </sheetData>
  <mergeCells count="62">
    <mergeCell ref="AG22:AI22"/>
    <mergeCell ref="C5:G5"/>
    <mergeCell ref="H5:L5"/>
    <mergeCell ref="M5:Q5"/>
    <mergeCell ref="AF11:AF12"/>
    <mergeCell ref="AG11:AI11"/>
    <mergeCell ref="AG135:AG136"/>
    <mergeCell ref="C118:C119"/>
    <mergeCell ref="D118:E118"/>
    <mergeCell ref="H135:I135"/>
    <mergeCell ref="J135:L135"/>
    <mergeCell ref="M135:O135"/>
    <mergeCell ref="S135:T135"/>
    <mergeCell ref="AI186:AI187"/>
    <mergeCell ref="AH135:AH136"/>
    <mergeCell ref="AI135:AI136"/>
    <mergeCell ref="C169:C170"/>
    <mergeCell ref="D169:E169"/>
    <mergeCell ref="H186:I186"/>
    <mergeCell ref="J186:L186"/>
    <mergeCell ref="M186:O186"/>
    <mergeCell ref="S186:T186"/>
    <mergeCell ref="U186:W186"/>
    <mergeCell ref="X186:Z186"/>
    <mergeCell ref="U135:W135"/>
    <mergeCell ref="X135:Z135"/>
    <mergeCell ref="AB135:AB136"/>
    <mergeCell ref="AC135:AC136"/>
    <mergeCell ref="AF135:AF136"/>
    <mergeCell ref="AB186:AB187"/>
    <mergeCell ref="AC186:AC187"/>
    <mergeCell ref="AF186:AF187"/>
    <mergeCell ref="AG186:AG187"/>
    <mergeCell ref="AH186:AH187"/>
    <mergeCell ref="AG237:AG238"/>
    <mergeCell ref="C220:C221"/>
    <mergeCell ref="D220:E220"/>
    <mergeCell ref="H237:I237"/>
    <mergeCell ref="J237:L237"/>
    <mergeCell ref="M237:O237"/>
    <mergeCell ref="S237:T237"/>
    <mergeCell ref="AI290:AI291"/>
    <mergeCell ref="AH237:AH238"/>
    <mergeCell ref="AI237:AI238"/>
    <mergeCell ref="C273:C274"/>
    <mergeCell ref="D273:E273"/>
    <mergeCell ref="H290:I290"/>
    <mergeCell ref="J290:L290"/>
    <mergeCell ref="M290:O290"/>
    <mergeCell ref="S290:T290"/>
    <mergeCell ref="U290:W290"/>
    <mergeCell ref="X290:Z290"/>
    <mergeCell ref="U237:W237"/>
    <mergeCell ref="X237:Z237"/>
    <mergeCell ref="AB237:AB238"/>
    <mergeCell ref="AC237:AC238"/>
    <mergeCell ref="AF237:AF238"/>
    <mergeCell ref="AB290:AB291"/>
    <mergeCell ref="AC290:AC291"/>
    <mergeCell ref="AF290:AF291"/>
    <mergeCell ref="AG290:AG291"/>
    <mergeCell ref="AH290:AH291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C648E-BF72-45EA-9D78-690C71AFD458}">
  <dimension ref="C3:AA54"/>
  <sheetViews>
    <sheetView zoomScale="70" zoomScaleNormal="70" workbookViewId="0">
      <selection activeCell="G8" sqref="G8"/>
    </sheetView>
  </sheetViews>
  <sheetFormatPr defaultRowHeight="13"/>
  <cols>
    <col min="4" max="8" width="14.81640625" customWidth="1"/>
    <col min="13" max="13" width="13.36328125" customWidth="1"/>
    <col min="14" max="14" width="17.81640625" customWidth="1"/>
    <col min="24" max="24" width="10.36328125" customWidth="1"/>
    <col min="25" max="27" width="21.36328125" customWidth="1"/>
  </cols>
  <sheetData>
    <row r="3" spans="3:27" ht="13.5" thickBot="1"/>
    <row r="4" spans="3:27">
      <c r="K4" s="301"/>
      <c r="L4" s="302"/>
      <c r="M4" s="302"/>
      <c r="N4" s="302"/>
      <c r="O4" s="302"/>
      <c r="P4" s="302"/>
      <c r="Q4" s="302"/>
      <c r="R4" s="302"/>
      <c r="S4" s="302"/>
      <c r="T4" s="302"/>
      <c r="U4" s="383"/>
      <c r="V4" s="384"/>
      <c r="W4" s="384"/>
      <c r="X4" s="384"/>
      <c r="Y4" s="384"/>
      <c r="Z4" s="384"/>
      <c r="AA4" s="385"/>
    </row>
    <row r="5" spans="3:27" ht="18">
      <c r="K5" s="304"/>
      <c r="L5" s="305" t="s">
        <v>155</v>
      </c>
      <c r="M5" s="95"/>
      <c r="N5" s="95"/>
      <c r="O5" s="95"/>
      <c r="P5" s="95"/>
      <c r="Q5" s="95"/>
      <c r="R5" s="95"/>
      <c r="S5" s="95"/>
      <c r="T5" s="95"/>
      <c r="U5" s="95"/>
      <c r="X5" t="s">
        <v>230</v>
      </c>
      <c r="AA5" s="386"/>
    </row>
    <row r="6" spans="3:27" ht="26">
      <c r="K6" s="304"/>
      <c r="L6" s="95"/>
      <c r="M6" s="95"/>
      <c r="N6" s="95"/>
      <c r="O6" s="95"/>
      <c r="P6" s="95"/>
      <c r="Q6" s="95"/>
      <c r="R6" s="95"/>
      <c r="S6" s="95"/>
      <c r="T6" s="95"/>
      <c r="U6" s="95"/>
      <c r="X6" s="387" t="s">
        <v>231</v>
      </c>
      <c r="Y6" s="387" t="s">
        <v>232</v>
      </c>
      <c r="Z6" s="387" t="s">
        <v>233</v>
      </c>
      <c r="AA6" s="386"/>
    </row>
    <row r="7" spans="3:27">
      <c r="C7" s="97" t="s">
        <v>234</v>
      </c>
      <c r="D7" s="97"/>
      <c r="E7" s="97"/>
      <c r="F7" s="97"/>
      <c r="G7" s="97"/>
      <c r="H7" s="97"/>
      <c r="K7" s="304"/>
      <c r="L7" s="95"/>
      <c r="N7" s="95"/>
      <c r="O7" s="95"/>
      <c r="P7" s="95"/>
      <c r="Q7" s="97" t="s">
        <v>75</v>
      </c>
      <c r="R7" s="97"/>
      <c r="S7" s="388">
        <v>8.1</v>
      </c>
      <c r="T7" s="97" t="s">
        <v>76</v>
      </c>
      <c r="U7" s="95"/>
      <c r="X7" s="389">
        <v>1</v>
      </c>
      <c r="Y7" s="390">
        <v>8.4</v>
      </c>
      <c r="Z7" s="390">
        <f>Y7</f>
        <v>8.4</v>
      </c>
      <c r="AA7" s="386"/>
    </row>
    <row r="8" spans="3:27">
      <c r="C8" s="391"/>
      <c r="D8" s="392" t="s">
        <v>56</v>
      </c>
      <c r="E8" s="392" t="s">
        <v>57</v>
      </c>
      <c r="F8" s="392" t="s">
        <v>58</v>
      </c>
      <c r="G8" s="392" t="s">
        <v>59</v>
      </c>
      <c r="H8" s="393" t="s">
        <v>66</v>
      </c>
      <c r="K8" s="304"/>
      <c r="L8" s="95"/>
      <c r="M8" s="97" t="s">
        <v>235</v>
      </c>
      <c r="N8" s="97" t="s">
        <v>236</v>
      </c>
      <c r="O8" s="97" t="s">
        <v>237</v>
      </c>
      <c r="P8" s="95"/>
      <c r="Q8" s="97" t="s">
        <v>238</v>
      </c>
      <c r="R8" s="95"/>
      <c r="S8" s="114"/>
      <c r="T8" s="95"/>
      <c r="U8" s="95"/>
      <c r="X8" s="389">
        <v>2</v>
      </c>
      <c r="Y8" s="390">
        <v>13.9</v>
      </c>
      <c r="Z8" s="390">
        <f t="shared" ref="Z8:Z26" si="0">Y8-Y7</f>
        <v>5.5</v>
      </c>
      <c r="AA8" s="386"/>
    </row>
    <row r="9" spans="3:27">
      <c r="C9" s="394">
        <v>2021</v>
      </c>
      <c r="D9" s="395">
        <v>0</v>
      </c>
      <c r="E9" s="395">
        <v>0</v>
      </c>
      <c r="F9" s="395">
        <v>0</v>
      </c>
      <c r="G9" s="395">
        <v>0</v>
      </c>
      <c r="H9" s="396">
        <f>SUM(D9:G9)</f>
        <v>0</v>
      </c>
      <c r="K9" s="304"/>
      <c r="L9" s="97" t="s">
        <v>56</v>
      </c>
      <c r="M9" s="97">
        <v>28</v>
      </c>
      <c r="N9" s="397">
        <v>9</v>
      </c>
      <c r="O9" s="398">
        <f>N9*$T$12</f>
        <v>72</v>
      </c>
      <c r="P9" s="97" t="s">
        <v>101</v>
      </c>
      <c r="Q9" s="95"/>
      <c r="R9" s="95"/>
      <c r="S9" s="95"/>
      <c r="T9" s="95"/>
      <c r="U9" s="95"/>
      <c r="X9" s="389">
        <v>3</v>
      </c>
      <c r="Y9" s="390">
        <v>19.7</v>
      </c>
      <c r="Z9" s="390">
        <f t="shared" si="0"/>
        <v>5.7999999999999989</v>
      </c>
      <c r="AA9" s="386"/>
    </row>
    <row r="10" spans="3:27">
      <c r="C10" s="394">
        <v>2022</v>
      </c>
      <c r="D10" s="395">
        <v>0</v>
      </c>
      <c r="E10" s="395">
        <v>0</v>
      </c>
      <c r="F10" s="395">
        <v>0</v>
      </c>
      <c r="G10" s="395">
        <v>0</v>
      </c>
      <c r="H10" s="396">
        <f t="shared" ref="H10:H28" si="1">SUM(D10:G10)</f>
        <v>0</v>
      </c>
      <c r="K10" s="304"/>
      <c r="L10" s="97" t="s">
        <v>57</v>
      </c>
      <c r="M10" s="97">
        <v>11</v>
      </c>
      <c r="N10" s="397">
        <v>4</v>
      </c>
      <c r="O10" s="398">
        <f>N10*$T$12</f>
        <v>32</v>
      </c>
      <c r="P10" s="97" t="s">
        <v>101</v>
      </c>
      <c r="Q10" s="95"/>
      <c r="R10" s="95" t="s">
        <v>239</v>
      </c>
      <c r="S10" s="95"/>
      <c r="T10" s="95"/>
      <c r="U10" s="95"/>
      <c r="X10" s="389">
        <v>4</v>
      </c>
      <c r="Y10" s="390">
        <v>25.4</v>
      </c>
      <c r="Z10" s="390">
        <f t="shared" si="0"/>
        <v>5.6999999999999993</v>
      </c>
      <c r="AA10" s="386"/>
    </row>
    <row r="11" spans="3:27" ht="13.5">
      <c r="C11" s="394">
        <v>2023</v>
      </c>
      <c r="D11" s="395">
        <v>0</v>
      </c>
      <c r="E11" s="395">
        <v>0</v>
      </c>
      <c r="F11" s="395">
        <v>0</v>
      </c>
      <c r="G11" s="395">
        <v>0</v>
      </c>
      <c r="H11" s="396">
        <f t="shared" si="1"/>
        <v>0</v>
      </c>
      <c r="K11" s="304"/>
      <c r="L11" s="97" t="s">
        <v>58</v>
      </c>
      <c r="M11" s="97">
        <v>10</v>
      </c>
      <c r="N11" s="397">
        <v>3</v>
      </c>
      <c r="O11" s="398">
        <f>N11*$T$12</f>
        <v>24</v>
      </c>
      <c r="P11" s="97" t="s">
        <v>101</v>
      </c>
      <c r="Q11" s="95"/>
      <c r="R11" s="95">
        <v>9</v>
      </c>
      <c r="S11" s="399" t="s">
        <v>240</v>
      </c>
      <c r="T11" s="98">
        <v>75</v>
      </c>
      <c r="U11" s="95" t="s">
        <v>101</v>
      </c>
      <c r="X11" s="389">
        <v>5</v>
      </c>
      <c r="Y11" s="390">
        <v>30.7</v>
      </c>
      <c r="Z11" s="390">
        <f t="shared" si="0"/>
        <v>5.3000000000000007</v>
      </c>
      <c r="AA11" s="386"/>
    </row>
    <row r="12" spans="3:27" ht="13.5">
      <c r="C12" s="394">
        <v>2024</v>
      </c>
      <c r="D12" s="395">
        <v>0</v>
      </c>
      <c r="E12" s="395">
        <v>0</v>
      </c>
      <c r="F12" s="395">
        <v>0</v>
      </c>
      <c r="G12" s="395">
        <v>0</v>
      </c>
      <c r="H12" s="396">
        <f t="shared" si="1"/>
        <v>0</v>
      </c>
      <c r="K12" s="304"/>
      <c r="L12" s="97" t="s">
        <v>59</v>
      </c>
      <c r="M12" s="97">
        <v>19</v>
      </c>
      <c r="N12" s="397">
        <v>7</v>
      </c>
      <c r="O12" s="398">
        <f>N12*$T$12</f>
        <v>56</v>
      </c>
      <c r="P12" s="97" t="s">
        <v>101</v>
      </c>
      <c r="Q12" s="95"/>
      <c r="R12">
        <v>1</v>
      </c>
      <c r="S12" s="399" t="s">
        <v>241</v>
      </c>
      <c r="T12" s="98">
        <f>ROUND(T11/R11,0)</f>
        <v>8</v>
      </c>
      <c r="U12" s="95" t="s">
        <v>101</v>
      </c>
      <c r="X12" s="389">
        <v>6</v>
      </c>
      <c r="Y12" s="390">
        <v>36.1</v>
      </c>
      <c r="Z12" s="390">
        <f t="shared" si="0"/>
        <v>5.4000000000000021</v>
      </c>
      <c r="AA12" s="386"/>
    </row>
    <row r="13" spans="3:27">
      <c r="C13" s="394">
        <v>2025</v>
      </c>
      <c r="D13" s="395">
        <v>0</v>
      </c>
      <c r="E13" s="395">
        <v>0</v>
      </c>
      <c r="F13" s="395">
        <v>0</v>
      </c>
      <c r="G13" s="395">
        <v>0</v>
      </c>
      <c r="H13" s="396">
        <f t="shared" si="1"/>
        <v>0</v>
      </c>
      <c r="K13" s="304"/>
      <c r="L13" s="97" t="s">
        <v>66</v>
      </c>
      <c r="M13" s="97">
        <f>SUM(M9:M12)</f>
        <v>68</v>
      </c>
      <c r="N13" s="97">
        <f>SUM(N9:N12)</f>
        <v>23</v>
      </c>
      <c r="O13" s="97">
        <f>SUM(O9:O12)</f>
        <v>184</v>
      </c>
      <c r="P13" s="97"/>
      <c r="Q13" s="95"/>
      <c r="R13" s="95"/>
      <c r="S13" s="95"/>
      <c r="T13" s="95"/>
      <c r="U13" s="95"/>
      <c r="X13" s="389">
        <v>7</v>
      </c>
      <c r="Y13" s="390">
        <v>41.8</v>
      </c>
      <c r="Z13" s="390">
        <f t="shared" si="0"/>
        <v>5.6999999999999957</v>
      </c>
      <c r="AA13" s="386"/>
    </row>
    <row r="14" spans="3:27">
      <c r="C14" s="394">
        <v>2026</v>
      </c>
      <c r="D14" s="395">
        <v>0</v>
      </c>
      <c r="E14" s="395">
        <v>0</v>
      </c>
      <c r="F14" s="395">
        <v>0</v>
      </c>
      <c r="G14" s="395">
        <v>0</v>
      </c>
      <c r="H14" s="396">
        <f t="shared" si="1"/>
        <v>0</v>
      </c>
      <c r="K14" s="304"/>
      <c r="L14" s="95"/>
      <c r="M14" s="95"/>
      <c r="N14" s="95"/>
      <c r="O14" s="95"/>
      <c r="P14" s="95"/>
      <c r="Q14" s="95"/>
      <c r="R14" s="95"/>
      <c r="S14" s="95"/>
      <c r="T14" s="95"/>
      <c r="U14" s="95"/>
      <c r="X14" s="389">
        <v>8</v>
      </c>
      <c r="Y14" s="390">
        <v>46.8</v>
      </c>
      <c r="Z14" s="390">
        <f t="shared" si="0"/>
        <v>5</v>
      </c>
      <c r="AA14" s="386"/>
    </row>
    <row r="15" spans="3:27">
      <c r="C15" s="394">
        <v>2027</v>
      </c>
      <c r="D15" s="400">
        <f>$O$9*Z7</f>
        <v>604.80000000000007</v>
      </c>
      <c r="E15" s="400">
        <f t="shared" ref="E15:E28" si="2">$O$10*Z7</f>
        <v>268.8</v>
      </c>
      <c r="F15" s="400">
        <f>$O$11*Z7</f>
        <v>201.60000000000002</v>
      </c>
      <c r="G15" s="400">
        <f>$O$12*Z7</f>
        <v>470.40000000000003</v>
      </c>
      <c r="H15" s="401">
        <f t="shared" si="1"/>
        <v>1545.6000000000004</v>
      </c>
      <c r="K15" s="304"/>
      <c r="L15" s="95"/>
      <c r="M15" s="95"/>
      <c r="N15" s="95"/>
      <c r="Q15" s="95"/>
      <c r="R15" s="95"/>
      <c r="S15" s="95"/>
      <c r="T15" s="95"/>
      <c r="U15" s="95"/>
      <c r="X15" s="389">
        <v>9</v>
      </c>
      <c r="Y15" s="390">
        <v>52.4</v>
      </c>
      <c r="Z15" s="390">
        <f t="shared" si="0"/>
        <v>5.6000000000000014</v>
      </c>
      <c r="AA15" s="386"/>
    </row>
    <row r="16" spans="3:27">
      <c r="C16" s="394">
        <v>2028</v>
      </c>
      <c r="D16" s="400">
        <f t="shared" ref="D16:D28" si="3">$O$9*Z8</f>
        <v>396</v>
      </c>
      <c r="E16" s="400">
        <f t="shared" si="2"/>
        <v>176</v>
      </c>
      <c r="F16" s="400">
        <f t="shared" ref="F16:F28" si="4">$O$11*Z8</f>
        <v>132</v>
      </c>
      <c r="G16" s="400">
        <f t="shared" ref="G16:G28" si="5">$O$12*Z8</f>
        <v>308</v>
      </c>
      <c r="H16" s="401">
        <f t="shared" si="1"/>
        <v>1012</v>
      </c>
      <c r="K16" s="304"/>
      <c r="Q16" s="95"/>
      <c r="R16" s="95"/>
      <c r="S16" s="95"/>
      <c r="T16" s="95"/>
      <c r="U16" s="95"/>
      <c r="X16" s="389">
        <v>10</v>
      </c>
      <c r="Y16" s="390">
        <v>58.2</v>
      </c>
      <c r="Z16" s="390">
        <f t="shared" si="0"/>
        <v>5.8000000000000043</v>
      </c>
      <c r="AA16" s="386"/>
    </row>
    <row r="17" spans="3:27">
      <c r="C17" s="394">
        <v>2029</v>
      </c>
      <c r="D17" s="400">
        <f t="shared" si="3"/>
        <v>417.59999999999991</v>
      </c>
      <c r="E17" s="400">
        <f t="shared" si="2"/>
        <v>185.59999999999997</v>
      </c>
      <c r="F17" s="400">
        <f t="shared" si="4"/>
        <v>139.19999999999999</v>
      </c>
      <c r="G17" s="400">
        <f t="shared" si="5"/>
        <v>324.79999999999995</v>
      </c>
      <c r="H17" s="401">
        <f t="shared" si="1"/>
        <v>1067.1999999999998</v>
      </c>
      <c r="K17" s="304"/>
      <c r="Q17" s="95"/>
      <c r="R17" s="311"/>
      <c r="S17" s="97"/>
      <c r="T17" s="115"/>
      <c r="U17" s="95"/>
      <c r="X17" s="389">
        <v>11</v>
      </c>
      <c r="Y17" s="390">
        <v>64</v>
      </c>
      <c r="Z17" s="390">
        <f t="shared" si="0"/>
        <v>5.7999999999999972</v>
      </c>
      <c r="AA17" s="386"/>
    </row>
    <row r="18" spans="3:27">
      <c r="C18" s="394">
        <v>2030</v>
      </c>
      <c r="D18" s="400">
        <f t="shared" si="3"/>
        <v>410.4</v>
      </c>
      <c r="E18" s="400">
        <f t="shared" si="2"/>
        <v>182.39999999999998</v>
      </c>
      <c r="F18" s="400">
        <f t="shared" si="4"/>
        <v>136.79999999999998</v>
      </c>
      <c r="G18" s="400">
        <f t="shared" si="5"/>
        <v>319.19999999999993</v>
      </c>
      <c r="H18" s="401">
        <f t="shared" si="1"/>
        <v>1048.7999999999997</v>
      </c>
      <c r="K18" s="304"/>
      <c r="Q18" s="95"/>
      <c r="R18" s="110"/>
      <c r="S18" s="110"/>
      <c r="T18" s="248"/>
      <c r="U18" s="95"/>
      <c r="X18" s="389">
        <v>12</v>
      </c>
      <c r="Y18" s="390">
        <v>70.099999999999994</v>
      </c>
      <c r="Z18" s="390">
        <f t="shared" si="0"/>
        <v>6.0999999999999943</v>
      </c>
      <c r="AA18" s="386"/>
    </row>
    <row r="19" spans="3:27">
      <c r="C19" s="394">
        <v>2031</v>
      </c>
      <c r="D19" s="400">
        <f t="shared" si="3"/>
        <v>381.6</v>
      </c>
      <c r="E19" s="400">
        <f t="shared" si="2"/>
        <v>169.60000000000002</v>
      </c>
      <c r="F19" s="400">
        <f t="shared" si="4"/>
        <v>127.20000000000002</v>
      </c>
      <c r="G19" s="400">
        <f t="shared" si="5"/>
        <v>296.80000000000007</v>
      </c>
      <c r="H19" s="401">
        <f t="shared" si="1"/>
        <v>975.20000000000016</v>
      </c>
      <c r="K19" s="304"/>
      <c r="M19" s="402"/>
      <c r="Q19" s="95"/>
      <c r="R19" s="110"/>
      <c r="S19" s="110"/>
      <c r="T19" s="248"/>
      <c r="U19" s="95"/>
      <c r="X19" s="389">
        <v>13</v>
      </c>
      <c r="Y19" s="390">
        <v>75.900000000000006</v>
      </c>
      <c r="Z19" s="390">
        <f t="shared" si="0"/>
        <v>5.8000000000000114</v>
      </c>
      <c r="AA19" s="386"/>
    </row>
    <row r="20" spans="3:27">
      <c r="C20" s="394">
        <v>2032</v>
      </c>
      <c r="D20" s="400">
        <f t="shared" si="3"/>
        <v>388.80000000000018</v>
      </c>
      <c r="E20" s="400">
        <f t="shared" si="2"/>
        <v>172.80000000000007</v>
      </c>
      <c r="F20" s="400">
        <f t="shared" si="4"/>
        <v>129.60000000000005</v>
      </c>
      <c r="G20" s="400">
        <f t="shared" si="5"/>
        <v>302.40000000000009</v>
      </c>
      <c r="H20" s="401">
        <f t="shared" si="1"/>
        <v>993.60000000000036</v>
      </c>
      <c r="K20" s="304"/>
      <c r="Q20" s="95"/>
      <c r="R20" s="110"/>
      <c r="S20" s="110"/>
      <c r="T20" s="248"/>
      <c r="U20" s="95"/>
      <c r="X20" s="389">
        <v>14</v>
      </c>
      <c r="Y20" s="390">
        <v>82.4</v>
      </c>
      <c r="Z20" s="390">
        <f t="shared" si="0"/>
        <v>6.5</v>
      </c>
      <c r="AA20" s="386"/>
    </row>
    <row r="21" spans="3:27">
      <c r="C21" s="394">
        <v>2033</v>
      </c>
      <c r="D21" s="400">
        <f t="shared" si="3"/>
        <v>410.39999999999969</v>
      </c>
      <c r="E21" s="400">
        <f t="shared" si="2"/>
        <v>182.39999999999986</v>
      </c>
      <c r="F21" s="400">
        <f t="shared" si="4"/>
        <v>136.7999999999999</v>
      </c>
      <c r="G21" s="400">
        <f t="shared" si="5"/>
        <v>319.19999999999976</v>
      </c>
      <c r="H21" s="401">
        <f t="shared" si="1"/>
        <v>1048.7999999999993</v>
      </c>
      <c r="K21" s="304"/>
      <c r="Q21" s="95"/>
      <c r="R21" s="110"/>
      <c r="S21" s="110"/>
      <c r="T21" s="248"/>
      <c r="U21" s="95"/>
      <c r="X21" s="389">
        <v>15</v>
      </c>
      <c r="Y21" s="390">
        <v>89.4</v>
      </c>
      <c r="Z21" s="390">
        <f t="shared" si="0"/>
        <v>7</v>
      </c>
      <c r="AA21" s="386"/>
    </row>
    <row r="22" spans="3:27">
      <c r="C22" s="394">
        <v>2034</v>
      </c>
      <c r="D22" s="400">
        <f t="shared" si="3"/>
        <v>360</v>
      </c>
      <c r="E22" s="400">
        <f t="shared" si="2"/>
        <v>160</v>
      </c>
      <c r="F22" s="400">
        <f t="shared" si="4"/>
        <v>120</v>
      </c>
      <c r="G22" s="400">
        <f t="shared" si="5"/>
        <v>280</v>
      </c>
      <c r="H22" s="401">
        <f t="shared" si="1"/>
        <v>920</v>
      </c>
      <c r="K22" s="304"/>
      <c r="Q22" s="95"/>
      <c r="R22" s="110"/>
      <c r="S22" s="110"/>
      <c r="T22" s="248"/>
      <c r="U22" s="95"/>
      <c r="X22" s="389">
        <v>16</v>
      </c>
      <c r="Y22" s="390">
        <v>96.9</v>
      </c>
      <c r="Z22" s="390">
        <f t="shared" si="0"/>
        <v>7.5</v>
      </c>
      <c r="AA22" s="386"/>
    </row>
    <row r="23" spans="3:27">
      <c r="C23" s="394">
        <v>2035</v>
      </c>
      <c r="D23" s="400">
        <f t="shared" si="3"/>
        <v>403.2000000000001</v>
      </c>
      <c r="E23" s="400">
        <f t="shared" si="2"/>
        <v>179.20000000000005</v>
      </c>
      <c r="F23" s="400">
        <f t="shared" si="4"/>
        <v>134.40000000000003</v>
      </c>
      <c r="G23" s="400">
        <f t="shared" si="5"/>
        <v>313.60000000000008</v>
      </c>
      <c r="H23" s="401">
        <f t="shared" si="1"/>
        <v>1030.4000000000003</v>
      </c>
      <c r="K23" s="403"/>
      <c r="X23" s="389">
        <v>17</v>
      </c>
      <c r="Y23" s="390">
        <v>104.9</v>
      </c>
      <c r="Z23" s="390">
        <f t="shared" si="0"/>
        <v>8</v>
      </c>
      <c r="AA23" s="386"/>
    </row>
    <row r="24" spans="3:27">
      <c r="C24" s="394">
        <v>2036</v>
      </c>
      <c r="D24" s="400">
        <f t="shared" si="3"/>
        <v>417.60000000000031</v>
      </c>
      <c r="E24" s="400">
        <f t="shared" si="2"/>
        <v>185.60000000000014</v>
      </c>
      <c r="F24" s="400">
        <f t="shared" si="4"/>
        <v>139.2000000000001</v>
      </c>
      <c r="G24" s="400">
        <f t="shared" si="5"/>
        <v>324.80000000000024</v>
      </c>
      <c r="H24" s="401">
        <f t="shared" si="1"/>
        <v>1067.2000000000007</v>
      </c>
      <c r="K24" s="403"/>
      <c r="X24" s="389">
        <v>18</v>
      </c>
      <c r="Y24" s="390">
        <v>113.5</v>
      </c>
      <c r="Z24" s="390">
        <f t="shared" si="0"/>
        <v>8.5999999999999943</v>
      </c>
      <c r="AA24" s="386"/>
    </row>
    <row r="25" spans="3:27">
      <c r="C25" s="394">
        <v>2037</v>
      </c>
      <c r="D25" s="400">
        <f t="shared" si="3"/>
        <v>417.5999999999998</v>
      </c>
      <c r="E25" s="400">
        <f t="shared" si="2"/>
        <v>185.59999999999991</v>
      </c>
      <c r="F25" s="400">
        <f t="shared" si="4"/>
        <v>139.19999999999993</v>
      </c>
      <c r="G25" s="400">
        <f t="shared" si="5"/>
        <v>324.79999999999984</v>
      </c>
      <c r="H25" s="401">
        <f t="shared" si="1"/>
        <v>1067.1999999999994</v>
      </c>
      <c r="K25" s="403"/>
      <c r="X25" s="389">
        <v>19</v>
      </c>
      <c r="Y25" s="390">
        <v>122.6</v>
      </c>
      <c r="Z25" s="390">
        <f t="shared" si="0"/>
        <v>9.0999999999999943</v>
      </c>
      <c r="AA25" s="386"/>
    </row>
    <row r="26" spans="3:27">
      <c r="C26" s="394">
        <v>2038</v>
      </c>
      <c r="D26" s="400">
        <f t="shared" si="3"/>
        <v>439.19999999999959</v>
      </c>
      <c r="E26" s="400">
        <f t="shared" si="2"/>
        <v>195.19999999999982</v>
      </c>
      <c r="F26" s="400">
        <f t="shared" si="4"/>
        <v>146.39999999999986</v>
      </c>
      <c r="G26" s="400">
        <f t="shared" si="5"/>
        <v>341.59999999999968</v>
      </c>
      <c r="H26" s="401">
        <f t="shared" si="1"/>
        <v>1122.399999999999</v>
      </c>
      <c r="K26" s="403"/>
      <c r="X26" s="389">
        <v>20</v>
      </c>
      <c r="Y26" s="390">
        <v>132.4</v>
      </c>
      <c r="Z26" s="390">
        <f t="shared" si="0"/>
        <v>9.8000000000000114</v>
      </c>
      <c r="AA26" s="386"/>
    </row>
    <row r="27" spans="3:27">
      <c r="C27" s="394">
        <v>2039</v>
      </c>
      <c r="D27" s="400">
        <f t="shared" si="3"/>
        <v>417.60000000000082</v>
      </c>
      <c r="E27" s="400">
        <f t="shared" si="2"/>
        <v>185.60000000000036</v>
      </c>
      <c r="F27" s="400">
        <f t="shared" si="4"/>
        <v>139.20000000000027</v>
      </c>
      <c r="G27" s="400">
        <f t="shared" si="5"/>
        <v>324.80000000000064</v>
      </c>
      <c r="H27" s="401">
        <f t="shared" si="1"/>
        <v>1067.2000000000021</v>
      </c>
      <c r="K27" s="403"/>
      <c r="X27" t="s">
        <v>242</v>
      </c>
      <c r="Y27" t="s">
        <v>243</v>
      </c>
      <c r="AA27" s="386"/>
    </row>
    <row r="28" spans="3:27">
      <c r="C28" s="394">
        <v>2040</v>
      </c>
      <c r="D28" s="400">
        <f t="shared" si="3"/>
        <v>468</v>
      </c>
      <c r="E28" s="400">
        <f t="shared" si="2"/>
        <v>208</v>
      </c>
      <c r="F28" s="400">
        <f t="shared" si="4"/>
        <v>156</v>
      </c>
      <c r="G28" s="400">
        <f t="shared" si="5"/>
        <v>364</v>
      </c>
      <c r="H28" s="401">
        <f t="shared" si="1"/>
        <v>1196</v>
      </c>
      <c r="K28" s="403"/>
      <c r="AA28" s="386"/>
    </row>
    <row r="29" spans="3:27" ht="13.5" thickBot="1">
      <c r="C29" s="116"/>
      <c r="D29" s="400">
        <f>SUM(D9:D28)</f>
        <v>5932.8000000000011</v>
      </c>
      <c r="E29" s="400">
        <f t="shared" ref="E29:G29" si="6">SUM(E9:E28)</f>
        <v>2636.8</v>
      </c>
      <c r="F29" s="400">
        <f t="shared" si="6"/>
        <v>1977.6000000000001</v>
      </c>
      <c r="G29" s="400">
        <f t="shared" si="6"/>
        <v>4614.3999999999996</v>
      </c>
      <c r="H29" s="400">
        <f>SUM(H9:H28)</f>
        <v>15161.600000000002</v>
      </c>
      <c r="K29" s="404"/>
      <c r="L29" s="405"/>
      <c r="M29" s="405"/>
      <c r="N29" s="405"/>
      <c r="O29" s="405"/>
      <c r="P29" s="405"/>
      <c r="Q29" s="405"/>
      <c r="R29" s="405"/>
      <c r="S29" s="405"/>
      <c r="T29" s="405"/>
      <c r="U29" s="405"/>
      <c r="V29" s="405"/>
      <c r="W29" s="405"/>
      <c r="X29" s="405"/>
      <c r="Y29" s="405"/>
      <c r="Z29" s="405"/>
      <c r="AA29" s="406"/>
    </row>
    <row r="30" spans="3:27">
      <c r="E30" s="407"/>
      <c r="F30" s="408"/>
      <c r="K30" s="384"/>
      <c r="L30" s="384"/>
      <c r="M30" s="384"/>
      <c r="N30" s="384"/>
      <c r="O30" s="384"/>
      <c r="P30" s="384"/>
      <c r="Q30" s="384"/>
      <c r="R30" s="384"/>
      <c r="S30" s="384"/>
      <c r="T30" s="384"/>
      <c r="U30" s="384"/>
      <c r="V30" s="384"/>
      <c r="W30" s="384"/>
      <c r="X30" s="384"/>
      <c r="Y30" s="384"/>
      <c r="Z30" s="384"/>
      <c r="AA30" s="384"/>
    </row>
    <row r="31" spans="3:27">
      <c r="E31" s="407"/>
      <c r="F31" s="408"/>
    </row>
    <row r="32" spans="3:27">
      <c r="C32" s="97" t="s">
        <v>244</v>
      </c>
      <c r="D32" s="97"/>
      <c r="E32" s="97"/>
      <c r="F32" s="97"/>
      <c r="G32" s="97"/>
      <c r="H32" s="97"/>
    </row>
    <row r="33" spans="3:8">
      <c r="C33" s="367"/>
      <c r="D33" s="100" t="s">
        <v>56</v>
      </c>
      <c r="E33" s="100" t="s">
        <v>57</v>
      </c>
      <c r="F33" s="100" t="s">
        <v>58</v>
      </c>
      <c r="G33" s="100" t="s">
        <v>59</v>
      </c>
      <c r="H33" s="368" t="s">
        <v>66</v>
      </c>
    </row>
    <row r="34" spans="3:8">
      <c r="C34" s="394">
        <v>2021</v>
      </c>
      <c r="D34" s="409">
        <f t="shared" ref="D34:G49" si="7">ROUND(D9*$S$7,0)</f>
        <v>0</v>
      </c>
      <c r="E34" s="409">
        <f t="shared" si="7"/>
        <v>0</v>
      </c>
      <c r="F34" s="409">
        <f t="shared" si="7"/>
        <v>0</v>
      </c>
      <c r="G34" s="409">
        <f t="shared" si="7"/>
        <v>0</v>
      </c>
      <c r="H34" s="410">
        <f t="shared" ref="H34:H53" si="8">SUM(D34:G34)</f>
        <v>0</v>
      </c>
    </row>
    <row r="35" spans="3:8">
      <c r="C35" s="394">
        <v>2022</v>
      </c>
      <c r="D35" s="409">
        <f t="shared" si="7"/>
        <v>0</v>
      </c>
      <c r="E35" s="409">
        <f t="shared" si="7"/>
        <v>0</v>
      </c>
      <c r="F35" s="409">
        <f t="shared" si="7"/>
        <v>0</v>
      </c>
      <c r="G35" s="409">
        <f t="shared" si="7"/>
        <v>0</v>
      </c>
      <c r="H35" s="410">
        <f t="shared" si="8"/>
        <v>0</v>
      </c>
    </row>
    <row r="36" spans="3:8">
      <c r="C36" s="394">
        <v>2023</v>
      </c>
      <c r="D36" s="409">
        <f t="shared" si="7"/>
        <v>0</v>
      </c>
      <c r="E36" s="409">
        <f t="shared" si="7"/>
        <v>0</v>
      </c>
      <c r="F36" s="409">
        <f t="shared" si="7"/>
        <v>0</v>
      </c>
      <c r="G36" s="409">
        <f t="shared" si="7"/>
        <v>0</v>
      </c>
      <c r="H36" s="410">
        <f t="shared" si="8"/>
        <v>0</v>
      </c>
    </row>
    <row r="37" spans="3:8">
      <c r="C37" s="394">
        <v>2024</v>
      </c>
      <c r="D37" s="409">
        <f t="shared" si="7"/>
        <v>0</v>
      </c>
      <c r="E37" s="409">
        <f t="shared" si="7"/>
        <v>0</v>
      </c>
      <c r="F37" s="409">
        <f t="shared" si="7"/>
        <v>0</v>
      </c>
      <c r="G37" s="409">
        <f t="shared" si="7"/>
        <v>0</v>
      </c>
      <c r="H37" s="410">
        <f t="shared" si="8"/>
        <v>0</v>
      </c>
    </row>
    <row r="38" spans="3:8">
      <c r="C38" s="394">
        <v>2025</v>
      </c>
      <c r="D38" s="409">
        <f t="shared" si="7"/>
        <v>0</v>
      </c>
      <c r="E38" s="409">
        <f t="shared" si="7"/>
        <v>0</v>
      </c>
      <c r="F38" s="409">
        <f t="shared" si="7"/>
        <v>0</v>
      </c>
      <c r="G38" s="409">
        <f t="shared" si="7"/>
        <v>0</v>
      </c>
      <c r="H38" s="410">
        <f t="shared" si="8"/>
        <v>0</v>
      </c>
    </row>
    <row r="39" spans="3:8">
      <c r="C39" s="394">
        <v>2026</v>
      </c>
      <c r="D39" s="409">
        <f t="shared" si="7"/>
        <v>0</v>
      </c>
      <c r="E39" s="409">
        <f t="shared" si="7"/>
        <v>0</v>
      </c>
      <c r="F39" s="409">
        <f t="shared" si="7"/>
        <v>0</v>
      </c>
      <c r="G39" s="409">
        <f t="shared" si="7"/>
        <v>0</v>
      </c>
      <c r="H39" s="410">
        <f t="shared" si="8"/>
        <v>0</v>
      </c>
    </row>
    <row r="40" spans="3:8">
      <c r="C40" s="394">
        <v>2027</v>
      </c>
      <c r="D40" s="409">
        <f t="shared" si="7"/>
        <v>4899</v>
      </c>
      <c r="E40" s="409">
        <f t="shared" si="7"/>
        <v>2177</v>
      </c>
      <c r="F40" s="409">
        <f t="shared" si="7"/>
        <v>1633</v>
      </c>
      <c r="G40" s="409">
        <f t="shared" si="7"/>
        <v>3810</v>
      </c>
      <c r="H40" s="410">
        <f t="shared" si="8"/>
        <v>12519</v>
      </c>
    </row>
    <row r="41" spans="3:8">
      <c r="C41" s="394">
        <v>2028</v>
      </c>
      <c r="D41" s="409">
        <f t="shared" si="7"/>
        <v>3208</v>
      </c>
      <c r="E41" s="409">
        <f t="shared" si="7"/>
        <v>1426</v>
      </c>
      <c r="F41" s="409">
        <f t="shared" si="7"/>
        <v>1069</v>
      </c>
      <c r="G41" s="409">
        <f t="shared" si="7"/>
        <v>2495</v>
      </c>
      <c r="H41" s="410">
        <f t="shared" si="8"/>
        <v>8198</v>
      </c>
    </row>
    <row r="42" spans="3:8">
      <c r="C42" s="394">
        <v>2029</v>
      </c>
      <c r="D42" s="409">
        <f t="shared" si="7"/>
        <v>3383</v>
      </c>
      <c r="E42" s="409">
        <f t="shared" si="7"/>
        <v>1503</v>
      </c>
      <c r="F42" s="409">
        <f t="shared" si="7"/>
        <v>1128</v>
      </c>
      <c r="G42" s="409">
        <f t="shared" si="7"/>
        <v>2631</v>
      </c>
      <c r="H42" s="410">
        <f t="shared" si="8"/>
        <v>8645</v>
      </c>
    </row>
    <row r="43" spans="3:8">
      <c r="C43" s="394">
        <v>2030</v>
      </c>
      <c r="D43" s="409">
        <f t="shared" si="7"/>
        <v>3324</v>
      </c>
      <c r="E43" s="409">
        <f t="shared" si="7"/>
        <v>1477</v>
      </c>
      <c r="F43" s="409">
        <f t="shared" si="7"/>
        <v>1108</v>
      </c>
      <c r="G43" s="409">
        <f t="shared" si="7"/>
        <v>2586</v>
      </c>
      <c r="H43" s="410">
        <f t="shared" si="8"/>
        <v>8495</v>
      </c>
    </row>
    <row r="44" spans="3:8">
      <c r="C44" s="394">
        <v>2031</v>
      </c>
      <c r="D44" s="409">
        <f t="shared" si="7"/>
        <v>3091</v>
      </c>
      <c r="E44" s="409">
        <f t="shared" si="7"/>
        <v>1374</v>
      </c>
      <c r="F44" s="409">
        <f t="shared" si="7"/>
        <v>1030</v>
      </c>
      <c r="G44" s="409">
        <f t="shared" si="7"/>
        <v>2404</v>
      </c>
      <c r="H44" s="410">
        <f t="shared" si="8"/>
        <v>7899</v>
      </c>
    </row>
    <row r="45" spans="3:8">
      <c r="C45" s="394">
        <v>2032</v>
      </c>
      <c r="D45" s="409">
        <f t="shared" si="7"/>
        <v>3149</v>
      </c>
      <c r="E45" s="409">
        <f t="shared" si="7"/>
        <v>1400</v>
      </c>
      <c r="F45" s="409">
        <f t="shared" si="7"/>
        <v>1050</v>
      </c>
      <c r="G45" s="409">
        <f t="shared" si="7"/>
        <v>2449</v>
      </c>
      <c r="H45" s="410">
        <f t="shared" si="8"/>
        <v>8048</v>
      </c>
    </row>
    <row r="46" spans="3:8">
      <c r="C46" s="394">
        <v>2033</v>
      </c>
      <c r="D46" s="409">
        <f t="shared" si="7"/>
        <v>3324</v>
      </c>
      <c r="E46" s="409">
        <f t="shared" si="7"/>
        <v>1477</v>
      </c>
      <c r="F46" s="409">
        <f t="shared" si="7"/>
        <v>1108</v>
      </c>
      <c r="G46" s="409">
        <f t="shared" si="7"/>
        <v>2586</v>
      </c>
      <c r="H46" s="410">
        <f t="shared" si="8"/>
        <v>8495</v>
      </c>
    </row>
    <row r="47" spans="3:8">
      <c r="C47" s="394">
        <v>2034</v>
      </c>
      <c r="D47" s="409">
        <f t="shared" si="7"/>
        <v>2916</v>
      </c>
      <c r="E47" s="409">
        <f t="shared" si="7"/>
        <v>1296</v>
      </c>
      <c r="F47" s="409">
        <f t="shared" si="7"/>
        <v>972</v>
      </c>
      <c r="G47" s="409">
        <f t="shared" si="7"/>
        <v>2268</v>
      </c>
      <c r="H47" s="410">
        <f t="shared" si="8"/>
        <v>7452</v>
      </c>
    </row>
    <row r="48" spans="3:8">
      <c r="C48" s="394">
        <v>2035</v>
      </c>
      <c r="D48" s="409">
        <f t="shared" si="7"/>
        <v>3266</v>
      </c>
      <c r="E48" s="409">
        <f t="shared" si="7"/>
        <v>1452</v>
      </c>
      <c r="F48" s="409">
        <f t="shared" si="7"/>
        <v>1089</v>
      </c>
      <c r="G48" s="409">
        <f t="shared" si="7"/>
        <v>2540</v>
      </c>
      <c r="H48" s="410">
        <f t="shared" si="8"/>
        <v>8347</v>
      </c>
    </row>
    <row r="49" spans="3:8">
      <c r="C49" s="394">
        <v>2036</v>
      </c>
      <c r="D49" s="409">
        <f t="shared" si="7"/>
        <v>3383</v>
      </c>
      <c r="E49" s="409">
        <f t="shared" si="7"/>
        <v>1503</v>
      </c>
      <c r="F49" s="409">
        <f t="shared" si="7"/>
        <v>1128</v>
      </c>
      <c r="G49" s="409">
        <f t="shared" si="7"/>
        <v>2631</v>
      </c>
      <c r="H49" s="410">
        <f t="shared" si="8"/>
        <v>8645</v>
      </c>
    </row>
    <row r="50" spans="3:8">
      <c r="C50" s="394">
        <v>2037</v>
      </c>
      <c r="D50" s="409">
        <f t="shared" ref="D50:G53" si="9">ROUND(D25*$S$7,0)</f>
        <v>3383</v>
      </c>
      <c r="E50" s="409">
        <f t="shared" si="9"/>
        <v>1503</v>
      </c>
      <c r="F50" s="409">
        <f t="shared" si="9"/>
        <v>1128</v>
      </c>
      <c r="G50" s="409">
        <f t="shared" si="9"/>
        <v>2631</v>
      </c>
      <c r="H50" s="410">
        <f t="shared" si="8"/>
        <v>8645</v>
      </c>
    </row>
    <row r="51" spans="3:8">
      <c r="C51" s="394">
        <v>2038</v>
      </c>
      <c r="D51" s="409">
        <f t="shared" si="9"/>
        <v>3558</v>
      </c>
      <c r="E51" s="409">
        <f t="shared" si="9"/>
        <v>1581</v>
      </c>
      <c r="F51" s="409">
        <f t="shared" si="9"/>
        <v>1186</v>
      </c>
      <c r="G51" s="409">
        <f t="shared" si="9"/>
        <v>2767</v>
      </c>
      <c r="H51" s="410">
        <f t="shared" si="8"/>
        <v>9092</v>
      </c>
    </row>
    <row r="52" spans="3:8">
      <c r="C52" s="394">
        <v>2039</v>
      </c>
      <c r="D52" s="409">
        <f t="shared" si="9"/>
        <v>3383</v>
      </c>
      <c r="E52" s="409">
        <f t="shared" si="9"/>
        <v>1503</v>
      </c>
      <c r="F52" s="409">
        <f t="shared" si="9"/>
        <v>1128</v>
      </c>
      <c r="G52" s="409">
        <f t="shared" si="9"/>
        <v>2631</v>
      </c>
      <c r="H52" s="410">
        <f t="shared" si="8"/>
        <v>8645</v>
      </c>
    </row>
    <row r="53" spans="3:8">
      <c r="C53" s="394">
        <v>2040</v>
      </c>
      <c r="D53" s="409">
        <f t="shared" si="9"/>
        <v>3791</v>
      </c>
      <c r="E53" s="409">
        <f t="shared" si="9"/>
        <v>1685</v>
      </c>
      <c r="F53" s="409">
        <f t="shared" si="9"/>
        <v>1264</v>
      </c>
      <c r="G53" s="409">
        <f t="shared" si="9"/>
        <v>2948</v>
      </c>
      <c r="H53" s="410">
        <f t="shared" si="8"/>
        <v>9688</v>
      </c>
    </row>
    <row r="54" spans="3:8">
      <c r="C54" s="116"/>
      <c r="D54" s="409">
        <f>SUM(D34:D53)</f>
        <v>48058</v>
      </c>
      <c r="E54" s="409">
        <f t="shared" ref="E54:F54" si="10">SUM(E34:E53)</f>
        <v>21357</v>
      </c>
      <c r="F54" s="409">
        <f t="shared" si="10"/>
        <v>16021</v>
      </c>
      <c r="G54" s="409">
        <f>SUM(G34:G53)</f>
        <v>37377</v>
      </c>
      <c r="H54" s="409">
        <f>SUM(H34:H53)</f>
        <v>122813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26487A3B-20AA-4765-8D16-2FCA51DDA848}"/>
</file>

<file path=customXml/itemProps2.xml><?xml version="1.0" encoding="utf-8"?>
<ds:datastoreItem xmlns:ds="http://schemas.openxmlformats.org/officeDocument/2006/customXml" ds:itemID="{0557F58A-D167-4760-87E5-0E19C52324CD}"/>
</file>

<file path=customXml/itemProps3.xml><?xml version="1.0" encoding="utf-8"?>
<ds:datastoreItem xmlns:ds="http://schemas.openxmlformats.org/officeDocument/2006/customXml" ds:itemID="{9977D07D-31D0-4FE5-AE02-0FF0F2CDB7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Annex3_BudgetPlan</vt:lpstr>
      <vt:lpstr>Table 11 (2) Result of EIRR</vt:lpstr>
      <vt:lpstr>Table 12 Sensitivity Analysis</vt:lpstr>
      <vt:lpstr>Table 11 (1)_Summary of EIRR</vt:lpstr>
      <vt:lpstr>Annex9_2.3_BenefitAgriculture</vt:lpstr>
      <vt:lpstr>Annex9_2.3_CropBudget</vt:lpstr>
      <vt:lpstr>Annex5_BnefitGHG</vt:lpstr>
      <vt:lpstr>Annex9_CarbonOffset</vt:lpstr>
      <vt:lpstr>Annex3_BudgetPlan!Print_Area</vt:lpstr>
      <vt:lpstr>'Table 11 (1)_Summary of EIRR'!Print_Area</vt:lpstr>
      <vt:lpstr>'Table 11 (2) Result of EIRR'!Print_Area</vt:lpstr>
      <vt:lpstr>'Table 12 Sensitivity Analysis'!Print_Area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2021-02-12T10:12:15Z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