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/>
  <mc:AlternateContent xmlns:mc="http://schemas.openxmlformats.org/markup-compatibility/2006">
    <mc:Choice Requires="x15">
      <x15ac:absPath xmlns:x15ac="http://schemas.microsoft.com/office/spreadsheetml/2010/11/ac" url="C:\Users\babidoye\Dropbox\climatechange\GCFproposal\IFAD\EAstudy\"/>
    </mc:Choice>
  </mc:AlternateContent>
  <xr:revisionPtr revIDLastSave="0" documentId="8_{A71445DE-A67E-4299-B58D-9BCF1571E094}" xr6:coauthVersionLast="45" xr6:coauthVersionMax="45" xr10:uidLastSave="{00000000-0000-0000-0000-000000000000}"/>
  <bookViews>
    <workbookView xWindow="-98" yWindow="-98" windowWidth="19396" windowHeight="10395" tabRatio="743" xr2:uid="{00000000-000D-0000-FFFF-FFFF00000000}"/>
  </bookViews>
  <sheets>
    <sheet name="CBA Results" sheetId="10" r:id="rId1"/>
    <sheet name="Emission Reduction Summary" sheetId="27" r:id="rId2"/>
    <sheet name="Economic cost of project" sheetId="21" r:id="rId3"/>
    <sheet name="Ag Value added" sheetId="20" r:id="rId4"/>
    <sheet name="Output breakdown" sheetId="23" r:id="rId5"/>
    <sheet name="Financial_Ag_Value_Added" sheetId="24" r:id="rId6"/>
    <sheet name="Financial_Analysis" sheetId="26" r:id="rId7"/>
  </sheets>
  <externalReferences>
    <externalReference r:id="rId8"/>
    <externalReference r:id="rId9"/>
    <externalReference r:id="rId10"/>
    <externalReference r:id="rId11"/>
  </externalReferences>
  <definedNames>
    <definedName name="ACTIVITY">OFFSET('[1]START - Lists'!$I$11, 0, 0, COUNTA('[1]START - Lists'!$I$11:$I$35), 1)</definedName>
    <definedName name="BDESC">'[1]Lists - Locked'!$O$6:$O$35</definedName>
    <definedName name="Budgetcodes">'[2]budget codes'!$C$3:$C$23</definedName>
    <definedName name="Currency">'[1]START - Lists'!$AH$11:$AH$11</definedName>
    <definedName name="ExecutingEntity">OFFSET('[1]START - Lists'!$D$11, 0, 0, COUNTA('[1]START - Lists'!$D$11:$D$20), 1)</definedName>
    <definedName name="FINOTHER">'[1]Lists - Locked'!$G$6:$G$12</definedName>
    <definedName name="FINSOU">'[1]START - Lists'!$Q$11:$Q$16</definedName>
    <definedName name="FINSOUTYP2">'[1]Lists - Locked'!$I$6:$I$8</definedName>
    <definedName name="FINUNDP">'[1]Lists - Locked'!$F$6:$F$7</definedName>
    <definedName name="GENMARK">'[1]Lists - Locked'!$W$6:$W$9</definedName>
    <definedName name="HEAD">[1]!SEARCHT[HEAD]</definedName>
    <definedName name="INPUT">OFFSET('[1]START - Lists'!$M$11, 0, 0, COUNTA('[1]START - Lists'!$M$11:$M488), 1)</definedName>
    <definedName name="LDUREE">'[1]Lists - Locked'!$CV$6:$CV$13</definedName>
    <definedName name="NOTPMCIID">OFFSET('[1]PMCCONSO-Hide'!$J$10, 0, 0, COUNTIF('[1]PMCCONSO-Hide'!$J$10:$J$109, "?*"), 1)</definedName>
    <definedName name="OpCapex">'[1]Lists - Locked'!$AA$6:$AA$7</definedName>
    <definedName name="OUTPUT">'[1]START - Lists'!$F$11:$F$15</definedName>
    <definedName name="PMCIID">OFFSET('[1]PMCCONSO-Hide'!$F$10, 0, 0, COUNTIF('[1]PMCCONSO-Hide'!$F$10:$F$109, "?*"), 1)</definedName>
    <definedName name="Q3M">[1]!QUARTERS[Q3M]</definedName>
    <definedName name="Q6M">[1]!QUARTERS[Q6M]</definedName>
    <definedName name="QUARTER2">[1]!QUARTERS[QUARTER2]</definedName>
    <definedName name="QUARTER3">OFFSET('[1]Lists - Locked'!$BI$6, 0, 0, COUNTIF('[1]Lists - Locked'!$BI$6:$BI$37, "?*"), 1)</definedName>
    <definedName name="RPTYPE">'[1]Lists - Locked'!#REF!</definedName>
    <definedName name="SEARCHCOL">#REF!</definedName>
    <definedName name="SEARCHINPUT">#REF!</definedName>
    <definedName name="seniority">'[1]Lists - Locked'!$AB$6:$AB$8</definedName>
    <definedName name="UNIT">'[1]Lists - Locked'!$Z$6:$Z$14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S24" i="10" l="1"/>
  <c r="R24" i="10"/>
  <c r="Q24" i="10"/>
  <c r="P24" i="10"/>
  <c r="O24" i="10"/>
  <c r="N24" i="10"/>
  <c r="M24" i="10"/>
  <c r="L24" i="10"/>
  <c r="K24" i="10"/>
  <c r="J24" i="10"/>
  <c r="I24" i="10"/>
  <c r="H24" i="10"/>
  <c r="G23" i="10"/>
  <c r="G24" i="10" s="1"/>
  <c r="D25" i="10"/>
  <c r="C46" i="27" l="1"/>
  <c r="C45" i="27"/>
  <c r="D40" i="27"/>
  <c r="G17" i="27" l="1"/>
  <c r="G13" i="27"/>
  <c r="D39" i="27"/>
  <c r="D38" i="27"/>
  <c r="G27" i="27"/>
  <c r="D37" i="27"/>
  <c r="G25" i="10" l="1"/>
  <c r="E23" i="10"/>
  <c r="E24" i="10" s="1"/>
  <c r="E25" i="10" s="1"/>
  <c r="F23" i="10" l="1"/>
  <c r="H23" i="10" l="1"/>
  <c r="F24" i="10"/>
  <c r="F25" i="10" s="1"/>
  <c r="I23" i="10" l="1"/>
  <c r="J23" i="10" l="1"/>
  <c r="K23" i="10" s="1"/>
  <c r="L23" i="10" s="1"/>
  <c r="M23" i="10" s="1"/>
  <c r="N23" i="10" s="1"/>
  <c r="O23" i="10" s="1"/>
  <c r="P23" i="10" s="1"/>
  <c r="Q23" i="10" s="1"/>
  <c r="R23" i="10" s="1"/>
  <c r="S23" i="10" s="1"/>
  <c r="M14" i="23" l="1"/>
  <c r="L14" i="23"/>
  <c r="K14" i="23"/>
  <c r="J14" i="23"/>
  <c r="I14" i="23"/>
  <c r="H14" i="23"/>
  <c r="M10" i="23"/>
  <c r="L10" i="23"/>
  <c r="K10" i="23"/>
  <c r="J10" i="23"/>
  <c r="I10" i="23"/>
  <c r="H10" i="23"/>
  <c r="M6" i="23"/>
  <c r="L6" i="23"/>
  <c r="K6" i="23"/>
  <c r="J6" i="23"/>
  <c r="I6" i="23"/>
  <c r="H6" i="23"/>
  <c r="M3" i="23"/>
  <c r="L3" i="23"/>
  <c r="K3" i="23"/>
  <c r="J3" i="23"/>
  <c r="I3" i="23"/>
  <c r="H3" i="23"/>
  <c r="I17" i="23" l="1"/>
  <c r="N14" i="23"/>
  <c r="M13" i="23"/>
  <c r="L13" i="23"/>
  <c r="K13" i="23"/>
  <c r="J13" i="23"/>
  <c r="I13" i="23"/>
  <c r="H13" i="23"/>
  <c r="M11" i="23"/>
  <c r="M17" i="23" s="1"/>
  <c r="L11" i="23"/>
  <c r="L17" i="23" s="1"/>
  <c r="K11" i="23"/>
  <c r="K17" i="23" s="1"/>
  <c r="J11" i="23"/>
  <c r="J17" i="23" s="1"/>
  <c r="I11" i="23"/>
  <c r="N11" i="23" s="1"/>
  <c r="H11" i="23"/>
  <c r="H17" i="23" s="1"/>
  <c r="M9" i="23"/>
  <c r="L9" i="23"/>
  <c r="K9" i="23"/>
  <c r="J9" i="23"/>
  <c r="I9" i="23"/>
  <c r="H9" i="23"/>
  <c r="M8" i="23"/>
  <c r="L8" i="23"/>
  <c r="K8" i="23"/>
  <c r="J8" i="23"/>
  <c r="J12" i="23" s="1"/>
  <c r="I8" i="23"/>
  <c r="I12" i="23" s="1"/>
  <c r="H8" i="23"/>
  <c r="H12" i="23" s="1"/>
  <c r="M5" i="23"/>
  <c r="M7" i="23" s="1"/>
  <c r="L5" i="23"/>
  <c r="L7" i="23" s="1"/>
  <c r="K5" i="23"/>
  <c r="K7" i="23" s="1"/>
  <c r="J5" i="23"/>
  <c r="I5" i="23"/>
  <c r="H5" i="23"/>
  <c r="J4" i="23"/>
  <c r="D2" i="21" s="1"/>
  <c r="N3" i="23"/>
  <c r="M2" i="23"/>
  <c r="L2" i="23"/>
  <c r="L4" i="23" s="1"/>
  <c r="F2" i="21" s="1"/>
  <c r="K2" i="23"/>
  <c r="K4" i="23" s="1"/>
  <c r="E2" i="21" s="1"/>
  <c r="J2" i="23"/>
  <c r="I2" i="23"/>
  <c r="I4" i="23" s="1"/>
  <c r="C2" i="21" s="1"/>
  <c r="H2" i="23"/>
  <c r="H4" i="23" s="1"/>
  <c r="Q11" i="24"/>
  <c r="P11" i="24"/>
  <c r="Q11" i="20"/>
  <c r="P11" i="20"/>
  <c r="M15" i="23" l="1"/>
  <c r="M16" i="23"/>
  <c r="K12" i="23"/>
  <c r="H15" i="23"/>
  <c r="H16" i="23"/>
  <c r="L12" i="23"/>
  <c r="I16" i="23"/>
  <c r="J16" i="23"/>
  <c r="K15" i="23"/>
  <c r="K16" i="23"/>
  <c r="L15" i="23"/>
  <c r="L16" i="23"/>
  <c r="N6" i="23"/>
  <c r="M4" i="23"/>
  <c r="G2" i="21" s="1"/>
  <c r="H7" i="23"/>
  <c r="J7" i="23"/>
  <c r="M12" i="23"/>
  <c r="I15" i="23"/>
  <c r="I7" i="23"/>
  <c r="J15" i="23"/>
  <c r="L18" i="23"/>
  <c r="K18" i="23"/>
  <c r="N2" i="23"/>
  <c r="N9" i="23"/>
  <c r="N8" i="23"/>
  <c r="N10" i="23"/>
  <c r="N5" i="23"/>
  <c r="N13" i="23"/>
  <c r="B2" i="21"/>
  <c r="N4" i="23" l="1"/>
  <c r="H18" i="23"/>
  <c r="J18" i="23"/>
  <c r="N12" i="23"/>
  <c r="N17" i="23"/>
  <c r="M18" i="23"/>
  <c r="I18" i="23"/>
  <c r="N15" i="23"/>
  <c r="N7" i="23"/>
  <c r="N16" i="23"/>
  <c r="N18" i="23" l="1"/>
  <c r="F21" i="26"/>
  <c r="F40" i="26" s="1"/>
  <c r="E21" i="26"/>
  <c r="E40" i="26" s="1"/>
  <c r="D21" i="26"/>
  <c r="D40" i="26" s="1"/>
  <c r="K15" i="26"/>
  <c r="J15" i="26"/>
  <c r="E12" i="26"/>
  <c r="F12" i="26" s="1"/>
  <c r="G12" i="26" s="1"/>
  <c r="H12" i="26" s="1"/>
  <c r="I12" i="26" s="1"/>
  <c r="J12" i="26" s="1"/>
  <c r="K12" i="26" s="1"/>
  <c r="L12" i="26" s="1"/>
  <c r="M12" i="26" s="1"/>
  <c r="N12" i="26" s="1"/>
  <c r="O12" i="26" s="1"/>
  <c r="P12" i="26" s="1"/>
  <c r="Q12" i="26" s="1"/>
  <c r="R12" i="26" s="1"/>
  <c r="S12" i="26" s="1"/>
  <c r="C8" i="26"/>
  <c r="C7" i="26"/>
  <c r="C6" i="26"/>
  <c r="J5" i="26"/>
  <c r="I5" i="26"/>
  <c r="H5" i="26"/>
  <c r="G5" i="26"/>
  <c r="F5" i="26"/>
  <c r="E5" i="26"/>
  <c r="C5" i="26"/>
  <c r="M11" i="24"/>
  <c r="N11" i="24" s="1"/>
  <c r="O11" i="24" s="1"/>
  <c r="G20" i="26" s="1"/>
  <c r="H20" i="26" s="1"/>
  <c r="I20" i="26" s="1"/>
  <c r="J20" i="26" s="1"/>
  <c r="K20" i="26" s="1"/>
  <c r="L20" i="26" s="1"/>
  <c r="M20" i="26" s="1"/>
  <c r="N20" i="26" s="1"/>
  <c r="O20" i="26" s="1"/>
  <c r="P20" i="26" s="1"/>
  <c r="Q20" i="26" s="1"/>
  <c r="R20" i="26" s="1"/>
  <c r="S20" i="26" s="1"/>
  <c r="M10" i="24"/>
  <c r="N10" i="24" s="1"/>
  <c r="O10" i="24" s="1"/>
  <c r="M9" i="24"/>
  <c r="N9" i="24" s="1"/>
  <c r="O9" i="24" s="1"/>
  <c r="M8" i="24"/>
  <c r="N8" i="24" s="1"/>
  <c r="O8" i="24" s="1"/>
  <c r="M7" i="24"/>
  <c r="N7" i="24" s="1"/>
  <c r="O7" i="24" s="1"/>
  <c r="M6" i="24"/>
  <c r="N6" i="24" s="1"/>
  <c r="O6" i="24" s="1"/>
  <c r="M5" i="24"/>
  <c r="N5" i="24" s="1"/>
  <c r="O5" i="24" s="1"/>
  <c r="M4" i="24"/>
  <c r="N4" i="24" s="1"/>
  <c r="O4" i="24" s="1"/>
  <c r="D5" i="26" l="1"/>
  <c r="D55" i="26"/>
  <c r="E55" i="26"/>
  <c r="F55" i="26"/>
  <c r="H21" i="26"/>
  <c r="G21" i="26"/>
  <c r="F5" i="10"/>
  <c r="G5" i="10"/>
  <c r="H5" i="10"/>
  <c r="I5" i="10"/>
  <c r="J5" i="10"/>
  <c r="E5" i="10"/>
  <c r="C5" i="21"/>
  <c r="F8" i="26" s="1"/>
  <c r="D5" i="21"/>
  <c r="G8" i="26" s="1"/>
  <c r="E5" i="21"/>
  <c r="H8" i="26" s="1"/>
  <c r="F5" i="21"/>
  <c r="I8" i="26" s="1"/>
  <c r="G5" i="21"/>
  <c r="J8" i="26" s="1"/>
  <c r="H5" i="21"/>
  <c r="B5" i="21"/>
  <c r="E8" i="26" s="1"/>
  <c r="C4" i="21"/>
  <c r="F7" i="26" s="1"/>
  <c r="D4" i="21"/>
  <c r="G7" i="26" s="1"/>
  <c r="E4" i="21"/>
  <c r="H7" i="26" s="1"/>
  <c r="F4" i="21"/>
  <c r="I7" i="26" s="1"/>
  <c r="G4" i="21"/>
  <c r="J7" i="26" s="1"/>
  <c r="H4" i="21"/>
  <c r="B4" i="21"/>
  <c r="E7" i="26" s="1"/>
  <c r="C3" i="21"/>
  <c r="F6" i="26" s="1"/>
  <c r="E15" i="26" s="1"/>
  <c r="D3" i="21"/>
  <c r="G6" i="26" s="1"/>
  <c r="F15" i="26" s="1"/>
  <c r="E3" i="21"/>
  <c r="H6" i="26" s="1"/>
  <c r="G15" i="26" s="1"/>
  <c r="F3" i="21"/>
  <c r="I6" i="26" s="1"/>
  <c r="H15" i="26" s="1"/>
  <c r="G3" i="21"/>
  <c r="J6" i="26" s="1"/>
  <c r="I15" i="26" s="1"/>
  <c r="H3" i="21"/>
  <c r="B3" i="21"/>
  <c r="E6" i="26" s="1"/>
  <c r="H2" i="21"/>
  <c r="C6" i="10"/>
  <c r="C7" i="10"/>
  <c r="C8" i="10"/>
  <c r="C5" i="10"/>
  <c r="J7" i="10" l="1"/>
  <c r="I7" i="10"/>
  <c r="D8" i="26"/>
  <c r="E6" i="10"/>
  <c r="D7" i="26"/>
  <c r="F7" i="10"/>
  <c r="G6" i="10"/>
  <c r="F6" i="10"/>
  <c r="D6" i="26"/>
  <c r="D15" i="26"/>
  <c r="D17" i="26" s="1"/>
  <c r="D25" i="26" s="1"/>
  <c r="E8" i="10"/>
  <c r="H7" i="10"/>
  <c r="G10" i="26"/>
  <c r="J8" i="10"/>
  <c r="G7" i="10"/>
  <c r="H10" i="26"/>
  <c r="I8" i="10"/>
  <c r="E16" i="26"/>
  <c r="F16" i="26" s="1"/>
  <c r="G16" i="26" s="1"/>
  <c r="H16" i="26" s="1"/>
  <c r="I16" i="26" s="1"/>
  <c r="J16" i="26" s="1"/>
  <c r="K16" i="26" s="1"/>
  <c r="E10" i="26"/>
  <c r="H8" i="10"/>
  <c r="J6" i="10"/>
  <c r="J10" i="26"/>
  <c r="G8" i="10"/>
  <c r="I6" i="10"/>
  <c r="I10" i="26"/>
  <c r="E7" i="10"/>
  <c r="F8" i="10"/>
  <c r="H6" i="10"/>
  <c r="F10" i="26"/>
  <c r="H40" i="26"/>
  <c r="I21" i="26"/>
  <c r="F70" i="26"/>
  <c r="D70" i="26"/>
  <c r="G40" i="26"/>
  <c r="E70" i="26"/>
  <c r="M11" i="20"/>
  <c r="N11" i="20" s="1"/>
  <c r="O11" i="20" s="1"/>
  <c r="M10" i="20"/>
  <c r="N10" i="20" s="1"/>
  <c r="O10" i="20" s="1"/>
  <c r="M9" i="20"/>
  <c r="N9" i="20" s="1"/>
  <c r="O9" i="20" s="1"/>
  <c r="M8" i="20"/>
  <c r="N8" i="20" s="1"/>
  <c r="O8" i="20" s="1"/>
  <c r="M7" i="20"/>
  <c r="N7" i="20" s="1"/>
  <c r="O7" i="20" s="1"/>
  <c r="M6" i="20"/>
  <c r="N6" i="20" s="1"/>
  <c r="O6" i="20" s="1"/>
  <c r="M5" i="20"/>
  <c r="N5" i="20" s="1"/>
  <c r="O5" i="20" s="1"/>
  <c r="M4" i="20"/>
  <c r="N4" i="20" s="1"/>
  <c r="D52" i="26" l="1"/>
  <c r="D58" i="26" s="1"/>
  <c r="J17" i="26"/>
  <c r="H17" i="26"/>
  <c r="H25" i="26" s="1"/>
  <c r="I17" i="26"/>
  <c r="I37" i="26" s="1"/>
  <c r="I67" i="26" s="1"/>
  <c r="D10" i="26"/>
  <c r="F17" i="26"/>
  <c r="F52" i="26" s="1"/>
  <c r="F58" i="26" s="1"/>
  <c r="D37" i="26"/>
  <c r="D67" i="26" s="1"/>
  <c r="D73" i="26" s="1"/>
  <c r="G17" i="26"/>
  <c r="E17" i="26"/>
  <c r="O4" i="20"/>
  <c r="H37" i="26"/>
  <c r="H67" i="26" s="1"/>
  <c r="I40" i="26"/>
  <c r="J21" i="26"/>
  <c r="L16" i="26"/>
  <c r="K17" i="26"/>
  <c r="H55" i="26"/>
  <c r="G55" i="26"/>
  <c r="J52" i="26"/>
  <c r="J37" i="26"/>
  <c r="J67" i="26" s="1"/>
  <c r="D7" i="10"/>
  <c r="F25" i="26" l="1"/>
  <c r="F37" i="26"/>
  <c r="D43" i="26"/>
  <c r="I52" i="26"/>
  <c r="I25" i="26"/>
  <c r="H52" i="26"/>
  <c r="E25" i="26"/>
  <c r="E52" i="26"/>
  <c r="E58" i="26" s="1"/>
  <c r="E37" i="26"/>
  <c r="G37" i="26"/>
  <c r="G52" i="26"/>
  <c r="G25" i="26"/>
  <c r="H43" i="26"/>
  <c r="H70" i="26"/>
  <c r="H73" i="26" s="1"/>
  <c r="H58" i="26"/>
  <c r="K21" i="26"/>
  <c r="K52" i="26"/>
  <c r="K37" i="26"/>
  <c r="K67" i="26" s="1"/>
  <c r="I43" i="26"/>
  <c r="I55" i="26"/>
  <c r="M16" i="26"/>
  <c r="L17" i="26"/>
  <c r="F67" i="26"/>
  <c r="F73" i="26" s="1"/>
  <c r="F43" i="26"/>
  <c r="J25" i="26"/>
  <c r="J40" i="26"/>
  <c r="G58" i="26"/>
  <c r="G70" i="26"/>
  <c r="D8" i="10"/>
  <c r="D6" i="10"/>
  <c r="D5" i="10"/>
  <c r="G21" i="10"/>
  <c r="H21" i="10" s="1"/>
  <c r="I21" i="10" s="1"/>
  <c r="J21" i="10" s="1"/>
  <c r="K21" i="10" s="1"/>
  <c r="L21" i="10" s="1"/>
  <c r="M21" i="10" s="1"/>
  <c r="N21" i="10" s="1"/>
  <c r="O21" i="10" s="1"/>
  <c r="P21" i="10" s="1"/>
  <c r="Q21" i="10" s="1"/>
  <c r="R21" i="10" s="1"/>
  <c r="S21" i="10" s="1"/>
  <c r="G67" i="26" l="1"/>
  <c r="G73" i="26" s="1"/>
  <c r="G43" i="26"/>
  <c r="E67" i="26"/>
  <c r="E73" i="26" s="1"/>
  <c r="E43" i="26"/>
  <c r="N16" i="26"/>
  <c r="M17" i="26"/>
  <c r="L52" i="26"/>
  <c r="L37" i="26"/>
  <c r="L67" i="26" s="1"/>
  <c r="I70" i="26"/>
  <c r="I73" i="26" s="1"/>
  <c r="I58" i="26"/>
  <c r="J55" i="26"/>
  <c r="J43" i="26"/>
  <c r="K25" i="26"/>
  <c r="K40" i="26"/>
  <c r="L21" i="26"/>
  <c r="E12" i="10"/>
  <c r="F12" i="10" s="1"/>
  <c r="G12" i="10" s="1"/>
  <c r="H12" i="10" s="1"/>
  <c r="I12" i="10" s="1"/>
  <c r="J12" i="10" s="1"/>
  <c r="K12" i="10" s="1"/>
  <c r="L12" i="10" s="1"/>
  <c r="M12" i="10" s="1"/>
  <c r="N12" i="10" s="1"/>
  <c r="O12" i="10" s="1"/>
  <c r="P12" i="10" s="1"/>
  <c r="Q12" i="10" s="1"/>
  <c r="R12" i="10" s="1"/>
  <c r="S12" i="10" s="1"/>
  <c r="M21" i="26" l="1"/>
  <c r="L40" i="26"/>
  <c r="L25" i="26"/>
  <c r="J70" i="26"/>
  <c r="J73" i="26" s="1"/>
  <c r="J58" i="26"/>
  <c r="K55" i="26"/>
  <c r="K43" i="26"/>
  <c r="M52" i="26"/>
  <c r="M37" i="26"/>
  <c r="M67" i="26" s="1"/>
  <c r="O16" i="26"/>
  <c r="N17" i="26"/>
  <c r="K15" i="10"/>
  <c r="J15" i="10"/>
  <c r="N52" i="26" l="1"/>
  <c r="N37" i="26"/>
  <c r="N67" i="26" s="1"/>
  <c r="P16" i="26"/>
  <c r="O17" i="26"/>
  <c r="L55" i="26"/>
  <c r="L43" i="26"/>
  <c r="K70" i="26"/>
  <c r="K73" i="26" s="1"/>
  <c r="K58" i="26"/>
  <c r="M40" i="26"/>
  <c r="M25" i="26"/>
  <c r="N21" i="26"/>
  <c r="M25" i="10"/>
  <c r="M44" i="10" s="1"/>
  <c r="K25" i="10"/>
  <c r="K44" i="10" s="1"/>
  <c r="S25" i="10"/>
  <c r="S44" i="10" s="1"/>
  <c r="F44" i="10"/>
  <c r="O25" i="10"/>
  <c r="O44" i="10" s="1"/>
  <c r="L25" i="10"/>
  <c r="L44" i="10" s="1"/>
  <c r="J25" i="10"/>
  <c r="R25" i="10"/>
  <c r="R44" i="10" s="1"/>
  <c r="Q25" i="10"/>
  <c r="Q44" i="10" s="1"/>
  <c r="P25" i="10"/>
  <c r="N25" i="10"/>
  <c r="H25" i="10"/>
  <c r="I25" i="10"/>
  <c r="L70" i="26" l="1"/>
  <c r="L73" i="26" s="1"/>
  <c r="L58" i="26"/>
  <c r="O52" i="26"/>
  <c r="O37" i="26"/>
  <c r="O67" i="26" s="1"/>
  <c r="N40" i="26"/>
  <c r="N25" i="26"/>
  <c r="O21" i="26"/>
  <c r="P17" i="26"/>
  <c r="Q16" i="26"/>
  <c r="M55" i="26"/>
  <c r="M43" i="26"/>
  <c r="I10" i="10"/>
  <c r="H15" i="10" s="1"/>
  <c r="J44" i="10"/>
  <c r="J59" i="10" s="1"/>
  <c r="E44" i="10"/>
  <c r="Q59" i="10"/>
  <c r="S59" i="10"/>
  <c r="L59" i="10"/>
  <c r="K59" i="10"/>
  <c r="H10" i="10"/>
  <c r="G15" i="10" s="1"/>
  <c r="O59" i="10"/>
  <c r="H44" i="10"/>
  <c r="N44" i="10"/>
  <c r="M59" i="10"/>
  <c r="G10" i="10"/>
  <c r="F15" i="10" s="1"/>
  <c r="P44" i="10"/>
  <c r="F10" i="10"/>
  <c r="E15" i="10" s="1"/>
  <c r="R59" i="10"/>
  <c r="J10" i="10"/>
  <c r="I15" i="10" s="1"/>
  <c r="G44" i="10"/>
  <c r="I44" i="10"/>
  <c r="D44" i="10"/>
  <c r="F59" i="10"/>
  <c r="M70" i="26" l="1"/>
  <c r="M73" i="26" s="1"/>
  <c r="M58" i="26"/>
  <c r="R16" i="26"/>
  <c r="Q17" i="26"/>
  <c r="P37" i="26"/>
  <c r="P67" i="26" s="1"/>
  <c r="P52" i="26"/>
  <c r="N55" i="26"/>
  <c r="N43" i="26"/>
  <c r="O40" i="26"/>
  <c r="O25" i="26"/>
  <c r="P21" i="26"/>
  <c r="E16" i="10"/>
  <c r="F16" i="10" s="1"/>
  <c r="G16" i="10" s="1"/>
  <c r="H16" i="10" s="1"/>
  <c r="I16" i="10" s="1"/>
  <c r="J16" i="10" s="1"/>
  <c r="D59" i="10"/>
  <c r="E10" i="10"/>
  <c r="K74" i="10"/>
  <c r="S74" i="10"/>
  <c r="E59" i="10"/>
  <c r="J74" i="10"/>
  <c r="P59" i="10"/>
  <c r="I59" i="10"/>
  <c r="M74" i="10"/>
  <c r="F74" i="10"/>
  <c r="R74" i="10"/>
  <c r="N59" i="10"/>
  <c r="H59" i="10"/>
  <c r="L74" i="10"/>
  <c r="Q74" i="10"/>
  <c r="G59" i="10"/>
  <c r="O74" i="10"/>
  <c r="P40" i="26" l="1"/>
  <c r="P25" i="26"/>
  <c r="Q37" i="26"/>
  <c r="Q67" i="26" s="1"/>
  <c r="Q52" i="26"/>
  <c r="N58" i="26"/>
  <c r="N70" i="26"/>
  <c r="N73" i="26" s="1"/>
  <c r="Q21" i="26"/>
  <c r="S16" i="26"/>
  <c r="S17" i="26" s="1"/>
  <c r="R17" i="26"/>
  <c r="O55" i="26"/>
  <c r="O43" i="26"/>
  <c r="D15" i="10"/>
  <c r="D17" i="10" s="1"/>
  <c r="D56" i="10" s="1"/>
  <c r="D62" i="10" s="1"/>
  <c r="D10" i="10"/>
  <c r="G17" i="10"/>
  <c r="G56" i="10" s="1"/>
  <c r="G62" i="10" s="1"/>
  <c r="I17" i="10"/>
  <c r="H17" i="10"/>
  <c r="F17" i="10"/>
  <c r="K16" i="10"/>
  <c r="J17" i="10"/>
  <c r="E17" i="10"/>
  <c r="D74" i="10"/>
  <c r="I74" i="10"/>
  <c r="H74" i="10"/>
  <c r="N74" i="10"/>
  <c r="G74" i="10"/>
  <c r="E74" i="10"/>
  <c r="P74" i="10"/>
  <c r="G41" i="10" l="1"/>
  <c r="G71" i="10" s="1"/>
  <c r="G77" i="10" s="1"/>
  <c r="O58" i="26"/>
  <c r="O70" i="26"/>
  <c r="O73" i="26" s="1"/>
  <c r="S52" i="26"/>
  <c r="S37" i="26"/>
  <c r="S67" i="26" s="1"/>
  <c r="P43" i="26"/>
  <c r="P55" i="26"/>
  <c r="R52" i="26"/>
  <c r="R37" i="26"/>
  <c r="R67" i="26" s="1"/>
  <c r="Q40" i="26"/>
  <c r="Q25" i="26"/>
  <c r="S21" i="26"/>
  <c r="R21" i="26"/>
  <c r="D29" i="10"/>
  <c r="D41" i="10"/>
  <c r="D71" i="10" s="1"/>
  <c r="D77" i="10" s="1"/>
  <c r="G29" i="10"/>
  <c r="F56" i="10"/>
  <c r="F62" i="10" s="1"/>
  <c r="F29" i="10"/>
  <c r="F41" i="10"/>
  <c r="H56" i="10"/>
  <c r="H62" i="10" s="1"/>
  <c r="H41" i="10"/>
  <c r="H29" i="10"/>
  <c r="I41" i="10"/>
  <c r="I29" i="10"/>
  <c r="I56" i="10"/>
  <c r="I62" i="10" s="1"/>
  <c r="J56" i="10"/>
  <c r="J62" i="10" s="1"/>
  <c r="J41" i="10"/>
  <c r="J29" i="10"/>
  <c r="E56" i="10"/>
  <c r="E62" i="10" s="1"/>
  <c r="E41" i="10"/>
  <c r="E29" i="10"/>
  <c r="L16" i="10"/>
  <c r="K17" i="10"/>
  <c r="G47" i="10" l="1"/>
  <c r="D47" i="10"/>
  <c r="P70" i="26"/>
  <c r="P73" i="26" s="1"/>
  <c r="P58" i="26"/>
  <c r="S25" i="26"/>
  <c r="S40" i="26"/>
  <c r="R25" i="26"/>
  <c r="R40" i="26"/>
  <c r="Q43" i="26"/>
  <c r="Q55" i="26"/>
  <c r="H71" i="10"/>
  <c r="H77" i="10" s="1"/>
  <c r="H47" i="10"/>
  <c r="F71" i="10"/>
  <c r="F77" i="10" s="1"/>
  <c r="F47" i="10"/>
  <c r="I71" i="10"/>
  <c r="I77" i="10" s="1"/>
  <c r="I47" i="10"/>
  <c r="M16" i="10"/>
  <c r="L17" i="10"/>
  <c r="E71" i="10"/>
  <c r="E77" i="10" s="1"/>
  <c r="E47" i="10"/>
  <c r="J71" i="10"/>
  <c r="J77" i="10" s="1"/>
  <c r="J47" i="10"/>
  <c r="K41" i="10"/>
  <c r="K29" i="10"/>
  <c r="K56" i="10"/>
  <c r="K62" i="10" s="1"/>
  <c r="D28" i="26" l="1"/>
  <c r="D81" i="26" s="1"/>
  <c r="S55" i="26"/>
  <c r="S43" i="26"/>
  <c r="Q70" i="26"/>
  <c r="Q73" i="26" s="1"/>
  <c r="Q58" i="26"/>
  <c r="R55" i="26"/>
  <c r="R43" i="26"/>
  <c r="F28" i="26"/>
  <c r="E81" i="26" s="1"/>
  <c r="L56" i="10"/>
  <c r="L62" i="10" s="1"/>
  <c r="L29" i="10"/>
  <c r="L41" i="10"/>
  <c r="K71" i="10"/>
  <c r="K77" i="10" s="1"/>
  <c r="K47" i="10"/>
  <c r="N16" i="10"/>
  <c r="M17" i="10"/>
  <c r="D46" i="26" l="1"/>
  <c r="D82" i="26" s="1"/>
  <c r="R70" i="26"/>
  <c r="R73" i="26" s="1"/>
  <c r="R58" i="26"/>
  <c r="F46" i="26"/>
  <c r="E82" i="26" s="1"/>
  <c r="S70" i="26"/>
  <c r="S73" i="26" s="1"/>
  <c r="S58" i="26"/>
  <c r="M29" i="10"/>
  <c r="M41" i="10"/>
  <c r="M56" i="10"/>
  <c r="M62" i="10" s="1"/>
  <c r="O16" i="10"/>
  <c r="N17" i="10"/>
  <c r="L71" i="10"/>
  <c r="L77" i="10" s="1"/>
  <c r="L47" i="10"/>
  <c r="D61" i="26" l="1"/>
  <c r="D76" i="26"/>
  <c r="D84" i="26" s="1"/>
  <c r="D83" i="26"/>
  <c r="F61" i="26"/>
  <c r="E83" i="26" s="1"/>
  <c r="F76" i="26"/>
  <c r="E84" i="26" s="1"/>
  <c r="N41" i="10"/>
  <c r="N56" i="10"/>
  <c r="N62" i="10" s="1"/>
  <c r="N29" i="10"/>
  <c r="P16" i="10"/>
  <c r="O17" i="10"/>
  <c r="M47" i="10"/>
  <c r="M71" i="10"/>
  <c r="M77" i="10" s="1"/>
  <c r="Q16" i="10" l="1"/>
  <c r="P17" i="10"/>
  <c r="O56" i="10"/>
  <c r="O62" i="10" s="1"/>
  <c r="O29" i="10"/>
  <c r="O41" i="10"/>
  <c r="N71" i="10"/>
  <c r="N77" i="10" s="1"/>
  <c r="N47" i="10"/>
  <c r="O71" i="10" l="1"/>
  <c r="O77" i="10" s="1"/>
  <c r="O47" i="10"/>
  <c r="P41" i="10"/>
  <c r="P56" i="10"/>
  <c r="P62" i="10" s="1"/>
  <c r="P29" i="10"/>
  <c r="R16" i="10"/>
  <c r="Q17" i="10"/>
  <c r="Q29" i="10" l="1"/>
  <c r="Q41" i="10"/>
  <c r="Q56" i="10"/>
  <c r="Q62" i="10" s="1"/>
  <c r="P47" i="10"/>
  <c r="P71" i="10"/>
  <c r="P77" i="10" s="1"/>
  <c r="S16" i="10"/>
  <c r="S17" i="10" s="1"/>
  <c r="R17" i="10"/>
  <c r="R56" i="10" l="1"/>
  <c r="R62" i="10" s="1"/>
  <c r="R29" i="10"/>
  <c r="R41" i="10"/>
  <c r="S41" i="10"/>
  <c r="S29" i="10"/>
  <c r="S56" i="10"/>
  <c r="S62" i="10" s="1"/>
  <c r="Q71" i="10"/>
  <c r="Q77" i="10" s="1"/>
  <c r="Q47" i="10"/>
  <c r="R47" i="10" l="1"/>
  <c r="R71" i="10"/>
  <c r="R77" i="10" s="1"/>
  <c r="D32" i="10"/>
  <c r="D85" i="10" s="1"/>
  <c r="F32" i="10"/>
  <c r="E85" i="10" s="1"/>
  <c r="S71" i="10"/>
  <c r="S77" i="10" s="1"/>
  <c r="S47" i="10"/>
  <c r="F65" i="10"/>
  <c r="E87" i="10" s="1"/>
  <c r="D65" i="10"/>
  <c r="D87" i="10" s="1"/>
  <c r="F80" i="10" l="1"/>
  <c r="E88" i="10" s="1"/>
  <c r="F50" i="10"/>
  <c r="E86" i="10" s="1"/>
  <c r="D80" i="10"/>
  <c r="D88" i="10" s="1"/>
  <c r="D50" i="10"/>
  <c r="D86" i="10" s="1"/>
</calcChain>
</file>

<file path=xl/sharedStrings.xml><?xml version="1.0" encoding="utf-8"?>
<sst xmlns="http://schemas.openxmlformats.org/spreadsheetml/2006/main" count="264" uniqueCount="136">
  <si>
    <t>Implementation</t>
  </si>
  <si>
    <t>Capital cost</t>
  </si>
  <si>
    <t>Total</t>
  </si>
  <si>
    <t>Cost of Project</t>
  </si>
  <si>
    <t>Investment</t>
  </si>
  <si>
    <t xml:space="preserve">Benefits </t>
  </si>
  <si>
    <t>Net annual benefits</t>
  </si>
  <si>
    <t>NPV</t>
  </si>
  <si>
    <t>IRR</t>
  </si>
  <si>
    <t>SENSITIVITY ANALYSIS</t>
  </si>
  <si>
    <t>Cost of the project: 20% more than base case</t>
  </si>
  <si>
    <t>Benefits of the project: 20% less than base case</t>
  </si>
  <si>
    <t>Cost 20% more and Benefits 20% less</t>
  </si>
  <si>
    <t>Base case</t>
  </si>
  <si>
    <t>O&amp;M</t>
  </si>
  <si>
    <t>Total avoided Damages</t>
  </si>
  <si>
    <t>Avoided Damages</t>
  </si>
  <si>
    <t>Avoided Damages (IRR)</t>
  </si>
  <si>
    <t>Avoided Damages (All cost)</t>
  </si>
  <si>
    <t>Indicator Name</t>
  </si>
  <si>
    <t>Agriculture, forestry, and fishing, value added per worker (constant 2010 US$)</t>
  </si>
  <si>
    <t>Row Labels</t>
  </si>
  <si>
    <t>Sum of 2008</t>
  </si>
  <si>
    <t>Sum of 2009</t>
  </si>
  <si>
    <t>Sum of 2010</t>
  </si>
  <si>
    <t>Sum of 2011</t>
  </si>
  <si>
    <t>Sum of 2012</t>
  </si>
  <si>
    <t>Sum of 2013</t>
  </si>
  <si>
    <t>Sum of 2014</t>
  </si>
  <si>
    <t>Sum of 2015</t>
  </si>
  <si>
    <t>Sum of 2016</t>
  </si>
  <si>
    <t>Sum of 2017</t>
  </si>
  <si>
    <t>Sum of 2018</t>
  </si>
  <si>
    <t>Average</t>
  </si>
  <si>
    <t>Total current value added of beneficiaries</t>
  </si>
  <si>
    <t>Direct Beneficiaries</t>
  </si>
  <si>
    <t>Indirect Beneficiaries</t>
  </si>
  <si>
    <t>Burkina Faso</t>
  </si>
  <si>
    <t>Chad</t>
  </si>
  <si>
    <t>Gambia, The</t>
  </si>
  <si>
    <t>Mali</t>
  </si>
  <si>
    <t>Mauritania</t>
  </si>
  <si>
    <t>Niger</t>
  </si>
  <si>
    <t>Senegal</t>
  </si>
  <si>
    <t>Grand Total</t>
  </si>
  <si>
    <t>Avoided damages drought</t>
  </si>
  <si>
    <t>2021</t>
  </si>
  <si>
    <t>2022</t>
  </si>
  <si>
    <t>2023</t>
  </si>
  <si>
    <t>2024</t>
  </si>
  <si>
    <t>2025</t>
  </si>
  <si>
    <t>2026</t>
  </si>
  <si>
    <t>Annual impact of risk transfer (x% avoided damage)</t>
  </si>
  <si>
    <t>Agricultural value added change (x)</t>
  </si>
  <si>
    <t>Cost +20%</t>
  </si>
  <si>
    <t>Benefits – 20%</t>
  </si>
  <si>
    <t>Cost +20% and benefit -20%</t>
  </si>
  <si>
    <t>COMPONENT</t>
  </si>
  <si>
    <t>OUTPUT</t>
  </si>
  <si>
    <t>Financing source</t>
  </si>
  <si>
    <t>Year 1</t>
  </si>
  <si>
    <t>Year 2</t>
  </si>
  <si>
    <t>Year 3</t>
  </si>
  <si>
    <t>Year 4</t>
  </si>
  <si>
    <t>Year 5</t>
  </si>
  <si>
    <t>Year 6</t>
  </si>
  <si>
    <t>TOTAL</t>
  </si>
  <si>
    <t>Component 1: Climate Risk Preparedness</t>
  </si>
  <si>
    <t xml:space="preserve">Output 1.1. Increased access to agro-climatic information services and early warning infrastructure to support integrated climate risks management  </t>
  </si>
  <si>
    <t>GCF</t>
  </si>
  <si>
    <t xml:space="preserve">Output 1.2. Awareness raising, capacity building and institutional development   on integrated climate risks management. </t>
  </si>
  <si>
    <t>Total Component 1</t>
  </si>
  <si>
    <t>Component 2: Development of population resilience</t>
  </si>
  <si>
    <t>Output 2.1. Best available technologies, adaptation/mitigation practices adopted and implemented with agricultural insurance schemes</t>
  </si>
  <si>
    <t>Output 2.2. Diversified livelihood through the promotion of income generating activities</t>
  </si>
  <si>
    <t>IFAD</t>
  </si>
  <si>
    <t>Total Component 2</t>
  </si>
  <si>
    <t>Component 3. Risk transfer</t>
  </si>
  <si>
    <t>Output 3.1 Access to micro insurance</t>
  </si>
  <si>
    <t>Output 3.2. Sovereign risk transfer mechanism (macro-insurance)</t>
  </si>
  <si>
    <t>AfDB-ADRIFI</t>
  </si>
  <si>
    <t>ARC</t>
  </si>
  <si>
    <t>Total Component 3</t>
  </si>
  <si>
    <t xml:space="preserve">Component 4: Programme management and coordination.  </t>
  </si>
  <si>
    <t>Total GCF Project cost</t>
  </si>
  <si>
    <t>Total cofinancing (IFAD/ADRIFI/ARC)</t>
  </si>
  <si>
    <t>Total budget (GCF+COFINANCING)</t>
  </si>
  <si>
    <t>Financial Reveues</t>
  </si>
  <si>
    <t>Agricultural Value Added (Component 2)</t>
  </si>
  <si>
    <t>Total Agricultural Value Added (Component 2)</t>
  </si>
  <si>
    <t>Hurdle Rate</t>
  </si>
  <si>
    <t>PMC</t>
  </si>
  <si>
    <t xml:space="preserve">Regional and country PMU established </t>
  </si>
  <si>
    <t xml:space="preserve">Programme management and coordination.  </t>
  </si>
  <si>
    <t>Carbon sequestration per year at full regime</t>
  </si>
  <si>
    <t>CO2 pricing (USD/t) with 2.5% increase (World Bank)</t>
  </si>
  <si>
    <t>Total value per year at full regime (USD)</t>
  </si>
  <si>
    <t>Calculation of Emission Reductions</t>
    <phoneticPr fontId="0" type="noConversion"/>
  </si>
  <si>
    <t>Year</t>
    <phoneticPr fontId="0" type="noConversion"/>
  </si>
  <si>
    <t>Estimation of baseline emissions</t>
    <phoneticPr fontId="0" type="noConversion"/>
  </si>
  <si>
    <t>Estimation of 
project activity 
emissions</t>
    <phoneticPr fontId="0" type="noConversion"/>
  </si>
  <si>
    <t>Estimation of leakage</t>
  </si>
  <si>
    <t>Estimation of 
overall emission 
reductions</t>
    <phoneticPr fontId="0" type="noConversion"/>
  </si>
  <si>
    <r>
      <t xml:space="preserve"> (tCO</t>
    </r>
    <r>
      <rPr>
        <b/>
        <vertAlign val="subscript"/>
        <sz val="11"/>
        <color indexed="8"/>
        <rFont val="Arial"/>
        <family val="2"/>
      </rPr>
      <t>2</t>
    </r>
    <r>
      <rPr>
        <b/>
        <sz val="11"/>
        <color indexed="8"/>
        <rFont val="Arial"/>
        <family val="2"/>
      </rPr>
      <t>e)</t>
    </r>
  </si>
  <si>
    <t>Year 1</t>
    <phoneticPr fontId="0" type="noConversion"/>
  </si>
  <si>
    <t>Year 7</t>
  </si>
  <si>
    <t>Year 8</t>
  </si>
  <si>
    <t>Year 9</t>
  </si>
  <si>
    <t>Year 10</t>
  </si>
  <si>
    <t>Year 11</t>
  </si>
  <si>
    <t>Year 12</t>
  </si>
  <si>
    <t>Year 13</t>
  </si>
  <si>
    <t>Year 14</t>
  </si>
  <si>
    <t>Year 15</t>
  </si>
  <si>
    <t>Year 16</t>
  </si>
  <si>
    <t>Year 17</t>
  </si>
  <si>
    <t>Year 18</t>
  </si>
  <si>
    <t>Year 19</t>
  </si>
  <si>
    <t>Year 20</t>
  </si>
  <si>
    <t>Year 21</t>
  </si>
  <si>
    <t>Year 22</t>
  </si>
  <si>
    <t>Year 23</t>
  </si>
  <si>
    <t>Year 24</t>
  </si>
  <si>
    <t>Year 25</t>
  </si>
  <si>
    <r>
      <rPr>
        <b/>
        <sz val="11"/>
        <color indexed="8"/>
        <rFont val="Arial"/>
        <family val="2"/>
      </rPr>
      <t>Total</t>
    </r>
    <r>
      <rPr>
        <sz val="11"/>
        <color indexed="8"/>
        <rFont val="Arial"/>
        <family val="2"/>
      </rPr>
      <t xml:space="preserve">
(tCO</t>
    </r>
    <r>
      <rPr>
        <vertAlign val="subscript"/>
        <sz val="11"/>
        <color indexed="8"/>
        <rFont val="Arial"/>
        <family val="2"/>
      </rPr>
      <t>2</t>
    </r>
    <r>
      <rPr>
        <sz val="11"/>
        <color indexed="8"/>
        <rFont val="Arial"/>
        <family val="2"/>
      </rPr>
      <t>e)</t>
    </r>
  </si>
  <si>
    <t>Total project Emissions  for 6 years (tCO2e)</t>
  </si>
  <si>
    <t>Total project Emissions by 2030 NDC Contribution (tCO2e)</t>
  </si>
  <si>
    <t xml:space="preserve">Total project Emissions by project lifetime (tCO2e)- 20 years </t>
  </si>
  <si>
    <t>Total Emissions reductions by 2045 -Project Lifetime (tCo2e)</t>
  </si>
  <si>
    <t>Total Amount</t>
  </si>
  <si>
    <t>M USD</t>
  </si>
  <si>
    <t>GCF funding</t>
  </si>
  <si>
    <t>Estimated cost per tCO2eq (d = a / c)</t>
  </si>
  <si>
    <t>USD</t>
  </si>
  <si>
    <t>Estimated GCF cost per tCO2eq removed (e = b / c)</t>
  </si>
  <si>
    <t>Carbon emissions reductions - minigrids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</si>
</sst>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.00\ _₽_-;\-* #,##0.00\ _₽_-;_-* &quot;-&quot;??\ _₽_-;_-@_-"/>
    <numFmt numFmtId="165" formatCode="_(* #,##0_);_(* \(#,##0\);_(* &quot;-&quot;??_);_(@_)"/>
    <numFmt numFmtId="166" formatCode="0.0%"/>
    <numFmt numFmtId="167" formatCode="_-* #,##0_-;\-* #,##0_-;_-* &quot;-&quot;??_-;_-@_-"/>
    <numFmt numFmtId="168" formatCode="&quot;$&quot;#.00,,&quot;M&quot;"/>
    <numFmt numFmtId="169" formatCode="_-&quot;£&quot;* #,##0.00_-;\-&quot;£&quot;* #,##0.00_-;_-&quot;£&quot;* &quot;-&quot;??_-;_-@_-"/>
    <numFmt numFmtId="170" formatCode="_-* #,##0.00\ _€_-;\-* #,##0.00\ _€_-;_-* &quot;-&quot;??\ _€_-;_-@_-"/>
    <numFmt numFmtId="171" formatCode="#,##0_ "/>
  </numFmts>
  <fonts count="3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rgb="FFFF0000"/>
      <name val="Webdings"/>
      <family val="1"/>
      <charset val="2"/>
    </font>
    <font>
      <u/>
      <sz val="11"/>
      <color theme="10"/>
      <name val="Calibri"/>
      <family val="2"/>
      <scheme val="minor"/>
    </font>
    <font>
      <sz val="9"/>
      <name val="Arial"/>
      <family val="2"/>
    </font>
    <font>
      <b/>
      <sz val="9"/>
      <name val="Arial"/>
      <family val="2"/>
    </font>
    <font>
      <sz val="12"/>
      <color rgb="FF000000"/>
      <name val="Arial"/>
      <family val="2"/>
    </font>
    <font>
      <b/>
      <sz val="12"/>
      <color theme="1"/>
      <name val="Arial"/>
      <family val="2"/>
    </font>
    <font>
      <b/>
      <sz val="12"/>
      <color rgb="FF00000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2"/>
      <name val="Arial"/>
      <family val="2"/>
    </font>
    <font>
      <sz val="11"/>
      <color theme="0"/>
      <name val="Calibri"/>
      <family val="2"/>
      <scheme val="minor"/>
    </font>
    <font>
      <b/>
      <sz val="11"/>
      <color theme="1"/>
      <name val="Arial Unicode MS"/>
      <family val="2"/>
      <charset val="134"/>
    </font>
    <font>
      <sz val="11"/>
      <color theme="1"/>
      <name val="Arial Unicode MS"/>
      <family val="2"/>
      <charset val="134"/>
    </font>
    <font>
      <b/>
      <sz val="16"/>
      <color theme="1"/>
      <name val="Arial Unicode MS"/>
      <family val="2"/>
      <charset val="134"/>
    </font>
    <font>
      <b/>
      <sz val="11"/>
      <color theme="1"/>
      <name val="Arial"/>
      <family val="2"/>
    </font>
    <font>
      <b/>
      <vertAlign val="subscript"/>
      <sz val="11"/>
      <color indexed="8"/>
      <name val="Arial"/>
      <family val="2"/>
    </font>
    <font>
      <b/>
      <sz val="11"/>
      <color indexed="8"/>
      <name val="Arial"/>
      <family val="2"/>
    </font>
    <font>
      <sz val="11"/>
      <color theme="1"/>
      <name val="Arial"/>
      <family val="2"/>
    </font>
    <font>
      <sz val="11"/>
      <color theme="0"/>
      <name val="Arial Unicode MS"/>
      <family val="2"/>
      <charset val="134"/>
    </font>
    <font>
      <sz val="11"/>
      <color indexed="8"/>
      <name val="Arial"/>
      <family val="2"/>
    </font>
    <font>
      <vertAlign val="subscript"/>
      <sz val="11"/>
      <color indexed="8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</fills>
  <borders count="3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DashDot">
        <color rgb="FFFF0000"/>
      </top>
      <bottom style="mediumDashDot">
        <color rgb="FFFF0000"/>
      </bottom>
      <diagonal/>
    </border>
    <border>
      <left/>
      <right style="thin">
        <color indexed="64"/>
      </right>
      <top style="mediumDashDot">
        <color rgb="FFFF0000"/>
      </top>
      <bottom style="mediumDashDot">
        <color rgb="FFFF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8">
    <xf numFmtId="0" fontId="0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9" fillId="0" borderId="0"/>
    <xf numFmtId="169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17" fillId="0" borderId="0" applyFill="0" applyBorder="0">
      <alignment horizontal="center" vertical="center"/>
      <protection locked="0"/>
    </xf>
    <xf numFmtId="0" fontId="18" fillId="0" borderId="0" applyNumberForma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169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16" fillId="0" borderId="0"/>
    <xf numFmtId="9" fontId="16" fillId="0" borderId="0" applyFont="0" applyFill="0" applyBorder="0" applyAlignment="0" applyProtection="0"/>
    <xf numFmtId="0" fontId="19" fillId="0" borderId="0"/>
    <xf numFmtId="0" fontId="6" fillId="0" borderId="0"/>
    <xf numFmtId="43" fontId="6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3" fillId="0" borderId="0"/>
    <xf numFmtId="43" fontId="1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</cellStyleXfs>
  <cellXfs count="155">
    <xf numFmtId="0" fontId="0" fillId="0" borderId="0" xfId="0"/>
    <xf numFmtId="3" fontId="10" fillId="0" borderId="0" xfId="5" applyNumberFormat="1"/>
    <xf numFmtId="0" fontId="10" fillId="0" borderId="0" xfId="5"/>
    <xf numFmtId="0" fontId="10" fillId="0" borderId="1" xfId="5" applyBorder="1"/>
    <xf numFmtId="0" fontId="12" fillId="2" borderId="0" xfId="5" applyFont="1" applyFill="1" applyAlignment="1">
      <alignment horizontal="center"/>
    </xf>
    <xf numFmtId="3" fontId="10" fillId="0" borderId="1" xfId="5" applyNumberFormat="1" applyBorder="1"/>
    <xf numFmtId="165" fontId="0" fillId="0" borderId="0" xfId="6" applyNumberFormat="1" applyFont="1"/>
    <xf numFmtId="3" fontId="10" fillId="0" borderId="3" xfId="5" applyNumberFormat="1" applyBorder="1"/>
    <xf numFmtId="165" fontId="10" fillId="0" borderId="2" xfId="5" applyNumberFormat="1" applyBorder="1"/>
    <xf numFmtId="0" fontId="12" fillId="0" borderId="0" xfId="5" applyFont="1" applyAlignment="1">
      <alignment horizontal="center"/>
    </xf>
    <xf numFmtId="165" fontId="10" fillId="0" borderId="0" xfId="5" applyNumberFormat="1"/>
    <xf numFmtId="166" fontId="0" fillId="0" borderId="0" xfId="7" applyNumberFormat="1" applyFont="1"/>
    <xf numFmtId="0" fontId="12" fillId="4" borderId="0" xfId="5" applyFont="1" applyFill="1" applyAlignment="1">
      <alignment horizontal="center"/>
    </xf>
    <xf numFmtId="8" fontId="12" fillId="0" borderId="0" xfId="5" applyNumberFormat="1" applyFont="1"/>
    <xf numFmtId="9" fontId="10" fillId="0" borderId="0" xfId="5" applyNumberFormat="1" applyAlignment="1">
      <alignment horizontal="center"/>
    </xf>
    <xf numFmtId="0" fontId="12" fillId="0" borderId="0" xfId="5" applyFont="1" applyFill="1" applyAlignment="1">
      <alignment horizontal="center"/>
    </xf>
    <xf numFmtId="0" fontId="10" fillId="0" borderId="0" xfId="5" applyFill="1"/>
    <xf numFmtId="43" fontId="0" fillId="0" borderId="0" xfId="6" applyNumberFormat="1" applyFont="1"/>
    <xf numFmtId="165" fontId="0" fillId="0" borderId="0" xfId="6" applyNumberFormat="1" applyFont="1" applyAlignment="1">
      <alignment wrapText="1"/>
    </xf>
    <xf numFmtId="167" fontId="0" fillId="0" borderId="0" xfId="6" applyNumberFormat="1" applyFont="1" applyAlignment="1">
      <alignment wrapText="1"/>
    </xf>
    <xf numFmtId="0" fontId="13" fillId="0" borderId="4" xfId="5" applyFont="1" applyBorder="1" applyAlignment="1">
      <alignment horizontal="justify" vertical="center" wrapText="1"/>
    </xf>
    <xf numFmtId="0" fontId="13" fillId="0" borderId="5" xfId="5" applyFont="1" applyBorder="1" applyAlignment="1">
      <alignment horizontal="justify" vertical="center" wrapText="1"/>
    </xf>
    <xf numFmtId="168" fontId="14" fillId="0" borderId="6" xfId="5" applyNumberFormat="1" applyFont="1" applyBorder="1" applyAlignment="1">
      <alignment horizontal="justify" vertical="center" wrapText="1"/>
    </xf>
    <xf numFmtId="0" fontId="10" fillId="0" borderId="0" xfId="5" applyAlignment="1">
      <alignment wrapText="1"/>
    </xf>
    <xf numFmtId="0" fontId="12" fillId="0" borderId="2" xfId="5" applyFont="1" applyBorder="1" applyAlignment="1">
      <alignment horizontal="right" wrapText="1"/>
    </xf>
    <xf numFmtId="0" fontId="10" fillId="0" borderId="0" xfId="5" applyAlignment="1">
      <alignment horizontal="right" wrapText="1"/>
    </xf>
    <xf numFmtId="0" fontId="12" fillId="3" borderId="0" xfId="5" applyFont="1" applyFill="1" applyAlignment="1">
      <alignment wrapText="1"/>
    </xf>
    <xf numFmtId="0" fontId="12" fillId="0" borderId="0" xfId="5" applyFont="1" applyAlignment="1">
      <alignment horizontal="right" wrapText="1"/>
    </xf>
    <xf numFmtId="0" fontId="12" fillId="4" borderId="0" xfId="5" applyFont="1" applyFill="1" applyAlignment="1">
      <alignment wrapText="1"/>
    </xf>
    <xf numFmtId="0" fontId="12" fillId="0" borderId="0" xfId="5" applyFont="1" applyFill="1" applyAlignment="1">
      <alignment horizontal="center" wrapText="1"/>
    </xf>
    <xf numFmtId="0" fontId="10" fillId="0" borderId="7" xfId="5" applyBorder="1"/>
    <xf numFmtId="0" fontId="10" fillId="0" borderId="8" xfId="5" applyBorder="1"/>
    <xf numFmtId="165" fontId="0" fillId="0" borderId="8" xfId="6" applyNumberFormat="1" applyFont="1" applyBorder="1"/>
    <xf numFmtId="0" fontId="12" fillId="0" borderId="0" xfId="5" applyFont="1" applyBorder="1" applyAlignment="1">
      <alignment horizontal="right" wrapText="1"/>
    </xf>
    <xf numFmtId="3" fontId="10" fillId="0" borderId="0" xfId="5" applyNumberFormat="1" applyBorder="1"/>
    <xf numFmtId="165" fontId="10" fillId="0" borderId="0" xfId="5" applyNumberFormat="1" applyBorder="1"/>
    <xf numFmtId="0" fontId="9" fillId="0" borderId="0" xfId="5" applyFont="1" applyAlignment="1">
      <alignment horizontal="right" wrapText="1"/>
    </xf>
    <xf numFmtId="0" fontId="15" fillId="0" borderId="0" xfId="8" applyFont="1"/>
    <xf numFmtId="0" fontId="9" fillId="6" borderId="8" xfId="5" applyFont="1" applyFill="1" applyBorder="1" applyAlignment="1">
      <alignment wrapText="1"/>
    </xf>
    <xf numFmtId="0" fontId="9" fillId="0" borderId="0" xfId="5" applyFont="1" applyAlignment="1">
      <alignment wrapText="1"/>
    </xf>
    <xf numFmtId="9" fontId="14" fillId="0" borderId="6" xfId="4" applyFont="1" applyBorder="1" applyAlignment="1">
      <alignment horizontal="justify" vertical="center" wrapText="1"/>
    </xf>
    <xf numFmtId="0" fontId="8" fillId="0" borderId="0" xfId="5" applyFont="1" applyAlignment="1">
      <alignment wrapText="1"/>
    </xf>
    <xf numFmtId="0" fontId="7" fillId="0" borderId="0" xfId="5" applyFont="1" applyAlignment="1">
      <alignment wrapText="1"/>
    </xf>
    <xf numFmtId="0" fontId="19" fillId="0" borderId="0" xfId="28" applyAlignment="1">
      <alignment horizontal="left"/>
    </xf>
    <xf numFmtId="0" fontId="20" fillId="0" borderId="0" xfId="28" applyFont="1" applyAlignment="1">
      <alignment horizontal="center"/>
    </xf>
    <xf numFmtId="0" fontId="20" fillId="0" borderId="9" xfId="28" applyFont="1" applyBorder="1" applyAlignment="1">
      <alignment horizontal="center"/>
    </xf>
    <xf numFmtId="0" fontId="20" fillId="0" borderId="9" xfId="28" applyNumberFormat="1" applyFont="1" applyBorder="1" applyAlignment="1">
      <alignment horizontal="center"/>
    </xf>
    <xf numFmtId="0" fontId="6" fillId="0" borderId="0" xfId="29"/>
    <xf numFmtId="0" fontId="6" fillId="0" borderId="0" xfId="29" applyAlignment="1">
      <alignment wrapText="1"/>
    </xf>
    <xf numFmtId="44" fontId="6" fillId="0" borderId="0" xfId="29" applyNumberFormat="1"/>
    <xf numFmtId="43" fontId="0" fillId="0" borderId="0" xfId="30" applyFont="1"/>
    <xf numFmtId="44" fontId="10" fillId="0" borderId="0" xfId="5" applyNumberFormat="1"/>
    <xf numFmtId="0" fontId="5" fillId="0" borderId="0" xfId="32"/>
    <xf numFmtId="43" fontId="0" fillId="0" borderId="0" xfId="33" applyFont="1"/>
    <xf numFmtId="44" fontId="0" fillId="0" borderId="8" xfId="31" applyFont="1" applyBorder="1"/>
    <xf numFmtId="44" fontId="10" fillId="0" borderId="0" xfId="31" applyFont="1"/>
    <xf numFmtId="44" fontId="12" fillId="0" borderId="0" xfId="31" applyFont="1"/>
    <xf numFmtId="0" fontId="5" fillId="0" borderId="0" xfId="29" applyFont="1" applyAlignment="1">
      <alignment wrapText="1"/>
    </xf>
    <xf numFmtId="166" fontId="6" fillId="0" borderId="0" xfId="4" applyNumberFormat="1" applyFont="1"/>
    <xf numFmtId="0" fontId="4" fillId="0" borderId="0" xfId="29" applyFont="1" applyAlignment="1">
      <alignment wrapText="1"/>
    </xf>
    <xf numFmtId="0" fontId="3" fillId="0" borderId="0" xfId="32" applyFont="1"/>
    <xf numFmtId="0" fontId="12" fillId="2" borderId="0" xfId="5" applyFont="1" applyFill="1" applyAlignment="1">
      <alignment horizontal="center"/>
    </xf>
    <xf numFmtId="0" fontId="2" fillId="6" borderId="8" xfId="5" applyFont="1" applyFill="1" applyBorder="1" applyAlignment="1">
      <alignment wrapText="1"/>
    </xf>
    <xf numFmtId="0" fontId="2" fillId="0" borderId="0" xfId="5" applyFont="1"/>
    <xf numFmtId="43" fontId="0" fillId="3" borderId="0" xfId="30" applyFont="1" applyFill="1"/>
    <xf numFmtId="4" fontId="22" fillId="10" borderId="14" xfId="0" applyNumberFormat="1" applyFont="1" applyFill="1" applyBorder="1" applyAlignment="1">
      <alignment horizontal="center"/>
    </xf>
    <xf numFmtId="0" fontId="22" fillId="7" borderId="10" xfId="0" applyFont="1" applyFill="1" applyBorder="1" applyAlignment="1">
      <alignment horizontal="center" vertical="center" wrapText="1"/>
    </xf>
    <xf numFmtId="4" fontId="22" fillId="7" borderId="14" xfId="0" applyNumberFormat="1" applyFont="1" applyFill="1" applyBorder="1" applyAlignment="1">
      <alignment horizontal="center" vertical="center" wrapText="1"/>
    </xf>
    <xf numFmtId="4" fontId="22" fillId="8" borderId="14" xfId="0" applyNumberFormat="1" applyFont="1" applyFill="1" applyBorder="1" applyAlignment="1">
      <alignment horizontal="center" vertical="center" wrapText="1"/>
    </xf>
    <xf numFmtId="4" fontId="22" fillId="8" borderId="4" xfId="0" applyNumberFormat="1" applyFont="1" applyFill="1" applyBorder="1" applyAlignment="1">
      <alignment horizontal="center" vertical="center" wrapText="1"/>
    </xf>
    <xf numFmtId="0" fontId="21" fillId="9" borderId="4" xfId="0" applyFont="1" applyFill="1" applyBorder="1" applyAlignment="1">
      <alignment horizontal="center" vertical="center" wrapText="1"/>
    </xf>
    <xf numFmtId="4" fontId="24" fillId="9" borderId="13" xfId="0" applyNumberFormat="1" applyFont="1" applyFill="1" applyBorder="1" applyAlignment="1">
      <alignment horizontal="center" wrapText="1"/>
    </xf>
    <xf numFmtId="4" fontId="24" fillId="9" borderId="14" xfId="0" applyNumberFormat="1" applyFont="1" applyFill="1" applyBorder="1" applyAlignment="1">
      <alignment horizontal="center" wrapText="1"/>
    </xf>
    <xf numFmtId="4" fontId="24" fillId="9" borderId="4" xfId="0" applyNumberFormat="1" applyFont="1" applyFill="1" applyBorder="1" applyAlignment="1">
      <alignment horizontal="center" vertical="center" wrapText="1"/>
    </xf>
    <xf numFmtId="4" fontId="24" fillId="9" borderId="17" xfId="0" applyNumberFormat="1" applyFont="1" applyFill="1" applyBorder="1" applyAlignment="1">
      <alignment horizontal="center" wrapText="1"/>
    </xf>
    <xf numFmtId="4" fontId="24" fillId="9" borderId="18" xfId="0" applyNumberFormat="1" applyFont="1" applyFill="1" applyBorder="1" applyAlignment="1">
      <alignment horizontal="center" wrapText="1"/>
    </xf>
    <xf numFmtId="0" fontId="21" fillId="9" borderId="8" xfId="0" applyFont="1" applyFill="1" applyBorder="1" applyAlignment="1">
      <alignment horizontal="center" vertical="center" wrapText="1"/>
    </xf>
    <xf numFmtId="4" fontId="25" fillId="9" borderId="20" xfId="0" applyNumberFormat="1" applyFont="1" applyFill="1" applyBorder="1" applyAlignment="1">
      <alignment horizontal="center" wrapText="1"/>
    </xf>
    <xf numFmtId="0" fontId="21" fillId="11" borderId="4" xfId="0" applyFont="1" applyFill="1" applyBorder="1" applyAlignment="1">
      <alignment horizontal="center" vertical="center" wrapText="1"/>
    </xf>
    <xf numFmtId="4" fontId="25" fillId="11" borderId="21" xfId="0" applyNumberFormat="1" applyFont="1" applyFill="1" applyBorder="1" applyAlignment="1">
      <alignment vertical="center" wrapText="1"/>
    </xf>
    <xf numFmtId="4" fontId="24" fillId="11" borderId="4" xfId="0" applyNumberFormat="1" applyFont="1" applyFill="1" applyBorder="1" applyAlignment="1">
      <alignment horizontal="center" vertical="center" wrapText="1"/>
    </xf>
    <xf numFmtId="4" fontId="22" fillId="10" borderId="4" xfId="0" applyNumberFormat="1" applyFont="1" applyFill="1" applyBorder="1" applyAlignment="1">
      <alignment horizontal="center"/>
    </xf>
    <xf numFmtId="4" fontId="25" fillId="9" borderId="22" xfId="0" applyNumberFormat="1" applyFont="1" applyFill="1" applyBorder="1" applyAlignment="1">
      <alignment horizontal="center" wrapText="1"/>
    </xf>
    <xf numFmtId="4" fontId="25" fillId="9" borderId="13" xfId="0" applyNumberFormat="1" applyFont="1" applyFill="1" applyBorder="1" applyAlignment="1">
      <alignment horizontal="center" vertical="center"/>
    </xf>
    <xf numFmtId="4" fontId="25" fillId="11" borderId="22" xfId="0" applyNumberFormat="1" applyFont="1" applyFill="1" applyBorder="1" applyAlignment="1">
      <alignment horizontal="center" vertical="center"/>
    </xf>
    <xf numFmtId="4" fontId="22" fillId="10" borderId="27" xfId="0" applyNumberFormat="1" applyFont="1" applyFill="1" applyBorder="1" applyAlignment="1">
      <alignment horizontal="center"/>
    </xf>
    <xf numFmtId="4" fontId="22" fillId="10" borderId="1" xfId="0" applyNumberFormat="1" applyFont="1" applyFill="1" applyBorder="1"/>
    <xf numFmtId="4" fontId="26" fillId="4" borderId="17" xfId="0" applyNumberFormat="1" applyFont="1" applyFill="1" applyBorder="1" applyAlignment="1">
      <alignment vertical="center"/>
    </xf>
    <xf numFmtId="4" fontId="26" fillId="9" borderId="10" xfId="0" applyNumberFormat="1" applyFont="1" applyFill="1" applyBorder="1" applyAlignment="1">
      <alignment vertical="center"/>
    </xf>
    <xf numFmtId="4" fontId="26" fillId="9" borderId="29" xfId="0" applyNumberFormat="1" applyFont="1" applyFill="1" applyBorder="1" applyAlignment="1">
      <alignment vertical="center"/>
    </xf>
    <xf numFmtId="4" fontId="0" fillId="0" borderId="0" xfId="0" applyNumberFormat="1"/>
    <xf numFmtId="4" fontId="24" fillId="11" borderId="12" xfId="0" applyNumberFormat="1" applyFont="1" applyFill="1" applyBorder="1" applyAlignment="1">
      <alignment horizontal="center" wrapText="1"/>
    </xf>
    <xf numFmtId="4" fontId="24" fillId="11" borderId="4" xfId="0" applyNumberFormat="1" applyFont="1" applyFill="1" applyBorder="1" applyAlignment="1">
      <alignment horizontal="center" wrapText="1"/>
    </xf>
    <xf numFmtId="0" fontId="10" fillId="0" borderId="0" xfId="5" applyAlignment="1">
      <alignment horizontal="left"/>
    </xf>
    <xf numFmtId="0" fontId="12" fillId="4" borderId="0" xfId="5" applyFont="1" applyFill="1" applyAlignment="1">
      <alignment horizontal="left"/>
    </xf>
    <xf numFmtId="0" fontId="12" fillId="2" borderId="0" xfId="5" applyFont="1" applyFill="1" applyAlignment="1">
      <alignment horizontal="center"/>
    </xf>
    <xf numFmtId="0" fontId="12" fillId="2" borderId="0" xfId="5" applyFont="1" applyFill="1" applyBorder="1" applyAlignment="1">
      <alignment horizontal="center"/>
    </xf>
    <xf numFmtId="0" fontId="12" fillId="2" borderId="1" xfId="5" applyFont="1" applyFill="1" applyBorder="1" applyAlignment="1">
      <alignment horizontal="center"/>
    </xf>
    <xf numFmtId="0" fontId="12" fillId="5" borderId="0" xfId="5" applyFont="1" applyFill="1" applyAlignment="1">
      <alignment horizontal="center"/>
    </xf>
    <xf numFmtId="0" fontId="22" fillId="10" borderId="19" xfId="0" applyFont="1" applyFill="1" applyBorder="1" applyAlignment="1">
      <alignment horizontal="center"/>
    </xf>
    <xf numFmtId="0" fontId="22" fillId="10" borderId="12" xfId="0" applyFont="1" applyFill="1" applyBorder="1" applyAlignment="1">
      <alignment horizontal="center"/>
    </xf>
    <xf numFmtId="0" fontId="22" fillId="10" borderId="13" xfId="0" applyFont="1" applyFill="1" applyBorder="1" applyAlignment="1">
      <alignment horizontal="center"/>
    </xf>
    <xf numFmtId="0" fontId="26" fillId="4" borderId="19" xfId="0" applyFont="1" applyFill="1" applyBorder="1" applyAlignment="1">
      <alignment horizontal="center" vertical="center"/>
    </xf>
    <xf numFmtId="0" fontId="26" fillId="4" borderId="12" xfId="0" applyFont="1" applyFill="1" applyBorder="1" applyAlignment="1">
      <alignment horizontal="center" vertical="center"/>
    </xf>
    <xf numFmtId="0" fontId="26" fillId="4" borderId="16" xfId="0" applyFont="1" applyFill="1" applyBorder="1" applyAlignment="1">
      <alignment horizontal="center" vertical="center"/>
    </xf>
    <xf numFmtId="0" fontId="26" fillId="9" borderId="19" xfId="0" applyFont="1" applyFill="1" applyBorder="1" applyAlignment="1">
      <alignment horizontal="center" vertical="center"/>
    </xf>
    <xf numFmtId="0" fontId="26" fillId="9" borderId="12" xfId="0" applyFont="1" applyFill="1" applyBorder="1" applyAlignment="1">
      <alignment horizontal="center" vertical="center"/>
    </xf>
    <xf numFmtId="0" fontId="22" fillId="10" borderId="16" xfId="0" applyFont="1" applyFill="1" applyBorder="1" applyAlignment="1">
      <alignment horizontal="center"/>
    </xf>
    <xf numFmtId="0" fontId="23" fillId="7" borderId="7" xfId="0" applyFont="1" applyFill="1" applyBorder="1" applyAlignment="1">
      <alignment horizontal="center" vertical="top" wrapText="1"/>
    </xf>
    <xf numFmtId="0" fontId="23" fillId="7" borderId="23" xfId="0" applyFont="1" applyFill="1" applyBorder="1" applyAlignment="1">
      <alignment horizontal="center" vertical="top" wrapText="1"/>
    </xf>
    <xf numFmtId="0" fontId="23" fillId="7" borderId="25" xfId="0" applyFont="1" applyFill="1" applyBorder="1" applyAlignment="1">
      <alignment horizontal="center" vertical="top" wrapText="1"/>
    </xf>
    <xf numFmtId="0" fontId="21" fillId="9" borderId="19" xfId="0" applyFont="1" applyFill="1" applyBorder="1" applyAlignment="1">
      <alignment horizontal="center" vertical="center" wrapText="1"/>
    </xf>
    <xf numFmtId="0" fontId="21" fillId="9" borderId="12" xfId="0" applyFont="1" applyFill="1" applyBorder="1" applyAlignment="1">
      <alignment horizontal="center" vertical="center" wrapText="1"/>
    </xf>
    <xf numFmtId="0" fontId="21" fillId="9" borderId="7" xfId="0" applyFont="1" applyFill="1" applyBorder="1" applyAlignment="1">
      <alignment horizontal="center" vertical="center" wrapText="1"/>
    </xf>
    <xf numFmtId="0" fontId="21" fillId="9" borderId="8" xfId="0" applyFont="1" applyFill="1" applyBorder="1" applyAlignment="1">
      <alignment horizontal="center" vertical="center" wrapText="1"/>
    </xf>
    <xf numFmtId="0" fontId="21" fillId="9" borderId="15" xfId="0" applyFont="1" applyFill="1" applyBorder="1" applyAlignment="1">
      <alignment horizontal="center" vertical="center" wrapText="1"/>
    </xf>
    <xf numFmtId="0" fontId="21" fillId="9" borderId="23" xfId="0" applyFont="1" applyFill="1" applyBorder="1" applyAlignment="1">
      <alignment horizontal="center" vertical="center" wrapText="1"/>
    </xf>
    <xf numFmtId="0" fontId="21" fillId="9" borderId="0" xfId="0" applyFont="1" applyFill="1" applyAlignment="1">
      <alignment horizontal="center" vertical="center" wrapText="1"/>
    </xf>
    <xf numFmtId="0" fontId="21" fillId="9" borderId="24" xfId="0" applyFont="1" applyFill="1" applyBorder="1" applyAlignment="1">
      <alignment horizontal="center" vertical="center" wrapText="1"/>
    </xf>
    <xf numFmtId="0" fontId="21" fillId="9" borderId="25" xfId="0" applyFont="1" applyFill="1" applyBorder="1" applyAlignment="1">
      <alignment horizontal="center" vertical="center" wrapText="1"/>
    </xf>
    <xf numFmtId="0" fontId="21" fillId="9" borderId="26" xfId="0" applyFont="1" applyFill="1" applyBorder="1" applyAlignment="1">
      <alignment horizontal="center" vertical="center" wrapText="1"/>
    </xf>
    <xf numFmtId="0" fontId="21" fillId="9" borderId="6" xfId="0" applyFont="1" applyFill="1" applyBorder="1" applyAlignment="1">
      <alignment horizontal="center" vertical="center" wrapText="1"/>
    </xf>
    <xf numFmtId="0" fontId="23" fillId="7" borderId="28" xfId="0" applyFont="1" applyFill="1" applyBorder="1" applyAlignment="1">
      <alignment horizontal="center" vertical="top" wrapText="1"/>
    </xf>
    <xf numFmtId="0" fontId="23" fillId="7" borderId="5" xfId="0" applyFont="1" applyFill="1" applyBorder="1" applyAlignment="1">
      <alignment horizontal="center" vertical="top" wrapText="1"/>
    </xf>
    <xf numFmtId="0" fontId="23" fillId="7" borderId="15" xfId="0" applyFont="1" applyFill="1" applyBorder="1" applyAlignment="1">
      <alignment horizontal="center" vertical="top" wrapText="1"/>
    </xf>
    <xf numFmtId="0" fontId="23" fillId="7" borderId="6" xfId="0" applyFont="1" applyFill="1" applyBorder="1" applyAlignment="1">
      <alignment horizontal="center" vertical="top" wrapText="1"/>
    </xf>
    <xf numFmtId="0" fontId="21" fillId="9" borderId="16" xfId="0" applyFont="1" applyFill="1" applyBorder="1" applyAlignment="1">
      <alignment horizontal="center" vertical="center" wrapText="1"/>
    </xf>
    <xf numFmtId="0" fontId="22" fillId="7" borderId="11" xfId="0" applyFont="1" applyFill="1" applyBorder="1" applyAlignment="1">
      <alignment horizontal="center" vertical="center" wrapText="1"/>
    </xf>
    <xf numFmtId="0" fontId="22" fillId="7" borderId="12" xfId="0" applyFont="1" applyFill="1" applyBorder="1" applyAlignment="1">
      <alignment horizontal="center" vertical="center" wrapText="1"/>
    </xf>
    <xf numFmtId="0" fontId="22" fillId="7" borderId="13" xfId="0" applyFont="1" applyFill="1" applyBorder="1" applyAlignment="1">
      <alignment horizontal="center" vertical="center" wrapText="1"/>
    </xf>
    <xf numFmtId="0" fontId="23" fillId="7" borderId="15" xfId="0" applyFont="1" applyFill="1" applyBorder="1" applyAlignment="1">
      <alignment horizontal="center" vertical="center" wrapText="1"/>
    </xf>
    <xf numFmtId="0" fontId="23" fillId="7" borderId="6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28" fillId="0" borderId="0" xfId="36" applyFont="1" applyAlignment="1">
      <alignment vertical="center"/>
    </xf>
    <xf numFmtId="0" fontId="29" fillId="0" borderId="0" xfId="36" applyFont="1" applyAlignment="1">
      <alignment vertical="center"/>
    </xf>
    <xf numFmtId="0" fontId="1" fillId="0" borderId="0" xfId="36"/>
    <xf numFmtId="0" fontId="22" fillId="0" borderId="0" xfId="36" applyFont="1" applyAlignment="1">
      <alignment vertical="center"/>
    </xf>
    <xf numFmtId="0" fontId="30" fillId="0" borderId="0" xfId="36" applyFont="1" applyAlignment="1">
      <alignment vertical="center"/>
    </xf>
    <xf numFmtId="0" fontId="31" fillId="12" borderId="30" xfId="36" applyFont="1" applyFill="1" applyBorder="1" applyAlignment="1">
      <alignment horizontal="center" vertical="center" wrapText="1"/>
    </xf>
    <xf numFmtId="0" fontId="31" fillId="12" borderId="30" xfId="36" applyFont="1" applyFill="1" applyBorder="1" applyAlignment="1">
      <alignment horizontal="center" vertical="center" wrapText="1"/>
    </xf>
    <xf numFmtId="0" fontId="31" fillId="12" borderId="30" xfId="36" applyFont="1" applyFill="1" applyBorder="1" applyAlignment="1">
      <alignment horizontal="center" vertical="center"/>
    </xf>
    <xf numFmtId="0" fontId="31" fillId="13" borderId="30" xfId="36" applyFont="1" applyFill="1" applyBorder="1" applyAlignment="1">
      <alignment horizontal="center" vertical="center"/>
    </xf>
    <xf numFmtId="171" fontId="34" fillId="13" borderId="30" xfId="37" applyNumberFormat="1" applyFont="1" applyFill="1" applyBorder="1" applyAlignment="1">
      <alignment horizontal="center" vertical="center"/>
    </xf>
    <xf numFmtId="171" fontId="34" fillId="13" borderId="30" xfId="36" applyNumberFormat="1" applyFont="1" applyFill="1" applyBorder="1" applyAlignment="1">
      <alignment horizontal="center" vertical="center"/>
    </xf>
    <xf numFmtId="0" fontId="35" fillId="0" borderId="0" xfId="36" applyFont="1" applyAlignment="1">
      <alignment vertical="center"/>
    </xf>
    <xf numFmtId="0" fontId="27" fillId="0" borderId="0" xfId="36" applyFont="1"/>
    <xf numFmtId="171" fontId="35" fillId="0" borderId="0" xfId="36" applyNumberFormat="1" applyFont="1" applyAlignment="1">
      <alignment vertical="center"/>
    </xf>
    <xf numFmtId="171" fontId="27" fillId="0" borderId="0" xfId="36" applyNumberFormat="1" applyFont="1"/>
    <xf numFmtId="0" fontId="34" fillId="13" borderId="30" xfId="36" applyFont="1" applyFill="1" applyBorder="1" applyAlignment="1">
      <alignment horizontal="center" vertical="center" wrapText="1"/>
    </xf>
    <xf numFmtId="3" fontId="1" fillId="0" borderId="0" xfId="36" applyNumberFormat="1"/>
    <xf numFmtId="1" fontId="1" fillId="0" borderId="0" xfId="36" applyNumberFormat="1"/>
    <xf numFmtId="171" fontId="34" fillId="0" borderId="0" xfId="36" applyNumberFormat="1" applyFont="1" applyAlignment="1">
      <alignment horizontal="center" vertical="center"/>
    </xf>
    <xf numFmtId="171" fontId="1" fillId="0" borderId="0" xfId="36" applyNumberFormat="1"/>
    <xf numFmtId="2" fontId="1" fillId="0" borderId="0" xfId="36" applyNumberFormat="1"/>
    <xf numFmtId="43" fontId="10" fillId="0" borderId="0" xfId="35" applyFont="1"/>
  </cellXfs>
  <cellStyles count="38">
    <cellStyle name="Comma" xfId="35" builtinId="3"/>
    <cellStyle name="Comma 2" xfId="6" xr:uid="{00000000-0005-0000-0000-000000000000}"/>
    <cellStyle name="Comma 2 2" xfId="20" xr:uid="{00000000-0005-0000-0000-000001000000}"/>
    <cellStyle name="Comma 3" xfId="10" xr:uid="{00000000-0005-0000-0000-000002000000}"/>
    <cellStyle name="Comma 3 2" xfId="24" xr:uid="{00000000-0005-0000-0000-000003000000}"/>
    <cellStyle name="Comma 4" xfId="15" xr:uid="{00000000-0005-0000-0000-000004000000}"/>
    <cellStyle name="Comma 5" xfId="30" xr:uid="{00000000-0005-0000-0000-000005000000}"/>
    <cellStyle name="Comma 6" xfId="33" xr:uid="{00000000-0005-0000-0000-000006000000}"/>
    <cellStyle name="Comma 7" xfId="37" xr:uid="{C21416D6-F17D-428B-8F81-8368FB7A2827}"/>
    <cellStyle name="Currency" xfId="31" builtinId="4"/>
    <cellStyle name="Currency 2" xfId="9" xr:uid="{00000000-0005-0000-0000-000008000000}"/>
    <cellStyle name="Currency 2 2" xfId="23" xr:uid="{00000000-0005-0000-0000-000009000000}"/>
    <cellStyle name="Hyperlink 2" xfId="13" xr:uid="{00000000-0005-0000-0000-00000A000000}"/>
    <cellStyle name="i" xfId="12" xr:uid="{00000000-0005-0000-0000-00000B000000}"/>
    <cellStyle name="Normal" xfId="0" builtinId="0"/>
    <cellStyle name="Normal 2" xfId="5" xr:uid="{00000000-0005-0000-0000-00000D000000}"/>
    <cellStyle name="Normal 2 2" xfId="19" xr:uid="{00000000-0005-0000-0000-00000E000000}"/>
    <cellStyle name="Normal 2 3" xfId="28" xr:uid="{00000000-0005-0000-0000-00000F000000}"/>
    <cellStyle name="Normal 2_Cost Summary" xfId="17" xr:uid="{00000000-0005-0000-0000-000010000000}"/>
    <cellStyle name="Normal 3" xfId="8" xr:uid="{00000000-0005-0000-0000-000011000000}"/>
    <cellStyle name="Normal 3 2" xfId="22" xr:uid="{00000000-0005-0000-0000-000012000000}"/>
    <cellStyle name="Normal 3_Cost Summary" xfId="18" xr:uid="{00000000-0005-0000-0000-000013000000}"/>
    <cellStyle name="Normal 4" xfId="14" xr:uid="{00000000-0005-0000-0000-000014000000}"/>
    <cellStyle name="Normal 5" xfId="26" xr:uid="{00000000-0005-0000-0000-000015000000}"/>
    <cellStyle name="Normal 6" xfId="29" xr:uid="{00000000-0005-0000-0000-000016000000}"/>
    <cellStyle name="Normal 7" xfId="32" xr:uid="{00000000-0005-0000-0000-000017000000}"/>
    <cellStyle name="Normal 8" xfId="34" xr:uid="{00000000-0005-0000-0000-000018000000}"/>
    <cellStyle name="Normal 9" xfId="36" xr:uid="{12C53569-422B-45B5-BFCC-447163091BAE}"/>
    <cellStyle name="Percent" xfId="4" builtinId="5"/>
    <cellStyle name="Percent 2" xfId="7" xr:uid="{00000000-0005-0000-0000-00001A000000}"/>
    <cellStyle name="Percent 2 2" xfId="21" xr:uid="{00000000-0005-0000-0000-00001B000000}"/>
    <cellStyle name="Percent 3" xfId="11" xr:uid="{00000000-0005-0000-0000-00001C000000}"/>
    <cellStyle name="Percent 3 2" xfId="25" xr:uid="{00000000-0005-0000-0000-00001D000000}"/>
    <cellStyle name="Percent 4" xfId="16" xr:uid="{00000000-0005-0000-0000-00001E000000}"/>
    <cellStyle name="Percent 5" xfId="27" xr:uid="{00000000-0005-0000-0000-00001F000000}"/>
    <cellStyle name="Финансовый 2" xfId="1" xr:uid="{00000000-0005-0000-0000-000020000000}"/>
    <cellStyle name="Финансовый 2 2" xfId="3" xr:uid="{00000000-0005-0000-0000-000021000000}"/>
    <cellStyle name="Финансовый 3" xfId="2" xr:uid="{00000000-0005-0000-0000-00002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34635</xdr:colOff>
      <xdr:row>0</xdr:row>
      <xdr:rowOff>126999</xdr:rowOff>
    </xdr:from>
    <xdr:to>
      <xdr:col>1</xdr:col>
      <xdr:colOff>732796</xdr:colOff>
      <xdr:row>3</xdr:row>
      <xdr:rowOff>183987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FC7286DF-6E5F-48BA-B9C0-512C1AB485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9397" y="131761"/>
          <a:ext cx="1360149" cy="59991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abidoye/Dropbox/climatechange/GCFproposal/Liberia/Copy%20of%20Sept%2030%202019%20Budget%20and%20Procurement%20Planning%20tool%20GCF-UNDP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abidoye/Dropbox/climatechange/GCFproposal/PNG/Copy%20of%20PNG%20GCF%20Logframe_17_05_2017_v8_rd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.pathesene/AppData/Local/Microsoft/Windows/INetCache/Content.Outlook/MRR2GV0I/GCF_SAHEL_COSTAB_FP_14oct%20(002)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.perusini/Desktop/GCF%20Funding%20Proposals/Africa%20Climate%20Risk%20Financing%20Programme/Budget/FINAL%20POST%20TECHNICAL%20REVIEW/GCF_SAHEL_COSTAB_FP_29no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Alerts Board"/>
      <sheetName val="START - Lists"/>
      <sheetName val="Co-financing O"/>
      <sheetName val="Co-financing"/>
      <sheetName val="Split procurement"/>
      <sheetName val="DATABASE"/>
      <sheetName val="O&amp;M"/>
      <sheetName val="B.1 Financial sources"/>
      <sheetName val="A5. Term Sheet - Fin. Source"/>
      <sheetName val="B.1 Budget by component"/>
      <sheetName val="B.2 Financing info"/>
      <sheetName val="FINCONSO-Hide"/>
      <sheetName val="A5. Term sheet - Breakdown GCF"/>
      <sheetName val="C.8 Timetable"/>
      <sheetName val="A5. Term sheet - Cash Transfer"/>
      <sheetName val="Budget O-A-SA"/>
      <sheetName val="Summary Sources-Instru"/>
      <sheetName val="A13. Procurement Y1 - G&amp;W - S"/>
      <sheetName val="A13. Procurement - G&amp;W"/>
      <sheetName val="UNDP Gender Marking"/>
      <sheetName val="TBWP - Prodoc"/>
      <sheetName val="FAA Budget"/>
      <sheetName val="FAA Budget Notes"/>
      <sheetName val="GCF Fee Breakdown"/>
      <sheetName val="FAA schedule_Proj struct"/>
      <sheetName val="Lists - Locked"/>
      <sheetName val="FAQ"/>
      <sheetName val="About"/>
      <sheetName val="PMCCONSO-Hide"/>
      <sheetName val="Copy of Sept 30 2019 Budget and"/>
    </sheetNames>
    <sheetDataSet>
      <sheetData sheetId="0"/>
      <sheetData sheetId="1"/>
      <sheetData sheetId="2">
        <row r="11">
          <cell r="A11">
            <v>43891</v>
          </cell>
          <cell r="D11" t="str">
            <v>Ministry of Mines &amp; Energy</v>
          </cell>
          <cell r="F11" t="str">
            <v>1.0</v>
          </cell>
          <cell r="I11" t="str">
            <v>1.1</v>
          </cell>
          <cell r="M11" t="str">
            <v>1.1.1</v>
          </cell>
          <cell r="Q11" t="str">
            <v>GCF</v>
          </cell>
          <cell r="AH11" t="str">
            <v>Liberian Dollar</v>
          </cell>
        </row>
        <row r="12">
          <cell r="D12" t="str">
            <v>Ministry of Public works</v>
          </cell>
          <cell r="F12" t="str">
            <v>2.0</v>
          </cell>
          <cell r="I12" t="str">
            <v>1.2</v>
          </cell>
          <cell r="Q12" t="str">
            <v>UNDP (TRAC)</v>
          </cell>
        </row>
        <row r="13">
          <cell r="D13" t="str">
            <v>UNDP</v>
          </cell>
          <cell r="F13" t="str">
            <v>3.0</v>
          </cell>
          <cell r="I13" t="str">
            <v>2.1</v>
          </cell>
        </row>
        <row r="14">
          <cell r="D14" t="str">
            <v>Environmental Protection Agency</v>
          </cell>
          <cell r="F14" t="str">
            <v>4.0</v>
          </cell>
          <cell r="I14" t="str">
            <v>2.2</v>
          </cell>
        </row>
        <row r="15">
          <cell r="D15" t="str">
            <v>NDMA</v>
          </cell>
          <cell r="I15" t="str">
            <v>2.3</v>
          </cell>
        </row>
        <row r="16">
          <cell r="D16" t="str">
            <v>MoGCP</v>
          </cell>
          <cell r="I16" t="str">
            <v>2.4</v>
          </cell>
        </row>
        <row r="17">
          <cell r="D17" t="str">
            <v>MCC</v>
          </cell>
          <cell r="I17" t="str">
            <v>2.5</v>
          </cell>
        </row>
        <row r="18">
          <cell r="D18" t="str">
            <v>LMS</v>
          </cell>
          <cell r="I18" t="str">
            <v>3.1</v>
          </cell>
        </row>
        <row r="19">
          <cell r="D19" t="str">
            <v>MSD</v>
          </cell>
          <cell r="I19" t="str">
            <v>3.2</v>
          </cell>
        </row>
        <row r="20">
          <cell r="I20" t="str">
            <v>3.3</v>
          </cell>
        </row>
        <row r="21">
          <cell r="I21" t="str">
            <v>3.4</v>
          </cell>
        </row>
        <row r="22">
          <cell r="I22" t="str">
            <v>3.5</v>
          </cell>
        </row>
        <row r="23">
          <cell r="I23" t="str">
            <v>4.1</v>
          </cell>
        </row>
        <row r="24">
          <cell r="I24" t="str">
            <v>4.2</v>
          </cell>
        </row>
        <row r="25">
          <cell r="I25" t="str">
            <v>4.3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6">
          <cell r="H6">
            <v>31207900</v>
          </cell>
        </row>
      </sheetData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>
        <row r="4">
          <cell r="AF4" t="str">
            <v>Goods &amp; Works</v>
          </cell>
        </row>
        <row r="6">
          <cell r="F6" t="str">
            <v>(vi) Grants</v>
          </cell>
          <cell r="G6" t="str">
            <v>(vi) Grants</v>
          </cell>
          <cell r="I6" t="str">
            <v>Government</v>
          </cell>
          <cell r="O6" t="str">
            <v>Salary costs - NP staff</v>
          </cell>
          <cell r="W6" t="str">
            <v>GEN0</v>
          </cell>
          <cell r="Z6" t="str">
            <v>Items</v>
          </cell>
          <cell r="AA6" t="str">
            <v>Opex</v>
          </cell>
          <cell r="AB6" t="str">
            <v>pari passu</v>
          </cell>
          <cell r="BI6" t="str">
            <v>Y1-Q1</v>
          </cell>
          <cell r="CV6">
            <v>1</v>
          </cell>
        </row>
        <row r="7">
          <cell r="F7" t="str">
            <v>In-kind</v>
          </cell>
          <cell r="G7" t="str">
            <v>(v) Reimbursable grants</v>
          </cell>
          <cell r="I7" t="str">
            <v>UNDP</v>
          </cell>
          <cell r="O7" t="str">
            <v>Salaries Costs - GS Staff</v>
          </cell>
          <cell r="W7" t="str">
            <v>GEN1</v>
          </cell>
          <cell r="Z7" t="str">
            <v>Days</v>
          </cell>
          <cell r="AA7" t="str">
            <v>Capex</v>
          </cell>
          <cell r="AB7" t="str">
            <v>senior</v>
          </cell>
          <cell r="BI7" t="str">
            <v>Y1-Q2</v>
          </cell>
          <cell r="CV7">
            <v>2</v>
          </cell>
        </row>
        <row r="8">
          <cell r="G8" t="str">
            <v>(iv) Guarantees</v>
          </cell>
          <cell r="I8" t="str">
            <v>Other</v>
          </cell>
          <cell r="O8" t="str">
            <v>Salary &amp; Post Adj Cost-IP Staff</v>
          </cell>
          <cell r="W8" t="str">
            <v>GEN2</v>
          </cell>
          <cell r="Z8" t="str">
            <v>Months</v>
          </cell>
          <cell r="AB8" t="str">
            <v>junior</v>
          </cell>
          <cell r="BI8" t="str">
            <v>Y1-Q3</v>
          </cell>
          <cell r="CV8">
            <v>3</v>
          </cell>
        </row>
        <row r="9">
          <cell r="G9" t="str">
            <v>(iii) Equity</v>
          </cell>
          <cell r="O9" t="str">
            <v>Services to Projects - CO staff</v>
          </cell>
          <cell r="W9" t="str">
            <v>GEN3</v>
          </cell>
          <cell r="Z9" t="str">
            <v>Years</v>
          </cell>
          <cell r="BI9" t="str">
            <v>Y1-Q4</v>
          </cell>
          <cell r="CV9">
            <v>4</v>
          </cell>
        </row>
        <row r="10">
          <cell r="G10" t="str">
            <v>(ii) Subordinated Loans</v>
          </cell>
          <cell r="O10" t="str">
            <v>International Consultants</v>
          </cell>
          <cell r="Z10" t="str">
            <v>Persons</v>
          </cell>
          <cell r="BI10" t="str">
            <v>Y2-Q1</v>
          </cell>
          <cell r="CV10">
            <v>5</v>
          </cell>
        </row>
        <row r="11">
          <cell r="G11" t="str">
            <v>(i) Senior Loans</v>
          </cell>
          <cell r="O11" t="str">
            <v>Local Consultants</v>
          </cell>
          <cell r="Z11" t="str">
            <v>Studies</v>
          </cell>
          <cell r="BI11" t="str">
            <v>Y2-Q2</v>
          </cell>
          <cell r="CV11">
            <v>6</v>
          </cell>
        </row>
        <row r="12">
          <cell r="G12" t="str">
            <v>In-kind</v>
          </cell>
          <cell r="O12" t="str">
            <v>Contractual Services - Individual</v>
          </cell>
          <cell r="Z12" t="str">
            <v>Workshops</v>
          </cell>
          <cell r="BI12" t="str">
            <v>Y2-Q3</v>
          </cell>
          <cell r="CV12">
            <v>7</v>
          </cell>
        </row>
        <row r="13">
          <cell r="O13" t="str">
            <v>UN Volunteers</v>
          </cell>
          <cell r="Z13" t="str">
            <v>Trips</v>
          </cell>
          <cell r="BI13" t="str">
            <v>Y2-Q4</v>
          </cell>
          <cell r="CV13">
            <v>8</v>
          </cell>
        </row>
        <row r="14">
          <cell r="O14" t="str">
            <v>Travel</v>
          </cell>
          <cell r="Z14" t="str">
            <v>Hectares</v>
          </cell>
          <cell r="BI14" t="str">
            <v>Y3-Q1</v>
          </cell>
        </row>
        <row r="15">
          <cell r="O15" t="str">
            <v>Contractual Services - Implementing Partner</v>
          </cell>
          <cell r="BI15" t="str">
            <v>Y3-Q2</v>
          </cell>
        </row>
        <row r="16">
          <cell r="O16" t="str">
            <v>Contractual Services - Companies / Nat-Serv</v>
          </cell>
          <cell r="BI16" t="str">
            <v>Y3-Q3</v>
          </cell>
        </row>
        <row r="17">
          <cell r="O17" t="str">
            <v>Contractual Services - Companies / Int-Serv</v>
          </cell>
          <cell r="BI17" t="str">
            <v>Y3-Q4</v>
          </cell>
        </row>
        <row r="18">
          <cell r="O18" t="str">
            <v>Contractual Services - Companies / Nat-G&amp;W</v>
          </cell>
          <cell r="BI18" t="str">
            <v>Y4-Q1</v>
          </cell>
        </row>
        <row r="19">
          <cell r="O19" t="str">
            <v>Contractual Services - Companies / Int-G&amp;W</v>
          </cell>
          <cell r="BI19" t="str">
            <v>Y4-Q2</v>
          </cell>
        </row>
        <row r="20">
          <cell r="O20" t="str">
            <v>Equipment and Furniture</v>
          </cell>
          <cell r="BI20" t="str">
            <v>Y4-Q3</v>
          </cell>
        </row>
        <row r="21">
          <cell r="O21" t="str">
            <v>Materials &amp; Goods</v>
          </cell>
          <cell r="BI21" t="str">
            <v>Y4-Q4</v>
          </cell>
        </row>
        <row r="22">
          <cell r="O22" t="str">
            <v>Communic &amp; Audio Visual Equip</v>
          </cell>
          <cell r="BI22" t="str">
            <v>Y5-Q1</v>
          </cell>
        </row>
        <row r="23">
          <cell r="O23" t="str">
            <v>Supplies</v>
          </cell>
          <cell r="BI23" t="str">
            <v>Y5-Q2</v>
          </cell>
        </row>
        <row r="24">
          <cell r="O24" t="str">
            <v>Grants</v>
          </cell>
          <cell r="BI24" t="str">
            <v>Y5-Q3</v>
          </cell>
        </row>
        <row r="25">
          <cell r="O25" t="str">
            <v>Information Technology Equipmt</v>
          </cell>
          <cell r="BI25" t="str">
            <v>Y5-Q4</v>
          </cell>
        </row>
        <row r="26">
          <cell r="O26" t="str">
            <v>Rental &amp; Maintenance-Premises</v>
          </cell>
          <cell r="BI26" t="str">
            <v>Y6-Q1</v>
          </cell>
        </row>
        <row r="27">
          <cell r="O27" t="str">
            <v>Premises Alternations</v>
          </cell>
          <cell r="BI27" t="str">
            <v>Y6-Q2</v>
          </cell>
        </row>
        <row r="28">
          <cell r="O28" t="str">
            <v>Rental &amp; Maint of Info Tech Eq</v>
          </cell>
          <cell r="BI28" t="str">
            <v>Y6-Q3</v>
          </cell>
        </row>
        <row r="29">
          <cell r="O29" t="str">
            <v>Rental &amp; Maint of Other Equip</v>
          </cell>
          <cell r="BI29" t="str">
            <v>Y6-Q4</v>
          </cell>
        </row>
        <row r="30">
          <cell r="O30" t="str">
            <v>Professional Services - Nat</v>
          </cell>
          <cell r="BI30" t="str">
            <v/>
          </cell>
        </row>
        <row r="31">
          <cell r="O31" t="str">
            <v>Professional Services - Int</v>
          </cell>
          <cell r="BI31" t="str">
            <v/>
          </cell>
        </row>
        <row r="32">
          <cell r="O32" t="str">
            <v>Audio Visual &amp; Print Prod Costs</v>
          </cell>
          <cell r="BI32" t="str">
            <v/>
          </cell>
        </row>
        <row r="33">
          <cell r="O33" t="str">
            <v>Service to Projects – GOE</v>
          </cell>
          <cell r="BI33" t="str">
            <v/>
          </cell>
        </row>
        <row r="34">
          <cell r="O34" t="str">
            <v>Transport, Shipping and handle</v>
          </cell>
          <cell r="BI34" t="str">
            <v/>
          </cell>
        </row>
        <row r="35">
          <cell r="O35" t="str">
            <v>Training, Workshops and Conference</v>
          </cell>
          <cell r="BI35" t="str">
            <v/>
          </cell>
        </row>
        <row r="36">
          <cell r="BI36" t="str">
            <v/>
          </cell>
        </row>
        <row r="37">
          <cell r="BI37" t="str">
            <v/>
          </cell>
        </row>
      </sheetData>
      <sheetData sheetId="27"/>
      <sheetData sheetId="28"/>
      <sheetData sheetId="29">
        <row r="10">
          <cell r="F10" t="str">
            <v/>
          </cell>
          <cell r="J10" t="str">
            <v/>
          </cell>
        </row>
        <row r="11">
          <cell r="F11" t="str">
            <v/>
          </cell>
          <cell r="J11" t="str">
            <v/>
          </cell>
        </row>
        <row r="12">
          <cell r="F12" t="str">
            <v/>
          </cell>
          <cell r="J12" t="str">
            <v/>
          </cell>
        </row>
        <row r="13">
          <cell r="F13" t="str">
            <v/>
          </cell>
          <cell r="J13" t="str">
            <v/>
          </cell>
        </row>
        <row r="14">
          <cell r="F14" t="str">
            <v/>
          </cell>
          <cell r="J14" t="str">
            <v/>
          </cell>
        </row>
        <row r="15">
          <cell r="F15" t="str">
            <v/>
          </cell>
          <cell r="J15" t="str">
            <v/>
          </cell>
        </row>
        <row r="16">
          <cell r="F16" t="str">
            <v/>
          </cell>
          <cell r="J16" t="str">
            <v/>
          </cell>
        </row>
        <row r="17">
          <cell r="F17" t="str">
            <v/>
          </cell>
          <cell r="J17" t="str">
            <v/>
          </cell>
        </row>
        <row r="18">
          <cell r="F18" t="str">
            <v/>
          </cell>
          <cell r="J18" t="str">
            <v/>
          </cell>
        </row>
        <row r="19">
          <cell r="F19" t="str">
            <v/>
          </cell>
          <cell r="J19" t="str">
            <v/>
          </cell>
        </row>
        <row r="20">
          <cell r="F20" t="str">
            <v/>
          </cell>
          <cell r="J20" t="str">
            <v/>
          </cell>
        </row>
        <row r="21">
          <cell r="F21" t="str">
            <v/>
          </cell>
          <cell r="J21" t="str">
            <v/>
          </cell>
        </row>
        <row r="22">
          <cell r="F22" t="str">
            <v/>
          </cell>
          <cell r="J22" t="str">
            <v/>
          </cell>
        </row>
        <row r="23">
          <cell r="F23" t="str">
            <v/>
          </cell>
          <cell r="J23" t="str">
            <v/>
          </cell>
        </row>
        <row r="24">
          <cell r="F24" t="str">
            <v/>
          </cell>
          <cell r="J24" t="str">
            <v/>
          </cell>
        </row>
        <row r="25">
          <cell r="F25" t="str">
            <v/>
          </cell>
          <cell r="J25" t="str">
            <v/>
          </cell>
        </row>
        <row r="26">
          <cell r="F26" t="str">
            <v/>
          </cell>
          <cell r="J26" t="str">
            <v/>
          </cell>
        </row>
        <row r="27">
          <cell r="F27" t="str">
            <v/>
          </cell>
          <cell r="J27" t="str">
            <v/>
          </cell>
        </row>
        <row r="28">
          <cell r="F28" t="str">
            <v/>
          </cell>
          <cell r="J28" t="str">
            <v/>
          </cell>
        </row>
        <row r="29">
          <cell r="F29" t="str">
            <v/>
          </cell>
          <cell r="J29" t="str">
            <v/>
          </cell>
        </row>
        <row r="30">
          <cell r="F30" t="str">
            <v/>
          </cell>
          <cell r="J30" t="str">
            <v/>
          </cell>
        </row>
        <row r="31">
          <cell r="F31" t="str">
            <v/>
          </cell>
          <cell r="J31" t="str">
            <v/>
          </cell>
        </row>
        <row r="32">
          <cell r="F32" t="str">
            <v/>
          </cell>
          <cell r="J32" t="str">
            <v/>
          </cell>
        </row>
        <row r="33">
          <cell r="F33" t="str">
            <v/>
          </cell>
          <cell r="J33" t="str">
            <v/>
          </cell>
        </row>
        <row r="34">
          <cell r="F34" t="str">
            <v/>
          </cell>
          <cell r="J34" t="str">
            <v/>
          </cell>
        </row>
        <row r="35">
          <cell r="F35" t="str">
            <v/>
          </cell>
          <cell r="J35" t="str">
            <v/>
          </cell>
        </row>
        <row r="36">
          <cell r="F36" t="str">
            <v/>
          </cell>
          <cell r="J36" t="str">
            <v/>
          </cell>
        </row>
        <row r="37">
          <cell r="F37" t="str">
            <v/>
          </cell>
          <cell r="J37" t="str">
            <v/>
          </cell>
        </row>
        <row r="38">
          <cell r="F38" t="str">
            <v/>
          </cell>
          <cell r="J38" t="str">
            <v/>
          </cell>
        </row>
        <row r="39">
          <cell r="F39" t="str">
            <v/>
          </cell>
          <cell r="J39" t="str">
            <v/>
          </cell>
        </row>
        <row r="40">
          <cell r="F40" t="str">
            <v/>
          </cell>
          <cell r="J40" t="str">
            <v/>
          </cell>
        </row>
        <row r="41">
          <cell r="F41" t="str">
            <v/>
          </cell>
          <cell r="J41" t="str">
            <v/>
          </cell>
        </row>
        <row r="42">
          <cell r="F42" t="str">
            <v/>
          </cell>
          <cell r="J42" t="str">
            <v/>
          </cell>
        </row>
        <row r="43">
          <cell r="F43" t="str">
            <v/>
          </cell>
          <cell r="J43" t="str">
            <v/>
          </cell>
        </row>
        <row r="44">
          <cell r="F44" t="str">
            <v/>
          </cell>
          <cell r="J44" t="str">
            <v/>
          </cell>
        </row>
        <row r="45">
          <cell r="F45" t="str">
            <v/>
          </cell>
          <cell r="J45" t="str">
            <v/>
          </cell>
        </row>
        <row r="46">
          <cell r="F46" t="str">
            <v/>
          </cell>
          <cell r="J46" t="str">
            <v/>
          </cell>
        </row>
        <row r="47">
          <cell r="F47" t="str">
            <v/>
          </cell>
          <cell r="J47" t="str">
            <v/>
          </cell>
        </row>
        <row r="48">
          <cell r="F48" t="str">
            <v/>
          </cell>
          <cell r="J48" t="str">
            <v/>
          </cell>
        </row>
        <row r="49">
          <cell r="F49" t="str">
            <v/>
          </cell>
          <cell r="J49" t="str">
            <v/>
          </cell>
        </row>
        <row r="50">
          <cell r="F50" t="str">
            <v/>
          </cell>
          <cell r="J50" t="str">
            <v/>
          </cell>
        </row>
        <row r="51">
          <cell r="F51" t="str">
            <v/>
          </cell>
          <cell r="J51" t="str">
            <v/>
          </cell>
        </row>
        <row r="52">
          <cell r="F52" t="str">
            <v/>
          </cell>
          <cell r="J52" t="str">
            <v/>
          </cell>
        </row>
        <row r="53">
          <cell r="F53" t="str">
            <v/>
          </cell>
          <cell r="J53" t="str">
            <v/>
          </cell>
        </row>
        <row r="54">
          <cell r="F54" t="str">
            <v/>
          </cell>
          <cell r="J54" t="str">
            <v/>
          </cell>
        </row>
        <row r="55">
          <cell r="F55" t="str">
            <v/>
          </cell>
          <cell r="J55" t="str">
            <v/>
          </cell>
        </row>
        <row r="56">
          <cell r="F56" t="str">
            <v/>
          </cell>
          <cell r="J56" t="str">
            <v/>
          </cell>
        </row>
        <row r="57">
          <cell r="F57" t="str">
            <v/>
          </cell>
          <cell r="J57" t="str">
            <v/>
          </cell>
        </row>
        <row r="58">
          <cell r="F58" t="str">
            <v/>
          </cell>
          <cell r="J58" t="str">
            <v/>
          </cell>
        </row>
        <row r="59">
          <cell r="F59" t="str">
            <v/>
          </cell>
          <cell r="J59" t="str">
            <v/>
          </cell>
        </row>
        <row r="60">
          <cell r="F60" t="str">
            <v/>
          </cell>
          <cell r="J60" t="str">
            <v/>
          </cell>
        </row>
        <row r="61">
          <cell r="F61" t="str">
            <v/>
          </cell>
          <cell r="J61" t="str">
            <v/>
          </cell>
        </row>
        <row r="62">
          <cell r="F62" t="str">
            <v/>
          </cell>
          <cell r="J62" t="str">
            <v/>
          </cell>
        </row>
        <row r="63">
          <cell r="F63" t="str">
            <v/>
          </cell>
          <cell r="J63" t="str">
            <v/>
          </cell>
        </row>
        <row r="64">
          <cell r="F64" t="str">
            <v/>
          </cell>
          <cell r="J64" t="str">
            <v/>
          </cell>
        </row>
        <row r="65">
          <cell r="F65" t="str">
            <v/>
          </cell>
          <cell r="J65" t="str">
            <v/>
          </cell>
        </row>
        <row r="66">
          <cell r="F66" t="str">
            <v/>
          </cell>
          <cell r="J66" t="str">
            <v/>
          </cell>
        </row>
        <row r="67">
          <cell r="F67" t="str">
            <v/>
          </cell>
          <cell r="J67" t="str">
            <v/>
          </cell>
        </row>
        <row r="68">
          <cell r="F68" t="str">
            <v/>
          </cell>
          <cell r="J68" t="str">
            <v/>
          </cell>
        </row>
        <row r="69">
          <cell r="F69" t="str">
            <v/>
          </cell>
          <cell r="J69" t="str">
            <v/>
          </cell>
        </row>
        <row r="70">
          <cell r="F70" t="str">
            <v/>
          </cell>
          <cell r="J70" t="str">
            <v/>
          </cell>
        </row>
        <row r="71">
          <cell r="F71" t="str">
            <v/>
          </cell>
          <cell r="J71" t="str">
            <v/>
          </cell>
        </row>
        <row r="72">
          <cell r="F72" t="str">
            <v/>
          </cell>
          <cell r="J72" t="str">
            <v/>
          </cell>
        </row>
        <row r="73">
          <cell r="F73" t="str">
            <v/>
          </cell>
          <cell r="J73" t="str">
            <v/>
          </cell>
        </row>
        <row r="74">
          <cell r="F74" t="str">
            <v/>
          </cell>
          <cell r="J74" t="str">
            <v/>
          </cell>
        </row>
        <row r="75">
          <cell r="F75" t="str">
            <v/>
          </cell>
          <cell r="J75" t="str">
            <v/>
          </cell>
        </row>
        <row r="76">
          <cell r="F76" t="str">
            <v/>
          </cell>
          <cell r="J76" t="str">
            <v/>
          </cell>
        </row>
        <row r="77">
          <cell r="F77" t="str">
            <v/>
          </cell>
          <cell r="J77" t="str">
            <v/>
          </cell>
        </row>
        <row r="78">
          <cell r="F78" t="str">
            <v/>
          </cell>
          <cell r="J78" t="str">
            <v/>
          </cell>
        </row>
        <row r="79">
          <cell r="F79" t="str">
            <v/>
          </cell>
          <cell r="J79" t="str">
            <v/>
          </cell>
        </row>
        <row r="80">
          <cell r="F80" t="str">
            <v/>
          </cell>
          <cell r="J80" t="str">
            <v/>
          </cell>
        </row>
        <row r="81">
          <cell r="F81" t="str">
            <v/>
          </cell>
          <cell r="J81" t="str">
            <v/>
          </cell>
        </row>
        <row r="82">
          <cell r="F82" t="str">
            <v/>
          </cell>
          <cell r="J82" t="str">
            <v/>
          </cell>
        </row>
        <row r="83">
          <cell r="F83" t="str">
            <v/>
          </cell>
          <cell r="J83" t="str">
            <v/>
          </cell>
        </row>
        <row r="84">
          <cell r="F84" t="str">
            <v/>
          </cell>
          <cell r="J84" t="str">
            <v/>
          </cell>
        </row>
        <row r="85">
          <cell r="F85" t="str">
            <v/>
          </cell>
          <cell r="J85" t="str">
            <v/>
          </cell>
        </row>
        <row r="86">
          <cell r="F86" t="str">
            <v/>
          </cell>
          <cell r="J86" t="str">
            <v/>
          </cell>
        </row>
        <row r="87">
          <cell r="F87" t="str">
            <v/>
          </cell>
          <cell r="J87" t="str">
            <v/>
          </cell>
        </row>
        <row r="88">
          <cell r="F88" t="str">
            <v/>
          </cell>
          <cell r="J88" t="str">
            <v/>
          </cell>
        </row>
        <row r="89">
          <cell r="F89" t="str">
            <v/>
          </cell>
          <cell r="J89" t="str">
            <v/>
          </cell>
        </row>
        <row r="90">
          <cell r="F90" t="str">
            <v/>
          </cell>
          <cell r="J90" t="str">
            <v/>
          </cell>
        </row>
        <row r="91">
          <cell r="F91" t="str">
            <v/>
          </cell>
          <cell r="J91" t="str">
            <v/>
          </cell>
        </row>
        <row r="92">
          <cell r="F92" t="str">
            <v/>
          </cell>
          <cell r="J92" t="str">
            <v/>
          </cell>
        </row>
        <row r="93">
          <cell r="F93" t="str">
            <v/>
          </cell>
          <cell r="J93" t="str">
            <v/>
          </cell>
        </row>
        <row r="94">
          <cell r="F94" t="str">
            <v/>
          </cell>
          <cell r="J94" t="str">
            <v/>
          </cell>
        </row>
        <row r="95">
          <cell r="F95" t="str">
            <v/>
          </cell>
          <cell r="J95" t="str">
            <v/>
          </cell>
        </row>
        <row r="96">
          <cell r="F96" t="str">
            <v/>
          </cell>
          <cell r="J96" t="str">
            <v/>
          </cell>
        </row>
        <row r="97">
          <cell r="F97" t="str">
            <v/>
          </cell>
          <cell r="J97" t="str">
            <v/>
          </cell>
        </row>
        <row r="98">
          <cell r="F98" t="str">
            <v/>
          </cell>
          <cell r="J98" t="str">
            <v/>
          </cell>
        </row>
        <row r="99">
          <cell r="F99" t="str">
            <v/>
          </cell>
          <cell r="J99" t="str">
            <v/>
          </cell>
        </row>
        <row r="100">
          <cell r="F100" t="str">
            <v/>
          </cell>
          <cell r="J100" t="str">
            <v/>
          </cell>
        </row>
        <row r="101">
          <cell r="F101" t="str">
            <v/>
          </cell>
          <cell r="J101" t="str">
            <v/>
          </cell>
        </row>
        <row r="102">
          <cell r="F102" t="str">
            <v/>
          </cell>
          <cell r="J102" t="str">
            <v/>
          </cell>
        </row>
        <row r="103">
          <cell r="F103" t="str">
            <v/>
          </cell>
          <cell r="J103" t="str">
            <v/>
          </cell>
        </row>
        <row r="104">
          <cell r="F104" t="str">
            <v/>
          </cell>
          <cell r="J104" t="str">
            <v/>
          </cell>
        </row>
        <row r="105">
          <cell r="F105" t="str">
            <v/>
          </cell>
          <cell r="J105" t="str">
            <v/>
          </cell>
        </row>
        <row r="106">
          <cell r="F106" t="str">
            <v/>
          </cell>
          <cell r="J106" t="str">
            <v/>
          </cell>
        </row>
        <row r="107">
          <cell r="F107" t="str">
            <v/>
          </cell>
          <cell r="J107" t="str">
            <v/>
          </cell>
        </row>
        <row r="108">
          <cell r="F108" t="str">
            <v/>
          </cell>
          <cell r="J108" t="str">
            <v/>
          </cell>
        </row>
        <row r="109">
          <cell r="F109" t="str">
            <v/>
          </cell>
          <cell r="J109" t="str">
            <v/>
          </cell>
        </row>
      </sheetData>
      <sheetData sheetId="3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gframe"/>
      <sheetName val="Budet calc"/>
      <sheetName val="Sheet1"/>
      <sheetName val="budget codes"/>
      <sheetName val="Project Timeline"/>
    </sheetNames>
    <sheetDataSet>
      <sheetData sheetId="0"/>
      <sheetData sheetId="1"/>
      <sheetData sheetId="2"/>
      <sheetData sheetId="3">
        <row r="3">
          <cell r="C3" t="str">
            <v>71200-International Consultants</v>
          </cell>
        </row>
        <row r="4">
          <cell r="C4" t="str">
            <v>71300-Local Consultants</v>
          </cell>
        </row>
        <row r="5">
          <cell r="C5" t="str">
            <v>71500-UN Volunteers</v>
          </cell>
        </row>
        <row r="6">
          <cell r="C6" t="str">
            <v>71400-Contractual Services - Individ</v>
          </cell>
        </row>
        <row r="7">
          <cell r="C7" t="str">
            <v>61300-Salary &amp; Post Adj Cst-IP Staff</v>
          </cell>
        </row>
        <row r="8">
          <cell r="C8" t="str">
            <v>72100-Contractual Services-Companies</v>
          </cell>
        </row>
        <row r="9">
          <cell r="C9" t="str">
            <v>72600-Grants</v>
          </cell>
        </row>
        <row r="10">
          <cell r="C10" t="str">
            <v>71600-Travel</v>
          </cell>
        </row>
        <row r="11">
          <cell r="C11" t="str">
            <v>72200-Equipment and Furniture</v>
          </cell>
        </row>
        <row r="12">
          <cell r="C12" t="str">
            <v>72400-Communic &amp; Audio Visual Equip</v>
          </cell>
        </row>
        <row r="13">
          <cell r="C13" t="str">
            <v>72500-Supplies</v>
          </cell>
        </row>
        <row r="14">
          <cell r="C14" t="str">
            <v>72800-Information Technology Equipmt</v>
          </cell>
        </row>
        <row r="15">
          <cell r="C15" t="str">
            <v>73100-Rental &amp; Maintenance-Premises</v>
          </cell>
        </row>
        <row r="16">
          <cell r="C16" t="str">
            <v>73200-Premises Alternations</v>
          </cell>
        </row>
        <row r="17">
          <cell r="C17" t="str">
            <v>73300-Rental &amp; Maint of Info Tech Eq</v>
          </cell>
        </row>
        <row r="18">
          <cell r="C18" t="str">
            <v>73400-Rental &amp; Maint of Other Equip</v>
          </cell>
        </row>
        <row r="19">
          <cell r="C19" t="str">
            <v>74100-Professional Services</v>
          </cell>
        </row>
        <row r="20">
          <cell r="C20" t="str">
            <v>74200-Audio Visual&amp;Print Prod Costs</v>
          </cell>
        </row>
        <row r="21">
          <cell r="C21" t="str">
            <v>74500-Miscellaneous Expenses</v>
          </cell>
        </row>
        <row r="22">
          <cell r="C22" t="str">
            <v>74700-Transport, Shipping and handle</v>
          </cell>
        </row>
        <row r="23">
          <cell r="C23" t="str">
            <v>75700-Training, Workshops and Confer</v>
          </cell>
        </row>
      </sheetData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 fix"/>
      <sheetName val="Number of Beneficiaries "/>
      <sheetName val="Budget Summary"/>
      <sheetName val="Sheet1"/>
      <sheetName val="Sheet2"/>
      <sheetName val="Sheet3"/>
      <sheetName val="Regional breakdown"/>
      <sheetName val="Output breakdown"/>
      <sheetName val="Detailed Budget Notes"/>
      <sheetName val="Distr"/>
      <sheetName val="BY SEVEN"/>
      <sheetName val="Sheet15"/>
      <sheetName val="Unit costs"/>
      <sheetName val="Burkina"/>
      <sheetName val="Mali"/>
      <sheetName val="Niger"/>
      <sheetName val="Gambia"/>
      <sheetName val="Mauritania"/>
      <sheetName val="Chad"/>
      <sheetName val="Senegal"/>
      <sheetName val="Workshop Costs"/>
      <sheetName val="Workplan Timeline"/>
    </sheetNames>
    <sheetDataSet>
      <sheetData sheetId="0"/>
      <sheetData sheetId="1"/>
      <sheetData sheetId="2"/>
      <sheetData sheetId="3"/>
      <sheetData sheetId="4"/>
      <sheetData sheetId="5"/>
      <sheetData sheetId="6">
        <row r="15">
          <cell r="J15">
            <v>435550</v>
          </cell>
          <cell r="K15">
            <v>3899700</v>
          </cell>
          <cell r="L15">
            <v>3730300</v>
          </cell>
          <cell r="M15">
            <v>1305000</v>
          </cell>
          <cell r="N15">
            <v>1050000</v>
          </cell>
          <cell r="O15">
            <v>1200000</v>
          </cell>
        </row>
        <row r="39">
          <cell r="J39">
            <v>904166.66666666663</v>
          </cell>
          <cell r="K39">
            <v>5961166.666666666</v>
          </cell>
          <cell r="L39">
            <v>5471166.666666666</v>
          </cell>
          <cell r="M39">
            <v>5401166.666666666</v>
          </cell>
          <cell r="N39">
            <v>3711166.6666666665</v>
          </cell>
          <cell r="O39">
            <v>1704166.6666666667</v>
          </cell>
        </row>
        <row r="68">
          <cell r="J68">
            <v>3928961.3286410286</v>
          </cell>
          <cell r="K68">
            <v>6015913.989121099</v>
          </cell>
          <cell r="L68">
            <v>6633360.9753075084</v>
          </cell>
          <cell r="M68">
            <v>6255643.3546871431</v>
          </cell>
          <cell r="N68">
            <v>5577633.1673646355</v>
          </cell>
          <cell r="O68">
            <v>1843587.1848786003</v>
          </cell>
        </row>
        <row r="69">
          <cell r="J69">
            <v>147000</v>
          </cell>
          <cell r="K69">
            <v>147000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</row>
        <row r="70">
          <cell r="J70">
            <v>29800</v>
          </cell>
          <cell r="K70">
            <v>29800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</row>
        <row r="71">
          <cell r="J71">
            <v>490000</v>
          </cell>
          <cell r="K71">
            <v>0</v>
          </cell>
          <cell r="L71">
            <v>0</v>
          </cell>
          <cell r="M71">
            <v>490000</v>
          </cell>
          <cell r="N71">
            <v>0</v>
          </cell>
          <cell r="O71">
            <v>0</v>
          </cell>
        </row>
        <row r="72">
          <cell r="J72">
            <v>0</v>
          </cell>
          <cell r="K72">
            <v>94500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</row>
        <row r="73">
          <cell r="J73">
            <v>22500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</row>
        <row r="74">
          <cell r="J74">
            <v>630000</v>
          </cell>
          <cell r="K74">
            <v>0</v>
          </cell>
          <cell r="L74">
            <v>630000</v>
          </cell>
          <cell r="M74">
            <v>0</v>
          </cell>
          <cell r="N74">
            <v>630000</v>
          </cell>
          <cell r="O74">
            <v>0</v>
          </cell>
        </row>
        <row r="75">
          <cell r="J75">
            <v>47250</v>
          </cell>
          <cell r="K75">
            <v>47250</v>
          </cell>
          <cell r="L75">
            <v>0</v>
          </cell>
          <cell r="M75">
            <v>0</v>
          </cell>
          <cell r="N75">
            <v>0</v>
          </cell>
          <cell r="O75">
            <v>0</v>
          </cell>
        </row>
        <row r="76">
          <cell r="J76">
            <v>12500</v>
          </cell>
          <cell r="K76">
            <v>12500</v>
          </cell>
          <cell r="L76">
            <v>0</v>
          </cell>
          <cell r="M76">
            <v>0</v>
          </cell>
          <cell r="N76">
            <v>0</v>
          </cell>
          <cell r="O76">
            <v>0</v>
          </cell>
        </row>
        <row r="77">
          <cell r="J77">
            <v>31500</v>
          </cell>
          <cell r="K77">
            <v>31500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</row>
        <row r="78">
          <cell r="J78">
            <v>12400</v>
          </cell>
          <cell r="K78">
            <v>12400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</row>
        <row r="79">
          <cell r="J79">
            <v>126000</v>
          </cell>
          <cell r="K79">
            <v>126000</v>
          </cell>
          <cell r="L79">
            <v>126000</v>
          </cell>
          <cell r="M79">
            <v>126000</v>
          </cell>
          <cell r="N79">
            <v>0</v>
          </cell>
          <cell r="O79">
            <v>0</v>
          </cell>
        </row>
        <row r="80">
          <cell r="J80">
            <v>24800</v>
          </cell>
          <cell r="K80">
            <v>24800</v>
          </cell>
          <cell r="L80">
            <v>24800</v>
          </cell>
          <cell r="M80">
            <v>24800</v>
          </cell>
          <cell r="N80">
            <v>0</v>
          </cell>
          <cell r="O80">
            <v>0</v>
          </cell>
        </row>
        <row r="81">
          <cell r="J81">
            <v>84000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</row>
        <row r="82">
          <cell r="J82">
            <v>22800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</row>
        <row r="83">
          <cell r="J83">
            <v>0</v>
          </cell>
          <cell r="K83">
            <v>42000</v>
          </cell>
          <cell r="L83">
            <v>42000</v>
          </cell>
          <cell r="M83">
            <v>0</v>
          </cell>
          <cell r="N83">
            <v>0</v>
          </cell>
          <cell r="O83">
            <v>0</v>
          </cell>
        </row>
        <row r="84">
          <cell r="J84">
            <v>0</v>
          </cell>
          <cell r="K84">
            <v>10000</v>
          </cell>
          <cell r="L84">
            <v>10000</v>
          </cell>
          <cell r="M84">
            <v>0</v>
          </cell>
          <cell r="N84">
            <v>0</v>
          </cell>
          <cell r="O84">
            <v>0</v>
          </cell>
        </row>
        <row r="85">
          <cell r="J85">
            <v>735000</v>
          </cell>
          <cell r="K85">
            <v>0</v>
          </cell>
          <cell r="L85">
            <v>735000</v>
          </cell>
          <cell r="M85">
            <v>0</v>
          </cell>
          <cell r="N85">
            <v>735000</v>
          </cell>
          <cell r="O85">
            <v>0</v>
          </cell>
        </row>
        <row r="86">
          <cell r="J86">
            <v>101250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</row>
        <row r="87">
          <cell r="J87">
            <v>17800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</row>
        <row r="88">
          <cell r="J88">
            <v>94500</v>
          </cell>
          <cell r="K88">
            <v>94500</v>
          </cell>
          <cell r="L88">
            <v>94500</v>
          </cell>
          <cell r="M88">
            <v>94500</v>
          </cell>
          <cell r="N88">
            <v>94500</v>
          </cell>
          <cell r="O88">
            <v>94500</v>
          </cell>
        </row>
        <row r="89">
          <cell r="J89">
            <v>22500</v>
          </cell>
          <cell r="K89">
            <v>22500</v>
          </cell>
          <cell r="L89">
            <v>22500</v>
          </cell>
          <cell r="M89">
            <v>22500</v>
          </cell>
          <cell r="N89">
            <v>22500</v>
          </cell>
          <cell r="O89">
            <v>22500</v>
          </cell>
        </row>
        <row r="90">
          <cell r="J90">
            <v>90000</v>
          </cell>
          <cell r="K90">
            <v>0</v>
          </cell>
          <cell r="L90">
            <v>90000</v>
          </cell>
          <cell r="M90">
            <v>0</v>
          </cell>
          <cell r="N90">
            <v>90000</v>
          </cell>
          <cell r="O90">
            <v>90000</v>
          </cell>
        </row>
        <row r="93">
          <cell r="J93">
            <v>1206500.0033333332</v>
          </cell>
          <cell r="K93">
            <v>1206500.0033333332</v>
          </cell>
          <cell r="L93">
            <v>1206500.0033333332</v>
          </cell>
          <cell r="M93">
            <v>1206500.0033333332</v>
          </cell>
          <cell r="N93">
            <v>1206500.0033333332</v>
          </cell>
          <cell r="O93">
            <v>1206500.0033333332</v>
          </cell>
        </row>
        <row r="97">
          <cell r="J97">
            <v>402000</v>
          </cell>
          <cell r="K97">
            <v>402000</v>
          </cell>
          <cell r="L97">
            <v>402000</v>
          </cell>
          <cell r="M97">
            <v>402000</v>
          </cell>
          <cell r="N97">
            <v>402000</v>
          </cell>
          <cell r="O97">
            <v>402000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 fix"/>
      <sheetName val="Budget Summary"/>
      <sheetName val="Regional breakdown"/>
      <sheetName val="Output breakdown"/>
      <sheetName val="Detailed Budget Notes"/>
      <sheetName val="Distr"/>
      <sheetName val="BY SEVEN"/>
      <sheetName val="Sheet15"/>
      <sheetName val="Unit costs"/>
      <sheetName val="Burkina"/>
      <sheetName val="Mali"/>
      <sheetName val="Niger"/>
      <sheetName val="Gambia"/>
      <sheetName val="Mauritania"/>
      <sheetName val="Chad"/>
      <sheetName val="Senegal"/>
      <sheetName val="Workshop Costs"/>
      <sheetName val="Workplan Timeline"/>
    </sheetNames>
    <sheetDataSet>
      <sheetData sheetId="0"/>
      <sheetData sheetId="1"/>
      <sheetData sheetId="2">
        <row r="34">
          <cell r="J34">
            <v>1719000</v>
          </cell>
          <cell r="K34">
            <v>1187000</v>
          </cell>
          <cell r="L34">
            <v>1318861</v>
          </cell>
          <cell r="M34">
            <v>1187000</v>
          </cell>
          <cell r="N34">
            <v>1252000</v>
          </cell>
          <cell r="O34">
            <v>997439</v>
          </cell>
        </row>
        <row r="59">
          <cell r="J59">
            <v>4677278.3950000005</v>
          </cell>
          <cell r="K59">
            <v>4677278.3950000005</v>
          </cell>
          <cell r="L59">
            <v>4677278.3950000005</v>
          </cell>
          <cell r="M59">
            <v>4677278.3950000005</v>
          </cell>
          <cell r="N59">
            <v>4677278.3950000005</v>
          </cell>
          <cell r="O59">
            <v>4677278.3950000005</v>
          </cell>
        </row>
        <row r="100">
          <cell r="J100">
            <v>2827170</v>
          </cell>
          <cell r="K100">
            <v>2827170</v>
          </cell>
          <cell r="L100">
            <v>2827170</v>
          </cell>
          <cell r="M100">
            <v>2827170</v>
          </cell>
          <cell r="N100">
            <v>2827170</v>
          </cell>
          <cell r="O100">
            <v>2827170</v>
          </cell>
        </row>
        <row r="101">
          <cell r="J101">
            <v>993330</v>
          </cell>
          <cell r="K101">
            <v>993330</v>
          </cell>
          <cell r="L101">
            <v>993330</v>
          </cell>
          <cell r="M101">
            <v>993330</v>
          </cell>
          <cell r="N101">
            <v>993330</v>
          </cell>
          <cell r="O101">
            <v>993330</v>
          </cell>
        </row>
        <row r="106">
          <cell r="J106">
            <v>375221.60499999998</v>
          </cell>
          <cell r="K106">
            <v>375221.60499999998</v>
          </cell>
          <cell r="L106">
            <v>375221.60499999998</v>
          </cell>
          <cell r="M106">
            <v>375221.60499999998</v>
          </cell>
          <cell r="N106">
            <v>375221.60499999998</v>
          </cell>
          <cell r="O106">
            <v>375221.60499999998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88"/>
  <sheetViews>
    <sheetView tabSelected="1" topLeftCell="A70" zoomScale="84" zoomScaleNormal="84" workbookViewId="0">
      <selection activeCell="D86" sqref="D86"/>
    </sheetView>
  </sheetViews>
  <sheetFormatPr defaultColWidth="9" defaultRowHeight="14.25"/>
  <cols>
    <col min="1" max="1" width="9" style="2"/>
    <col min="2" max="2" width="4.86328125" style="2" bestFit="1" customWidth="1"/>
    <col min="3" max="3" width="35" style="23" customWidth="1"/>
    <col min="4" max="4" width="18" style="2" bestFit="1" customWidth="1"/>
    <col min="5" max="5" width="15.265625" style="2" bestFit="1" customWidth="1"/>
    <col min="6" max="6" width="15" style="2" bestFit="1" customWidth="1"/>
    <col min="7" max="7" width="16.9296875" style="2" bestFit="1" customWidth="1"/>
    <col min="8" max="19" width="15" style="2" bestFit="1" customWidth="1"/>
    <col min="20" max="16384" width="9" style="2"/>
  </cols>
  <sheetData>
    <row r="1" spans="2:19">
      <c r="C1" s="39"/>
      <c r="D1" s="2">
        <v>1</v>
      </c>
    </row>
    <row r="2" spans="2:19">
      <c r="D2" s="2">
        <v>1</v>
      </c>
      <c r="L2" t="s">
        <v>94</v>
      </c>
    </row>
    <row r="3" spans="2:19" ht="57">
      <c r="B3" s="1"/>
      <c r="D3" s="3"/>
      <c r="E3" s="95" t="s">
        <v>0</v>
      </c>
      <c r="F3" s="95"/>
      <c r="G3" s="95"/>
      <c r="H3" s="95"/>
      <c r="L3" s="132" t="s">
        <v>95</v>
      </c>
    </row>
    <row r="4" spans="2:19">
      <c r="C4" s="96" t="s">
        <v>1</v>
      </c>
      <c r="D4" s="97"/>
      <c r="E4" s="4">
        <v>1</v>
      </c>
      <c r="F4" s="4">
        <v>2</v>
      </c>
      <c r="G4" s="4">
        <v>3</v>
      </c>
      <c r="H4" s="4">
        <v>4</v>
      </c>
      <c r="I4" s="4">
        <v>5</v>
      </c>
      <c r="J4" s="4">
        <v>6</v>
      </c>
      <c r="K4" s="4"/>
      <c r="L4" t="s">
        <v>96</v>
      </c>
    </row>
    <row r="5" spans="2:19">
      <c r="C5" s="23" t="str">
        <f>'Economic cost of project'!A2</f>
        <v>Component 1: Climate Risk Preparedness</v>
      </c>
      <c r="D5" s="5">
        <f>SUM(E5:J5)</f>
        <v>19281850</v>
      </c>
      <c r="E5" s="6">
        <f>'Economic cost of project'!B2</f>
        <v>2154550</v>
      </c>
      <c r="F5" s="6">
        <f>'Economic cost of project'!C2</f>
        <v>5086700</v>
      </c>
      <c r="G5" s="6">
        <f>'Economic cost of project'!D2</f>
        <v>5049161</v>
      </c>
      <c r="H5" s="6">
        <f>'Economic cost of project'!E2</f>
        <v>2492000</v>
      </c>
      <c r="I5" s="6">
        <f>'Economic cost of project'!F2</f>
        <v>2302000</v>
      </c>
      <c r="J5" s="6">
        <f>'Economic cost of project'!G2</f>
        <v>2197439</v>
      </c>
      <c r="K5" s="6"/>
    </row>
    <row r="6" spans="2:19" ht="28.5">
      <c r="C6" s="23" t="str">
        <f>'Economic cost of project'!A3</f>
        <v>Component 2: Development of population resilience</v>
      </c>
      <c r="D6" s="5">
        <f t="shared" ref="D6:D8" si="0">SUM(E6:J6)</f>
        <v>51216670.370000005</v>
      </c>
      <c r="E6" s="6">
        <f>'Economic cost of project'!B3</f>
        <v>5581445.0616666675</v>
      </c>
      <c r="F6" s="6">
        <f>'Economic cost of project'!C3</f>
        <v>10638445.061666667</v>
      </c>
      <c r="G6" s="6">
        <f>'Economic cost of project'!D3</f>
        <v>10148445.061666667</v>
      </c>
      <c r="H6" s="6">
        <f>'Economic cost of project'!E3</f>
        <v>10078445.061666667</v>
      </c>
      <c r="I6" s="6">
        <f>'Economic cost of project'!F3</f>
        <v>8388445.0616666675</v>
      </c>
      <c r="J6" s="6">
        <f>'Economic cost of project'!G3</f>
        <v>6381445.0616666675</v>
      </c>
      <c r="K6" s="6"/>
    </row>
    <row r="7" spans="2:19">
      <c r="C7" s="23" t="str">
        <f>'Economic cost of project'!A4</f>
        <v>Component 3. Risk transfer</v>
      </c>
      <c r="D7" s="5">
        <f t="shared" si="0"/>
        <v>68165050.020000011</v>
      </c>
      <c r="E7" s="6">
        <f>'Economic cost of project'!B4</f>
        <v>11697561.331974363</v>
      </c>
      <c r="F7" s="6">
        <f>'Economic cost of project'!C4</f>
        <v>11737663.992454432</v>
      </c>
      <c r="G7" s="6">
        <f>'Economic cost of project'!D4</f>
        <v>13435160.978640843</v>
      </c>
      <c r="H7" s="6">
        <f>'Economic cost of project'!E4</f>
        <v>12040443.358020477</v>
      </c>
      <c r="I7" s="6">
        <f>'Economic cost of project'!F4</f>
        <v>12176633.170697968</v>
      </c>
      <c r="J7" s="6">
        <f>'Economic cost of project'!G4</f>
        <v>7077587.1882119337</v>
      </c>
      <c r="K7" s="6"/>
    </row>
    <row r="8" spans="2:19" ht="28.5">
      <c r="C8" s="23" t="str">
        <f>'Economic cost of project'!A5</f>
        <v xml:space="preserve">Component 4: Programme management and coordination.  </v>
      </c>
      <c r="D8" s="5">
        <f t="shared" si="0"/>
        <v>4663329.63</v>
      </c>
      <c r="E8" s="6">
        <f>'Economic cost of project'!B5</f>
        <v>777221.60499999998</v>
      </c>
      <c r="F8" s="6">
        <f>'Economic cost of project'!C5</f>
        <v>777221.60499999998</v>
      </c>
      <c r="G8" s="6">
        <f>'Economic cost of project'!D5</f>
        <v>777221.60499999998</v>
      </c>
      <c r="H8" s="6">
        <f>'Economic cost of project'!E5</f>
        <v>777221.60499999998</v>
      </c>
      <c r="I8" s="6">
        <f>'Economic cost of project'!F5</f>
        <v>777221.60499999998</v>
      </c>
      <c r="J8" s="6">
        <f>'Economic cost of project'!G5</f>
        <v>777221.60499999998</v>
      </c>
      <c r="K8" s="6"/>
    </row>
    <row r="9" spans="2:19" ht="14.65" thickBot="1">
      <c r="C9" s="41"/>
      <c r="D9" s="5"/>
      <c r="E9" s="6"/>
      <c r="F9" s="6"/>
      <c r="G9" s="6"/>
      <c r="H9" s="6"/>
      <c r="I9" s="6"/>
      <c r="J9" s="6"/>
      <c r="K9" s="6"/>
    </row>
    <row r="10" spans="2:19" ht="14.65" thickBot="1">
      <c r="C10" s="24" t="s">
        <v>2</v>
      </c>
      <c r="D10" s="7">
        <f>SUM(E10:J10)</f>
        <v>143326900.02000004</v>
      </c>
      <c r="E10" s="7">
        <f t="shared" ref="E10:J10" si="1">SUM(E5:E9)</f>
        <v>20210777.998641033</v>
      </c>
      <c r="F10" s="7">
        <f t="shared" si="1"/>
        <v>28240030.6591211</v>
      </c>
      <c r="G10" s="7">
        <f t="shared" si="1"/>
        <v>29409988.645307511</v>
      </c>
      <c r="H10" s="7">
        <f t="shared" si="1"/>
        <v>25388110.024687145</v>
      </c>
      <c r="I10" s="7">
        <f t="shared" si="1"/>
        <v>23644299.837364636</v>
      </c>
      <c r="J10" s="7">
        <f t="shared" si="1"/>
        <v>16433692.854878601</v>
      </c>
      <c r="K10" s="8"/>
    </row>
    <row r="11" spans="2:19">
      <c r="C11" s="33"/>
      <c r="D11" s="34"/>
      <c r="E11" s="35"/>
      <c r="F11" s="35"/>
      <c r="G11" s="35"/>
      <c r="H11" s="35"/>
      <c r="I11" s="35"/>
      <c r="J11" s="35"/>
      <c r="K11" s="35"/>
    </row>
    <row r="12" spans="2:19">
      <c r="C12" s="25"/>
      <c r="D12" s="46">
        <v>2021</v>
      </c>
      <c r="E12" s="43">
        <f>D12+1</f>
        <v>2022</v>
      </c>
      <c r="F12" s="43">
        <f t="shared" ref="F12:S12" si="2">E12+1</f>
        <v>2023</v>
      </c>
      <c r="G12" s="43">
        <f t="shared" si="2"/>
        <v>2024</v>
      </c>
      <c r="H12" s="43">
        <f t="shared" si="2"/>
        <v>2025</v>
      </c>
      <c r="I12" s="43">
        <f t="shared" si="2"/>
        <v>2026</v>
      </c>
      <c r="J12" s="43">
        <f t="shared" si="2"/>
        <v>2027</v>
      </c>
      <c r="K12" s="43">
        <f t="shared" si="2"/>
        <v>2028</v>
      </c>
      <c r="L12" s="43">
        <f t="shared" si="2"/>
        <v>2029</v>
      </c>
      <c r="M12" s="43">
        <f t="shared" si="2"/>
        <v>2030</v>
      </c>
      <c r="N12" s="43">
        <f t="shared" si="2"/>
        <v>2031</v>
      </c>
      <c r="O12" s="43">
        <f t="shared" si="2"/>
        <v>2032</v>
      </c>
      <c r="P12" s="43">
        <f t="shared" si="2"/>
        <v>2033</v>
      </c>
      <c r="Q12" s="43">
        <f t="shared" si="2"/>
        <v>2034</v>
      </c>
      <c r="R12" s="43">
        <f t="shared" si="2"/>
        <v>2035</v>
      </c>
      <c r="S12" s="43">
        <f t="shared" si="2"/>
        <v>2036</v>
      </c>
    </row>
    <row r="13" spans="2:19">
      <c r="D13" s="9">
        <v>0</v>
      </c>
      <c r="E13" s="9">
        <v>1</v>
      </c>
      <c r="F13" s="9">
        <v>2</v>
      </c>
      <c r="G13" s="9">
        <v>3</v>
      </c>
      <c r="H13" s="9">
        <v>4</v>
      </c>
      <c r="I13" s="9">
        <v>5</v>
      </c>
      <c r="J13" s="9">
        <v>6</v>
      </c>
      <c r="K13" s="9">
        <v>7</v>
      </c>
      <c r="L13" s="9">
        <v>8</v>
      </c>
      <c r="M13" s="9">
        <v>9</v>
      </c>
      <c r="N13" s="9">
        <v>10</v>
      </c>
      <c r="O13" s="9">
        <v>11</v>
      </c>
      <c r="P13" s="9">
        <v>12</v>
      </c>
      <c r="Q13" s="9">
        <v>13</v>
      </c>
      <c r="R13" s="9">
        <v>14</v>
      </c>
      <c r="S13" s="9">
        <v>15</v>
      </c>
    </row>
    <row r="14" spans="2:19">
      <c r="C14" s="26" t="s">
        <v>3</v>
      </c>
      <c r="D14" s="10"/>
      <c r="E14" s="10"/>
    </row>
    <row r="15" spans="2:19">
      <c r="C15" s="25" t="s">
        <v>4</v>
      </c>
      <c r="D15" s="55">
        <f t="shared" ref="D15:I15" si="3">E10*$D$2</f>
        <v>20210777.998641033</v>
      </c>
      <c r="E15" s="55">
        <f t="shared" si="3"/>
        <v>28240030.6591211</v>
      </c>
      <c r="F15" s="55">
        <f t="shared" si="3"/>
        <v>29409988.645307511</v>
      </c>
      <c r="G15" s="55">
        <f t="shared" si="3"/>
        <v>25388110.024687145</v>
      </c>
      <c r="H15" s="55">
        <f t="shared" si="3"/>
        <v>23644299.837364636</v>
      </c>
      <c r="I15" s="55">
        <f t="shared" si="3"/>
        <v>16433692.854878601</v>
      </c>
      <c r="J15" s="55">
        <f>K10</f>
        <v>0</v>
      </c>
      <c r="K15" s="55">
        <f>L10</f>
        <v>0</v>
      </c>
      <c r="L15" s="55">
        <v>0</v>
      </c>
      <c r="M15" s="55">
        <v>0</v>
      </c>
      <c r="N15" s="55">
        <v>0</v>
      </c>
      <c r="O15" s="55">
        <v>0</v>
      </c>
      <c r="P15" s="55">
        <v>0</v>
      </c>
      <c r="Q15" s="55">
        <v>0</v>
      </c>
      <c r="R15" s="55">
        <v>0</v>
      </c>
      <c r="S15" s="55"/>
    </row>
    <row r="16" spans="2:19">
      <c r="C16" s="36" t="s">
        <v>14</v>
      </c>
      <c r="D16" s="55"/>
      <c r="E16" s="55">
        <f>E15*0.03</f>
        <v>847200.91977363301</v>
      </c>
      <c r="F16" s="55">
        <f>E16</f>
        <v>847200.91977363301</v>
      </c>
      <c r="G16" s="55">
        <f t="shared" ref="G16:S16" si="4">F16</f>
        <v>847200.91977363301</v>
      </c>
      <c r="H16" s="55">
        <f t="shared" si="4"/>
        <v>847200.91977363301</v>
      </c>
      <c r="I16" s="55">
        <f t="shared" si="4"/>
        <v>847200.91977363301</v>
      </c>
      <c r="J16" s="55">
        <f t="shared" si="4"/>
        <v>847200.91977363301</v>
      </c>
      <c r="K16" s="55">
        <f t="shared" si="4"/>
        <v>847200.91977363301</v>
      </c>
      <c r="L16" s="55">
        <f t="shared" si="4"/>
        <v>847200.91977363301</v>
      </c>
      <c r="M16" s="55">
        <f t="shared" si="4"/>
        <v>847200.91977363301</v>
      </c>
      <c r="N16" s="55">
        <f t="shared" si="4"/>
        <v>847200.91977363301</v>
      </c>
      <c r="O16" s="55">
        <f t="shared" si="4"/>
        <v>847200.91977363301</v>
      </c>
      <c r="P16" s="55">
        <f t="shared" si="4"/>
        <v>847200.91977363301</v>
      </c>
      <c r="Q16" s="55">
        <f t="shared" si="4"/>
        <v>847200.91977363301</v>
      </c>
      <c r="R16" s="55">
        <f t="shared" si="4"/>
        <v>847200.91977363301</v>
      </c>
      <c r="S16" s="55">
        <f t="shared" si="4"/>
        <v>847200.91977363301</v>
      </c>
    </row>
    <row r="17" spans="1:19">
      <c r="C17" s="27" t="s">
        <v>2</v>
      </c>
      <c r="D17" s="56">
        <f t="shared" ref="D17:S17" si="5">SUM(D15:D16)</f>
        <v>20210777.998641033</v>
      </c>
      <c r="E17" s="56">
        <f t="shared" si="5"/>
        <v>29087231.578894734</v>
      </c>
      <c r="F17" s="56">
        <f t="shared" si="5"/>
        <v>30257189.565081146</v>
      </c>
      <c r="G17" s="56">
        <f t="shared" si="5"/>
        <v>26235310.944460779</v>
      </c>
      <c r="H17" s="56">
        <f t="shared" si="5"/>
        <v>24491500.757138271</v>
      </c>
      <c r="I17" s="56">
        <f t="shared" si="5"/>
        <v>17280893.774652235</v>
      </c>
      <c r="J17" s="56">
        <f t="shared" si="5"/>
        <v>847200.91977363301</v>
      </c>
      <c r="K17" s="56">
        <f t="shared" si="5"/>
        <v>847200.91977363301</v>
      </c>
      <c r="L17" s="56">
        <f t="shared" si="5"/>
        <v>847200.91977363301</v>
      </c>
      <c r="M17" s="56">
        <f t="shared" si="5"/>
        <v>847200.91977363301</v>
      </c>
      <c r="N17" s="56">
        <f t="shared" si="5"/>
        <v>847200.91977363301</v>
      </c>
      <c r="O17" s="56">
        <f t="shared" si="5"/>
        <v>847200.91977363301</v>
      </c>
      <c r="P17" s="56">
        <f t="shared" si="5"/>
        <v>847200.91977363301</v>
      </c>
      <c r="Q17" s="56">
        <f t="shared" si="5"/>
        <v>847200.91977363301</v>
      </c>
      <c r="R17" s="56">
        <f t="shared" si="5"/>
        <v>847200.91977363301</v>
      </c>
      <c r="S17" s="56">
        <f t="shared" si="5"/>
        <v>847200.91977363301</v>
      </c>
    </row>
    <row r="19" spans="1:19">
      <c r="B19" s="11">
        <v>0</v>
      </c>
      <c r="C19" s="26" t="s">
        <v>5</v>
      </c>
    </row>
    <row r="20" spans="1:19">
      <c r="B20" s="11"/>
      <c r="C20" s="26"/>
    </row>
    <row r="21" spans="1:19">
      <c r="B21" s="11"/>
      <c r="C21" s="37" t="s">
        <v>45</v>
      </c>
      <c r="F21" s="51"/>
      <c r="G21" s="51">
        <f>'Ag Value added'!O11</f>
        <v>43716825.818061814</v>
      </c>
      <c r="H21" s="51">
        <f t="shared" ref="H21:S21" si="6">G21</f>
        <v>43716825.818061814</v>
      </c>
      <c r="I21" s="51">
        <f t="shared" si="6"/>
        <v>43716825.818061814</v>
      </c>
      <c r="J21" s="51">
        <f t="shared" si="6"/>
        <v>43716825.818061814</v>
      </c>
      <c r="K21" s="51">
        <f t="shared" si="6"/>
        <v>43716825.818061814</v>
      </c>
      <c r="L21" s="51">
        <f t="shared" si="6"/>
        <v>43716825.818061814</v>
      </c>
      <c r="M21" s="51">
        <f t="shared" si="6"/>
        <v>43716825.818061814</v>
      </c>
      <c r="N21" s="51">
        <f t="shared" si="6"/>
        <v>43716825.818061814</v>
      </c>
      <c r="O21" s="51">
        <f t="shared" si="6"/>
        <v>43716825.818061814</v>
      </c>
      <c r="P21" s="51">
        <f t="shared" si="6"/>
        <v>43716825.818061814</v>
      </c>
      <c r="Q21" s="51">
        <f t="shared" si="6"/>
        <v>43716825.818061814</v>
      </c>
      <c r="R21" s="51">
        <f t="shared" si="6"/>
        <v>43716825.818061814</v>
      </c>
      <c r="S21" s="51">
        <f t="shared" si="6"/>
        <v>43716825.818061814</v>
      </c>
    </row>
    <row r="22" spans="1:19">
      <c r="B22" s="11"/>
      <c r="C22" s="37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</row>
    <row r="23" spans="1:19">
      <c r="B23" s="11"/>
      <c r="C23" s="37" t="s">
        <v>95</v>
      </c>
      <c r="D23" s="2">
        <v>5</v>
      </c>
      <c r="E23" s="2">
        <f>D23+ (D23*2.5%)</f>
        <v>5.125</v>
      </c>
      <c r="F23" s="2">
        <f t="shared" ref="F23:S23" si="7">E23+ (E23*2.5%)</f>
        <v>5.2531249999999998</v>
      </c>
      <c r="G23" s="2">
        <f t="shared" si="7"/>
        <v>5.3844531249999994</v>
      </c>
      <c r="H23" s="2">
        <f t="shared" si="7"/>
        <v>5.519064453124999</v>
      </c>
      <c r="I23" s="2">
        <f t="shared" si="7"/>
        <v>5.6570410644531242</v>
      </c>
      <c r="J23" s="2">
        <f t="shared" si="7"/>
        <v>5.7984670910644525</v>
      </c>
      <c r="K23" s="2">
        <f t="shared" si="7"/>
        <v>5.9434287683410636</v>
      </c>
      <c r="L23" s="2">
        <f t="shared" si="7"/>
        <v>6.0920144875495899</v>
      </c>
      <c r="M23" s="2">
        <f t="shared" si="7"/>
        <v>6.2443148497383296</v>
      </c>
      <c r="N23" s="2">
        <f t="shared" si="7"/>
        <v>6.4004227209817879</v>
      </c>
      <c r="O23" s="2">
        <f t="shared" si="7"/>
        <v>6.5604332890063324</v>
      </c>
      <c r="P23" s="2">
        <f t="shared" si="7"/>
        <v>6.7244441212314907</v>
      </c>
      <c r="Q23" s="2">
        <f t="shared" si="7"/>
        <v>6.8925552242622778</v>
      </c>
      <c r="R23" s="2">
        <f t="shared" si="7"/>
        <v>7.0648691048688352</v>
      </c>
      <c r="S23" s="2">
        <f t="shared" si="7"/>
        <v>7.2414908324905563</v>
      </c>
    </row>
    <row r="24" spans="1:19" ht="14.65" thickBot="1">
      <c r="B24" s="11"/>
      <c r="C24" s="37" t="s">
        <v>135</v>
      </c>
      <c r="E24" s="154">
        <f>E23*'Emission Reduction Summary'!F8</f>
        <v>294511.2</v>
      </c>
      <c r="F24" s="154">
        <f>F23*'Emission Reduction Summary'!F9</f>
        <v>298855.24019999994</v>
      </c>
      <c r="G24" s="154">
        <f>G23*'Emission Reduction Summary'!F10</f>
        <v>303232.41290999996</v>
      </c>
      <c r="H24" s="154">
        <f>H23*'Emission Reduction Summary'!F11</f>
        <v>307641.65973037493</v>
      </c>
      <c r="I24" s="154">
        <f>I23*'Emission Reduction Summary'!F12</f>
        <v>312081.84863369999</v>
      </c>
      <c r="J24" s="154">
        <f>J23*'Emission Reduction Summary'!F11</f>
        <v>323216.01875422517</v>
      </c>
      <c r="K24" s="154">
        <f>K23*'Emission Reduction Summary'!F12</f>
        <v>327880.99222078105</v>
      </c>
      <c r="L24" s="154">
        <f>L23*'Emission Reduction Summary'!F13</f>
        <v>332577.2043489432</v>
      </c>
      <c r="M24" s="154">
        <f>M23*'Emission Reduction Summary'!$F14</f>
        <v>337303.30146337562</v>
      </c>
      <c r="N24" s="154">
        <f>N23*'Emission Reduction Summary'!$F15</f>
        <v>342057.84268081147</v>
      </c>
      <c r="O24" s="154">
        <f>O23*'Emission Reduction Summary'!$F16</f>
        <v>346839.29639570456</v>
      </c>
      <c r="P24" s="154">
        <f>P23*'Emission Reduction Summary'!$F17</f>
        <v>351646.03664466675</v>
      </c>
      <c r="Q24" s="154">
        <f>Q23*'Emission Reduction Summary'!$F18</f>
        <v>356476.33934582979</v>
      </c>
      <c r="R24" s="154">
        <f>R23*'Emission Reduction Summary'!$F19</f>
        <v>361328.37840914802</v>
      </c>
      <c r="S24" s="154">
        <f>S23*'Emission Reduction Summary'!$F20</f>
        <v>366200.22171354102</v>
      </c>
    </row>
    <row r="25" spans="1:19" s="31" customFormat="1">
      <c r="A25" s="30"/>
      <c r="C25" s="38" t="s">
        <v>15</v>
      </c>
      <c r="D25" s="54">
        <f t="shared" ref="D25:F25" si="8">D21+D24</f>
        <v>0</v>
      </c>
      <c r="E25" s="54">
        <f t="shared" si="8"/>
        <v>294511.2</v>
      </c>
      <c r="F25" s="54">
        <f t="shared" si="8"/>
        <v>298855.24019999994</v>
      </c>
      <c r="G25" s="54">
        <f>G21+G24</f>
        <v>44020058.230971813</v>
      </c>
      <c r="H25" s="54">
        <f t="shared" ref="D25:S25" si="9">SUM(H21:H21)</f>
        <v>43716825.818061814</v>
      </c>
      <c r="I25" s="54">
        <f t="shared" si="9"/>
        <v>43716825.818061814</v>
      </c>
      <c r="J25" s="54">
        <f t="shared" si="9"/>
        <v>43716825.818061814</v>
      </c>
      <c r="K25" s="54">
        <f t="shared" si="9"/>
        <v>43716825.818061814</v>
      </c>
      <c r="L25" s="54">
        <f t="shared" si="9"/>
        <v>43716825.818061814</v>
      </c>
      <c r="M25" s="54">
        <f t="shared" si="9"/>
        <v>43716825.818061814</v>
      </c>
      <c r="N25" s="54">
        <f t="shared" si="9"/>
        <v>43716825.818061814</v>
      </c>
      <c r="O25" s="54">
        <f t="shared" si="9"/>
        <v>43716825.818061814</v>
      </c>
      <c r="P25" s="54">
        <f t="shared" si="9"/>
        <v>43716825.818061814</v>
      </c>
      <c r="Q25" s="54">
        <f t="shared" si="9"/>
        <v>43716825.818061814</v>
      </c>
      <c r="R25" s="54">
        <f t="shared" si="9"/>
        <v>43716825.818061814</v>
      </c>
      <c r="S25" s="54">
        <f t="shared" si="9"/>
        <v>43716825.818061814</v>
      </c>
    </row>
    <row r="26" spans="1:19"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</row>
    <row r="27" spans="1:19"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</row>
    <row r="28" spans="1:19">
      <c r="C28" s="28" t="s">
        <v>6</v>
      </c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</row>
    <row r="29" spans="1:19">
      <c r="C29" s="42" t="s">
        <v>18</v>
      </c>
      <c r="D29" s="10">
        <f t="shared" ref="D29:S29" si="10">D25-D17</f>
        <v>-20210777.998641033</v>
      </c>
      <c r="E29" s="10">
        <f t="shared" si="10"/>
        <v>-28792720.378894735</v>
      </c>
      <c r="F29" s="10">
        <f t="shared" si="10"/>
        <v>-29958334.324881144</v>
      </c>
      <c r="G29" s="10">
        <f t="shared" si="10"/>
        <v>17784747.286511034</v>
      </c>
      <c r="H29" s="10">
        <f t="shared" si="10"/>
        <v>19225325.060923543</v>
      </c>
      <c r="I29" s="10">
        <f t="shared" si="10"/>
        <v>26435932.043409579</v>
      </c>
      <c r="J29" s="10">
        <f t="shared" si="10"/>
        <v>42869624.898288183</v>
      </c>
      <c r="K29" s="10">
        <f t="shared" si="10"/>
        <v>42869624.898288183</v>
      </c>
      <c r="L29" s="10">
        <f t="shared" si="10"/>
        <v>42869624.898288183</v>
      </c>
      <c r="M29" s="10">
        <f t="shared" si="10"/>
        <v>42869624.898288183</v>
      </c>
      <c r="N29" s="10">
        <f t="shared" si="10"/>
        <v>42869624.898288183</v>
      </c>
      <c r="O29" s="10">
        <f t="shared" si="10"/>
        <v>42869624.898288183</v>
      </c>
      <c r="P29" s="10">
        <f t="shared" si="10"/>
        <v>42869624.898288183</v>
      </c>
      <c r="Q29" s="10">
        <f t="shared" si="10"/>
        <v>42869624.898288183</v>
      </c>
      <c r="R29" s="10">
        <f t="shared" si="10"/>
        <v>42869624.898288183</v>
      </c>
      <c r="S29" s="10">
        <f t="shared" si="10"/>
        <v>42869624.898288183</v>
      </c>
    </row>
    <row r="31" spans="1:19">
      <c r="C31" s="28" t="s">
        <v>7</v>
      </c>
      <c r="F31" s="12" t="s">
        <v>8</v>
      </c>
    </row>
    <row r="32" spans="1:19">
      <c r="C32" s="23" t="s">
        <v>16</v>
      </c>
      <c r="D32" s="13">
        <f>NPV(0.1,D29:S29)</f>
        <v>123020881.49562767</v>
      </c>
      <c r="F32" s="14">
        <f>IRR(D29:S29)</f>
        <v>0.29083784273663271</v>
      </c>
      <c r="H32" s="13"/>
      <c r="I32" s="13"/>
    </row>
    <row r="34" spans="3:19">
      <c r="D34" s="10"/>
      <c r="H34" s="13"/>
    </row>
    <row r="35" spans="3:19">
      <c r="C35" s="98" t="s">
        <v>9</v>
      </c>
      <c r="D35" s="98"/>
      <c r="E35" s="98"/>
    </row>
    <row r="36" spans="3:19" s="16" customFormat="1">
      <c r="C36" s="29"/>
      <c r="D36" s="15"/>
      <c r="E36" s="15"/>
    </row>
    <row r="37" spans="3:19" s="16" customFormat="1">
      <c r="C37" s="94" t="s">
        <v>10</v>
      </c>
      <c r="D37" s="94"/>
      <c r="E37" s="94"/>
      <c r="F37" s="16">
        <v>1.2</v>
      </c>
    </row>
    <row r="39" spans="3:19">
      <c r="D39" s="2">
        <v>1</v>
      </c>
      <c r="E39" s="2">
        <v>2</v>
      </c>
      <c r="F39" s="2">
        <v>3</v>
      </c>
      <c r="G39" s="2">
        <v>4</v>
      </c>
      <c r="H39" s="2">
        <v>5</v>
      </c>
      <c r="I39" s="2">
        <v>6</v>
      </c>
      <c r="J39" s="2">
        <v>7</v>
      </c>
      <c r="K39" s="2">
        <v>8</v>
      </c>
      <c r="L39" s="2">
        <v>9</v>
      </c>
      <c r="M39" s="2">
        <v>10</v>
      </c>
      <c r="N39" s="2">
        <v>11</v>
      </c>
      <c r="O39" s="2">
        <v>12</v>
      </c>
      <c r="P39" s="2">
        <v>13</v>
      </c>
      <c r="Q39" s="2">
        <v>14</v>
      </c>
      <c r="R39" s="2">
        <v>15</v>
      </c>
      <c r="S39" s="2">
        <v>16</v>
      </c>
    </row>
    <row r="40" spans="3:19">
      <c r="C40" s="26" t="s">
        <v>3</v>
      </c>
    </row>
    <row r="41" spans="3:19">
      <c r="C41" s="23" t="s">
        <v>2</v>
      </c>
      <c r="D41" s="17">
        <f t="shared" ref="D41:S41" si="11">D17*$F$37</f>
        <v>24252933.598369237</v>
      </c>
      <c r="E41" s="17">
        <f t="shared" si="11"/>
        <v>34904677.894673683</v>
      </c>
      <c r="F41" s="17">
        <f t="shared" si="11"/>
        <v>36308627.478097372</v>
      </c>
      <c r="G41" s="17">
        <f t="shared" si="11"/>
        <v>31482373.133352935</v>
      </c>
      <c r="H41" s="17">
        <f t="shared" si="11"/>
        <v>29389800.908565924</v>
      </c>
      <c r="I41" s="17">
        <f t="shared" si="11"/>
        <v>20737072.529582683</v>
      </c>
      <c r="J41" s="17">
        <f t="shared" si="11"/>
        <v>1016641.1037283596</v>
      </c>
      <c r="K41" s="17">
        <f t="shared" si="11"/>
        <v>1016641.1037283596</v>
      </c>
      <c r="L41" s="17">
        <f t="shared" si="11"/>
        <v>1016641.1037283596</v>
      </c>
      <c r="M41" s="17">
        <f t="shared" si="11"/>
        <v>1016641.1037283596</v>
      </c>
      <c r="N41" s="17">
        <f t="shared" si="11"/>
        <v>1016641.1037283596</v>
      </c>
      <c r="O41" s="17">
        <f t="shared" si="11"/>
        <v>1016641.1037283596</v>
      </c>
      <c r="P41" s="17">
        <f t="shared" si="11"/>
        <v>1016641.1037283596</v>
      </c>
      <c r="Q41" s="17">
        <f t="shared" si="11"/>
        <v>1016641.1037283596</v>
      </c>
      <c r="R41" s="17">
        <f t="shared" si="11"/>
        <v>1016641.1037283596</v>
      </c>
      <c r="S41" s="17">
        <f t="shared" si="11"/>
        <v>1016641.1037283596</v>
      </c>
    </row>
    <row r="43" spans="3:19">
      <c r="C43" s="26" t="s">
        <v>5</v>
      </c>
      <c r="D43" s="93"/>
      <c r="E43" s="93"/>
      <c r="F43" s="93"/>
      <c r="G43" s="93"/>
      <c r="H43" s="93"/>
      <c r="I43" s="93"/>
      <c r="J43" s="93"/>
      <c r="K43" s="93"/>
    </row>
    <row r="44" spans="3:19">
      <c r="C44" s="23" t="s">
        <v>16</v>
      </c>
      <c r="D44" s="18">
        <f t="shared" ref="D44:S44" si="12">D25</f>
        <v>0</v>
      </c>
      <c r="E44" s="18">
        <f t="shared" si="12"/>
        <v>294511.2</v>
      </c>
      <c r="F44" s="18">
        <f t="shared" si="12"/>
        <v>298855.24019999994</v>
      </c>
      <c r="G44" s="18">
        <f t="shared" si="12"/>
        <v>44020058.230971813</v>
      </c>
      <c r="H44" s="18">
        <f t="shared" si="12"/>
        <v>43716825.818061814</v>
      </c>
      <c r="I44" s="18">
        <f t="shared" si="12"/>
        <v>43716825.818061814</v>
      </c>
      <c r="J44" s="18">
        <f t="shared" si="12"/>
        <v>43716825.818061814</v>
      </c>
      <c r="K44" s="18">
        <f t="shared" si="12"/>
        <v>43716825.818061814</v>
      </c>
      <c r="L44" s="18">
        <f t="shared" si="12"/>
        <v>43716825.818061814</v>
      </c>
      <c r="M44" s="18">
        <f t="shared" si="12"/>
        <v>43716825.818061814</v>
      </c>
      <c r="N44" s="18">
        <f t="shared" si="12"/>
        <v>43716825.818061814</v>
      </c>
      <c r="O44" s="18">
        <f t="shared" si="12"/>
        <v>43716825.818061814</v>
      </c>
      <c r="P44" s="18">
        <f t="shared" si="12"/>
        <v>43716825.818061814</v>
      </c>
      <c r="Q44" s="18">
        <f t="shared" si="12"/>
        <v>43716825.818061814</v>
      </c>
      <c r="R44" s="18">
        <f t="shared" si="12"/>
        <v>43716825.818061814</v>
      </c>
      <c r="S44" s="18">
        <f t="shared" si="12"/>
        <v>43716825.818061814</v>
      </c>
    </row>
    <row r="45" spans="3:19"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</row>
    <row r="46" spans="3:19">
      <c r="C46" s="28" t="s">
        <v>6</v>
      </c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</row>
    <row r="47" spans="3:19">
      <c r="C47" s="23" t="s">
        <v>16</v>
      </c>
      <c r="D47" s="6">
        <f t="shared" ref="D47:R47" si="13">D44-D41</f>
        <v>-24252933.598369237</v>
      </c>
      <c r="E47" s="6">
        <f t="shared" si="13"/>
        <v>-34610166.69467368</v>
      </c>
      <c r="F47" s="6">
        <f t="shared" si="13"/>
        <v>-36009772.237897374</v>
      </c>
      <c r="G47" s="6">
        <f t="shared" si="13"/>
        <v>12537685.097618878</v>
      </c>
      <c r="H47" s="6">
        <f t="shared" si="13"/>
        <v>14327024.90949589</v>
      </c>
      <c r="I47" s="6">
        <f t="shared" si="13"/>
        <v>22979753.288479131</v>
      </c>
      <c r="J47" s="6">
        <f t="shared" si="13"/>
        <v>42700184.714333452</v>
      </c>
      <c r="K47" s="6">
        <f t="shared" si="13"/>
        <v>42700184.714333452</v>
      </c>
      <c r="L47" s="6">
        <f t="shared" si="13"/>
        <v>42700184.714333452</v>
      </c>
      <c r="M47" s="6">
        <f t="shared" si="13"/>
        <v>42700184.714333452</v>
      </c>
      <c r="N47" s="6">
        <f t="shared" si="13"/>
        <v>42700184.714333452</v>
      </c>
      <c r="O47" s="6">
        <f t="shared" si="13"/>
        <v>42700184.714333452</v>
      </c>
      <c r="P47" s="6">
        <f t="shared" si="13"/>
        <v>42700184.714333452</v>
      </c>
      <c r="Q47" s="6">
        <f t="shared" si="13"/>
        <v>42700184.714333452</v>
      </c>
      <c r="R47" s="6">
        <f t="shared" si="13"/>
        <v>42700184.714333452</v>
      </c>
      <c r="S47" s="6">
        <f t="shared" ref="S47" si="14">S44-S41</f>
        <v>42700184.714333452</v>
      </c>
    </row>
    <row r="48" spans="3:19"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</row>
    <row r="49" spans="3:19">
      <c r="C49" s="28" t="s">
        <v>7</v>
      </c>
      <c r="D49" s="6"/>
      <c r="E49" s="6"/>
      <c r="F49" s="12" t="s">
        <v>8</v>
      </c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</row>
    <row r="50" spans="3:19">
      <c r="C50" s="23" t="s">
        <v>16</v>
      </c>
      <c r="D50" s="6">
        <f>NPV(0.1,D47:S47)</f>
        <v>100827962.49433561</v>
      </c>
      <c r="E50" s="6"/>
      <c r="F50" s="14">
        <f>IRR(D47:S47)</f>
        <v>0.23625803997652306</v>
      </c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</row>
    <row r="52" spans="3:19">
      <c r="C52" s="94" t="s">
        <v>11</v>
      </c>
      <c r="D52" s="94"/>
      <c r="E52" s="94"/>
      <c r="F52" s="2">
        <v>0.8</v>
      </c>
    </row>
    <row r="54" spans="3:19">
      <c r="D54" s="2">
        <v>1</v>
      </c>
      <c r="E54" s="2">
        <v>2</v>
      </c>
      <c r="F54" s="2">
        <v>3</v>
      </c>
      <c r="G54" s="2">
        <v>4</v>
      </c>
      <c r="H54" s="2">
        <v>5</v>
      </c>
      <c r="I54" s="2">
        <v>6</v>
      </c>
      <c r="J54" s="2">
        <v>7</v>
      </c>
      <c r="K54" s="2">
        <v>8</v>
      </c>
      <c r="L54" s="2">
        <v>9</v>
      </c>
      <c r="M54" s="2">
        <v>10</v>
      </c>
      <c r="N54" s="2">
        <v>11</v>
      </c>
      <c r="O54" s="2">
        <v>12</v>
      </c>
      <c r="P54" s="2">
        <v>13</v>
      </c>
      <c r="Q54" s="2">
        <v>14</v>
      </c>
      <c r="R54" s="2">
        <v>15</v>
      </c>
      <c r="S54" s="2">
        <v>16</v>
      </c>
    </row>
    <row r="55" spans="3:19">
      <c r="C55" s="26" t="s">
        <v>3</v>
      </c>
    </row>
    <row r="56" spans="3:19">
      <c r="C56" s="23" t="s">
        <v>2</v>
      </c>
      <c r="D56" s="6">
        <f t="shared" ref="D56:S56" si="15">D17</f>
        <v>20210777.998641033</v>
      </c>
      <c r="E56" s="6">
        <f t="shared" si="15"/>
        <v>29087231.578894734</v>
      </c>
      <c r="F56" s="6">
        <f t="shared" si="15"/>
        <v>30257189.565081146</v>
      </c>
      <c r="G56" s="6">
        <f t="shared" si="15"/>
        <v>26235310.944460779</v>
      </c>
      <c r="H56" s="6">
        <f t="shared" si="15"/>
        <v>24491500.757138271</v>
      </c>
      <c r="I56" s="6">
        <f t="shared" si="15"/>
        <v>17280893.774652235</v>
      </c>
      <c r="J56" s="6">
        <f t="shared" si="15"/>
        <v>847200.91977363301</v>
      </c>
      <c r="K56" s="6">
        <f t="shared" si="15"/>
        <v>847200.91977363301</v>
      </c>
      <c r="L56" s="6">
        <f t="shared" si="15"/>
        <v>847200.91977363301</v>
      </c>
      <c r="M56" s="6">
        <f t="shared" si="15"/>
        <v>847200.91977363301</v>
      </c>
      <c r="N56" s="6">
        <f t="shared" si="15"/>
        <v>847200.91977363301</v>
      </c>
      <c r="O56" s="6">
        <f t="shared" si="15"/>
        <v>847200.91977363301</v>
      </c>
      <c r="P56" s="6">
        <f t="shared" si="15"/>
        <v>847200.91977363301</v>
      </c>
      <c r="Q56" s="6">
        <f t="shared" si="15"/>
        <v>847200.91977363301</v>
      </c>
      <c r="R56" s="6">
        <f t="shared" si="15"/>
        <v>847200.91977363301</v>
      </c>
      <c r="S56" s="6">
        <f t="shared" si="15"/>
        <v>847200.91977363301</v>
      </c>
    </row>
    <row r="58" spans="3:19">
      <c r="C58" s="26" t="s">
        <v>5</v>
      </c>
      <c r="D58" s="93"/>
      <c r="E58" s="93"/>
      <c r="F58" s="93"/>
      <c r="G58" s="93"/>
      <c r="H58" s="93"/>
      <c r="I58" s="93"/>
      <c r="J58" s="93"/>
      <c r="K58" s="93"/>
    </row>
    <row r="59" spans="3:19">
      <c r="C59" s="23" t="s">
        <v>16</v>
      </c>
      <c r="D59" s="19">
        <f t="shared" ref="D59:R59" si="16">D44*$F$52</f>
        <v>0</v>
      </c>
      <c r="E59" s="19">
        <f t="shared" si="16"/>
        <v>235608.96000000002</v>
      </c>
      <c r="F59" s="19">
        <f t="shared" si="16"/>
        <v>239084.19215999998</v>
      </c>
      <c r="G59" s="19">
        <f t="shared" si="16"/>
        <v>35216046.584777452</v>
      </c>
      <c r="H59" s="19">
        <f t="shared" si="16"/>
        <v>34973460.654449455</v>
      </c>
      <c r="I59" s="19">
        <f t="shared" si="16"/>
        <v>34973460.654449455</v>
      </c>
      <c r="J59" s="19">
        <f t="shared" si="16"/>
        <v>34973460.654449455</v>
      </c>
      <c r="K59" s="19">
        <f t="shared" si="16"/>
        <v>34973460.654449455</v>
      </c>
      <c r="L59" s="19">
        <f t="shared" si="16"/>
        <v>34973460.654449455</v>
      </c>
      <c r="M59" s="19">
        <f t="shared" si="16"/>
        <v>34973460.654449455</v>
      </c>
      <c r="N59" s="19">
        <f t="shared" si="16"/>
        <v>34973460.654449455</v>
      </c>
      <c r="O59" s="19">
        <f t="shared" si="16"/>
        <v>34973460.654449455</v>
      </c>
      <c r="P59" s="19">
        <f t="shared" si="16"/>
        <v>34973460.654449455</v>
      </c>
      <c r="Q59" s="19">
        <f t="shared" si="16"/>
        <v>34973460.654449455</v>
      </c>
      <c r="R59" s="19">
        <f t="shared" si="16"/>
        <v>34973460.654449455</v>
      </c>
      <c r="S59" s="19">
        <f>S44*$F$52</f>
        <v>34973460.654449455</v>
      </c>
    </row>
    <row r="60" spans="3:19"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</row>
    <row r="61" spans="3:19">
      <c r="C61" s="28" t="s">
        <v>6</v>
      </c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</row>
    <row r="62" spans="3:19">
      <c r="C62" s="23" t="s">
        <v>16</v>
      </c>
      <c r="D62" s="6">
        <f t="shared" ref="D62:R62" si="17">D59-D56</f>
        <v>-20210777.998641033</v>
      </c>
      <c r="E62" s="6">
        <f t="shared" si="17"/>
        <v>-28851622.618894733</v>
      </c>
      <c r="F62" s="6">
        <f t="shared" si="17"/>
        <v>-30018105.372921146</v>
      </c>
      <c r="G62" s="6">
        <f t="shared" si="17"/>
        <v>8980735.6403166726</v>
      </c>
      <c r="H62" s="6">
        <f t="shared" si="17"/>
        <v>10481959.897311185</v>
      </c>
      <c r="I62" s="6">
        <f t="shared" si="17"/>
        <v>17692566.87979722</v>
      </c>
      <c r="J62" s="6">
        <f t="shared" si="17"/>
        <v>34126259.734675825</v>
      </c>
      <c r="K62" s="6">
        <f t="shared" si="17"/>
        <v>34126259.734675825</v>
      </c>
      <c r="L62" s="6">
        <f t="shared" si="17"/>
        <v>34126259.734675825</v>
      </c>
      <c r="M62" s="6">
        <f t="shared" si="17"/>
        <v>34126259.734675825</v>
      </c>
      <c r="N62" s="6">
        <f t="shared" si="17"/>
        <v>34126259.734675825</v>
      </c>
      <c r="O62" s="6">
        <f t="shared" si="17"/>
        <v>34126259.734675825</v>
      </c>
      <c r="P62" s="6">
        <f t="shared" si="17"/>
        <v>34126259.734675825</v>
      </c>
      <c r="Q62" s="6">
        <f t="shared" si="17"/>
        <v>34126259.734675825</v>
      </c>
      <c r="R62" s="6">
        <f t="shared" si="17"/>
        <v>34126259.734675825</v>
      </c>
      <c r="S62" s="6">
        <f t="shared" ref="S62" si="18">S59-S56</f>
        <v>34126259.734675825</v>
      </c>
    </row>
    <row r="63" spans="3:19"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</row>
    <row r="64" spans="3:19">
      <c r="C64" s="28" t="s">
        <v>7</v>
      </c>
      <c r="D64" s="6"/>
      <c r="E64" s="6"/>
      <c r="F64" s="12" t="s">
        <v>8</v>
      </c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</row>
    <row r="65" spans="3:19">
      <c r="C65" s="23" t="s">
        <v>16</v>
      </c>
      <c r="D65" s="6">
        <f>NPV(0.1,D62:S62)</f>
        <v>76223786.195210069</v>
      </c>
      <c r="E65" s="6"/>
      <c r="F65" s="14">
        <f>IRR(D62:S62)</f>
        <v>0.22484077209690589</v>
      </c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</row>
    <row r="67" spans="3:19">
      <c r="C67" s="94" t="s">
        <v>12</v>
      </c>
      <c r="D67" s="94"/>
      <c r="E67" s="94"/>
    </row>
    <row r="69" spans="3:19">
      <c r="D69" s="2">
        <v>1</v>
      </c>
      <c r="E69" s="2">
        <v>2</v>
      </c>
      <c r="F69" s="2">
        <v>3</v>
      </c>
      <c r="G69" s="2">
        <v>4</v>
      </c>
      <c r="H69" s="2">
        <v>5</v>
      </c>
      <c r="I69" s="2">
        <v>6</v>
      </c>
      <c r="J69" s="2">
        <v>7</v>
      </c>
      <c r="K69" s="2">
        <v>8</v>
      </c>
      <c r="L69" s="2">
        <v>9</v>
      </c>
      <c r="M69" s="2">
        <v>10</v>
      </c>
      <c r="N69" s="2">
        <v>11</v>
      </c>
      <c r="O69" s="2">
        <v>12</v>
      </c>
      <c r="P69" s="2">
        <v>13</v>
      </c>
      <c r="Q69" s="2">
        <v>14</v>
      </c>
      <c r="R69" s="2">
        <v>15</v>
      </c>
      <c r="S69" s="2">
        <v>16</v>
      </c>
    </row>
    <row r="70" spans="3:19">
      <c r="C70" s="26" t="s">
        <v>3</v>
      </c>
    </row>
    <row r="71" spans="3:19">
      <c r="C71" s="23" t="s">
        <v>2</v>
      </c>
      <c r="D71" s="6">
        <f t="shared" ref="D71:R71" si="19">D41</f>
        <v>24252933.598369237</v>
      </c>
      <c r="E71" s="6">
        <f t="shared" si="19"/>
        <v>34904677.894673683</v>
      </c>
      <c r="F71" s="6">
        <f t="shared" si="19"/>
        <v>36308627.478097372</v>
      </c>
      <c r="G71" s="6">
        <f t="shared" si="19"/>
        <v>31482373.133352935</v>
      </c>
      <c r="H71" s="6">
        <f t="shared" si="19"/>
        <v>29389800.908565924</v>
      </c>
      <c r="I71" s="6">
        <f t="shared" si="19"/>
        <v>20737072.529582683</v>
      </c>
      <c r="J71" s="6">
        <f t="shared" si="19"/>
        <v>1016641.1037283596</v>
      </c>
      <c r="K71" s="6">
        <f t="shared" si="19"/>
        <v>1016641.1037283596</v>
      </c>
      <c r="L71" s="6">
        <f t="shared" si="19"/>
        <v>1016641.1037283596</v>
      </c>
      <c r="M71" s="6">
        <f t="shared" si="19"/>
        <v>1016641.1037283596</v>
      </c>
      <c r="N71" s="6">
        <f t="shared" si="19"/>
        <v>1016641.1037283596</v>
      </c>
      <c r="O71" s="6">
        <f t="shared" si="19"/>
        <v>1016641.1037283596</v>
      </c>
      <c r="P71" s="6">
        <f t="shared" si="19"/>
        <v>1016641.1037283596</v>
      </c>
      <c r="Q71" s="6">
        <f t="shared" si="19"/>
        <v>1016641.1037283596</v>
      </c>
      <c r="R71" s="6">
        <f t="shared" si="19"/>
        <v>1016641.1037283596</v>
      </c>
      <c r="S71" s="6">
        <f t="shared" ref="S71" si="20">S41</f>
        <v>1016641.1037283596</v>
      </c>
    </row>
    <row r="73" spans="3:19">
      <c r="C73" s="26" t="s">
        <v>5</v>
      </c>
      <c r="D73" s="93"/>
      <c r="E73" s="93"/>
      <c r="F73" s="93"/>
      <c r="G73" s="93"/>
      <c r="H73" s="93"/>
      <c r="I73" s="93"/>
      <c r="J73" s="93"/>
      <c r="K73" s="93"/>
    </row>
    <row r="74" spans="3:19">
      <c r="C74" s="23" t="s">
        <v>16</v>
      </c>
      <c r="D74" s="6">
        <f t="shared" ref="D74:R74" si="21">D59</f>
        <v>0</v>
      </c>
      <c r="E74" s="6">
        <f t="shared" si="21"/>
        <v>235608.96000000002</v>
      </c>
      <c r="F74" s="6">
        <f t="shared" si="21"/>
        <v>239084.19215999998</v>
      </c>
      <c r="G74" s="6">
        <f t="shared" si="21"/>
        <v>35216046.584777452</v>
      </c>
      <c r="H74" s="6">
        <f t="shared" si="21"/>
        <v>34973460.654449455</v>
      </c>
      <c r="I74" s="6">
        <f t="shared" si="21"/>
        <v>34973460.654449455</v>
      </c>
      <c r="J74" s="6">
        <f t="shared" si="21"/>
        <v>34973460.654449455</v>
      </c>
      <c r="K74" s="6">
        <f t="shared" si="21"/>
        <v>34973460.654449455</v>
      </c>
      <c r="L74" s="6">
        <f t="shared" si="21"/>
        <v>34973460.654449455</v>
      </c>
      <c r="M74" s="6">
        <f t="shared" si="21"/>
        <v>34973460.654449455</v>
      </c>
      <c r="N74" s="6">
        <f t="shared" si="21"/>
        <v>34973460.654449455</v>
      </c>
      <c r="O74" s="6">
        <f t="shared" si="21"/>
        <v>34973460.654449455</v>
      </c>
      <c r="P74" s="6">
        <f t="shared" si="21"/>
        <v>34973460.654449455</v>
      </c>
      <c r="Q74" s="6">
        <f t="shared" si="21"/>
        <v>34973460.654449455</v>
      </c>
      <c r="R74" s="6">
        <f t="shared" si="21"/>
        <v>34973460.654449455</v>
      </c>
      <c r="S74" s="6">
        <f t="shared" ref="S74" si="22">S59</f>
        <v>34973460.654449455</v>
      </c>
    </row>
    <row r="75" spans="3:19"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</row>
    <row r="76" spans="3:19">
      <c r="C76" s="28" t="s">
        <v>6</v>
      </c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</row>
    <row r="77" spans="3:19">
      <c r="C77" s="23" t="s">
        <v>16</v>
      </c>
      <c r="D77" s="6">
        <f t="shared" ref="D77:R77" si="23">D74-D71</f>
        <v>-24252933.598369237</v>
      </c>
      <c r="E77" s="6">
        <f t="shared" si="23"/>
        <v>-34669068.934673682</v>
      </c>
      <c r="F77" s="6">
        <f t="shared" si="23"/>
        <v>-36069543.285937369</v>
      </c>
      <c r="G77" s="6">
        <f t="shared" si="23"/>
        <v>3733673.4514245167</v>
      </c>
      <c r="H77" s="6">
        <f t="shared" si="23"/>
        <v>5583659.7458835319</v>
      </c>
      <c r="I77" s="6">
        <f t="shared" si="23"/>
        <v>14236388.124866772</v>
      </c>
      <c r="J77" s="6">
        <f t="shared" si="23"/>
        <v>33956819.550721094</v>
      </c>
      <c r="K77" s="6">
        <f t="shared" si="23"/>
        <v>33956819.550721094</v>
      </c>
      <c r="L77" s="6">
        <f t="shared" si="23"/>
        <v>33956819.550721094</v>
      </c>
      <c r="M77" s="6">
        <f t="shared" si="23"/>
        <v>33956819.550721094</v>
      </c>
      <c r="N77" s="6">
        <f t="shared" si="23"/>
        <v>33956819.550721094</v>
      </c>
      <c r="O77" s="6">
        <f t="shared" si="23"/>
        <v>33956819.550721094</v>
      </c>
      <c r="P77" s="6">
        <f t="shared" si="23"/>
        <v>33956819.550721094</v>
      </c>
      <c r="Q77" s="6">
        <f t="shared" si="23"/>
        <v>33956819.550721094</v>
      </c>
      <c r="R77" s="6">
        <f t="shared" si="23"/>
        <v>33956819.550721094</v>
      </c>
      <c r="S77" s="6">
        <f t="shared" ref="S77" si="24">S74-S71</f>
        <v>33956819.550721094</v>
      </c>
    </row>
    <row r="78" spans="3:19"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</row>
    <row r="79" spans="3:19">
      <c r="C79" s="28" t="s">
        <v>7</v>
      </c>
      <c r="D79" s="6"/>
      <c r="E79" s="6"/>
      <c r="F79" s="12" t="s">
        <v>8</v>
      </c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</row>
    <row r="80" spans="3:19">
      <c r="C80" s="23" t="s">
        <v>16</v>
      </c>
      <c r="D80" s="6">
        <f>NPV(0.1, D77:S77)</f>
        <v>54030867.19391802</v>
      </c>
      <c r="E80" s="6"/>
      <c r="F80" s="14">
        <f>IRR(D77:S77)</f>
        <v>0.17708438091281353</v>
      </c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</row>
    <row r="83" spans="3:5" ht="14.65" thickBot="1"/>
    <row r="84" spans="3:5" ht="28.9" thickBot="1">
      <c r="C84" s="20"/>
      <c r="D84" s="23" t="s">
        <v>16</v>
      </c>
      <c r="E84" s="39" t="s">
        <v>17</v>
      </c>
    </row>
    <row r="85" spans="3:5" ht="14.65" thickBot="1">
      <c r="C85" s="21" t="s">
        <v>13</v>
      </c>
      <c r="D85" s="22">
        <f>D32</f>
        <v>123020881.49562767</v>
      </c>
      <c r="E85" s="40">
        <f>F32</f>
        <v>0.29083784273663271</v>
      </c>
    </row>
    <row r="86" spans="3:5" ht="14.65" thickBot="1">
      <c r="C86" s="21" t="s">
        <v>54</v>
      </c>
      <c r="D86" s="22">
        <f>D50</f>
        <v>100827962.49433561</v>
      </c>
      <c r="E86" s="40">
        <f>F50</f>
        <v>0.23625803997652306</v>
      </c>
    </row>
    <row r="87" spans="3:5" ht="14.65" thickBot="1">
      <c r="C87" s="21" t="s">
        <v>55</v>
      </c>
      <c r="D87" s="22">
        <f>D65</f>
        <v>76223786.195210069</v>
      </c>
      <c r="E87" s="40">
        <f>F65</f>
        <v>0.22484077209690589</v>
      </c>
    </row>
    <row r="88" spans="3:5" ht="14.65" thickBot="1">
      <c r="C88" s="21" t="s">
        <v>56</v>
      </c>
      <c r="D88" s="22">
        <f>D80</f>
        <v>54030867.19391802</v>
      </c>
      <c r="E88" s="40">
        <f>F80</f>
        <v>0.17708438091281353</v>
      </c>
    </row>
  </sheetData>
  <mergeCells count="9">
    <mergeCell ref="D58:K58"/>
    <mergeCell ref="C67:E67"/>
    <mergeCell ref="D73:K73"/>
    <mergeCell ref="E3:H3"/>
    <mergeCell ref="C4:D4"/>
    <mergeCell ref="C35:E35"/>
    <mergeCell ref="C37:E37"/>
    <mergeCell ref="D43:K43"/>
    <mergeCell ref="C52:E52"/>
  </mergeCells>
  <pageMargins left="0.7" right="0.7" top="0.75" bottom="0.75" header="0.3" footer="0.3"/>
  <pageSetup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D1DD02-8996-406E-B6F4-7AF53C9196BF}">
  <dimension ref="B4:H46"/>
  <sheetViews>
    <sheetView topLeftCell="A22" zoomScale="106" zoomScaleNormal="106" workbookViewId="0">
      <selection activeCell="C10" sqref="C10"/>
    </sheetView>
  </sheetViews>
  <sheetFormatPr defaultColWidth="9.265625" defaultRowHeight="14.25"/>
  <cols>
    <col min="1" max="1" width="9.265625" style="135"/>
    <col min="2" max="2" width="23.3984375" style="135" customWidth="1"/>
    <col min="3" max="3" width="25.73046875" style="135" customWidth="1"/>
    <col min="4" max="4" width="15.73046875" style="135" customWidth="1"/>
    <col min="5" max="5" width="21.59765625" style="135" customWidth="1"/>
    <col min="6" max="6" width="22.86328125" style="135" customWidth="1"/>
    <col min="7" max="7" width="11.265625" style="135" customWidth="1"/>
    <col min="8" max="8" width="18.265625" style="135" customWidth="1"/>
    <col min="9" max="16384" width="9.265625" style="135"/>
  </cols>
  <sheetData>
    <row r="4" spans="2:8" ht="15.75" customHeight="1">
      <c r="B4" s="133"/>
      <c r="C4" s="134"/>
      <c r="D4" s="133"/>
      <c r="E4" s="133"/>
      <c r="F4" s="134"/>
      <c r="G4" s="134"/>
    </row>
    <row r="5" spans="2:8" ht="20.25">
      <c r="B5" s="136" t="s">
        <v>97</v>
      </c>
      <c r="C5" s="137"/>
      <c r="D5" s="137"/>
      <c r="E5" s="137"/>
      <c r="F5" s="137"/>
      <c r="G5" s="134"/>
    </row>
    <row r="6" spans="2:8" ht="41.65">
      <c r="B6" s="138" t="s">
        <v>98</v>
      </c>
      <c r="C6" s="139" t="s">
        <v>99</v>
      </c>
      <c r="D6" s="139" t="s">
        <v>100</v>
      </c>
      <c r="E6" s="139" t="s">
        <v>101</v>
      </c>
      <c r="F6" s="139" t="s">
        <v>102</v>
      </c>
      <c r="G6" s="134"/>
    </row>
    <row r="7" spans="2:8" ht="15.4">
      <c r="B7" s="138"/>
      <c r="C7" s="140" t="s">
        <v>103</v>
      </c>
      <c r="D7" s="140" t="s">
        <v>103</v>
      </c>
      <c r="E7" s="140" t="s">
        <v>103</v>
      </c>
      <c r="F7" s="140" t="s">
        <v>103</v>
      </c>
      <c r="G7" s="134"/>
    </row>
    <row r="8" spans="2:8">
      <c r="B8" s="141" t="s">
        <v>104</v>
      </c>
      <c r="C8" s="142">
        <v>57465.600000000006</v>
      </c>
      <c r="D8" s="142">
        <v>0</v>
      </c>
      <c r="E8" s="143">
        <v>0</v>
      </c>
      <c r="F8" s="142">
        <v>57465.600000000006</v>
      </c>
      <c r="G8" s="134"/>
    </row>
    <row r="9" spans="2:8">
      <c r="B9" s="141" t="s">
        <v>61</v>
      </c>
      <c r="C9" s="142">
        <v>56890.943999999996</v>
      </c>
      <c r="D9" s="142">
        <v>0</v>
      </c>
      <c r="E9" s="143">
        <v>0</v>
      </c>
      <c r="F9" s="142">
        <v>56890.943999999996</v>
      </c>
      <c r="G9" s="134"/>
    </row>
    <row r="10" spans="2:8">
      <c r="B10" s="141" t="s">
        <v>62</v>
      </c>
      <c r="C10" s="142">
        <v>56316.288</v>
      </c>
      <c r="D10" s="142">
        <v>0</v>
      </c>
      <c r="E10" s="143">
        <v>0</v>
      </c>
      <c r="F10" s="142">
        <v>56316.288</v>
      </c>
      <c r="G10" s="134"/>
    </row>
    <row r="11" spans="2:8">
      <c r="B11" s="141" t="s">
        <v>63</v>
      </c>
      <c r="C11" s="142">
        <v>55741.631999999998</v>
      </c>
      <c r="D11" s="142">
        <v>0</v>
      </c>
      <c r="E11" s="143">
        <v>0</v>
      </c>
      <c r="F11" s="142">
        <v>55741.631999999998</v>
      </c>
      <c r="G11" s="134"/>
    </row>
    <row r="12" spans="2:8">
      <c r="B12" s="141" t="s">
        <v>64</v>
      </c>
      <c r="C12" s="142">
        <v>55166.976000000002</v>
      </c>
      <c r="D12" s="142">
        <v>0</v>
      </c>
      <c r="E12" s="143">
        <v>0</v>
      </c>
      <c r="F12" s="142">
        <v>55166.976000000002</v>
      </c>
      <c r="G12" s="144"/>
      <c r="H12" s="145"/>
    </row>
    <row r="13" spans="2:8">
      <c r="B13" s="141" t="s">
        <v>65</v>
      </c>
      <c r="C13" s="142">
        <v>54592.32</v>
      </c>
      <c r="D13" s="142">
        <v>0</v>
      </c>
      <c r="E13" s="143">
        <v>0</v>
      </c>
      <c r="F13" s="142">
        <v>54592.32</v>
      </c>
      <c r="G13" s="146">
        <f>SUM(F8:F13)</f>
        <v>336173.76</v>
      </c>
      <c r="H13" s="145"/>
    </row>
    <row r="14" spans="2:8">
      <c r="B14" s="141" t="s">
        <v>105</v>
      </c>
      <c r="C14" s="142">
        <v>54017.664000000004</v>
      </c>
      <c r="D14" s="142">
        <v>0</v>
      </c>
      <c r="E14" s="143">
        <v>0</v>
      </c>
      <c r="F14" s="142">
        <v>54017.664000000004</v>
      </c>
      <c r="G14" s="144"/>
      <c r="H14" s="145"/>
    </row>
    <row r="15" spans="2:8">
      <c r="B15" s="141" t="s">
        <v>106</v>
      </c>
      <c r="C15" s="142">
        <v>53443.008000000002</v>
      </c>
      <c r="D15" s="142">
        <v>0</v>
      </c>
      <c r="E15" s="143">
        <v>0</v>
      </c>
      <c r="F15" s="142">
        <v>53443.008000000002</v>
      </c>
      <c r="G15" s="145"/>
      <c r="H15" s="145"/>
    </row>
    <row r="16" spans="2:8">
      <c r="B16" s="141" t="s">
        <v>107</v>
      </c>
      <c r="C16" s="142">
        <v>52868.352000000006</v>
      </c>
      <c r="D16" s="142">
        <v>0</v>
      </c>
      <c r="E16" s="143">
        <v>0</v>
      </c>
      <c r="F16" s="142">
        <v>52868.352000000006</v>
      </c>
      <c r="G16" s="144"/>
      <c r="H16" s="145"/>
    </row>
    <row r="17" spans="2:8">
      <c r="B17" s="141" t="s">
        <v>108</v>
      </c>
      <c r="C17" s="142">
        <v>52293.696000000004</v>
      </c>
      <c r="D17" s="142">
        <v>0</v>
      </c>
      <c r="E17" s="143">
        <v>0</v>
      </c>
      <c r="F17" s="142">
        <v>52293.696000000004</v>
      </c>
      <c r="G17" s="146">
        <f>SUM(F8:F17)</f>
        <v>548796.4800000001</v>
      </c>
      <c r="H17" s="145"/>
    </row>
    <row r="18" spans="2:8">
      <c r="B18" s="141" t="s">
        <v>109</v>
      </c>
      <c r="C18" s="142">
        <v>51719.040000000008</v>
      </c>
      <c r="D18" s="142">
        <v>0</v>
      </c>
      <c r="E18" s="143">
        <v>0</v>
      </c>
      <c r="F18" s="142">
        <v>51719.040000000008</v>
      </c>
      <c r="G18" s="145"/>
      <c r="H18" s="145"/>
    </row>
    <row r="19" spans="2:8">
      <c r="B19" s="141" t="s">
        <v>110</v>
      </c>
      <c r="C19" s="142">
        <v>51144.384000000005</v>
      </c>
      <c r="D19" s="142">
        <v>0</v>
      </c>
      <c r="E19" s="143">
        <v>0</v>
      </c>
      <c r="F19" s="142">
        <v>51144.384000000005</v>
      </c>
      <c r="G19" s="145"/>
      <c r="H19" s="145"/>
    </row>
    <row r="20" spans="2:8">
      <c r="B20" s="141" t="s">
        <v>111</v>
      </c>
      <c r="C20" s="142">
        <v>50569.728000000003</v>
      </c>
      <c r="D20" s="142">
        <v>0</v>
      </c>
      <c r="E20" s="143">
        <v>0</v>
      </c>
      <c r="F20" s="142">
        <v>50569.728000000003</v>
      </c>
      <c r="G20" s="145"/>
      <c r="H20" s="145"/>
    </row>
    <row r="21" spans="2:8">
      <c r="B21" s="141" t="s">
        <v>112</v>
      </c>
      <c r="C21" s="142">
        <v>49995.072</v>
      </c>
      <c r="D21" s="142">
        <v>0</v>
      </c>
      <c r="E21" s="143">
        <v>0</v>
      </c>
      <c r="F21" s="142">
        <v>49995.072</v>
      </c>
      <c r="G21" s="145"/>
      <c r="H21" s="145"/>
    </row>
    <row r="22" spans="2:8">
      <c r="B22" s="141" t="s">
        <v>113</v>
      </c>
      <c r="C22" s="142">
        <v>49420.415999999997</v>
      </c>
      <c r="D22" s="142">
        <v>0</v>
      </c>
      <c r="E22" s="143">
        <v>0</v>
      </c>
      <c r="F22" s="142">
        <v>49420.415999999997</v>
      </c>
      <c r="G22" s="145"/>
      <c r="H22" s="145"/>
    </row>
    <row r="23" spans="2:8">
      <c r="B23" s="141" t="s">
        <v>114</v>
      </c>
      <c r="C23" s="142">
        <v>48845.760000000002</v>
      </c>
      <c r="D23" s="142">
        <v>0</v>
      </c>
      <c r="E23" s="143">
        <v>0</v>
      </c>
      <c r="F23" s="142">
        <v>48845.760000000002</v>
      </c>
      <c r="G23" s="145"/>
      <c r="H23" s="145"/>
    </row>
    <row r="24" spans="2:8">
      <c r="B24" s="141" t="s">
        <v>115</v>
      </c>
      <c r="C24" s="142">
        <v>48271.103999999999</v>
      </c>
      <c r="D24" s="142">
        <v>0</v>
      </c>
      <c r="E24" s="143">
        <v>0</v>
      </c>
      <c r="F24" s="142">
        <v>48271.103999999999</v>
      </c>
      <c r="G24" s="145"/>
      <c r="H24" s="145"/>
    </row>
    <row r="25" spans="2:8">
      <c r="B25" s="141" t="s">
        <v>116</v>
      </c>
      <c r="C25" s="142">
        <v>47696.448000000004</v>
      </c>
      <c r="D25" s="142">
        <v>0</v>
      </c>
      <c r="E25" s="143">
        <v>0</v>
      </c>
      <c r="F25" s="142">
        <v>47696.448000000004</v>
      </c>
      <c r="G25" s="145"/>
      <c r="H25" s="145"/>
    </row>
    <row r="26" spans="2:8">
      <c r="B26" s="141" t="s">
        <v>117</v>
      </c>
      <c r="C26" s="142">
        <v>47121.792000000009</v>
      </c>
      <c r="D26" s="142">
        <v>0</v>
      </c>
      <c r="E26" s="143">
        <v>0</v>
      </c>
      <c r="F26" s="142">
        <v>47121.792000000009</v>
      </c>
      <c r="G26" s="145"/>
      <c r="H26" s="145"/>
    </row>
    <row r="27" spans="2:8">
      <c r="B27" s="141" t="s">
        <v>118</v>
      </c>
      <c r="C27" s="142">
        <v>46547.136000000006</v>
      </c>
      <c r="D27" s="142">
        <v>0</v>
      </c>
      <c r="E27" s="143">
        <v>0</v>
      </c>
      <c r="F27" s="142">
        <v>46547.136000000006</v>
      </c>
      <c r="G27" s="147">
        <f>SUM(F8:F27)</f>
        <v>1040127.3600000002</v>
      </c>
      <c r="H27" s="145"/>
    </row>
    <row r="28" spans="2:8">
      <c r="B28" s="141" t="s">
        <v>119</v>
      </c>
      <c r="C28" s="142">
        <v>45972.480000000003</v>
      </c>
      <c r="D28" s="142">
        <v>0</v>
      </c>
      <c r="E28" s="143">
        <v>0</v>
      </c>
      <c r="F28" s="142">
        <v>45972.480000000003</v>
      </c>
      <c r="G28" s="145"/>
      <c r="H28" s="145"/>
    </row>
    <row r="29" spans="2:8">
      <c r="B29" s="141" t="s">
        <v>120</v>
      </c>
      <c r="C29" s="142">
        <v>45397.824000000001</v>
      </c>
      <c r="D29" s="142">
        <v>0</v>
      </c>
      <c r="E29" s="143">
        <v>0</v>
      </c>
      <c r="F29" s="142">
        <v>45397.824000000001</v>
      </c>
    </row>
    <row r="30" spans="2:8">
      <c r="B30" s="141" t="s">
        <v>121</v>
      </c>
      <c r="C30" s="142">
        <v>44823.168000000005</v>
      </c>
      <c r="D30" s="142">
        <v>0</v>
      </c>
      <c r="E30" s="143">
        <v>0</v>
      </c>
      <c r="F30" s="142">
        <v>44823.168000000005</v>
      </c>
    </row>
    <row r="31" spans="2:8">
      <c r="B31" s="141" t="s">
        <v>122</v>
      </c>
      <c r="C31" s="142">
        <v>44248.512000000002</v>
      </c>
      <c r="D31" s="142">
        <v>0</v>
      </c>
      <c r="E31" s="143">
        <v>0</v>
      </c>
      <c r="F31" s="142">
        <v>44248.512000000002</v>
      </c>
    </row>
    <row r="32" spans="2:8">
      <c r="B32" s="141" t="s">
        <v>123</v>
      </c>
      <c r="C32" s="142">
        <v>43673.856</v>
      </c>
      <c r="D32" s="142">
        <v>0</v>
      </c>
      <c r="E32" s="143">
        <v>0</v>
      </c>
      <c r="F32" s="142">
        <v>43673.856</v>
      </c>
    </row>
    <row r="33" spans="2:8" ht="29.65">
      <c r="B33" s="148" t="s">
        <v>124</v>
      </c>
      <c r="C33" s="143">
        <v>1264243.2000000004</v>
      </c>
      <c r="D33" s="143">
        <v>0</v>
      </c>
      <c r="E33" s="143">
        <v>0</v>
      </c>
      <c r="F33" s="143">
        <v>1264243.2000000004</v>
      </c>
      <c r="G33" s="134"/>
      <c r="H33" s="149"/>
    </row>
    <row r="34" spans="2:8">
      <c r="H34" s="149"/>
    </row>
    <row r="35" spans="2:8">
      <c r="B35" s="150"/>
      <c r="C35" s="149"/>
      <c r="E35" s="151"/>
    </row>
    <row r="36" spans="2:8">
      <c r="E36" s="151"/>
    </row>
    <row r="37" spans="2:8">
      <c r="B37" s="135" t="s">
        <v>125</v>
      </c>
      <c r="D37" s="152">
        <f>SUM(F8:F13)</f>
        <v>336173.76</v>
      </c>
    </row>
    <row r="38" spans="2:8">
      <c r="B38" s="135" t="s">
        <v>126</v>
      </c>
      <c r="D38" s="152">
        <f>SUM(F8:F17)</f>
        <v>548796.4800000001</v>
      </c>
    </row>
    <row r="39" spans="2:8">
      <c r="B39" s="135" t="s">
        <v>127</v>
      </c>
      <c r="D39" s="152">
        <f>SUM(F8:F27)</f>
        <v>1040127.3600000002</v>
      </c>
    </row>
    <row r="40" spans="2:8">
      <c r="B40" s="135" t="s">
        <v>128</v>
      </c>
      <c r="D40" s="152">
        <f>F33</f>
        <v>1264243.2000000004</v>
      </c>
    </row>
    <row r="42" spans="2:8">
      <c r="B42" s="135" t="s">
        <v>129</v>
      </c>
      <c r="C42" s="135">
        <v>143.4</v>
      </c>
      <c r="D42" s="135" t="s">
        <v>130</v>
      </c>
    </row>
    <row r="43" spans="2:8">
      <c r="B43" s="135" t="s">
        <v>131</v>
      </c>
      <c r="C43" s="135">
        <v>82.85</v>
      </c>
      <c r="D43" s="135" t="s">
        <v>130</v>
      </c>
    </row>
    <row r="45" spans="2:8">
      <c r="B45" s="135" t="s">
        <v>132</v>
      </c>
      <c r="C45" s="153">
        <f>(C42*1000000)/F33</f>
        <v>113.42754305500711</v>
      </c>
      <c r="D45" s="135" t="s">
        <v>133</v>
      </c>
    </row>
    <row r="46" spans="2:8">
      <c r="B46" s="135" t="s">
        <v>134</v>
      </c>
      <c r="C46" s="153">
        <f>(C43*1000000)/F33</f>
        <v>65.53327714161324</v>
      </c>
      <c r="D46" s="135" t="s">
        <v>133</v>
      </c>
    </row>
  </sheetData>
  <mergeCells count="1">
    <mergeCell ref="B6:B7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5"/>
  <sheetViews>
    <sheetView workbookViewId="0">
      <selection activeCell="B2" sqref="B2"/>
    </sheetView>
  </sheetViews>
  <sheetFormatPr defaultColWidth="9" defaultRowHeight="14.25"/>
  <cols>
    <col min="1" max="1" width="48.265625" style="52" bestFit="1" customWidth="1"/>
    <col min="2" max="6" width="14.265625" style="52" bestFit="1" customWidth="1"/>
    <col min="7" max="7" width="13.265625" style="52" bestFit="1" customWidth="1"/>
    <col min="8" max="8" width="14.265625" style="52" bestFit="1" customWidth="1"/>
    <col min="9" max="16384" width="9" style="52"/>
  </cols>
  <sheetData>
    <row r="1" spans="1:8">
      <c r="B1" s="45" t="s">
        <v>46</v>
      </c>
      <c r="C1" s="45" t="s">
        <v>47</v>
      </c>
      <c r="D1" s="45" t="s">
        <v>48</v>
      </c>
      <c r="E1" s="45" t="s">
        <v>49</v>
      </c>
      <c r="F1" s="45" t="s">
        <v>50</v>
      </c>
      <c r="G1" s="45" t="s">
        <v>51</v>
      </c>
      <c r="H1" s="44" t="s">
        <v>2</v>
      </c>
    </row>
    <row r="2" spans="1:8" ht="14.25" customHeight="1">
      <c r="A2" s="60" t="s">
        <v>67</v>
      </c>
      <c r="B2" s="53">
        <f>'Output breakdown'!H4</f>
        <v>2154550</v>
      </c>
      <c r="C2" s="53">
        <f>'Output breakdown'!I4</f>
        <v>5086700</v>
      </c>
      <c r="D2" s="53">
        <f>'Output breakdown'!J4</f>
        <v>5049161</v>
      </c>
      <c r="E2" s="53">
        <f>'Output breakdown'!K4</f>
        <v>2492000</v>
      </c>
      <c r="F2" s="53">
        <f>'Output breakdown'!L4</f>
        <v>2302000</v>
      </c>
      <c r="G2" s="53">
        <f>'Output breakdown'!M4</f>
        <v>2197439</v>
      </c>
      <c r="H2" s="53">
        <f>'Output breakdown'!N4</f>
        <v>19281850</v>
      </c>
    </row>
    <row r="3" spans="1:8" ht="14.65" customHeight="1">
      <c r="A3" s="60" t="s">
        <v>72</v>
      </c>
      <c r="B3" s="53">
        <f>'Output breakdown'!H7</f>
        <v>5581445.0616666675</v>
      </c>
      <c r="C3" s="53">
        <f>'Output breakdown'!I7</f>
        <v>10638445.061666667</v>
      </c>
      <c r="D3" s="53">
        <f>'Output breakdown'!J7</f>
        <v>10148445.061666667</v>
      </c>
      <c r="E3" s="53">
        <f>'Output breakdown'!K7</f>
        <v>10078445.061666667</v>
      </c>
      <c r="F3" s="53">
        <f>'Output breakdown'!L7</f>
        <v>8388445.0616666675</v>
      </c>
      <c r="G3" s="53">
        <f>'Output breakdown'!M7</f>
        <v>6381445.0616666675</v>
      </c>
      <c r="H3" s="53">
        <f>'Output breakdown'!N7</f>
        <v>51216670.370000005</v>
      </c>
    </row>
    <row r="4" spans="1:8">
      <c r="A4" s="60" t="s">
        <v>77</v>
      </c>
      <c r="B4" s="53">
        <f>'Output breakdown'!H12</f>
        <v>11697561.331974363</v>
      </c>
      <c r="C4" s="53">
        <f>'Output breakdown'!I12</f>
        <v>11737663.992454432</v>
      </c>
      <c r="D4" s="53">
        <f>'Output breakdown'!J12</f>
        <v>13435160.978640843</v>
      </c>
      <c r="E4" s="53">
        <f>'Output breakdown'!K12</f>
        <v>12040443.358020477</v>
      </c>
      <c r="F4" s="53">
        <f>'Output breakdown'!L12</f>
        <v>12176633.170697968</v>
      </c>
      <c r="G4" s="53">
        <f>'Output breakdown'!M12</f>
        <v>7077587.1882119337</v>
      </c>
      <c r="H4" s="53">
        <f>'Output breakdown'!N12</f>
        <v>68165050.020000011</v>
      </c>
    </row>
    <row r="5" spans="1:8">
      <c r="A5" s="60" t="s">
        <v>83</v>
      </c>
      <c r="B5" s="53">
        <f>'Output breakdown'!H15</f>
        <v>777221.60499999998</v>
      </c>
      <c r="C5" s="53">
        <f>'Output breakdown'!I15</f>
        <v>777221.60499999998</v>
      </c>
      <c r="D5" s="53">
        <f>'Output breakdown'!J15</f>
        <v>777221.60499999998</v>
      </c>
      <c r="E5" s="53">
        <f>'Output breakdown'!K15</f>
        <v>777221.60499999998</v>
      </c>
      <c r="F5" s="53">
        <f>'Output breakdown'!L15</f>
        <v>777221.60499999998</v>
      </c>
      <c r="G5" s="53">
        <f>'Output breakdown'!M15</f>
        <v>777221.60499999998</v>
      </c>
      <c r="H5" s="53">
        <f>'Output breakdown'!N15</f>
        <v>4663329.63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11"/>
  <sheetViews>
    <sheetView workbookViewId="0">
      <selection activeCell="P11" sqref="P11"/>
    </sheetView>
  </sheetViews>
  <sheetFormatPr defaultColWidth="9" defaultRowHeight="14.25"/>
  <cols>
    <col min="1" max="1" width="13.73046875" style="47" bestFit="1" customWidth="1"/>
    <col min="2" max="2" width="22.73046875" style="47" customWidth="1"/>
    <col min="3" max="12" width="11" style="47" bestFit="1" customWidth="1"/>
    <col min="13" max="13" width="11.59765625" style="47" bestFit="1" customWidth="1"/>
    <col min="14" max="14" width="18" style="47" bestFit="1" customWidth="1"/>
    <col min="15" max="15" width="17" style="47" bestFit="1" customWidth="1"/>
    <col min="16" max="16" width="12.265625" style="47" bestFit="1" customWidth="1"/>
    <col min="17" max="17" width="13.265625" style="47" bestFit="1" customWidth="1"/>
    <col min="18" max="16384" width="9" style="47"/>
  </cols>
  <sheetData>
    <row r="1" spans="1:17" ht="57">
      <c r="A1" s="47" t="s">
        <v>19</v>
      </c>
      <c r="B1" s="59" t="s">
        <v>20</v>
      </c>
      <c r="O1" s="57" t="s">
        <v>53</v>
      </c>
      <c r="P1" s="58">
        <v>5.0000000000000001E-3</v>
      </c>
    </row>
    <row r="3" spans="1:17" ht="42.75">
      <c r="A3" t="s">
        <v>21</v>
      </c>
      <c r="B3" t="s">
        <v>22</v>
      </c>
      <c r="C3" t="s">
        <v>23</v>
      </c>
      <c r="D3" t="s">
        <v>24</v>
      </c>
      <c r="E3" t="s">
        <v>25</v>
      </c>
      <c r="F3" t="s">
        <v>26</v>
      </c>
      <c r="G3" t="s">
        <v>27</v>
      </c>
      <c r="H3" t="s">
        <v>28</v>
      </c>
      <c r="I3" t="s">
        <v>29</v>
      </c>
      <c r="J3" t="s">
        <v>30</v>
      </c>
      <c r="K3" t="s">
        <v>31</v>
      </c>
      <c r="L3" t="s">
        <v>32</v>
      </c>
      <c r="M3" s="47" t="s">
        <v>33</v>
      </c>
      <c r="N3" s="48" t="s">
        <v>34</v>
      </c>
      <c r="O3" s="57" t="s">
        <v>52</v>
      </c>
      <c r="P3" s="48" t="s">
        <v>35</v>
      </c>
      <c r="Q3" s="48" t="s">
        <v>36</v>
      </c>
    </row>
    <row r="4" spans="1:17">
      <c r="A4" t="s">
        <v>37</v>
      </c>
      <c r="B4">
        <v>936.4240852328378</v>
      </c>
      <c r="C4">
        <v>901.51563045731575</v>
      </c>
      <c r="D4">
        <v>1084.9213543154553</v>
      </c>
      <c r="E4">
        <v>1194.5574282065488</v>
      </c>
      <c r="F4">
        <v>1418.8602554312797</v>
      </c>
      <c r="G4">
        <v>1633.0781604911347</v>
      </c>
      <c r="H4">
        <v>1880.0390501177876</v>
      </c>
      <c r="I4">
        <v>1790.6992409707946</v>
      </c>
      <c r="J4">
        <v>1806.5538897867352</v>
      </c>
      <c r="K4">
        <v>1720.83135296873</v>
      </c>
      <c r="L4">
        <v>1826.4405731848692</v>
      </c>
      <c r="M4" s="49">
        <f>AVERAGE(B4:L4)</f>
        <v>1472.1746382875897</v>
      </c>
      <c r="N4" s="49">
        <f>(P4)*M4</f>
        <v>125134844.25444512</v>
      </c>
      <c r="O4" s="49">
        <f>$P$1*N4</f>
        <v>625674.22127222561</v>
      </c>
      <c r="P4" s="64">
        <v>85000</v>
      </c>
      <c r="Q4" s="64">
        <v>510000</v>
      </c>
    </row>
    <row r="5" spans="1:17">
      <c r="A5" t="s">
        <v>38</v>
      </c>
      <c r="B5">
        <v>1482.424889571173</v>
      </c>
      <c r="C5">
        <v>1401.8362331898581</v>
      </c>
      <c r="D5">
        <v>1558.0666881161549</v>
      </c>
      <c r="E5">
        <v>1403.5662171599317</v>
      </c>
      <c r="F5">
        <v>1517.0670803170406</v>
      </c>
      <c r="G5">
        <v>1444.5448650662365</v>
      </c>
      <c r="H5">
        <v>1487.3805280468264</v>
      </c>
      <c r="I5">
        <v>1578.5517602990635</v>
      </c>
      <c r="J5">
        <v>1428.5759450479761</v>
      </c>
      <c r="K5">
        <v>1412.2912978019876</v>
      </c>
      <c r="L5">
        <v>1419.9996739049554</v>
      </c>
      <c r="M5" s="49">
        <f t="shared" ref="M5:M11" si="0">AVERAGE(B5:L5)</f>
        <v>1466.7550162292002</v>
      </c>
      <c r="N5" s="49">
        <f t="shared" ref="N5:N11" si="1">(P5)*M5</f>
        <v>241281200.16970345</v>
      </c>
      <c r="O5" s="49">
        <f t="shared" ref="O5:O11" si="2">$P$1*N5</f>
        <v>1206406.0008485173</v>
      </c>
      <c r="P5" s="64">
        <v>164500</v>
      </c>
      <c r="Q5" s="64">
        <v>986000</v>
      </c>
    </row>
    <row r="6" spans="1:17">
      <c r="A6" t="s">
        <v>39</v>
      </c>
      <c r="B6">
        <v>2765.0993651546232</v>
      </c>
      <c r="C6">
        <v>3098.2139599911152</v>
      </c>
      <c r="D6">
        <v>3337.7963028517574</v>
      </c>
      <c r="E6">
        <v>2338.3718239249993</v>
      </c>
      <c r="F6">
        <v>2419.3938519921676</v>
      </c>
      <c r="G6">
        <v>2312.6497429313863</v>
      </c>
      <c r="H6">
        <v>1966.2419794045827</v>
      </c>
      <c r="I6">
        <v>1988.2627332855523</v>
      </c>
      <c r="J6">
        <v>1917.8122854343965</v>
      </c>
      <c r="K6">
        <v>1771.7481918511057</v>
      </c>
      <c r="L6">
        <v>1742.8642309471072</v>
      </c>
      <c r="M6" s="49">
        <f t="shared" si="0"/>
        <v>2332.586769797163</v>
      </c>
      <c r="N6" s="49">
        <f t="shared" si="1"/>
        <v>93303470.791886523</v>
      </c>
      <c r="O6" s="49">
        <f t="shared" si="2"/>
        <v>466517.35395943263</v>
      </c>
      <c r="P6" s="64">
        <v>40000</v>
      </c>
      <c r="Q6" s="64">
        <v>240000</v>
      </c>
    </row>
    <row r="7" spans="1:17">
      <c r="A7" t="s">
        <v>40</v>
      </c>
      <c r="B7">
        <v>979.26652168666863</v>
      </c>
      <c r="C7">
        <v>971.13969726781124</v>
      </c>
      <c r="D7">
        <v>1027.1977071615227</v>
      </c>
      <c r="E7">
        <v>973.69335837612334</v>
      </c>
      <c r="F7">
        <v>1014.8973363899429</v>
      </c>
      <c r="G7">
        <v>971.26752219384821</v>
      </c>
      <c r="H7">
        <v>1021.1960194710637</v>
      </c>
      <c r="I7">
        <v>1155.5137534115645</v>
      </c>
      <c r="J7">
        <v>1162.3459709671113</v>
      </c>
      <c r="K7">
        <v>1183.4785432661513</v>
      </c>
      <c r="L7">
        <v>1217.9586240225985</v>
      </c>
      <c r="M7" s="49">
        <f t="shared" si="0"/>
        <v>1061.6322776558552</v>
      </c>
      <c r="N7" s="49">
        <f t="shared" si="1"/>
        <v>87053846.767780125</v>
      </c>
      <c r="O7" s="49">
        <f t="shared" si="2"/>
        <v>435269.23383890063</v>
      </c>
      <c r="P7" s="64">
        <v>82000</v>
      </c>
      <c r="Q7" s="64">
        <v>680000</v>
      </c>
    </row>
    <row r="8" spans="1:17">
      <c r="A8" t="s">
        <v>41</v>
      </c>
      <c r="B8">
        <v>1705.6850865976369</v>
      </c>
      <c r="C8">
        <v>1722.3062385014723</v>
      </c>
      <c r="D8">
        <v>1768.4343720167853</v>
      </c>
      <c r="E8">
        <v>1680.2809545514519</v>
      </c>
      <c r="F8">
        <v>1779.3496415717766</v>
      </c>
      <c r="G8">
        <v>1715.0924961911167</v>
      </c>
      <c r="H8">
        <v>1731.7431525210432</v>
      </c>
      <c r="I8">
        <v>1771.97321537117</v>
      </c>
      <c r="J8">
        <v>1713.803561504468</v>
      </c>
      <c r="K8">
        <v>1733.5431268340451</v>
      </c>
      <c r="L8">
        <v>1814.0213914111878</v>
      </c>
      <c r="M8" s="49">
        <f t="shared" si="0"/>
        <v>1739.6575670065597</v>
      </c>
      <c r="N8" s="49">
        <f t="shared" si="1"/>
        <v>82633734.432811588</v>
      </c>
      <c r="O8" s="49">
        <f t="shared" si="2"/>
        <v>413168.67216405796</v>
      </c>
      <c r="P8" s="64">
        <v>47500</v>
      </c>
      <c r="Q8" s="64">
        <v>293500</v>
      </c>
    </row>
    <row r="9" spans="1:17">
      <c r="A9" t="s">
        <v>42</v>
      </c>
      <c r="B9">
        <v>478.84224431464463</v>
      </c>
      <c r="C9">
        <v>417.18074306072236</v>
      </c>
      <c r="D9">
        <v>464.82753320772088</v>
      </c>
      <c r="E9">
        <v>435.27782258060989</v>
      </c>
      <c r="F9">
        <v>485.46177994336227</v>
      </c>
      <c r="G9">
        <v>467.92298328650281</v>
      </c>
      <c r="H9">
        <v>489.62419513917183</v>
      </c>
      <c r="I9">
        <v>479.90327073285044</v>
      </c>
      <c r="J9">
        <v>513.07722249006906</v>
      </c>
      <c r="K9">
        <v>522.16554946072347</v>
      </c>
      <c r="L9">
        <v>540.61038144987219</v>
      </c>
      <c r="M9" s="49">
        <f t="shared" si="0"/>
        <v>481.35397506056813</v>
      </c>
      <c r="N9" s="49">
        <f t="shared" si="1"/>
        <v>110577597.85886383</v>
      </c>
      <c r="O9" s="49">
        <f t="shared" si="2"/>
        <v>552887.98929431918</v>
      </c>
      <c r="P9" s="64">
        <v>229722</v>
      </c>
      <c r="Q9" s="64">
        <v>1608054</v>
      </c>
    </row>
    <row r="10" spans="1:17">
      <c r="A10" t="s">
        <v>43</v>
      </c>
      <c r="B10">
        <v>1686.0837178311385</v>
      </c>
      <c r="C10">
        <v>1938.4392815095139</v>
      </c>
      <c r="D10">
        <v>2057.017984161706</v>
      </c>
      <c r="E10">
        <v>1755.0838384164795</v>
      </c>
      <c r="F10">
        <v>1935.1815868369886</v>
      </c>
      <c r="G10">
        <v>1990.5157081203251</v>
      </c>
      <c r="H10">
        <v>2045.8643782784313</v>
      </c>
      <c r="I10">
        <v>2300.7275285004157</v>
      </c>
      <c r="J10">
        <v>2372.3751820139369</v>
      </c>
      <c r="K10">
        <v>2628.2253684753141</v>
      </c>
      <c r="L10">
        <v>2781.7503550066967</v>
      </c>
      <c r="M10" s="49">
        <f t="shared" si="0"/>
        <v>2135.569539013723</v>
      </c>
      <c r="N10" s="49">
        <f t="shared" si="1"/>
        <v>361338366.00112194</v>
      </c>
      <c r="O10" s="49">
        <f t="shared" si="2"/>
        <v>1806691.8300056097</v>
      </c>
      <c r="P10" s="64">
        <v>169200</v>
      </c>
      <c r="Q10" s="64">
        <v>1015200</v>
      </c>
    </row>
    <row r="11" spans="1:17">
      <c r="A11" t="s">
        <v>44</v>
      </c>
      <c r="B11">
        <v>10033.825910388721</v>
      </c>
      <c r="C11">
        <v>10450.631783977809</v>
      </c>
      <c r="D11">
        <v>11298.261941831104</v>
      </c>
      <c r="E11">
        <v>9780.8314432161442</v>
      </c>
      <c r="F11">
        <v>10570.211532482559</v>
      </c>
      <c r="G11">
        <v>10535.07147828055</v>
      </c>
      <c r="H11">
        <v>10622.089302978906</v>
      </c>
      <c r="I11">
        <v>11065.63150257141</v>
      </c>
      <c r="J11">
        <v>10914.544057244693</v>
      </c>
      <c r="K11">
        <v>10972.283430658057</v>
      </c>
      <c r="L11">
        <v>11343.64522992729</v>
      </c>
      <c r="M11" s="49">
        <f t="shared" si="0"/>
        <v>10689.72978305066</v>
      </c>
      <c r="N11" s="49">
        <f t="shared" si="1"/>
        <v>8743365163.6123619</v>
      </c>
      <c r="O11" s="49">
        <f t="shared" si="2"/>
        <v>43716825.818061814</v>
      </c>
      <c r="P11" s="50">
        <f>SUM(P4:P10)</f>
        <v>817922</v>
      </c>
      <c r="Q11" s="50">
        <f>SUM(Q4:Q10)</f>
        <v>5332754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18"/>
  <sheetViews>
    <sheetView zoomScale="52" zoomScaleNormal="77" workbookViewId="0">
      <selection activeCell="P10" sqref="P10"/>
    </sheetView>
  </sheetViews>
  <sheetFormatPr defaultColWidth="17" defaultRowHeight="14.25"/>
  <cols>
    <col min="1" max="1" width="24" customWidth="1"/>
    <col min="8" max="13" width="24.3984375" bestFit="1" customWidth="1"/>
    <col min="14" max="14" width="26.3984375" bestFit="1" customWidth="1"/>
  </cols>
  <sheetData>
    <row r="1" spans="1:14" ht="46.5" customHeight="1" thickBot="1">
      <c r="A1" s="66" t="s">
        <v>57</v>
      </c>
      <c r="B1" s="127" t="s">
        <v>58</v>
      </c>
      <c r="C1" s="128"/>
      <c r="D1" s="128"/>
      <c r="E1" s="128"/>
      <c r="F1" s="129"/>
      <c r="G1" s="67" t="s">
        <v>59</v>
      </c>
      <c r="H1" s="68" t="s">
        <v>60</v>
      </c>
      <c r="I1" s="68" t="s">
        <v>61</v>
      </c>
      <c r="J1" s="68" t="s">
        <v>62</v>
      </c>
      <c r="K1" s="68" t="s">
        <v>63</v>
      </c>
      <c r="L1" s="68" t="s">
        <v>64</v>
      </c>
      <c r="M1" s="68" t="s">
        <v>65</v>
      </c>
      <c r="N1" s="69" t="s">
        <v>66</v>
      </c>
    </row>
    <row r="2" spans="1:14" ht="52.5" customHeight="1" thickBot="1">
      <c r="A2" s="130" t="s">
        <v>67</v>
      </c>
      <c r="B2" s="112" t="s">
        <v>68</v>
      </c>
      <c r="C2" s="112"/>
      <c r="D2" s="112"/>
      <c r="E2" s="112"/>
      <c r="F2" s="126"/>
      <c r="G2" s="70" t="s">
        <v>69</v>
      </c>
      <c r="H2" s="71">
        <f>'[3]Regional breakdown'!J15</f>
        <v>435550</v>
      </c>
      <c r="I2" s="72">
        <f>'[3]Regional breakdown'!K15</f>
        <v>3899700</v>
      </c>
      <c r="J2" s="72">
        <f>'[3]Regional breakdown'!L15</f>
        <v>3730300</v>
      </c>
      <c r="K2" s="72">
        <f>'[3]Regional breakdown'!M15</f>
        <v>1305000</v>
      </c>
      <c r="L2" s="72">
        <f>'[3]Regional breakdown'!N15</f>
        <v>1050000</v>
      </c>
      <c r="M2" s="72">
        <f>'[3]Regional breakdown'!O15</f>
        <v>1200000</v>
      </c>
      <c r="N2" s="73">
        <f>SUM(H2:M2)</f>
        <v>11620550</v>
      </c>
    </row>
    <row r="3" spans="1:14" ht="52.5" customHeight="1" thickBot="1">
      <c r="A3" s="131"/>
      <c r="B3" s="112" t="s">
        <v>70</v>
      </c>
      <c r="C3" s="112"/>
      <c r="D3" s="112"/>
      <c r="E3" s="112"/>
      <c r="F3" s="126"/>
      <c r="G3" s="70" t="s">
        <v>69</v>
      </c>
      <c r="H3" s="74">
        <f>'[4]Regional breakdown'!J34</f>
        <v>1719000</v>
      </c>
      <c r="I3" s="75">
        <f>'[4]Regional breakdown'!K34</f>
        <v>1187000</v>
      </c>
      <c r="J3" s="75">
        <f>'[4]Regional breakdown'!L34</f>
        <v>1318861</v>
      </c>
      <c r="K3" s="75">
        <f>'[4]Regional breakdown'!M34</f>
        <v>1187000</v>
      </c>
      <c r="L3" s="75">
        <f>'[4]Regional breakdown'!N34</f>
        <v>1252000</v>
      </c>
      <c r="M3" s="75">
        <f>'[4]Regional breakdown'!O34</f>
        <v>997439</v>
      </c>
      <c r="N3" s="73">
        <f t="shared" ref="N3:N18" si="0">SUM(H3:M3)</f>
        <v>7661300</v>
      </c>
    </row>
    <row r="4" spans="1:14" ht="15.75" thickBot="1">
      <c r="A4" s="99" t="s">
        <v>71</v>
      </c>
      <c r="B4" s="100"/>
      <c r="C4" s="100"/>
      <c r="D4" s="100"/>
      <c r="E4" s="100"/>
      <c r="F4" s="100"/>
      <c r="G4" s="101"/>
      <c r="H4" s="65">
        <f>SUM(H2:H3)</f>
        <v>2154550</v>
      </c>
      <c r="I4" s="65">
        <f t="shared" ref="I4:M4" si="1">SUM(I2:I3)</f>
        <v>5086700</v>
      </c>
      <c r="J4" s="65">
        <f t="shared" si="1"/>
        <v>5049161</v>
      </c>
      <c r="K4" s="65">
        <f t="shared" si="1"/>
        <v>2492000</v>
      </c>
      <c r="L4" s="65">
        <f t="shared" si="1"/>
        <v>2302000</v>
      </c>
      <c r="M4" s="65">
        <f t="shared" si="1"/>
        <v>2197439</v>
      </c>
      <c r="N4" s="65">
        <f t="shared" si="0"/>
        <v>19281850</v>
      </c>
    </row>
    <row r="5" spans="1:14" ht="39.75" customHeight="1" thickBot="1">
      <c r="A5" s="124" t="s">
        <v>72</v>
      </c>
      <c r="B5" s="112" t="s">
        <v>73</v>
      </c>
      <c r="C5" s="112"/>
      <c r="D5" s="112"/>
      <c r="E5" s="112"/>
      <c r="F5" s="126"/>
      <c r="G5" s="76" t="s">
        <v>69</v>
      </c>
      <c r="H5" s="77">
        <f>'[3]Regional breakdown'!J39</f>
        <v>904166.66666666663</v>
      </c>
      <c r="I5" s="77">
        <f>'[3]Regional breakdown'!K39</f>
        <v>5961166.666666666</v>
      </c>
      <c r="J5" s="77">
        <f>'[3]Regional breakdown'!L39</f>
        <v>5471166.666666666</v>
      </c>
      <c r="K5" s="77">
        <f>'[3]Regional breakdown'!M39</f>
        <v>5401166.666666666</v>
      </c>
      <c r="L5" s="77">
        <f>'[3]Regional breakdown'!N39</f>
        <v>3711166.6666666665</v>
      </c>
      <c r="M5" s="77">
        <f>'[3]Regional breakdown'!O39</f>
        <v>1704166.6666666667</v>
      </c>
      <c r="N5" s="73">
        <f t="shared" si="0"/>
        <v>23153000</v>
      </c>
    </row>
    <row r="6" spans="1:14" ht="44.25" customHeight="1" thickBot="1">
      <c r="A6" s="125"/>
      <c r="B6" s="111" t="s">
        <v>74</v>
      </c>
      <c r="C6" s="112"/>
      <c r="D6" s="112"/>
      <c r="E6" s="112"/>
      <c r="F6" s="126"/>
      <c r="G6" s="78" t="s">
        <v>75</v>
      </c>
      <c r="H6" s="79">
        <f>'[4]Regional breakdown'!J59</f>
        <v>4677278.3950000005</v>
      </c>
      <c r="I6" s="79">
        <f>'[4]Regional breakdown'!K59</f>
        <v>4677278.3950000005</v>
      </c>
      <c r="J6" s="79">
        <f>'[4]Regional breakdown'!L59</f>
        <v>4677278.3950000005</v>
      </c>
      <c r="K6" s="79">
        <f>'[4]Regional breakdown'!M59</f>
        <v>4677278.3950000005</v>
      </c>
      <c r="L6" s="79">
        <f>'[4]Regional breakdown'!N59</f>
        <v>4677278.3950000005</v>
      </c>
      <c r="M6" s="79">
        <f>'[4]Regional breakdown'!O59</f>
        <v>4677278.3950000005</v>
      </c>
      <c r="N6" s="80">
        <f t="shared" si="0"/>
        <v>28063670.370000001</v>
      </c>
    </row>
    <row r="7" spans="1:14" ht="15.75" thickBot="1">
      <c r="A7" s="99" t="s">
        <v>76</v>
      </c>
      <c r="B7" s="100"/>
      <c r="C7" s="100"/>
      <c r="D7" s="100"/>
      <c r="E7" s="100"/>
      <c r="F7" s="100"/>
      <c r="G7" s="107"/>
      <c r="H7" s="81">
        <f>SUM(H5:H6)</f>
        <v>5581445.0616666675</v>
      </c>
      <c r="I7" s="81">
        <f t="shared" ref="I7:M7" si="2">SUM(I5:I6)</f>
        <v>10638445.061666667</v>
      </c>
      <c r="J7" s="81">
        <f t="shared" si="2"/>
        <v>10148445.061666667</v>
      </c>
      <c r="K7" s="81">
        <f t="shared" si="2"/>
        <v>10078445.061666667</v>
      </c>
      <c r="L7" s="81">
        <f t="shared" si="2"/>
        <v>8388445.0616666675</v>
      </c>
      <c r="M7" s="81">
        <f t="shared" si="2"/>
        <v>6381445.0616666675</v>
      </c>
      <c r="N7" s="81">
        <f t="shared" si="0"/>
        <v>51216670.370000005</v>
      </c>
    </row>
    <row r="8" spans="1:14" ht="34.5" customHeight="1" thickBot="1">
      <c r="A8" s="108" t="s">
        <v>77</v>
      </c>
      <c r="B8" s="111" t="s">
        <v>78</v>
      </c>
      <c r="C8" s="112"/>
      <c r="D8" s="112"/>
      <c r="E8" s="112"/>
      <c r="F8" s="112"/>
      <c r="G8" s="70" t="s">
        <v>69</v>
      </c>
      <c r="H8" s="82">
        <f>'[3]Regional breakdown'!J68</f>
        <v>3928961.3286410286</v>
      </c>
      <c r="I8" s="82">
        <f>'[3]Regional breakdown'!K68</f>
        <v>6015913.989121099</v>
      </c>
      <c r="J8" s="82">
        <f>'[3]Regional breakdown'!L68</f>
        <v>6633360.9753075084</v>
      </c>
      <c r="K8" s="82">
        <f>'[3]Regional breakdown'!M68</f>
        <v>6255643.3546871431</v>
      </c>
      <c r="L8" s="82">
        <f>'[3]Regional breakdown'!N68</f>
        <v>5577633.1673646355</v>
      </c>
      <c r="M8" s="82">
        <f>'[3]Regional breakdown'!O68</f>
        <v>1843587.1848786003</v>
      </c>
      <c r="N8" s="73">
        <f t="shared" si="0"/>
        <v>30255100.000000011</v>
      </c>
    </row>
    <row r="9" spans="1:14" ht="38.25" customHeight="1" thickBot="1">
      <c r="A9" s="109"/>
      <c r="B9" s="113" t="s">
        <v>79</v>
      </c>
      <c r="C9" s="114"/>
      <c r="D9" s="114"/>
      <c r="E9" s="114"/>
      <c r="F9" s="115"/>
      <c r="G9" s="70" t="s">
        <v>69</v>
      </c>
      <c r="H9" s="83">
        <f>SUM('[3]Regional breakdown'!J69:J90)</f>
        <v>2741600</v>
      </c>
      <c r="I9" s="83">
        <f>SUM('[3]Regional breakdown'!K69:K90)</f>
        <v>694750</v>
      </c>
      <c r="J9" s="83">
        <f>SUM('[3]Regional breakdown'!L69:L90)</f>
        <v>1774800</v>
      </c>
      <c r="K9" s="83">
        <f>SUM('[3]Regional breakdown'!M69:M90)</f>
        <v>757800</v>
      </c>
      <c r="L9" s="83">
        <f>SUM('[3]Regional breakdown'!N69:N90)</f>
        <v>1572000</v>
      </c>
      <c r="M9" s="83">
        <f>SUM('[3]Regional breakdown'!O69:O90)</f>
        <v>207000</v>
      </c>
      <c r="N9" s="73">
        <f t="shared" si="0"/>
        <v>7747950</v>
      </c>
    </row>
    <row r="10" spans="1:14" ht="38.25" customHeight="1" thickBot="1">
      <c r="A10" s="109"/>
      <c r="B10" s="116"/>
      <c r="C10" s="117"/>
      <c r="D10" s="117"/>
      <c r="E10" s="117"/>
      <c r="F10" s="118"/>
      <c r="G10" s="78" t="s">
        <v>80</v>
      </c>
      <c r="H10" s="84">
        <f>SUM('[4]Regional breakdown'!J100:J101)</f>
        <v>3820500</v>
      </c>
      <c r="I10" s="84">
        <f>SUM('[4]Regional breakdown'!K100:K101)</f>
        <v>3820500</v>
      </c>
      <c r="J10" s="84">
        <f>SUM('[4]Regional breakdown'!L100:L101)</f>
        <v>3820500</v>
      </c>
      <c r="K10" s="84">
        <f>SUM('[4]Regional breakdown'!M100:M101)</f>
        <v>3820500</v>
      </c>
      <c r="L10" s="84">
        <f>SUM('[4]Regional breakdown'!N100:N101)</f>
        <v>3820500</v>
      </c>
      <c r="M10" s="84">
        <f>SUM('[4]Regional breakdown'!O100:O101)</f>
        <v>3820500</v>
      </c>
      <c r="N10" s="80">
        <f t="shared" si="0"/>
        <v>22923000</v>
      </c>
    </row>
    <row r="11" spans="1:14" ht="38.25" customHeight="1" thickBot="1">
      <c r="A11" s="110"/>
      <c r="B11" s="119"/>
      <c r="C11" s="120"/>
      <c r="D11" s="120"/>
      <c r="E11" s="120"/>
      <c r="F11" s="121"/>
      <c r="G11" s="78" t="s">
        <v>81</v>
      </c>
      <c r="H11" s="84">
        <f>'[3]Regional breakdown'!J93</f>
        <v>1206500.0033333332</v>
      </c>
      <c r="I11" s="84">
        <f>'[3]Regional breakdown'!K93</f>
        <v>1206500.0033333332</v>
      </c>
      <c r="J11" s="84">
        <f>'[3]Regional breakdown'!L93</f>
        <v>1206500.0033333332</v>
      </c>
      <c r="K11" s="84">
        <f>'[3]Regional breakdown'!M93</f>
        <v>1206500.0033333332</v>
      </c>
      <c r="L11" s="84">
        <f>'[3]Regional breakdown'!N93</f>
        <v>1206500.0033333332</v>
      </c>
      <c r="M11" s="84">
        <f>'[3]Regional breakdown'!O93</f>
        <v>1206500.0033333332</v>
      </c>
      <c r="N11" s="80">
        <f t="shared" si="0"/>
        <v>7239000.0199999986</v>
      </c>
    </row>
    <row r="12" spans="1:14" ht="15.75" thickBot="1">
      <c r="A12" s="99" t="s">
        <v>82</v>
      </c>
      <c r="B12" s="100"/>
      <c r="C12" s="100"/>
      <c r="D12" s="100"/>
      <c r="E12" s="100"/>
      <c r="F12" s="100"/>
      <c r="G12" s="101"/>
      <c r="H12" s="85">
        <f>SUM(H8:H11)</f>
        <v>11697561.331974363</v>
      </c>
      <c r="I12" s="85">
        <f t="shared" ref="I12:M12" si="3">SUM(I8:I11)</f>
        <v>11737663.992454432</v>
      </c>
      <c r="J12" s="85">
        <f t="shared" si="3"/>
        <v>13435160.978640843</v>
      </c>
      <c r="K12" s="85">
        <f t="shared" si="3"/>
        <v>12040443.358020477</v>
      </c>
      <c r="L12" s="85">
        <f t="shared" si="3"/>
        <v>12176633.170697968</v>
      </c>
      <c r="M12" s="85">
        <f t="shared" si="3"/>
        <v>7077587.1882119337</v>
      </c>
      <c r="N12" s="85">
        <f t="shared" si="0"/>
        <v>68165050.020000011</v>
      </c>
    </row>
    <row r="13" spans="1:14" ht="28.5" customHeight="1" thickBot="1">
      <c r="A13" s="122" t="s">
        <v>93</v>
      </c>
      <c r="B13" s="112" t="s">
        <v>92</v>
      </c>
      <c r="C13" s="112"/>
      <c r="D13" s="112"/>
      <c r="E13" s="112"/>
      <c r="F13" s="112"/>
      <c r="G13" s="70" t="s">
        <v>69</v>
      </c>
      <c r="H13" s="71">
        <f>'[3]Regional breakdown'!J97</f>
        <v>402000</v>
      </c>
      <c r="I13" s="71">
        <f>'[3]Regional breakdown'!K97</f>
        <v>402000</v>
      </c>
      <c r="J13" s="71">
        <f>'[3]Regional breakdown'!L97</f>
        <v>402000</v>
      </c>
      <c r="K13" s="71">
        <f>'[3]Regional breakdown'!M97</f>
        <v>402000</v>
      </c>
      <c r="L13" s="71">
        <f>'[3]Regional breakdown'!N97</f>
        <v>402000</v>
      </c>
      <c r="M13" s="71">
        <f>'[3]Regional breakdown'!O97</f>
        <v>402000</v>
      </c>
      <c r="N13" s="73">
        <f t="shared" si="0"/>
        <v>2412000</v>
      </c>
    </row>
    <row r="14" spans="1:14" ht="33" customHeight="1" thickBot="1">
      <c r="A14" s="123"/>
      <c r="B14" s="112" t="s">
        <v>92</v>
      </c>
      <c r="C14" s="112"/>
      <c r="D14" s="112"/>
      <c r="E14" s="112"/>
      <c r="F14" s="112"/>
      <c r="G14" s="78" t="s">
        <v>75</v>
      </c>
      <c r="H14" s="91">
        <f>'[4]Regional breakdown'!J106</f>
        <v>375221.60499999998</v>
      </c>
      <c r="I14" s="92">
        <f>'[4]Regional breakdown'!K106</f>
        <v>375221.60499999998</v>
      </c>
      <c r="J14" s="91">
        <f>'[4]Regional breakdown'!L106</f>
        <v>375221.60499999998</v>
      </c>
      <c r="K14" s="92">
        <f>'[4]Regional breakdown'!M106</f>
        <v>375221.60499999998</v>
      </c>
      <c r="L14" s="91">
        <f>'[4]Regional breakdown'!N106</f>
        <v>375221.60499999998</v>
      </c>
      <c r="M14" s="92">
        <f>'[4]Regional breakdown'!O106</f>
        <v>375221.60499999998</v>
      </c>
      <c r="N14" s="80">
        <f t="shared" si="0"/>
        <v>2251329.63</v>
      </c>
    </row>
    <row r="15" spans="1:14" ht="28.5" customHeight="1" thickBot="1">
      <c r="A15" s="99" t="s">
        <v>91</v>
      </c>
      <c r="B15" s="100"/>
      <c r="C15" s="100"/>
      <c r="D15" s="100"/>
      <c r="E15" s="100"/>
      <c r="F15" s="100"/>
      <c r="G15" s="101"/>
      <c r="H15" s="86">
        <f>SUM(H13:H14)</f>
        <v>777221.60499999998</v>
      </c>
      <c r="I15" s="86">
        <f t="shared" ref="I15:M15" si="4">SUM(I13:I14)</f>
        <v>777221.60499999998</v>
      </c>
      <c r="J15" s="86">
        <f t="shared" si="4"/>
        <v>777221.60499999998</v>
      </c>
      <c r="K15" s="86">
        <f t="shared" si="4"/>
        <v>777221.60499999998</v>
      </c>
      <c r="L15" s="86">
        <f t="shared" si="4"/>
        <v>777221.60499999998</v>
      </c>
      <c r="M15" s="86">
        <f t="shared" si="4"/>
        <v>777221.60499999998</v>
      </c>
      <c r="N15" s="86">
        <f t="shared" si="0"/>
        <v>4663329.63</v>
      </c>
    </row>
    <row r="16" spans="1:14" ht="15.4" thickBot="1">
      <c r="A16" s="102" t="s">
        <v>84</v>
      </c>
      <c r="B16" s="103"/>
      <c r="C16" s="103"/>
      <c r="D16" s="103"/>
      <c r="E16" s="103"/>
      <c r="F16" s="103"/>
      <c r="G16" s="104"/>
      <c r="H16" s="87">
        <f>H13+H9+H8+H5+H3+H2</f>
        <v>10131277.995307695</v>
      </c>
      <c r="I16" s="87">
        <f t="shared" ref="I16:M16" si="5">I13+I9+I8+I5+I3+I2</f>
        <v>18160530.655787766</v>
      </c>
      <c r="J16" s="87">
        <f t="shared" si="5"/>
        <v>19330488.641974173</v>
      </c>
      <c r="K16" s="87">
        <f t="shared" si="5"/>
        <v>15308610.021353809</v>
      </c>
      <c r="L16" s="87">
        <f t="shared" si="5"/>
        <v>13564799.834031302</v>
      </c>
      <c r="M16" s="87">
        <f t="shared" si="5"/>
        <v>6354192.8515452668</v>
      </c>
      <c r="N16" s="87">
        <f t="shared" si="0"/>
        <v>82849900</v>
      </c>
    </row>
    <row r="17" spans="1:15" ht="15.4" thickBot="1">
      <c r="A17" s="105" t="s">
        <v>85</v>
      </c>
      <c r="B17" s="106"/>
      <c r="C17" s="106"/>
      <c r="D17" s="106"/>
      <c r="E17" s="106"/>
      <c r="F17" s="106"/>
      <c r="G17" s="106"/>
      <c r="H17" s="88">
        <f>H10+H11+H6+H14</f>
        <v>10079500.003333334</v>
      </c>
      <c r="I17" s="88">
        <f t="shared" ref="I17:M17" si="6">I10+I11+I6+I14</f>
        <v>10079500.003333334</v>
      </c>
      <c r="J17" s="88">
        <f t="shared" si="6"/>
        <v>10079500.003333334</v>
      </c>
      <c r="K17" s="88">
        <f t="shared" si="6"/>
        <v>10079500.003333334</v>
      </c>
      <c r="L17" s="88">
        <f t="shared" si="6"/>
        <v>10079500.003333334</v>
      </c>
      <c r="M17" s="88">
        <f t="shared" si="6"/>
        <v>10079500.003333334</v>
      </c>
      <c r="N17" s="88">
        <f t="shared" si="0"/>
        <v>60477000.019999996</v>
      </c>
    </row>
    <row r="18" spans="1:15" ht="15.4" thickBot="1">
      <c r="A18" s="105" t="s">
        <v>86</v>
      </c>
      <c r="B18" s="106"/>
      <c r="C18" s="106"/>
      <c r="D18" s="106"/>
      <c r="E18" s="106"/>
      <c r="F18" s="106"/>
      <c r="G18" s="106"/>
      <c r="H18" s="89">
        <f>H15+H12+H7+H4</f>
        <v>20210777.998641029</v>
      </c>
      <c r="I18" s="89">
        <f t="shared" ref="I18:M18" si="7">I15+I12+I7+I4</f>
        <v>28240030.6591211</v>
      </c>
      <c r="J18" s="89">
        <f t="shared" si="7"/>
        <v>29409988.645307511</v>
      </c>
      <c r="K18" s="89">
        <f t="shared" si="7"/>
        <v>25388110.024687145</v>
      </c>
      <c r="L18" s="89">
        <f t="shared" si="7"/>
        <v>23644299.837364636</v>
      </c>
      <c r="M18" s="89">
        <f t="shared" si="7"/>
        <v>16433692.854878601</v>
      </c>
      <c r="N18" s="88">
        <f t="shared" si="0"/>
        <v>143326900.02000001</v>
      </c>
      <c r="O18" s="90"/>
    </row>
  </sheetData>
  <mergeCells count="20">
    <mergeCell ref="A5:A6"/>
    <mergeCell ref="B5:F5"/>
    <mergeCell ref="B6:F6"/>
    <mergeCell ref="B1:F1"/>
    <mergeCell ref="A2:A3"/>
    <mergeCell ref="B2:F2"/>
    <mergeCell ref="B3:F3"/>
    <mergeCell ref="A4:G4"/>
    <mergeCell ref="A15:G15"/>
    <mergeCell ref="A16:G16"/>
    <mergeCell ref="A17:G17"/>
    <mergeCell ref="A18:G18"/>
    <mergeCell ref="A7:G7"/>
    <mergeCell ref="A8:A11"/>
    <mergeCell ref="B8:F8"/>
    <mergeCell ref="B9:F11"/>
    <mergeCell ref="A12:G12"/>
    <mergeCell ref="A13:A14"/>
    <mergeCell ref="B13:F13"/>
    <mergeCell ref="B14:F14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11"/>
  <sheetViews>
    <sheetView workbookViewId="0">
      <selection activeCell="H10" sqref="H10"/>
    </sheetView>
  </sheetViews>
  <sheetFormatPr defaultColWidth="9" defaultRowHeight="14.25"/>
  <cols>
    <col min="1" max="1" width="13.73046875" style="47" bestFit="1" customWidth="1"/>
    <col min="2" max="2" width="22.73046875" style="47" customWidth="1"/>
    <col min="3" max="12" width="11" style="47" bestFit="1" customWidth="1"/>
    <col min="13" max="13" width="11.59765625" style="47" bestFit="1" customWidth="1"/>
    <col min="14" max="14" width="18" style="47" bestFit="1" customWidth="1"/>
    <col min="15" max="15" width="17" style="47" bestFit="1" customWidth="1"/>
    <col min="16" max="16" width="12.265625" style="47" bestFit="1" customWidth="1"/>
    <col min="17" max="17" width="13.265625" style="47" bestFit="1" customWidth="1"/>
    <col min="18" max="16384" width="9" style="47"/>
  </cols>
  <sheetData>
    <row r="1" spans="1:17" ht="57">
      <c r="A1" s="47" t="s">
        <v>19</v>
      </c>
      <c r="B1" s="59" t="s">
        <v>20</v>
      </c>
      <c r="O1" s="57" t="s">
        <v>53</v>
      </c>
      <c r="P1" s="58">
        <v>2E-3</v>
      </c>
    </row>
    <row r="3" spans="1:17" ht="42.75">
      <c r="A3" t="s">
        <v>21</v>
      </c>
      <c r="B3" t="s">
        <v>22</v>
      </c>
      <c r="C3" t="s">
        <v>23</v>
      </c>
      <c r="D3" t="s">
        <v>24</v>
      </c>
      <c r="E3" t="s">
        <v>25</v>
      </c>
      <c r="F3" t="s">
        <v>26</v>
      </c>
      <c r="G3" t="s">
        <v>27</v>
      </c>
      <c r="H3" t="s">
        <v>28</v>
      </c>
      <c r="I3" t="s">
        <v>29</v>
      </c>
      <c r="J3" t="s">
        <v>30</v>
      </c>
      <c r="K3" t="s">
        <v>31</v>
      </c>
      <c r="L3" t="s">
        <v>32</v>
      </c>
      <c r="M3" s="47" t="s">
        <v>33</v>
      </c>
      <c r="N3" s="48" t="s">
        <v>34</v>
      </c>
      <c r="O3" s="57" t="s">
        <v>52</v>
      </c>
      <c r="P3" s="48" t="s">
        <v>35</v>
      </c>
      <c r="Q3" s="48" t="s">
        <v>36</v>
      </c>
    </row>
    <row r="4" spans="1:17">
      <c r="A4" t="s">
        <v>37</v>
      </c>
      <c r="B4">
        <v>936.4240852328378</v>
      </c>
      <c r="C4">
        <v>901.51563045731575</v>
      </c>
      <c r="D4">
        <v>1084.9213543154553</v>
      </c>
      <c r="E4">
        <v>1194.5574282065488</v>
      </c>
      <c r="F4">
        <v>1418.8602554312797</v>
      </c>
      <c r="G4">
        <v>1633.0781604911347</v>
      </c>
      <c r="H4">
        <v>1880.0390501177876</v>
      </c>
      <c r="I4">
        <v>1790.6992409707946</v>
      </c>
      <c r="J4">
        <v>1806.5538897867352</v>
      </c>
      <c r="K4">
        <v>1720.83135296873</v>
      </c>
      <c r="L4">
        <v>1826.4405731848692</v>
      </c>
      <c r="M4" s="49">
        <f>AVERAGE(B4:L4)</f>
        <v>1472.1746382875897</v>
      </c>
      <c r="N4" s="49">
        <f>(P4)*M4</f>
        <v>125134844.25444512</v>
      </c>
      <c r="O4" s="49">
        <f>$P$1*N4</f>
        <v>250269.68850889025</v>
      </c>
      <c r="P4" s="64">
        <v>85000</v>
      </c>
      <c r="Q4" s="64">
        <v>510000</v>
      </c>
    </row>
    <row r="5" spans="1:17">
      <c r="A5" t="s">
        <v>38</v>
      </c>
      <c r="B5">
        <v>1482.424889571173</v>
      </c>
      <c r="C5">
        <v>1401.8362331898581</v>
      </c>
      <c r="D5">
        <v>1558.0666881161549</v>
      </c>
      <c r="E5">
        <v>1403.5662171599317</v>
      </c>
      <c r="F5">
        <v>1517.0670803170406</v>
      </c>
      <c r="G5">
        <v>1444.5448650662365</v>
      </c>
      <c r="H5">
        <v>1487.3805280468264</v>
      </c>
      <c r="I5">
        <v>1578.5517602990635</v>
      </c>
      <c r="J5">
        <v>1428.5759450479761</v>
      </c>
      <c r="K5">
        <v>1412.2912978019876</v>
      </c>
      <c r="L5">
        <v>1419.9996739049554</v>
      </c>
      <c r="M5" s="49">
        <f t="shared" ref="M5:M11" si="0">AVERAGE(B5:L5)</f>
        <v>1466.7550162292002</v>
      </c>
      <c r="N5" s="49">
        <f t="shared" ref="N5:N11" si="1">(P5)*M5</f>
        <v>241281200.16970345</v>
      </c>
      <c r="O5" s="49">
        <f t="shared" ref="O5:O11" si="2">$P$1*N5</f>
        <v>482562.40033940692</v>
      </c>
      <c r="P5" s="64">
        <v>164500</v>
      </c>
      <c r="Q5" s="64">
        <v>986000</v>
      </c>
    </row>
    <row r="6" spans="1:17">
      <c r="A6" t="s">
        <v>39</v>
      </c>
      <c r="B6">
        <v>2765.0993651546232</v>
      </c>
      <c r="C6">
        <v>3098.2139599911152</v>
      </c>
      <c r="D6">
        <v>3337.7963028517574</v>
      </c>
      <c r="E6">
        <v>2338.3718239249993</v>
      </c>
      <c r="F6">
        <v>2419.3938519921676</v>
      </c>
      <c r="G6">
        <v>2312.6497429313863</v>
      </c>
      <c r="H6">
        <v>1966.2419794045827</v>
      </c>
      <c r="I6">
        <v>1988.2627332855523</v>
      </c>
      <c r="J6">
        <v>1917.8122854343965</v>
      </c>
      <c r="K6">
        <v>1771.7481918511057</v>
      </c>
      <c r="L6">
        <v>1742.8642309471072</v>
      </c>
      <c r="M6" s="49">
        <f t="shared" si="0"/>
        <v>2332.586769797163</v>
      </c>
      <c r="N6" s="49">
        <f t="shared" si="1"/>
        <v>93303470.791886523</v>
      </c>
      <c r="O6" s="49">
        <f t="shared" si="2"/>
        <v>186606.94158377306</v>
      </c>
      <c r="P6" s="64">
        <v>40000</v>
      </c>
      <c r="Q6" s="64">
        <v>240000</v>
      </c>
    </row>
    <row r="7" spans="1:17">
      <c r="A7" t="s">
        <v>40</v>
      </c>
      <c r="B7">
        <v>979.26652168666863</v>
      </c>
      <c r="C7">
        <v>971.13969726781124</v>
      </c>
      <c r="D7">
        <v>1027.1977071615227</v>
      </c>
      <c r="E7">
        <v>973.69335837612334</v>
      </c>
      <c r="F7">
        <v>1014.8973363899429</v>
      </c>
      <c r="G7">
        <v>971.26752219384821</v>
      </c>
      <c r="H7">
        <v>1021.1960194710637</v>
      </c>
      <c r="I7">
        <v>1155.5137534115645</v>
      </c>
      <c r="J7">
        <v>1162.3459709671113</v>
      </c>
      <c r="K7">
        <v>1183.4785432661513</v>
      </c>
      <c r="L7">
        <v>1217.9586240225985</v>
      </c>
      <c r="M7" s="49">
        <f t="shared" si="0"/>
        <v>1061.6322776558552</v>
      </c>
      <c r="N7" s="49">
        <f t="shared" si="1"/>
        <v>87053846.767780125</v>
      </c>
      <c r="O7" s="49">
        <f t="shared" si="2"/>
        <v>174107.69353556025</v>
      </c>
      <c r="P7" s="64">
        <v>82000</v>
      </c>
      <c r="Q7" s="64">
        <v>680000</v>
      </c>
    </row>
    <row r="8" spans="1:17">
      <c r="A8" t="s">
        <v>41</v>
      </c>
      <c r="B8">
        <v>1705.6850865976369</v>
      </c>
      <c r="C8">
        <v>1722.3062385014723</v>
      </c>
      <c r="D8">
        <v>1768.4343720167853</v>
      </c>
      <c r="E8">
        <v>1680.2809545514519</v>
      </c>
      <c r="F8">
        <v>1779.3496415717766</v>
      </c>
      <c r="G8">
        <v>1715.0924961911167</v>
      </c>
      <c r="H8">
        <v>1731.7431525210432</v>
      </c>
      <c r="I8">
        <v>1771.97321537117</v>
      </c>
      <c r="J8">
        <v>1713.803561504468</v>
      </c>
      <c r="K8">
        <v>1733.5431268340451</v>
      </c>
      <c r="L8">
        <v>1814.0213914111878</v>
      </c>
      <c r="M8" s="49">
        <f t="shared" si="0"/>
        <v>1739.6575670065597</v>
      </c>
      <c r="N8" s="49">
        <f t="shared" si="1"/>
        <v>82633734.432811588</v>
      </c>
      <c r="O8" s="49">
        <f t="shared" si="2"/>
        <v>165267.46886562317</v>
      </c>
      <c r="P8" s="64">
        <v>47500</v>
      </c>
      <c r="Q8" s="64">
        <v>293500</v>
      </c>
    </row>
    <row r="9" spans="1:17">
      <c r="A9" t="s">
        <v>42</v>
      </c>
      <c r="B9">
        <v>478.84224431464463</v>
      </c>
      <c r="C9">
        <v>417.18074306072236</v>
      </c>
      <c r="D9">
        <v>464.82753320772088</v>
      </c>
      <c r="E9">
        <v>435.27782258060989</v>
      </c>
      <c r="F9">
        <v>485.46177994336227</v>
      </c>
      <c r="G9">
        <v>467.92298328650281</v>
      </c>
      <c r="H9">
        <v>489.62419513917183</v>
      </c>
      <c r="I9">
        <v>479.90327073285044</v>
      </c>
      <c r="J9">
        <v>513.07722249006906</v>
      </c>
      <c r="K9">
        <v>522.16554946072347</v>
      </c>
      <c r="L9">
        <v>540.61038144987219</v>
      </c>
      <c r="M9" s="49">
        <f t="shared" si="0"/>
        <v>481.35397506056813</v>
      </c>
      <c r="N9" s="49">
        <f t="shared" si="1"/>
        <v>110577597.85886383</v>
      </c>
      <c r="O9" s="49">
        <f t="shared" si="2"/>
        <v>221155.19571772768</v>
      </c>
      <c r="P9" s="64">
        <v>229722</v>
      </c>
      <c r="Q9" s="64">
        <v>1608054</v>
      </c>
    </row>
    <row r="10" spans="1:17">
      <c r="A10" t="s">
        <v>43</v>
      </c>
      <c r="B10">
        <v>1686.0837178311385</v>
      </c>
      <c r="C10">
        <v>1938.4392815095139</v>
      </c>
      <c r="D10">
        <v>2057.017984161706</v>
      </c>
      <c r="E10">
        <v>1755.0838384164795</v>
      </c>
      <c r="F10">
        <v>1935.1815868369886</v>
      </c>
      <c r="G10">
        <v>1990.5157081203251</v>
      </c>
      <c r="H10">
        <v>2045.8643782784313</v>
      </c>
      <c r="I10">
        <v>2300.7275285004157</v>
      </c>
      <c r="J10">
        <v>2372.3751820139369</v>
      </c>
      <c r="K10">
        <v>2628.2253684753141</v>
      </c>
      <c r="L10">
        <v>2781.7503550066967</v>
      </c>
      <c r="M10" s="49">
        <f t="shared" si="0"/>
        <v>2135.569539013723</v>
      </c>
      <c r="N10" s="49">
        <f t="shared" si="1"/>
        <v>361338366.00112194</v>
      </c>
      <c r="O10" s="49">
        <f t="shared" si="2"/>
        <v>722676.73200224387</v>
      </c>
      <c r="P10" s="64">
        <v>169200</v>
      </c>
      <c r="Q10" s="64">
        <v>1015200</v>
      </c>
    </row>
    <row r="11" spans="1:17">
      <c r="A11" t="s">
        <v>44</v>
      </c>
      <c r="B11">
        <v>10033.825910388721</v>
      </c>
      <c r="C11">
        <v>10450.631783977809</v>
      </c>
      <c r="D11">
        <v>11298.261941831104</v>
      </c>
      <c r="E11">
        <v>9780.8314432161442</v>
      </c>
      <c r="F11">
        <v>10570.211532482559</v>
      </c>
      <c r="G11">
        <v>10535.07147828055</v>
      </c>
      <c r="H11">
        <v>10622.089302978906</v>
      </c>
      <c r="I11">
        <v>11065.63150257141</v>
      </c>
      <c r="J11">
        <v>10914.544057244693</v>
      </c>
      <c r="K11">
        <v>10972.283430658057</v>
      </c>
      <c r="L11">
        <v>11343.64522992729</v>
      </c>
      <c r="M11" s="49">
        <f t="shared" si="0"/>
        <v>10689.72978305066</v>
      </c>
      <c r="N11" s="49">
        <f t="shared" si="1"/>
        <v>8743365163.6123619</v>
      </c>
      <c r="O11" s="49">
        <f t="shared" si="2"/>
        <v>17486730.327224724</v>
      </c>
      <c r="P11" s="50">
        <f>SUM(P4:P10)</f>
        <v>817922</v>
      </c>
      <c r="Q11" s="50">
        <f>SUM(Q4:Q10)</f>
        <v>5332754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S84"/>
  <sheetViews>
    <sheetView topLeftCell="A67" workbookViewId="0">
      <selection activeCell="F81" sqref="F81"/>
    </sheetView>
  </sheetViews>
  <sheetFormatPr defaultColWidth="9" defaultRowHeight="14.25"/>
  <cols>
    <col min="1" max="1" width="9" style="2"/>
    <col min="2" max="2" width="4.86328125" style="2" bestFit="1" customWidth="1"/>
    <col min="3" max="3" width="35" style="23" customWidth="1"/>
    <col min="4" max="4" width="18" style="2" bestFit="1" customWidth="1"/>
    <col min="5" max="5" width="15.265625" style="2" bestFit="1" customWidth="1"/>
    <col min="6" max="6" width="15" style="2" bestFit="1" customWidth="1"/>
    <col min="7" max="8" width="15.265625" style="2" bestFit="1" customWidth="1"/>
    <col min="9" max="19" width="15" style="2" bestFit="1" customWidth="1"/>
    <col min="20" max="16384" width="9" style="2"/>
  </cols>
  <sheetData>
    <row r="1" spans="2:19">
      <c r="C1" s="39"/>
      <c r="D1" s="2">
        <v>1</v>
      </c>
    </row>
    <row r="2" spans="2:19">
      <c r="D2" s="2">
        <v>1</v>
      </c>
    </row>
    <row r="3" spans="2:19">
      <c r="B3" s="1"/>
      <c r="D3" s="3"/>
      <c r="E3" s="95" t="s">
        <v>0</v>
      </c>
      <c r="F3" s="95"/>
      <c r="G3" s="95"/>
      <c r="H3" s="95"/>
    </row>
    <row r="4" spans="2:19">
      <c r="C4" s="96" t="s">
        <v>1</v>
      </c>
      <c r="D4" s="97"/>
      <c r="E4" s="61">
        <v>1</v>
      </c>
      <c r="F4" s="61">
        <v>2</v>
      </c>
      <c r="G4" s="61">
        <v>3</v>
      </c>
      <c r="H4" s="61">
        <v>4</v>
      </c>
      <c r="I4" s="61">
        <v>5</v>
      </c>
      <c r="J4" s="61">
        <v>6</v>
      </c>
      <c r="K4" s="61"/>
    </row>
    <row r="5" spans="2:19">
      <c r="C5" s="23" t="str">
        <f>'Economic cost of project'!A2</f>
        <v>Component 1: Climate Risk Preparedness</v>
      </c>
      <c r="D5" s="5">
        <f>SUM(E5:J5)</f>
        <v>19281850</v>
      </c>
      <c r="E5" s="6">
        <f>'Economic cost of project'!B2</f>
        <v>2154550</v>
      </c>
      <c r="F5" s="6">
        <f>'Economic cost of project'!C2</f>
        <v>5086700</v>
      </c>
      <c r="G5" s="6">
        <f>'Economic cost of project'!D2</f>
        <v>5049161</v>
      </c>
      <c r="H5" s="6">
        <f>'Economic cost of project'!E2</f>
        <v>2492000</v>
      </c>
      <c r="I5" s="6">
        <f>'Economic cost of project'!F2</f>
        <v>2302000</v>
      </c>
      <c r="J5" s="6">
        <f>'Economic cost of project'!G2</f>
        <v>2197439</v>
      </c>
      <c r="K5" s="6"/>
    </row>
    <row r="6" spans="2:19" ht="28.5">
      <c r="C6" s="23" t="str">
        <f>'Economic cost of project'!A3</f>
        <v>Component 2: Development of population resilience</v>
      </c>
      <c r="D6" s="5">
        <f t="shared" ref="D6:D8" si="0">SUM(E6:J6)</f>
        <v>51216670.370000005</v>
      </c>
      <c r="E6" s="6">
        <f>'Economic cost of project'!B3</f>
        <v>5581445.0616666675</v>
      </c>
      <c r="F6" s="6">
        <f>'Economic cost of project'!C3</f>
        <v>10638445.061666667</v>
      </c>
      <c r="G6" s="6">
        <f>'Economic cost of project'!D3</f>
        <v>10148445.061666667</v>
      </c>
      <c r="H6" s="6">
        <f>'Economic cost of project'!E3</f>
        <v>10078445.061666667</v>
      </c>
      <c r="I6" s="6">
        <f>'Economic cost of project'!F3</f>
        <v>8388445.0616666675</v>
      </c>
      <c r="J6" s="6">
        <f>'Economic cost of project'!G3</f>
        <v>6381445.0616666675</v>
      </c>
      <c r="K6" s="6"/>
    </row>
    <row r="7" spans="2:19">
      <c r="C7" s="23" t="str">
        <f>'Economic cost of project'!A4</f>
        <v>Component 3. Risk transfer</v>
      </c>
      <c r="D7" s="5">
        <f t="shared" si="0"/>
        <v>68165050.020000011</v>
      </c>
      <c r="E7" s="6">
        <f>'Economic cost of project'!B4</f>
        <v>11697561.331974363</v>
      </c>
      <c r="F7" s="6">
        <f>'Economic cost of project'!C4</f>
        <v>11737663.992454432</v>
      </c>
      <c r="G7" s="6">
        <f>'Economic cost of project'!D4</f>
        <v>13435160.978640843</v>
      </c>
      <c r="H7" s="6">
        <f>'Economic cost of project'!E4</f>
        <v>12040443.358020477</v>
      </c>
      <c r="I7" s="6">
        <f>'Economic cost of project'!F4</f>
        <v>12176633.170697968</v>
      </c>
      <c r="J7" s="6">
        <f>'Economic cost of project'!G4</f>
        <v>7077587.1882119337</v>
      </c>
      <c r="K7" s="6"/>
    </row>
    <row r="8" spans="2:19" ht="28.5">
      <c r="C8" s="23" t="str">
        <f>'Economic cost of project'!A5</f>
        <v xml:space="preserve">Component 4: Programme management and coordination.  </v>
      </c>
      <c r="D8" s="5">
        <f t="shared" si="0"/>
        <v>4663329.63</v>
      </c>
      <c r="E8" s="6">
        <f>'Economic cost of project'!B5</f>
        <v>777221.60499999998</v>
      </c>
      <c r="F8" s="6">
        <f>'Economic cost of project'!C5</f>
        <v>777221.60499999998</v>
      </c>
      <c r="G8" s="6">
        <f>'Economic cost of project'!D5</f>
        <v>777221.60499999998</v>
      </c>
      <c r="H8" s="6">
        <f>'Economic cost of project'!E5</f>
        <v>777221.60499999998</v>
      </c>
      <c r="I8" s="6">
        <f>'Economic cost of project'!F5</f>
        <v>777221.60499999998</v>
      </c>
      <c r="J8" s="6">
        <f>'Economic cost of project'!G5</f>
        <v>777221.60499999998</v>
      </c>
      <c r="K8" s="6"/>
    </row>
    <row r="9" spans="2:19" ht="14.65" thickBot="1">
      <c r="C9" s="41"/>
      <c r="D9" s="5"/>
      <c r="E9" s="6"/>
      <c r="F9" s="6"/>
      <c r="G9" s="6"/>
      <c r="H9" s="6"/>
      <c r="I9" s="6"/>
      <c r="J9" s="6"/>
      <c r="K9" s="6"/>
    </row>
    <row r="10" spans="2:19" ht="14.65" thickBot="1">
      <c r="C10" s="24" t="s">
        <v>2</v>
      </c>
      <c r="D10" s="7">
        <f>SUM(E10:J10)</f>
        <v>143326900.02000004</v>
      </c>
      <c r="E10" s="7">
        <f t="shared" ref="E10:J10" si="1">SUM(E5:E9)</f>
        <v>20210777.998641033</v>
      </c>
      <c r="F10" s="7">
        <f t="shared" si="1"/>
        <v>28240030.6591211</v>
      </c>
      <c r="G10" s="7">
        <f t="shared" si="1"/>
        <v>29409988.645307511</v>
      </c>
      <c r="H10" s="7">
        <f t="shared" si="1"/>
        <v>25388110.024687145</v>
      </c>
      <c r="I10" s="7">
        <f t="shared" si="1"/>
        <v>23644299.837364636</v>
      </c>
      <c r="J10" s="7">
        <f t="shared" si="1"/>
        <v>16433692.854878601</v>
      </c>
      <c r="K10" s="8"/>
    </row>
    <row r="11" spans="2:19">
      <c r="C11" s="33"/>
      <c r="D11" s="34"/>
      <c r="E11" s="35"/>
      <c r="F11" s="35"/>
      <c r="G11" s="35"/>
      <c r="H11" s="35"/>
      <c r="I11" s="35"/>
      <c r="J11" s="35"/>
      <c r="K11" s="35"/>
    </row>
    <row r="12" spans="2:19">
      <c r="C12" s="25"/>
      <c r="D12" s="46">
        <v>2021</v>
      </c>
      <c r="E12" s="43">
        <f>D12+1</f>
        <v>2022</v>
      </c>
      <c r="F12" s="43">
        <f t="shared" ref="F12:S12" si="2">E12+1</f>
        <v>2023</v>
      </c>
      <c r="G12" s="43">
        <f t="shared" si="2"/>
        <v>2024</v>
      </c>
      <c r="H12" s="43">
        <f t="shared" si="2"/>
        <v>2025</v>
      </c>
      <c r="I12" s="43">
        <f t="shared" si="2"/>
        <v>2026</v>
      </c>
      <c r="J12" s="43">
        <f t="shared" si="2"/>
        <v>2027</v>
      </c>
      <c r="K12" s="43">
        <f t="shared" si="2"/>
        <v>2028</v>
      </c>
      <c r="L12" s="43">
        <f t="shared" si="2"/>
        <v>2029</v>
      </c>
      <c r="M12" s="43">
        <f t="shared" si="2"/>
        <v>2030</v>
      </c>
      <c r="N12" s="43">
        <f t="shared" si="2"/>
        <v>2031</v>
      </c>
      <c r="O12" s="43">
        <f t="shared" si="2"/>
        <v>2032</v>
      </c>
      <c r="P12" s="43">
        <f t="shared" si="2"/>
        <v>2033</v>
      </c>
      <c r="Q12" s="43">
        <f t="shared" si="2"/>
        <v>2034</v>
      </c>
      <c r="R12" s="43">
        <f t="shared" si="2"/>
        <v>2035</v>
      </c>
      <c r="S12" s="43">
        <f t="shared" si="2"/>
        <v>2036</v>
      </c>
    </row>
    <row r="13" spans="2:19">
      <c r="D13" s="9">
        <v>0</v>
      </c>
      <c r="E13" s="9">
        <v>1</v>
      </c>
      <c r="F13" s="9">
        <v>2</v>
      </c>
      <c r="G13" s="9">
        <v>3</v>
      </c>
      <c r="H13" s="9">
        <v>4</v>
      </c>
      <c r="I13" s="9">
        <v>5</v>
      </c>
      <c r="J13" s="9">
        <v>6</v>
      </c>
      <c r="K13" s="9">
        <v>7</v>
      </c>
      <c r="L13" s="9">
        <v>8</v>
      </c>
      <c r="M13" s="9">
        <v>9</v>
      </c>
      <c r="N13" s="9">
        <v>10</v>
      </c>
      <c r="O13" s="9">
        <v>11</v>
      </c>
      <c r="P13" s="9">
        <v>12</v>
      </c>
      <c r="Q13" s="9">
        <v>13</v>
      </c>
      <c r="R13" s="9">
        <v>14</v>
      </c>
      <c r="S13" s="9">
        <v>15</v>
      </c>
    </row>
    <row r="14" spans="2:19">
      <c r="C14" s="26" t="s">
        <v>3</v>
      </c>
      <c r="D14" s="10"/>
      <c r="E14" s="10"/>
    </row>
    <row r="15" spans="2:19">
      <c r="C15" s="25" t="s">
        <v>4</v>
      </c>
      <c r="D15" s="55">
        <f>E6</f>
        <v>5581445.0616666675</v>
      </c>
      <c r="E15" s="55">
        <f t="shared" ref="E15:I15" si="3">F6</f>
        <v>10638445.061666667</v>
      </c>
      <c r="F15" s="55">
        <f t="shared" si="3"/>
        <v>10148445.061666667</v>
      </c>
      <c r="G15" s="55">
        <f t="shared" si="3"/>
        <v>10078445.061666667</v>
      </c>
      <c r="H15" s="55">
        <f t="shared" si="3"/>
        <v>8388445.0616666675</v>
      </c>
      <c r="I15" s="55">
        <f t="shared" si="3"/>
        <v>6381445.0616666675</v>
      </c>
      <c r="J15" s="55">
        <f>K10</f>
        <v>0</v>
      </c>
      <c r="K15" s="55">
        <f>L10</f>
        <v>0</v>
      </c>
      <c r="L15" s="55">
        <v>0</v>
      </c>
      <c r="M15" s="55">
        <v>0</v>
      </c>
      <c r="N15" s="55">
        <v>0</v>
      </c>
      <c r="O15" s="55">
        <v>0</v>
      </c>
      <c r="P15" s="55">
        <v>0</v>
      </c>
      <c r="Q15" s="55">
        <v>0</v>
      </c>
      <c r="R15" s="55">
        <v>0</v>
      </c>
      <c r="S15" s="55"/>
    </row>
    <row r="16" spans="2:19">
      <c r="C16" s="36" t="s">
        <v>14</v>
      </c>
      <c r="D16" s="55"/>
      <c r="E16" s="55">
        <f>E15*0.03</f>
        <v>319153.35185000004</v>
      </c>
      <c r="F16" s="55">
        <f>E16</f>
        <v>319153.35185000004</v>
      </c>
      <c r="G16" s="55">
        <f t="shared" ref="G16:S16" si="4">F16</f>
        <v>319153.35185000004</v>
      </c>
      <c r="H16" s="55">
        <f t="shared" si="4"/>
        <v>319153.35185000004</v>
      </c>
      <c r="I16" s="55">
        <f t="shared" si="4"/>
        <v>319153.35185000004</v>
      </c>
      <c r="J16" s="55">
        <f t="shared" si="4"/>
        <v>319153.35185000004</v>
      </c>
      <c r="K16" s="55">
        <f t="shared" si="4"/>
        <v>319153.35185000004</v>
      </c>
      <c r="L16" s="55">
        <f t="shared" si="4"/>
        <v>319153.35185000004</v>
      </c>
      <c r="M16" s="55">
        <f t="shared" si="4"/>
        <v>319153.35185000004</v>
      </c>
      <c r="N16" s="55">
        <f t="shared" si="4"/>
        <v>319153.35185000004</v>
      </c>
      <c r="O16" s="55">
        <f t="shared" si="4"/>
        <v>319153.35185000004</v>
      </c>
      <c r="P16" s="55">
        <f t="shared" si="4"/>
        <v>319153.35185000004</v>
      </c>
      <c r="Q16" s="55">
        <f t="shared" si="4"/>
        <v>319153.35185000004</v>
      </c>
      <c r="R16" s="55">
        <f t="shared" si="4"/>
        <v>319153.35185000004</v>
      </c>
      <c r="S16" s="55">
        <f t="shared" si="4"/>
        <v>319153.35185000004</v>
      </c>
    </row>
    <row r="17" spans="1:19">
      <c r="C17" s="27" t="s">
        <v>2</v>
      </c>
      <c r="D17" s="56">
        <f t="shared" ref="D17:S17" si="5">SUM(D15:D16)</f>
        <v>5581445.0616666675</v>
      </c>
      <c r="E17" s="56">
        <f t="shared" si="5"/>
        <v>10957598.413516667</v>
      </c>
      <c r="F17" s="56">
        <f t="shared" si="5"/>
        <v>10467598.413516667</v>
      </c>
      <c r="G17" s="56">
        <f t="shared" si="5"/>
        <v>10397598.413516667</v>
      </c>
      <c r="H17" s="56">
        <f t="shared" si="5"/>
        <v>8707598.4135166667</v>
      </c>
      <c r="I17" s="56">
        <f t="shared" si="5"/>
        <v>6700598.4135166677</v>
      </c>
      <c r="J17" s="56">
        <f t="shared" si="5"/>
        <v>319153.35185000004</v>
      </c>
      <c r="K17" s="56">
        <f t="shared" si="5"/>
        <v>319153.35185000004</v>
      </c>
      <c r="L17" s="56">
        <f t="shared" si="5"/>
        <v>319153.35185000004</v>
      </c>
      <c r="M17" s="56">
        <f t="shared" si="5"/>
        <v>319153.35185000004</v>
      </c>
      <c r="N17" s="56">
        <f t="shared" si="5"/>
        <v>319153.35185000004</v>
      </c>
      <c r="O17" s="56">
        <f t="shared" si="5"/>
        <v>319153.35185000004</v>
      </c>
      <c r="P17" s="56">
        <f t="shared" si="5"/>
        <v>319153.35185000004</v>
      </c>
      <c r="Q17" s="56">
        <f t="shared" si="5"/>
        <v>319153.35185000004</v>
      </c>
      <c r="R17" s="56">
        <f t="shared" si="5"/>
        <v>319153.35185000004</v>
      </c>
      <c r="S17" s="56">
        <f t="shared" si="5"/>
        <v>319153.35185000004</v>
      </c>
    </row>
    <row r="19" spans="1:19">
      <c r="B19" s="11">
        <v>0</v>
      </c>
      <c r="C19" s="26" t="s">
        <v>87</v>
      </c>
    </row>
    <row r="20" spans="1:19" ht="14.65" thickBot="1">
      <c r="B20" s="11"/>
      <c r="C20" s="37" t="s">
        <v>88</v>
      </c>
      <c r="F20" s="51"/>
      <c r="G20" s="51">
        <f>Financial_Ag_Value_Added!O11</f>
        <v>17486730.327224724</v>
      </c>
      <c r="H20" s="51">
        <f>G20+(G20*2%)</f>
        <v>17836464.933769219</v>
      </c>
      <c r="I20" s="51">
        <f t="shared" ref="I20:S20" si="6">H20+(H20*2%)</f>
        <v>18193194.232444603</v>
      </c>
      <c r="J20" s="51">
        <f t="shared" si="6"/>
        <v>18557058.117093496</v>
      </c>
      <c r="K20" s="51">
        <f t="shared" si="6"/>
        <v>18928199.279435366</v>
      </c>
      <c r="L20" s="51">
        <f t="shared" si="6"/>
        <v>19306763.265024073</v>
      </c>
      <c r="M20" s="51">
        <f t="shared" si="6"/>
        <v>19692898.530324556</v>
      </c>
      <c r="N20" s="51">
        <f t="shared" si="6"/>
        <v>20086756.500931047</v>
      </c>
      <c r="O20" s="51">
        <f t="shared" si="6"/>
        <v>20488491.630949669</v>
      </c>
      <c r="P20" s="51">
        <f t="shared" si="6"/>
        <v>20898261.463568661</v>
      </c>
      <c r="Q20" s="51">
        <f t="shared" si="6"/>
        <v>21316226.692840036</v>
      </c>
      <c r="R20" s="51">
        <f t="shared" si="6"/>
        <v>21742551.226696838</v>
      </c>
      <c r="S20" s="51">
        <f t="shared" si="6"/>
        <v>22177402.251230776</v>
      </c>
    </row>
    <row r="21" spans="1:19" s="31" customFormat="1" ht="28.5">
      <c r="A21" s="30"/>
      <c r="C21" s="62" t="s">
        <v>89</v>
      </c>
      <c r="D21" s="32">
        <f t="shared" ref="D21:S21" si="7">SUM(D20:D20)</f>
        <v>0</v>
      </c>
      <c r="E21" s="32">
        <f t="shared" si="7"/>
        <v>0</v>
      </c>
      <c r="F21" s="32">
        <f t="shared" si="7"/>
        <v>0</v>
      </c>
      <c r="G21" s="54">
        <f t="shared" si="7"/>
        <v>17486730.327224724</v>
      </c>
      <c r="H21" s="54">
        <f t="shared" si="7"/>
        <v>17836464.933769219</v>
      </c>
      <c r="I21" s="54">
        <f t="shared" si="7"/>
        <v>18193194.232444603</v>
      </c>
      <c r="J21" s="54">
        <f t="shared" si="7"/>
        <v>18557058.117093496</v>
      </c>
      <c r="K21" s="54">
        <f t="shared" si="7"/>
        <v>18928199.279435366</v>
      </c>
      <c r="L21" s="54">
        <f t="shared" si="7"/>
        <v>19306763.265024073</v>
      </c>
      <c r="M21" s="54">
        <f t="shared" si="7"/>
        <v>19692898.530324556</v>
      </c>
      <c r="N21" s="54">
        <f t="shared" si="7"/>
        <v>20086756.500931047</v>
      </c>
      <c r="O21" s="54">
        <f t="shared" si="7"/>
        <v>20488491.630949669</v>
      </c>
      <c r="P21" s="54">
        <f t="shared" si="7"/>
        <v>20898261.463568661</v>
      </c>
      <c r="Q21" s="54">
        <f t="shared" si="7"/>
        <v>21316226.692840036</v>
      </c>
      <c r="R21" s="54">
        <f t="shared" si="7"/>
        <v>21742551.226696838</v>
      </c>
      <c r="S21" s="54">
        <f t="shared" si="7"/>
        <v>22177402.251230776</v>
      </c>
    </row>
    <row r="22" spans="1:19"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</row>
    <row r="23" spans="1:19"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</row>
    <row r="24" spans="1:19">
      <c r="C24" s="28" t="s">
        <v>6</v>
      </c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</row>
    <row r="25" spans="1:19">
      <c r="C25" s="37" t="s">
        <v>88</v>
      </c>
      <c r="D25" s="10">
        <f t="shared" ref="D25:S25" si="8">D21-D17</f>
        <v>-5581445.0616666675</v>
      </c>
      <c r="E25" s="10">
        <f t="shared" si="8"/>
        <v>-10957598.413516667</v>
      </c>
      <c r="F25" s="10">
        <f t="shared" si="8"/>
        <v>-10467598.413516667</v>
      </c>
      <c r="G25" s="10">
        <f t="shared" si="8"/>
        <v>7089131.9137080573</v>
      </c>
      <c r="H25" s="10">
        <f t="shared" si="8"/>
        <v>9128866.5202525519</v>
      </c>
      <c r="I25" s="10">
        <f t="shared" si="8"/>
        <v>11492595.818927936</v>
      </c>
      <c r="J25" s="10">
        <f t="shared" si="8"/>
        <v>18237904.765243497</v>
      </c>
      <c r="K25" s="10">
        <f t="shared" si="8"/>
        <v>18609045.927585367</v>
      </c>
      <c r="L25" s="10">
        <f t="shared" si="8"/>
        <v>18987609.913174074</v>
      </c>
      <c r="M25" s="10">
        <f t="shared" si="8"/>
        <v>19373745.178474557</v>
      </c>
      <c r="N25" s="10">
        <f t="shared" si="8"/>
        <v>19767603.149081048</v>
      </c>
      <c r="O25" s="10">
        <f t="shared" si="8"/>
        <v>20169338.279099669</v>
      </c>
      <c r="P25" s="10">
        <f t="shared" si="8"/>
        <v>20579108.111718662</v>
      </c>
      <c r="Q25" s="10">
        <f t="shared" si="8"/>
        <v>20997073.340990037</v>
      </c>
      <c r="R25" s="10">
        <f t="shared" si="8"/>
        <v>21423397.874846838</v>
      </c>
      <c r="S25" s="10">
        <f t="shared" si="8"/>
        <v>21858248.899380777</v>
      </c>
    </row>
    <row r="27" spans="1:19">
      <c r="C27" s="28" t="s">
        <v>7</v>
      </c>
      <c r="F27" s="12" t="s">
        <v>8</v>
      </c>
    </row>
    <row r="28" spans="1:19">
      <c r="C28" s="37" t="s">
        <v>88</v>
      </c>
      <c r="D28" s="13">
        <f>NPV(15%,D25:S25)</f>
        <v>35964455.544748284</v>
      </c>
      <c r="F28" s="14">
        <f>IRR(D25:S25)</f>
        <v>0.35418859633590727</v>
      </c>
      <c r="H28" s="13"/>
      <c r="I28" s="13"/>
    </row>
    <row r="30" spans="1:19">
      <c r="D30" s="10"/>
      <c r="H30" s="13"/>
    </row>
    <row r="31" spans="1:19">
      <c r="C31" s="98" t="s">
        <v>9</v>
      </c>
      <c r="D31" s="98"/>
      <c r="E31" s="98"/>
    </row>
    <row r="32" spans="1:19" s="16" customFormat="1">
      <c r="C32" s="29"/>
      <c r="D32" s="15"/>
      <c r="E32" s="15"/>
    </row>
    <row r="33" spans="3:19" s="16" customFormat="1">
      <c r="C33" s="94" t="s">
        <v>10</v>
      </c>
      <c r="D33" s="94"/>
      <c r="E33" s="94"/>
      <c r="F33" s="16">
        <v>1.2</v>
      </c>
    </row>
    <row r="35" spans="3:19">
      <c r="D35" s="2">
        <v>1</v>
      </c>
      <c r="E35" s="2">
        <v>2</v>
      </c>
      <c r="F35" s="2">
        <v>3</v>
      </c>
      <c r="G35" s="2">
        <v>4</v>
      </c>
      <c r="H35" s="2">
        <v>5</v>
      </c>
      <c r="I35" s="2">
        <v>6</v>
      </c>
      <c r="J35" s="2">
        <v>7</v>
      </c>
      <c r="K35" s="2">
        <v>8</v>
      </c>
      <c r="L35" s="2">
        <v>9</v>
      </c>
      <c r="M35" s="2">
        <v>10</v>
      </c>
      <c r="N35" s="2">
        <v>11</v>
      </c>
      <c r="O35" s="2">
        <v>12</v>
      </c>
      <c r="P35" s="2">
        <v>13</v>
      </c>
      <c r="Q35" s="2">
        <v>14</v>
      </c>
      <c r="R35" s="2">
        <v>15</v>
      </c>
      <c r="S35" s="2">
        <v>16</v>
      </c>
    </row>
    <row r="36" spans="3:19">
      <c r="C36" s="26" t="s">
        <v>3</v>
      </c>
    </row>
    <row r="37" spans="3:19">
      <c r="C37" s="23" t="s">
        <v>2</v>
      </c>
      <c r="D37" s="17">
        <f t="shared" ref="D37:S37" si="9">D17*$F$33</f>
        <v>6697734.074000001</v>
      </c>
      <c r="E37" s="17">
        <f t="shared" si="9"/>
        <v>13149118.09622</v>
      </c>
      <c r="F37" s="17">
        <f t="shared" si="9"/>
        <v>12561118.09622</v>
      </c>
      <c r="G37" s="17">
        <f t="shared" si="9"/>
        <v>12477118.09622</v>
      </c>
      <c r="H37" s="17">
        <f t="shared" si="9"/>
        <v>10449118.09622</v>
      </c>
      <c r="I37" s="17">
        <f t="shared" si="9"/>
        <v>8040718.0962200006</v>
      </c>
      <c r="J37" s="17">
        <f t="shared" si="9"/>
        <v>382984.02222000004</v>
      </c>
      <c r="K37" s="17">
        <f t="shared" si="9"/>
        <v>382984.02222000004</v>
      </c>
      <c r="L37" s="17">
        <f t="shared" si="9"/>
        <v>382984.02222000004</v>
      </c>
      <c r="M37" s="17">
        <f t="shared" si="9"/>
        <v>382984.02222000004</v>
      </c>
      <c r="N37" s="17">
        <f t="shared" si="9"/>
        <v>382984.02222000004</v>
      </c>
      <c r="O37" s="17">
        <f t="shared" si="9"/>
        <v>382984.02222000004</v>
      </c>
      <c r="P37" s="17">
        <f t="shared" si="9"/>
        <v>382984.02222000004</v>
      </c>
      <c r="Q37" s="17">
        <f t="shared" si="9"/>
        <v>382984.02222000004</v>
      </c>
      <c r="R37" s="17">
        <f t="shared" si="9"/>
        <v>382984.02222000004</v>
      </c>
      <c r="S37" s="17">
        <f t="shared" si="9"/>
        <v>382984.02222000004</v>
      </c>
    </row>
    <row r="39" spans="3:19">
      <c r="C39" s="26" t="s">
        <v>5</v>
      </c>
      <c r="D39" s="93"/>
      <c r="E39" s="93"/>
      <c r="F39" s="93"/>
      <c r="G39" s="93"/>
      <c r="H39" s="93"/>
      <c r="I39" s="93"/>
      <c r="J39" s="93"/>
      <c r="K39" s="93"/>
    </row>
    <row r="40" spans="3:19">
      <c r="C40" s="37" t="s">
        <v>88</v>
      </c>
      <c r="D40" s="18">
        <f t="shared" ref="D40:S40" si="10">D21</f>
        <v>0</v>
      </c>
      <c r="E40" s="18">
        <f t="shared" si="10"/>
        <v>0</v>
      </c>
      <c r="F40" s="18">
        <f t="shared" si="10"/>
        <v>0</v>
      </c>
      <c r="G40" s="18">
        <f t="shared" si="10"/>
        <v>17486730.327224724</v>
      </c>
      <c r="H40" s="18">
        <f t="shared" si="10"/>
        <v>17836464.933769219</v>
      </c>
      <c r="I40" s="18">
        <f t="shared" si="10"/>
        <v>18193194.232444603</v>
      </c>
      <c r="J40" s="18">
        <f t="shared" si="10"/>
        <v>18557058.117093496</v>
      </c>
      <c r="K40" s="18">
        <f t="shared" si="10"/>
        <v>18928199.279435366</v>
      </c>
      <c r="L40" s="18">
        <f t="shared" si="10"/>
        <v>19306763.265024073</v>
      </c>
      <c r="M40" s="18">
        <f t="shared" si="10"/>
        <v>19692898.530324556</v>
      </c>
      <c r="N40" s="18">
        <f t="shared" si="10"/>
        <v>20086756.500931047</v>
      </c>
      <c r="O40" s="18">
        <f t="shared" si="10"/>
        <v>20488491.630949669</v>
      </c>
      <c r="P40" s="18">
        <f t="shared" si="10"/>
        <v>20898261.463568661</v>
      </c>
      <c r="Q40" s="18">
        <f t="shared" si="10"/>
        <v>21316226.692840036</v>
      </c>
      <c r="R40" s="18">
        <f t="shared" si="10"/>
        <v>21742551.226696838</v>
      </c>
      <c r="S40" s="18">
        <f t="shared" si="10"/>
        <v>22177402.251230776</v>
      </c>
    </row>
    <row r="41" spans="3:19"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</row>
    <row r="42" spans="3:19">
      <c r="C42" s="28" t="s">
        <v>6</v>
      </c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</row>
    <row r="43" spans="3:19">
      <c r="C43" s="37" t="s">
        <v>88</v>
      </c>
      <c r="D43" s="6">
        <f t="shared" ref="D43:S43" si="11">D40-D37</f>
        <v>-6697734.074000001</v>
      </c>
      <c r="E43" s="6">
        <f t="shared" si="11"/>
        <v>-13149118.09622</v>
      </c>
      <c r="F43" s="6">
        <f t="shared" si="11"/>
        <v>-12561118.09622</v>
      </c>
      <c r="G43" s="6">
        <f t="shared" si="11"/>
        <v>5009612.2310047243</v>
      </c>
      <c r="H43" s="6">
        <f t="shared" si="11"/>
        <v>7387346.8375492189</v>
      </c>
      <c r="I43" s="6">
        <f t="shared" si="11"/>
        <v>10152476.136224601</v>
      </c>
      <c r="J43" s="6">
        <f t="shared" si="11"/>
        <v>18174074.094873495</v>
      </c>
      <c r="K43" s="6">
        <f t="shared" si="11"/>
        <v>18545215.257215366</v>
      </c>
      <c r="L43" s="6">
        <f t="shared" si="11"/>
        <v>18923779.242804073</v>
      </c>
      <c r="M43" s="6">
        <f t="shared" si="11"/>
        <v>19309914.508104555</v>
      </c>
      <c r="N43" s="6">
        <f t="shared" si="11"/>
        <v>19703772.478711046</v>
      </c>
      <c r="O43" s="6">
        <f t="shared" si="11"/>
        <v>20105507.608729668</v>
      </c>
      <c r="P43" s="6">
        <f t="shared" si="11"/>
        <v>20515277.441348661</v>
      </c>
      <c r="Q43" s="6">
        <f t="shared" si="11"/>
        <v>20933242.670620035</v>
      </c>
      <c r="R43" s="6">
        <f t="shared" si="11"/>
        <v>21359567.204476837</v>
      </c>
      <c r="S43" s="6">
        <f t="shared" si="11"/>
        <v>21794418.229010776</v>
      </c>
    </row>
    <row r="44" spans="3:19"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</row>
    <row r="45" spans="3:19">
      <c r="C45" s="28" t="s">
        <v>7</v>
      </c>
      <c r="D45" s="6"/>
      <c r="E45" s="6"/>
      <c r="F45" s="12" t="s">
        <v>8</v>
      </c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</row>
    <row r="46" spans="3:19">
      <c r="C46" s="37" t="s">
        <v>88</v>
      </c>
      <c r="D46" s="6">
        <f>NPV(15%,D43:S43)</f>
        <v>29187459.888288122</v>
      </c>
      <c r="E46" s="6"/>
      <c r="F46" s="14">
        <f>IRR(D43:S43)</f>
        <v>0.29392415533891203</v>
      </c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</row>
    <row r="48" spans="3:19">
      <c r="C48" s="94" t="s">
        <v>11</v>
      </c>
      <c r="D48" s="94"/>
      <c r="E48" s="94"/>
      <c r="F48" s="2">
        <v>0.8</v>
      </c>
    </row>
    <row r="50" spans="3:19">
      <c r="D50" s="2">
        <v>1</v>
      </c>
      <c r="E50" s="2">
        <v>2</v>
      </c>
      <c r="F50" s="2">
        <v>3</v>
      </c>
      <c r="G50" s="2">
        <v>4</v>
      </c>
      <c r="H50" s="2">
        <v>5</v>
      </c>
      <c r="I50" s="2">
        <v>6</v>
      </c>
      <c r="J50" s="2">
        <v>7</v>
      </c>
      <c r="K50" s="2">
        <v>8</v>
      </c>
      <c r="L50" s="2">
        <v>9</v>
      </c>
      <c r="M50" s="2">
        <v>10</v>
      </c>
      <c r="N50" s="2">
        <v>11</v>
      </c>
      <c r="O50" s="2">
        <v>12</v>
      </c>
      <c r="P50" s="2">
        <v>13</v>
      </c>
      <c r="Q50" s="2">
        <v>14</v>
      </c>
      <c r="R50" s="2">
        <v>15</v>
      </c>
      <c r="S50" s="2">
        <v>16</v>
      </c>
    </row>
    <row r="51" spans="3:19">
      <c r="C51" s="26" t="s">
        <v>3</v>
      </c>
    </row>
    <row r="52" spans="3:19">
      <c r="C52" s="23" t="s">
        <v>2</v>
      </c>
      <c r="D52" s="6">
        <f t="shared" ref="D52:S52" si="12">D17</f>
        <v>5581445.0616666675</v>
      </c>
      <c r="E52" s="6">
        <f t="shared" si="12"/>
        <v>10957598.413516667</v>
      </c>
      <c r="F52" s="6">
        <f t="shared" si="12"/>
        <v>10467598.413516667</v>
      </c>
      <c r="G52" s="6">
        <f t="shared" si="12"/>
        <v>10397598.413516667</v>
      </c>
      <c r="H52" s="6">
        <f t="shared" si="12"/>
        <v>8707598.4135166667</v>
      </c>
      <c r="I52" s="6">
        <f t="shared" si="12"/>
        <v>6700598.4135166677</v>
      </c>
      <c r="J52" s="6">
        <f t="shared" si="12"/>
        <v>319153.35185000004</v>
      </c>
      <c r="K52" s="6">
        <f t="shared" si="12"/>
        <v>319153.35185000004</v>
      </c>
      <c r="L52" s="6">
        <f t="shared" si="12"/>
        <v>319153.35185000004</v>
      </c>
      <c r="M52" s="6">
        <f t="shared" si="12"/>
        <v>319153.35185000004</v>
      </c>
      <c r="N52" s="6">
        <f t="shared" si="12"/>
        <v>319153.35185000004</v>
      </c>
      <c r="O52" s="6">
        <f t="shared" si="12"/>
        <v>319153.35185000004</v>
      </c>
      <c r="P52" s="6">
        <f t="shared" si="12"/>
        <v>319153.35185000004</v>
      </c>
      <c r="Q52" s="6">
        <f t="shared" si="12"/>
        <v>319153.35185000004</v>
      </c>
      <c r="R52" s="6">
        <f t="shared" si="12"/>
        <v>319153.35185000004</v>
      </c>
      <c r="S52" s="6">
        <f t="shared" si="12"/>
        <v>319153.35185000004</v>
      </c>
    </row>
    <row r="54" spans="3:19">
      <c r="C54" s="26" t="s">
        <v>5</v>
      </c>
      <c r="D54" s="93"/>
      <c r="E54" s="93"/>
      <c r="F54" s="93"/>
      <c r="G54" s="93"/>
      <c r="H54" s="93"/>
      <c r="I54" s="93"/>
      <c r="J54" s="93"/>
      <c r="K54" s="93"/>
    </row>
    <row r="55" spans="3:19">
      <c r="C55" s="37" t="s">
        <v>88</v>
      </c>
      <c r="D55" s="19">
        <f t="shared" ref="D55:R55" si="13">D40*$F$48</f>
        <v>0</v>
      </c>
      <c r="E55" s="19">
        <f t="shared" si="13"/>
        <v>0</v>
      </c>
      <c r="F55" s="19">
        <f t="shared" si="13"/>
        <v>0</v>
      </c>
      <c r="G55" s="19">
        <f t="shared" si="13"/>
        <v>13989384.26177978</v>
      </c>
      <c r="H55" s="19">
        <f t="shared" si="13"/>
        <v>14269171.947015375</v>
      </c>
      <c r="I55" s="19">
        <f t="shared" si="13"/>
        <v>14554555.385955684</v>
      </c>
      <c r="J55" s="19">
        <f t="shared" si="13"/>
        <v>14845646.493674798</v>
      </c>
      <c r="K55" s="19">
        <f t="shared" si="13"/>
        <v>15142559.423548294</v>
      </c>
      <c r="L55" s="19">
        <f t="shared" si="13"/>
        <v>15445410.612019259</v>
      </c>
      <c r="M55" s="19">
        <f t="shared" si="13"/>
        <v>15754318.824259646</v>
      </c>
      <c r="N55" s="19">
        <f t="shared" si="13"/>
        <v>16069405.200744838</v>
      </c>
      <c r="O55" s="19">
        <f t="shared" si="13"/>
        <v>16390793.304759735</v>
      </c>
      <c r="P55" s="19">
        <f t="shared" si="13"/>
        <v>16718609.17085493</v>
      </c>
      <c r="Q55" s="19">
        <f t="shared" si="13"/>
        <v>17052981.35427203</v>
      </c>
      <c r="R55" s="19">
        <f t="shared" si="13"/>
        <v>17394040.98135747</v>
      </c>
      <c r="S55" s="19">
        <f>S40*$F$48</f>
        <v>17741921.800984621</v>
      </c>
    </row>
    <row r="56" spans="3:19"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</row>
    <row r="57" spans="3:19">
      <c r="C57" s="28" t="s">
        <v>6</v>
      </c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</row>
    <row r="58" spans="3:19">
      <c r="C58" s="37" t="s">
        <v>88</v>
      </c>
      <c r="D58" s="6">
        <f t="shared" ref="D58:S58" si="14">D55-D52</f>
        <v>-5581445.0616666675</v>
      </c>
      <c r="E58" s="6">
        <f t="shared" si="14"/>
        <v>-10957598.413516667</v>
      </c>
      <c r="F58" s="6">
        <f t="shared" si="14"/>
        <v>-10467598.413516667</v>
      </c>
      <c r="G58" s="6">
        <f t="shared" si="14"/>
        <v>3591785.8482631128</v>
      </c>
      <c r="H58" s="6">
        <f t="shared" si="14"/>
        <v>5561573.5334987082</v>
      </c>
      <c r="I58" s="6">
        <f t="shared" si="14"/>
        <v>7853956.9724390162</v>
      </c>
      <c r="J58" s="6">
        <f t="shared" si="14"/>
        <v>14526493.141824799</v>
      </c>
      <c r="K58" s="6">
        <f t="shared" si="14"/>
        <v>14823406.071698295</v>
      </c>
      <c r="L58" s="6">
        <f t="shared" si="14"/>
        <v>15126257.26016926</v>
      </c>
      <c r="M58" s="6">
        <f t="shared" si="14"/>
        <v>15435165.472409647</v>
      </c>
      <c r="N58" s="6">
        <f t="shared" si="14"/>
        <v>15750251.848894838</v>
      </c>
      <c r="O58" s="6">
        <f t="shared" si="14"/>
        <v>16071639.952909736</v>
      </c>
      <c r="P58" s="6">
        <f t="shared" si="14"/>
        <v>16399455.819004931</v>
      </c>
      <c r="Q58" s="6">
        <f t="shared" si="14"/>
        <v>16733828.002422031</v>
      </c>
      <c r="R58" s="6">
        <f t="shared" si="14"/>
        <v>17074887.629507471</v>
      </c>
      <c r="S58" s="6">
        <f t="shared" si="14"/>
        <v>17422768.449134622</v>
      </c>
    </row>
    <row r="59" spans="3:19"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</row>
    <row r="60" spans="3:19">
      <c r="C60" s="28" t="s">
        <v>7</v>
      </c>
      <c r="D60" s="6"/>
      <c r="E60" s="6"/>
      <c r="F60" s="12" t="s">
        <v>8</v>
      </c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</row>
    <row r="61" spans="3:19">
      <c r="C61" s="37" t="s">
        <v>88</v>
      </c>
      <c r="D61" s="6">
        <f>NPV(15%,D58:S58)</f>
        <v>21994568.779338475</v>
      </c>
      <c r="E61" s="6"/>
      <c r="F61" s="14">
        <f>IRR(D58:S58)</f>
        <v>0.28134761409234743</v>
      </c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</row>
    <row r="63" spans="3:19">
      <c r="C63" s="94" t="s">
        <v>12</v>
      </c>
      <c r="D63" s="94"/>
      <c r="E63" s="94"/>
    </row>
    <row r="65" spans="3:19">
      <c r="D65" s="2">
        <v>1</v>
      </c>
      <c r="E65" s="2">
        <v>2</v>
      </c>
      <c r="F65" s="2">
        <v>3</v>
      </c>
      <c r="G65" s="2">
        <v>4</v>
      </c>
      <c r="H65" s="2">
        <v>5</v>
      </c>
      <c r="I65" s="2">
        <v>6</v>
      </c>
      <c r="J65" s="2">
        <v>7</v>
      </c>
      <c r="K65" s="2">
        <v>8</v>
      </c>
      <c r="L65" s="2">
        <v>9</v>
      </c>
      <c r="M65" s="2">
        <v>10</v>
      </c>
      <c r="N65" s="2">
        <v>11</v>
      </c>
      <c r="O65" s="2">
        <v>12</v>
      </c>
      <c r="P65" s="2">
        <v>13</v>
      </c>
      <c r="Q65" s="2">
        <v>14</v>
      </c>
      <c r="R65" s="2">
        <v>15</v>
      </c>
      <c r="S65" s="2">
        <v>16</v>
      </c>
    </row>
    <row r="66" spans="3:19">
      <c r="C66" s="26" t="s">
        <v>3</v>
      </c>
    </row>
    <row r="67" spans="3:19">
      <c r="C67" s="23" t="s">
        <v>2</v>
      </c>
      <c r="D67" s="6">
        <f t="shared" ref="D67:S67" si="15">D37</f>
        <v>6697734.074000001</v>
      </c>
      <c r="E67" s="6">
        <f t="shared" si="15"/>
        <v>13149118.09622</v>
      </c>
      <c r="F67" s="6">
        <f t="shared" si="15"/>
        <v>12561118.09622</v>
      </c>
      <c r="G67" s="6">
        <f t="shared" si="15"/>
        <v>12477118.09622</v>
      </c>
      <c r="H67" s="6">
        <f t="shared" si="15"/>
        <v>10449118.09622</v>
      </c>
      <c r="I67" s="6">
        <f t="shared" si="15"/>
        <v>8040718.0962200006</v>
      </c>
      <c r="J67" s="6">
        <f t="shared" si="15"/>
        <v>382984.02222000004</v>
      </c>
      <c r="K67" s="6">
        <f t="shared" si="15"/>
        <v>382984.02222000004</v>
      </c>
      <c r="L67" s="6">
        <f t="shared" si="15"/>
        <v>382984.02222000004</v>
      </c>
      <c r="M67" s="6">
        <f t="shared" si="15"/>
        <v>382984.02222000004</v>
      </c>
      <c r="N67" s="6">
        <f t="shared" si="15"/>
        <v>382984.02222000004</v>
      </c>
      <c r="O67" s="6">
        <f t="shared" si="15"/>
        <v>382984.02222000004</v>
      </c>
      <c r="P67" s="6">
        <f t="shared" si="15"/>
        <v>382984.02222000004</v>
      </c>
      <c r="Q67" s="6">
        <f t="shared" si="15"/>
        <v>382984.02222000004</v>
      </c>
      <c r="R67" s="6">
        <f t="shared" si="15"/>
        <v>382984.02222000004</v>
      </c>
      <c r="S67" s="6">
        <f t="shared" si="15"/>
        <v>382984.02222000004</v>
      </c>
    </row>
    <row r="69" spans="3:19">
      <c r="C69" s="26" t="s">
        <v>5</v>
      </c>
      <c r="D69" s="93"/>
      <c r="E69" s="93"/>
      <c r="F69" s="93"/>
      <c r="G69" s="93"/>
      <c r="H69" s="93"/>
      <c r="I69" s="93"/>
      <c r="J69" s="93"/>
      <c r="K69" s="93"/>
    </row>
    <row r="70" spans="3:19">
      <c r="C70" s="37" t="s">
        <v>88</v>
      </c>
      <c r="D70" s="6">
        <f t="shared" ref="D70:S70" si="16">D55</f>
        <v>0</v>
      </c>
      <c r="E70" s="6">
        <f t="shared" si="16"/>
        <v>0</v>
      </c>
      <c r="F70" s="6">
        <f t="shared" si="16"/>
        <v>0</v>
      </c>
      <c r="G70" s="6">
        <f t="shared" si="16"/>
        <v>13989384.26177978</v>
      </c>
      <c r="H70" s="6">
        <f t="shared" si="16"/>
        <v>14269171.947015375</v>
      </c>
      <c r="I70" s="6">
        <f t="shared" si="16"/>
        <v>14554555.385955684</v>
      </c>
      <c r="J70" s="6">
        <f t="shared" si="16"/>
        <v>14845646.493674798</v>
      </c>
      <c r="K70" s="6">
        <f t="shared" si="16"/>
        <v>15142559.423548294</v>
      </c>
      <c r="L70" s="6">
        <f t="shared" si="16"/>
        <v>15445410.612019259</v>
      </c>
      <c r="M70" s="6">
        <f t="shared" si="16"/>
        <v>15754318.824259646</v>
      </c>
      <c r="N70" s="6">
        <f t="shared" si="16"/>
        <v>16069405.200744838</v>
      </c>
      <c r="O70" s="6">
        <f t="shared" si="16"/>
        <v>16390793.304759735</v>
      </c>
      <c r="P70" s="6">
        <f t="shared" si="16"/>
        <v>16718609.17085493</v>
      </c>
      <c r="Q70" s="6">
        <f t="shared" si="16"/>
        <v>17052981.35427203</v>
      </c>
      <c r="R70" s="6">
        <f t="shared" si="16"/>
        <v>17394040.98135747</v>
      </c>
      <c r="S70" s="6">
        <f t="shared" si="16"/>
        <v>17741921.800984621</v>
      </c>
    </row>
    <row r="71" spans="3:19"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</row>
    <row r="72" spans="3:19">
      <c r="C72" s="28" t="s">
        <v>6</v>
      </c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</row>
    <row r="73" spans="3:19">
      <c r="C73" s="37" t="s">
        <v>88</v>
      </c>
      <c r="D73" s="6">
        <f t="shared" ref="D73:S73" si="17">D70-D67</f>
        <v>-6697734.074000001</v>
      </c>
      <c r="E73" s="6">
        <f t="shared" si="17"/>
        <v>-13149118.09622</v>
      </c>
      <c r="F73" s="6">
        <f t="shared" si="17"/>
        <v>-12561118.09622</v>
      </c>
      <c r="G73" s="6">
        <f t="shared" si="17"/>
        <v>1512266.1655597799</v>
      </c>
      <c r="H73" s="6">
        <f t="shared" si="17"/>
        <v>3820053.8507953752</v>
      </c>
      <c r="I73" s="6">
        <f t="shared" si="17"/>
        <v>6513837.2897356832</v>
      </c>
      <c r="J73" s="6">
        <f t="shared" si="17"/>
        <v>14462662.471454797</v>
      </c>
      <c r="K73" s="6">
        <f t="shared" si="17"/>
        <v>14759575.401328294</v>
      </c>
      <c r="L73" s="6">
        <f t="shared" si="17"/>
        <v>15062426.589799259</v>
      </c>
      <c r="M73" s="6">
        <f t="shared" si="17"/>
        <v>15371334.802039646</v>
      </c>
      <c r="N73" s="6">
        <f t="shared" si="17"/>
        <v>15686421.178524837</v>
      </c>
      <c r="O73" s="6">
        <f t="shared" si="17"/>
        <v>16007809.282539735</v>
      </c>
      <c r="P73" s="6">
        <f t="shared" si="17"/>
        <v>16335625.148634929</v>
      </c>
      <c r="Q73" s="6">
        <f t="shared" si="17"/>
        <v>16669997.33205203</v>
      </c>
      <c r="R73" s="6">
        <f t="shared" si="17"/>
        <v>17011056.95913747</v>
      </c>
      <c r="S73" s="6">
        <f t="shared" si="17"/>
        <v>17358937.77876462</v>
      </c>
    </row>
    <row r="74" spans="3:19"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</row>
    <row r="75" spans="3:19">
      <c r="C75" s="28" t="s">
        <v>7</v>
      </c>
      <c r="D75" s="6"/>
      <c r="E75" s="6"/>
      <c r="F75" s="12" t="s">
        <v>8</v>
      </c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</row>
    <row r="76" spans="3:19">
      <c r="C76" s="37" t="s">
        <v>88</v>
      </c>
      <c r="D76" s="6">
        <f>NPV(15%, D73:S73)</f>
        <v>15217573.122878315</v>
      </c>
      <c r="E76" s="6"/>
      <c r="F76" s="14">
        <f>IRR(D73:S73)</f>
        <v>0.22889228868756728</v>
      </c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</row>
    <row r="79" spans="3:19" ht="14.65" thickBot="1"/>
    <row r="80" spans="3:19" ht="14.65" thickBot="1">
      <c r="C80" s="20"/>
      <c r="D80" s="37" t="s">
        <v>7</v>
      </c>
      <c r="E80" s="37" t="s">
        <v>8</v>
      </c>
      <c r="F80" s="63" t="s">
        <v>90</v>
      </c>
    </row>
    <row r="81" spans="3:6" ht="14.65" thickBot="1">
      <c r="C81" s="21" t="s">
        <v>13</v>
      </c>
      <c r="D81" s="22">
        <f>D28</f>
        <v>35964455.544748284</v>
      </c>
      <c r="E81" s="40">
        <f>F28</f>
        <v>0.35418859633590727</v>
      </c>
      <c r="F81" s="40">
        <v>0.15</v>
      </c>
    </row>
    <row r="82" spans="3:6" ht="14.65" thickBot="1">
      <c r="C82" s="21" t="s">
        <v>54</v>
      </c>
      <c r="D82" s="22">
        <f>D46</f>
        <v>29187459.888288122</v>
      </c>
      <c r="E82" s="40">
        <f>F46</f>
        <v>0.29392415533891203</v>
      </c>
      <c r="F82" s="40">
        <v>0.15</v>
      </c>
    </row>
    <row r="83" spans="3:6" ht="14.65" thickBot="1">
      <c r="C83" s="21" t="s">
        <v>55</v>
      </c>
      <c r="D83" s="22">
        <f>D61</f>
        <v>21994568.779338475</v>
      </c>
      <c r="E83" s="40">
        <f>F61</f>
        <v>0.28134761409234743</v>
      </c>
      <c r="F83" s="40">
        <v>0.15</v>
      </c>
    </row>
    <row r="84" spans="3:6" ht="14.65" thickBot="1">
      <c r="C84" s="21" t="s">
        <v>56</v>
      </c>
      <c r="D84" s="22">
        <f>D76</f>
        <v>15217573.122878315</v>
      </c>
      <c r="E84" s="40">
        <f>F76</f>
        <v>0.22889228868756728</v>
      </c>
      <c r="F84" s="40">
        <v>0.15</v>
      </c>
    </row>
  </sheetData>
  <mergeCells count="9">
    <mergeCell ref="D54:K54"/>
    <mergeCell ref="C63:E63"/>
    <mergeCell ref="D69:K69"/>
    <mergeCell ref="E3:H3"/>
    <mergeCell ref="C4:D4"/>
    <mergeCell ref="C31:E31"/>
    <mergeCell ref="C33:E33"/>
    <mergeCell ref="D39:K39"/>
    <mergeCell ref="C48:E48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0979F12F22C9E4F9273E32F354CEDB7" ma:contentTypeVersion="14" ma:contentTypeDescription="Create a new document." ma:contentTypeScope="" ma:versionID="20e30d4e9bb08fd08cde126d5a8214c5">
  <xsd:schema xmlns:xsd="http://www.w3.org/2001/XMLSchema" xmlns:xs="http://www.w3.org/2001/XMLSchema" xmlns:p="http://schemas.microsoft.com/office/2006/metadata/properties" xmlns:ns2="366ae72f-6d51-4737-8f6b-a9169c366b64" xmlns:ns3="a3cd7b71-671d-4139-9a97-5d1a7380fae4" targetNamespace="http://schemas.microsoft.com/office/2006/metadata/properties" ma:root="true" ma:fieldsID="1e4dae1d9d17e89866f720decb35dab9" ns2:_="" ns3:_="">
    <xsd:import namespace="366ae72f-6d51-4737-8f6b-a9169c366b64"/>
    <xsd:import namespace="a3cd7b71-671d-4139-9a97-5d1a7380fae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file_x0020_" minOccurs="0"/>
                <xsd:element ref="ns2:remark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6ae72f-6d51-4737-8f6b-a9169c366b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description="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file_x0020_" ma:index="16" nillable="true" ma:displayName="file " ma:format="Dropdown" ma:internalName="file_x0020_" ma:percentage="FALSE">
      <xsd:simpleType>
        <xsd:restriction base="dms:Number"/>
      </xsd:simpleType>
    </xsd:element>
    <xsd:element name="remarks" ma:index="17" nillable="true" ma:displayName="remarks" ma:format="Dropdown" ma:internalName="remarks">
      <xsd:simpleType>
        <xsd:restriction base="dms:Text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cd7b71-671d-4139-9a97-5d1a7380fae4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remarks xmlns="366ae72f-6d51-4737-8f6b-a9169c366b64" xsi:nil="true"/>
    <file_x0020_ xmlns="366ae72f-6d51-4737-8f6b-a9169c366b64" xsi:nil="true"/>
  </documentManagement>
</p:properties>
</file>

<file path=customXml/itemProps1.xml><?xml version="1.0" encoding="utf-8"?>
<ds:datastoreItem xmlns:ds="http://schemas.openxmlformats.org/officeDocument/2006/customXml" ds:itemID="{70EDB610-342E-45A0-9308-E2286EDF9F9E}"/>
</file>

<file path=customXml/itemProps2.xml><?xml version="1.0" encoding="utf-8"?>
<ds:datastoreItem xmlns:ds="http://schemas.openxmlformats.org/officeDocument/2006/customXml" ds:itemID="{A75FB40D-7534-4A8B-97BB-74C72CD956BF}"/>
</file>

<file path=customXml/itemProps3.xml><?xml version="1.0" encoding="utf-8"?>
<ds:datastoreItem xmlns:ds="http://schemas.openxmlformats.org/officeDocument/2006/customXml" ds:itemID="{23DB1380-2FD3-4FCC-ADB9-033BE40E78A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CBA Results</vt:lpstr>
      <vt:lpstr>Emission Reduction Summary</vt:lpstr>
      <vt:lpstr>Economic cost of project</vt:lpstr>
      <vt:lpstr>Ag Value added</vt:lpstr>
      <vt:lpstr>Output breakdown</vt:lpstr>
      <vt:lpstr>Financial_Ag_Value_Added</vt:lpstr>
      <vt:lpstr>Financial_Analysis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Babatunde</dc:creator>
  <cp:lastModifiedBy>babidoye</cp:lastModifiedBy>
  <dcterms:created xsi:type="dcterms:W3CDTF">2019-01-26T18:46:01Z</dcterms:created>
  <dcterms:modified xsi:type="dcterms:W3CDTF">2021-01-24T14:39:56Z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0x01010000979F12F22C9E4F9273E32F354CEDB7</vt:lpwstr>
  </property>
</Properties>
</file>