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ttps://unfao.sharepoint.com/sites/GCF/Shared Documents/GCF/4_TEMPORARY_FILES/Congo/Board submssion Feb2021/Annex 4 Detailed Budget Plan/"/>
    </mc:Choice>
  </mc:AlternateContent>
  <bookViews>
    <workbookView xWindow="0" yWindow="0" windowWidth="19200" windowHeight="6470"/>
  </bookViews>
  <sheets>
    <sheet name="Sheet2" sheetId="2" r:id="rId1"/>
    <sheet name="Notes and assumptions" sheetId="3" r:id="rId2"/>
  </sheets>
  <definedNames>
    <definedName name="_xlnm._FilterDatabase" localSheetId="0" hidden="1">Sheet2!$A$4:$T$154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160" i="2" l="1"/>
  <c r="Q160" i="2"/>
  <c r="P160" i="2"/>
  <c r="O160" i="2"/>
  <c r="N160" i="2"/>
  <c r="M160" i="2"/>
  <c r="L160" i="2"/>
  <c r="K160" i="2"/>
  <c r="J160" i="2"/>
  <c r="S94" i="2" l="1"/>
  <c r="P67" i="2" l="1"/>
  <c r="J67" i="2"/>
  <c r="R108" i="2"/>
  <c r="M49" i="2"/>
  <c r="J49" i="2"/>
  <c r="O48" i="2"/>
  <c r="J48" i="2"/>
  <c r="J104" i="2"/>
  <c r="K104" i="2"/>
  <c r="R64" i="2" l="1"/>
  <c r="I64" i="2" l="1"/>
  <c r="K87" i="2" l="1"/>
  <c r="L87" i="2"/>
  <c r="M87" i="2"/>
  <c r="N87" i="2"/>
  <c r="O87" i="2"/>
  <c r="P87" i="2"/>
  <c r="Q87" i="2"/>
  <c r="J87" i="2"/>
  <c r="R86" i="2"/>
  <c r="H86" i="2" l="1"/>
  <c r="R137" i="2"/>
  <c r="R72" i="2"/>
  <c r="T72" i="2" s="1"/>
  <c r="R132" i="2"/>
  <c r="R131" i="2"/>
  <c r="N13" i="2"/>
  <c r="L104" i="2"/>
  <c r="N104" i="2"/>
  <c r="M104" i="2"/>
  <c r="P48" i="2"/>
  <c r="J13" i="2"/>
  <c r="M103" i="2"/>
  <c r="L103" i="2"/>
  <c r="K103" i="2"/>
  <c r="J103" i="2"/>
  <c r="N36" i="2"/>
  <c r="M36" i="2"/>
  <c r="L36" i="2"/>
  <c r="R29" i="2" l="1"/>
  <c r="J62" i="2"/>
  <c r="J28" i="2"/>
  <c r="H29" i="2" l="1"/>
  <c r="K49" i="2"/>
  <c r="Q17" i="2"/>
  <c r="P17" i="2"/>
  <c r="O17" i="2"/>
  <c r="N17" i="2"/>
  <c r="M17" i="2"/>
  <c r="L17" i="2"/>
  <c r="K17" i="2"/>
  <c r="J17" i="2"/>
  <c r="P37" i="2"/>
  <c r="O37" i="2"/>
  <c r="N37" i="2"/>
  <c r="M37" i="2"/>
  <c r="L37" i="2"/>
  <c r="K37" i="2"/>
  <c r="P76" i="2"/>
  <c r="O76" i="2"/>
  <c r="N76" i="2"/>
  <c r="M76" i="2"/>
  <c r="L76" i="2"/>
  <c r="K76" i="2"/>
  <c r="J52" i="2"/>
  <c r="Q52" i="2"/>
  <c r="R37" i="2" l="1"/>
  <c r="R17" i="2"/>
  <c r="K11" i="2"/>
  <c r="L11" i="2"/>
  <c r="M11" i="2"/>
  <c r="N11" i="2"/>
  <c r="O11" i="2"/>
  <c r="P11" i="2"/>
  <c r="Q11" i="2"/>
  <c r="J11" i="2"/>
  <c r="I17" i="2" l="1"/>
  <c r="I37" i="2"/>
  <c r="R75" i="2"/>
  <c r="P52" i="2"/>
  <c r="J123" i="2"/>
  <c r="R117" i="2"/>
  <c r="H117" i="2" l="1"/>
  <c r="P13" i="2"/>
  <c r="J120" i="2"/>
  <c r="Q100" i="2"/>
  <c r="Q101" i="2" s="1"/>
  <c r="P100" i="2"/>
  <c r="P101" i="2" s="1"/>
  <c r="O100" i="2"/>
  <c r="O101" i="2" s="1"/>
  <c r="N100" i="2"/>
  <c r="N101" i="2" s="1"/>
  <c r="M100" i="2"/>
  <c r="M101" i="2" s="1"/>
  <c r="L100" i="2"/>
  <c r="L101" i="2" s="1"/>
  <c r="K100" i="2"/>
  <c r="K101" i="2" s="1"/>
  <c r="J100" i="2"/>
  <c r="J101" i="2" s="1"/>
  <c r="R99" i="2"/>
  <c r="R98" i="2"/>
  <c r="R92" i="2"/>
  <c r="Q71" i="2"/>
  <c r="P71" i="2"/>
  <c r="O71" i="2"/>
  <c r="N71" i="2"/>
  <c r="M71" i="2"/>
  <c r="L71" i="2"/>
  <c r="K71" i="2"/>
  <c r="J71" i="2"/>
  <c r="R91" i="2"/>
  <c r="R76" i="2"/>
  <c r="Q36" i="2"/>
  <c r="P36" i="2"/>
  <c r="O13" i="2"/>
  <c r="I76" i="2" l="1"/>
  <c r="R100" i="2"/>
  <c r="R59" i="2"/>
  <c r="J60" i="2"/>
  <c r="R60" i="2" s="1"/>
  <c r="R101" i="2" l="1"/>
  <c r="R12" i="2"/>
  <c r="K13" i="2"/>
  <c r="L13" i="2"/>
  <c r="M13" i="2"/>
  <c r="R14" i="2"/>
  <c r="J15" i="2"/>
  <c r="K15" i="2"/>
  <c r="L15" i="2"/>
  <c r="M15" i="2"/>
  <c r="N15" i="2"/>
  <c r="N20" i="2" s="1"/>
  <c r="N21" i="2" s="1"/>
  <c r="O15" i="2"/>
  <c r="O20" i="2" s="1"/>
  <c r="O21" i="2" s="1"/>
  <c r="P15" i="2"/>
  <c r="P20" i="2" s="1"/>
  <c r="P21" i="2" s="1"/>
  <c r="Q15" i="2"/>
  <c r="Q20" i="2" s="1"/>
  <c r="Q21" i="2" s="1"/>
  <c r="M20" i="2" l="1"/>
  <c r="M21" i="2" s="1"/>
  <c r="J20" i="2"/>
  <c r="J21" i="2" s="1"/>
  <c r="L20" i="2"/>
  <c r="L21" i="2" s="1"/>
  <c r="K20" i="2"/>
  <c r="K21" i="2" s="1"/>
  <c r="R15" i="2"/>
  <c r="R13" i="2"/>
  <c r="Q95" i="2"/>
  <c r="Q96" i="2" s="1"/>
  <c r="P95" i="2"/>
  <c r="O95" i="2"/>
  <c r="N95" i="2"/>
  <c r="M95" i="2"/>
  <c r="L95" i="2"/>
  <c r="K95" i="2"/>
  <c r="J95" i="2"/>
  <c r="J96" i="2" s="1"/>
  <c r="Q107" i="2"/>
  <c r="P107" i="2"/>
  <c r="O107" i="2"/>
  <c r="N107" i="2"/>
  <c r="M107" i="2"/>
  <c r="L107" i="2"/>
  <c r="K107" i="2"/>
  <c r="J107" i="2"/>
  <c r="I13" i="2" l="1"/>
  <c r="R95" i="2"/>
  <c r="O111" i="2"/>
  <c r="P111" i="2"/>
  <c r="Q111" i="2"/>
  <c r="J110" i="2"/>
  <c r="R70" i="2"/>
  <c r="R73" i="2"/>
  <c r="H95" i="2" l="1"/>
  <c r="J135" i="2"/>
  <c r="K135" i="2"/>
  <c r="L135" i="2"/>
  <c r="M135" i="2"/>
  <c r="N135" i="2"/>
  <c r="O135" i="2"/>
  <c r="P135" i="2"/>
  <c r="Q135" i="2"/>
  <c r="K5" i="2" l="1"/>
  <c r="J5" i="2"/>
  <c r="J152" i="2" l="1"/>
  <c r="P94" i="2"/>
  <c r="P96" i="2" s="1"/>
  <c r="O94" i="2"/>
  <c r="O96" i="2" s="1"/>
  <c r="N94" i="2"/>
  <c r="N96" i="2" s="1"/>
  <c r="M94" i="2"/>
  <c r="M96" i="2" s="1"/>
  <c r="L94" i="2"/>
  <c r="L96" i="2" s="1"/>
  <c r="K94" i="2"/>
  <c r="K96" i="2" s="1"/>
  <c r="O32" i="2"/>
  <c r="N32" i="2"/>
  <c r="M32" i="2"/>
  <c r="L32" i="2"/>
  <c r="K32" i="2"/>
  <c r="J32" i="2"/>
  <c r="M119" i="2"/>
  <c r="M120" i="2" s="1"/>
  <c r="L119" i="2"/>
  <c r="L120" i="2" s="1"/>
  <c r="K119" i="2"/>
  <c r="K120" i="2" s="1"/>
  <c r="N120" i="2"/>
  <c r="O120" i="2"/>
  <c r="P120" i="2"/>
  <c r="Q120" i="2"/>
  <c r="R127" i="2"/>
  <c r="R125" i="2"/>
  <c r="N126" i="2"/>
  <c r="M126" i="2"/>
  <c r="L126" i="2"/>
  <c r="K126" i="2"/>
  <c r="J126" i="2"/>
  <c r="R118" i="2"/>
  <c r="Q30" i="2"/>
  <c r="P30" i="2"/>
  <c r="O30" i="2"/>
  <c r="N30" i="2"/>
  <c r="M30" i="2"/>
  <c r="L30" i="2"/>
  <c r="K30" i="2"/>
  <c r="J30" i="2"/>
  <c r="R19" i="2"/>
  <c r="I75" i="2"/>
  <c r="Q65" i="2"/>
  <c r="P65" i="2"/>
  <c r="O65" i="2"/>
  <c r="N65" i="2"/>
  <c r="M65" i="2"/>
  <c r="L65" i="2"/>
  <c r="K65" i="2"/>
  <c r="J65" i="2"/>
  <c r="R134" i="2"/>
  <c r="J109" i="2"/>
  <c r="M109" i="2"/>
  <c r="M111" i="2" s="1"/>
  <c r="L109" i="2"/>
  <c r="L111" i="2" s="1"/>
  <c r="K109" i="2"/>
  <c r="K111" i="2" s="1"/>
  <c r="L6" i="2"/>
  <c r="M6" i="2"/>
  <c r="N6" i="2"/>
  <c r="O6" i="2"/>
  <c r="P6" i="2"/>
  <c r="P7" i="2" s="1"/>
  <c r="P22" i="2" s="1"/>
  <c r="Q6" i="2"/>
  <c r="J6" i="2"/>
  <c r="J7" i="2" l="1"/>
  <c r="J22" i="2" s="1"/>
  <c r="Q7" i="2"/>
  <c r="Q22" i="2" s="1"/>
  <c r="O7" i="2"/>
  <c r="O22" i="2" s="1"/>
  <c r="N7" i="2"/>
  <c r="N22" i="2" s="1"/>
  <c r="M7" i="2"/>
  <c r="M22" i="2" s="1"/>
  <c r="L7" i="2"/>
  <c r="L22" i="2" s="1"/>
  <c r="N111" i="2"/>
  <c r="J111" i="2"/>
  <c r="H19" i="2"/>
  <c r="H134" i="2"/>
  <c r="I125" i="2"/>
  <c r="R32" i="2"/>
  <c r="R94" i="2"/>
  <c r="R126" i="2"/>
  <c r="R119" i="2"/>
  <c r="R18" i="2"/>
  <c r="R16" i="2"/>
  <c r="O67" i="2"/>
  <c r="N67" i="2"/>
  <c r="M67" i="2"/>
  <c r="L67" i="2"/>
  <c r="K67" i="2"/>
  <c r="O52" i="2"/>
  <c r="N48" i="2"/>
  <c r="N52" i="2" s="1"/>
  <c r="M48" i="2"/>
  <c r="L48" i="2"/>
  <c r="K48" i="2"/>
  <c r="K52" i="2" s="1"/>
  <c r="R20" i="2" l="1"/>
  <c r="I16" i="2"/>
  <c r="R48" i="2"/>
  <c r="R67" i="2"/>
  <c r="I67" i="2" l="1"/>
  <c r="Q66" i="2"/>
  <c r="P66" i="2"/>
  <c r="O66" i="2"/>
  <c r="O83" i="2" s="1"/>
  <c r="N66" i="2"/>
  <c r="N83" i="2" s="1"/>
  <c r="M66" i="2"/>
  <c r="M83" i="2" s="1"/>
  <c r="L66" i="2"/>
  <c r="L83" i="2" s="1"/>
  <c r="K66" i="2"/>
  <c r="K83" i="2" s="1"/>
  <c r="J66" i="2"/>
  <c r="R66" i="2" l="1"/>
  <c r="K140" i="2" l="1"/>
  <c r="L140" i="2"/>
  <c r="M140" i="2"/>
  <c r="N140" i="2"/>
  <c r="O140" i="2"/>
  <c r="P140" i="2"/>
  <c r="Q140" i="2"/>
  <c r="J140" i="2"/>
  <c r="R105" i="2"/>
  <c r="N152" i="2"/>
  <c r="M152" i="2"/>
  <c r="L152" i="2"/>
  <c r="K152" i="2"/>
  <c r="I105" i="2" l="1"/>
  <c r="R5" i="2"/>
  <c r="K6" i="2"/>
  <c r="K7" i="2" l="1"/>
  <c r="K22" i="2" s="1"/>
  <c r="R6" i="2"/>
  <c r="M52" i="2"/>
  <c r="L49" i="2"/>
  <c r="L52" i="2" s="1"/>
  <c r="K36" i="2"/>
  <c r="R36" i="2"/>
  <c r="R77" i="2"/>
  <c r="R10" i="2"/>
  <c r="K44" i="2"/>
  <c r="L44" i="2"/>
  <c r="M44" i="2"/>
  <c r="N44" i="2"/>
  <c r="O44" i="2"/>
  <c r="P44" i="2"/>
  <c r="Q44" i="2"/>
  <c r="J44" i="2"/>
  <c r="R43" i="2"/>
  <c r="Q153" i="2"/>
  <c r="P153" i="2"/>
  <c r="O153" i="2"/>
  <c r="N153" i="2"/>
  <c r="M153" i="2"/>
  <c r="L153" i="2"/>
  <c r="K153" i="2"/>
  <c r="J153" i="2"/>
  <c r="R152" i="2"/>
  <c r="Q151" i="2"/>
  <c r="P151" i="2"/>
  <c r="O151" i="2"/>
  <c r="N151" i="2"/>
  <c r="M151" i="2"/>
  <c r="L151" i="2"/>
  <c r="K151" i="2"/>
  <c r="R150" i="2"/>
  <c r="R149" i="2"/>
  <c r="R148" i="2"/>
  <c r="R71" i="2"/>
  <c r="R147" i="2"/>
  <c r="R35" i="2"/>
  <c r="R107" i="2"/>
  <c r="R146" i="2"/>
  <c r="H59" i="2"/>
  <c r="R62" i="2"/>
  <c r="R28" i="2"/>
  <c r="J61" i="2"/>
  <c r="R61" i="2" s="1"/>
  <c r="R145" i="2"/>
  <c r="Q142" i="2"/>
  <c r="P142" i="2"/>
  <c r="O142" i="2"/>
  <c r="N142" i="2"/>
  <c r="M142" i="2"/>
  <c r="L142" i="2"/>
  <c r="K142" i="2"/>
  <c r="J142" i="2"/>
  <c r="J143" i="2" s="1"/>
  <c r="R141" i="2"/>
  <c r="I137" i="2"/>
  <c r="I131" i="2"/>
  <c r="Q130" i="2"/>
  <c r="P130" i="2"/>
  <c r="O130" i="2"/>
  <c r="N130" i="2"/>
  <c r="M130" i="2"/>
  <c r="L130" i="2"/>
  <c r="K130" i="2"/>
  <c r="J130" i="2"/>
  <c r="R129" i="2"/>
  <c r="Q128" i="2"/>
  <c r="P128" i="2"/>
  <c r="O128" i="2"/>
  <c r="N128" i="2"/>
  <c r="M128" i="2"/>
  <c r="L128" i="2"/>
  <c r="K128" i="2"/>
  <c r="J128" i="2"/>
  <c r="R128" i="2"/>
  <c r="Q123" i="2"/>
  <c r="P123" i="2"/>
  <c r="O123" i="2"/>
  <c r="N123" i="2"/>
  <c r="M123" i="2"/>
  <c r="L123" i="2"/>
  <c r="K123" i="2"/>
  <c r="R122" i="2"/>
  <c r="R121" i="2"/>
  <c r="Q116" i="2"/>
  <c r="P116" i="2"/>
  <c r="O116" i="2"/>
  <c r="N116" i="2"/>
  <c r="M116" i="2"/>
  <c r="L116" i="2"/>
  <c r="K116" i="2"/>
  <c r="J116" i="2"/>
  <c r="J124" i="2" s="1"/>
  <c r="R115" i="2"/>
  <c r="Q113" i="2"/>
  <c r="P113" i="2"/>
  <c r="O113" i="2"/>
  <c r="N113" i="2"/>
  <c r="M113" i="2"/>
  <c r="L113" i="2"/>
  <c r="K113" i="2"/>
  <c r="J113" i="2"/>
  <c r="R112" i="2"/>
  <c r="R109" i="2"/>
  <c r="R106" i="2"/>
  <c r="R104" i="2"/>
  <c r="R103" i="2"/>
  <c r="R93" i="2"/>
  <c r="Q90" i="2"/>
  <c r="P90" i="2"/>
  <c r="O90" i="2"/>
  <c r="N90" i="2"/>
  <c r="M90" i="2"/>
  <c r="L90" i="2"/>
  <c r="K90" i="2"/>
  <c r="J90" i="2"/>
  <c r="J97" i="2" s="1"/>
  <c r="R89" i="2"/>
  <c r="R85" i="2"/>
  <c r="R84" i="2"/>
  <c r="R81" i="2"/>
  <c r="J80" i="2"/>
  <c r="R80" i="2" s="1"/>
  <c r="R79" i="2"/>
  <c r="Q83" i="2"/>
  <c r="P83" i="2"/>
  <c r="R74" i="2"/>
  <c r="I70" i="2"/>
  <c r="R69" i="2"/>
  <c r="R68" i="2"/>
  <c r="R133" i="2"/>
  <c r="R139" i="2"/>
  <c r="R138" i="2"/>
  <c r="R63" i="2"/>
  <c r="J58" i="2"/>
  <c r="R58" i="2" s="1"/>
  <c r="R57" i="2"/>
  <c r="J56" i="2"/>
  <c r="R55" i="2"/>
  <c r="R54" i="2"/>
  <c r="R53" i="2"/>
  <c r="R51" i="2"/>
  <c r="R50" i="2"/>
  <c r="R47" i="2"/>
  <c r="R46" i="2"/>
  <c r="R45" i="2"/>
  <c r="Q41" i="2"/>
  <c r="Q42" i="2" s="1"/>
  <c r="Q157" i="2" s="1"/>
  <c r="P41" i="2"/>
  <c r="P42" i="2" s="1"/>
  <c r="O41" i="2"/>
  <c r="O42" i="2" s="1"/>
  <c r="O157" i="2" s="1"/>
  <c r="N41" i="2"/>
  <c r="N42" i="2" s="1"/>
  <c r="N157" i="2" s="1"/>
  <c r="M41" i="2"/>
  <c r="M42" i="2" s="1"/>
  <c r="M157" i="2" s="1"/>
  <c r="L41" i="2"/>
  <c r="L42" i="2" s="1"/>
  <c r="L157" i="2" s="1"/>
  <c r="K41" i="2"/>
  <c r="J41" i="2"/>
  <c r="R40" i="2"/>
  <c r="R39" i="2"/>
  <c r="R38" i="2"/>
  <c r="R34" i="2"/>
  <c r="R33" i="2"/>
  <c r="R82" i="2"/>
  <c r="R31" i="2"/>
  <c r="R30" i="2"/>
  <c r="R27" i="2"/>
  <c r="Q25" i="2"/>
  <c r="Q26" i="2" s="1"/>
  <c r="P25" i="2"/>
  <c r="P26" i="2" s="1"/>
  <c r="O25" i="2"/>
  <c r="O26" i="2" s="1"/>
  <c r="N25" i="2"/>
  <c r="N26" i="2" s="1"/>
  <c r="M25" i="2"/>
  <c r="M26" i="2" s="1"/>
  <c r="L25" i="2"/>
  <c r="L26" i="2" s="1"/>
  <c r="K25" i="2"/>
  <c r="K26" i="2" s="1"/>
  <c r="J25" i="2"/>
  <c r="J26" i="2" s="1"/>
  <c r="R24" i="2"/>
  <c r="R23" i="2"/>
  <c r="R9" i="2"/>
  <c r="R8" i="2"/>
  <c r="H133" i="2" l="1"/>
  <c r="H68" i="2"/>
  <c r="H81" i="2"/>
  <c r="H108" i="2"/>
  <c r="H107" i="2"/>
  <c r="H80" i="2"/>
  <c r="R87" i="2"/>
  <c r="R142" i="2"/>
  <c r="I35" i="2"/>
  <c r="I109" i="2"/>
  <c r="H85" i="2"/>
  <c r="H112" i="2"/>
  <c r="H145" i="2"/>
  <c r="H147" i="2"/>
  <c r="I36" i="2"/>
  <c r="H39" i="2"/>
  <c r="H82" i="2"/>
  <c r="I74" i="2"/>
  <c r="R90" i="2"/>
  <c r="H115" i="2"/>
  <c r="H33" i="2"/>
  <c r="H50" i="2"/>
  <c r="H63" i="2"/>
  <c r="H148" i="2"/>
  <c r="I106" i="2"/>
  <c r="H146" i="2"/>
  <c r="H34" i="2"/>
  <c r="H51" i="2"/>
  <c r="H122" i="2"/>
  <c r="H149" i="2"/>
  <c r="R44" i="2"/>
  <c r="H23" i="2"/>
  <c r="H38" i="2"/>
  <c r="H139" i="2"/>
  <c r="I79" i="2"/>
  <c r="R130" i="2"/>
  <c r="H150" i="2"/>
  <c r="R7" i="2"/>
  <c r="O144" i="2"/>
  <c r="R11" i="2"/>
  <c r="P144" i="2"/>
  <c r="Q144" i="2"/>
  <c r="J144" i="2"/>
  <c r="J42" i="2"/>
  <c r="K144" i="2"/>
  <c r="K42" i="2"/>
  <c r="L144" i="2"/>
  <c r="M144" i="2"/>
  <c r="J83" i="2"/>
  <c r="N144" i="2"/>
  <c r="O88" i="2"/>
  <c r="P88" i="2"/>
  <c r="Q88" i="2"/>
  <c r="N88" i="2"/>
  <c r="M88" i="2"/>
  <c r="H57" i="2"/>
  <c r="L88" i="2"/>
  <c r="R111" i="2"/>
  <c r="R96" i="2"/>
  <c r="H92" i="2"/>
  <c r="R56" i="2"/>
  <c r="R135" i="2"/>
  <c r="H72" i="2"/>
  <c r="I9" i="2"/>
  <c r="H10" i="2"/>
  <c r="I84" i="2"/>
  <c r="R120" i="2"/>
  <c r="J136" i="2"/>
  <c r="H138" i="2"/>
  <c r="R140" i="2"/>
  <c r="H132" i="2"/>
  <c r="R49" i="2"/>
  <c r="Q97" i="2"/>
  <c r="P114" i="2"/>
  <c r="L114" i="2"/>
  <c r="H129" i="2"/>
  <c r="L143" i="2"/>
  <c r="Q154" i="2"/>
  <c r="K124" i="2"/>
  <c r="N154" i="2"/>
  <c r="Q136" i="2"/>
  <c r="Q114" i="2"/>
  <c r="R25" i="2"/>
  <c r="H141" i="2"/>
  <c r="L124" i="2"/>
  <c r="N97" i="2"/>
  <c r="K97" i="2"/>
  <c r="R123" i="2"/>
  <c r="M143" i="2"/>
  <c r="L97" i="2"/>
  <c r="O154" i="2"/>
  <c r="M114" i="2"/>
  <c r="H121" i="2"/>
  <c r="N124" i="2"/>
  <c r="J151" i="2"/>
  <c r="R151" i="2" s="1"/>
  <c r="O124" i="2"/>
  <c r="L154" i="2"/>
  <c r="R153" i="2"/>
  <c r="M154" i="2"/>
  <c r="M136" i="2"/>
  <c r="O143" i="2"/>
  <c r="J114" i="2"/>
  <c r="R113" i="2"/>
  <c r="O136" i="2"/>
  <c r="K114" i="2"/>
  <c r="P124" i="2"/>
  <c r="P136" i="2"/>
  <c r="Q124" i="2"/>
  <c r="R78" i="2"/>
  <c r="K136" i="2"/>
  <c r="R41" i="2"/>
  <c r="O97" i="2"/>
  <c r="O114" i="2"/>
  <c r="L136" i="2"/>
  <c r="P143" i="2"/>
  <c r="P154" i="2"/>
  <c r="N114" i="2"/>
  <c r="R65" i="2"/>
  <c r="H89" i="2"/>
  <c r="P97" i="2"/>
  <c r="M97" i="2"/>
  <c r="M124" i="2"/>
  <c r="I127" i="2"/>
  <c r="Q143" i="2"/>
  <c r="N143" i="2"/>
  <c r="K154" i="2"/>
  <c r="K143" i="2"/>
  <c r="R116" i="2"/>
  <c r="N136" i="2"/>
  <c r="H31" i="2"/>
  <c r="Q159" i="2"/>
  <c r="K88" i="2" l="1"/>
  <c r="K157" i="2"/>
  <c r="J157" i="2"/>
  <c r="R26" i="2"/>
  <c r="R97" i="2"/>
  <c r="R21" i="2"/>
  <c r="R143" i="2"/>
  <c r="R136" i="2"/>
  <c r="H41" i="2"/>
  <c r="I78" i="2"/>
  <c r="R42" i="2"/>
  <c r="R83" i="2"/>
  <c r="J88" i="2"/>
  <c r="J102" i="2" s="1"/>
  <c r="R52" i="2"/>
  <c r="Q102" i="2"/>
  <c r="L102" i="2"/>
  <c r="O102" i="2"/>
  <c r="N102" i="2"/>
  <c r="K102" i="2"/>
  <c r="M102" i="2"/>
  <c r="P102" i="2"/>
  <c r="J154" i="2"/>
  <c r="R154" i="2" s="1"/>
  <c r="M158" i="2"/>
  <c r="O159" i="2"/>
  <c r="J159" i="2"/>
  <c r="L159" i="2"/>
  <c r="R124" i="2"/>
  <c r="O158" i="2"/>
  <c r="R114" i="2"/>
  <c r="R158" i="2"/>
  <c r="N158" i="2"/>
  <c r="R159" i="2"/>
  <c r="K159" i="2"/>
  <c r="K158" i="2"/>
  <c r="M159" i="2"/>
  <c r="P158" i="2"/>
  <c r="N159" i="2"/>
  <c r="P159" i="2"/>
  <c r="R144" i="2"/>
  <c r="L158" i="2"/>
  <c r="Q158" i="2"/>
  <c r="J158" i="2"/>
  <c r="R157" i="2" l="1"/>
  <c r="R22" i="2"/>
  <c r="R88" i="2"/>
  <c r="P156" i="2"/>
  <c r="O156" i="2"/>
  <c r="N156" i="2"/>
  <c r="Q156" i="2"/>
  <c r="L156" i="2"/>
  <c r="J156" i="2"/>
  <c r="M156" i="2"/>
  <c r="K156" i="2"/>
  <c r="P157" i="2"/>
  <c r="R102" i="2" l="1"/>
  <c r="R156" i="2" l="1"/>
</calcChain>
</file>

<file path=xl/sharedStrings.xml><?xml version="1.0" encoding="utf-8"?>
<sst xmlns="http://schemas.openxmlformats.org/spreadsheetml/2006/main" count="1070" uniqueCount="314">
  <si>
    <t>Budget - PREFOREST Congo</t>
  </si>
  <si>
    <t xml:space="preserve">Component </t>
  </si>
  <si>
    <t>Output Title</t>
  </si>
  <si>
    <t>Activity Title</t>
  </si>
  <si>
    <t>Financing source</t>
  </si>
  <si>
    <t>GCF Cost categories</t>
  </si>
  <si>
    <t>Notes and assumptions</t>
  </si>
  <si>
    <t>Unit</t>
  </si>
  <si>
    <t>Unit cost</t>
  </si>
  <si>
    <t>Total quantity</t>
  </si>
  <si>
    <t>Year 1</t>
  </si>
  <si>
    <t>Year 2</t>
  </si>
  <si>
    <t>Year 3</t>
  </si>
  <si>
    <t>Year 4</t>
  </si>
  <si>
    <t>Year 5</t>
  </si>
  <si>
    <t>Year 6</t>
  </si>
  <si>
    <t>Year 7</t>
  </si>
  <si>
    <t>Year 8</t>
  </si>
  <si>
    <t xml:space="preserve"> USD total costs</t>
  </si>
  <si>
    <t>Component 1</t>
  </si>
  <si>
    <t>Output 1.1</t>
  </si>
  <si>
    <t xml:space="preserve">Activity 1.1.1 Development of articipatory mapping </t>
  </si>
  <si>
    <t>GCF</t>
  </si>
  <si>
    <t>Professional/ Contractual Services</t>
  </si>
  <si>
    <t>A1</t>
  </si>
  <si>
    <t>Lumpsum</t>
  </si>
  <si>
    <t>GCF total</t>
  </si>
  <si>
    <t>Total Output 1.1.</t>
  </si>
  <si>
    <t>Output 1.2</t>
  </si>
  <si>
    <t>Activity 1.2.1 Identification and selection of potential beneficiaries and land owners partners</t>
  </si>
  <si>
    <t>Others</t>
  </si>
  <si>
    <t>A2</t>
  </si>
  <si>
    <t>Training, workshops, and conference</t>
  </si>
  <si>
    <t>A3</t>
  </si>
  <si>
    <t>Staff</t>
  </si>
  <si>
    <t>A4</t>
  </si>
  <si>
    <t>Month</t>
  </si>
  <si>
    <t>Activity 1.2.2 Establishment of formal agreements with beneficiaries and landowners and provision of support to strengthen tenure security rights</t>
  </si>
  <si>
    <t>Equipment</t>
  </si>
  <si>
    <t>A5</t>
  </si>
  <si>
    <t>A6</t>
  </si>
  <si>
    <t>Day</t>
  </si>
  <si>
    <t>Travel</t>
  </si>
  <si>
    <t>A7</t>
  </si>
  <si>
    <t>International Consultants</t>
  </si>
  <si>
    <t>A8</t>
  </si>
  <si>
    <t>A9</t>
  </si>
  <si>
    <t>A10</t>
  </si>
  <si>
    <t>A11</t>
  </si>
  <si>
    <t>Trip</t>
  </si>
  <si>
    <t>A12</t>
  </si>
  <si>
    <t>Total Output 1.2</t>
  </si>
  <si>
    <t>Total component 1</t>
  </si>
  <si>
    <t>Component 2</t>
  </si>
  <si>
    <t xml:space="preserve">Output 2.1. </t>
  </si>
  <si>
    <t>Activity 2.1.1 Provision of technical assistance for the establishment of fast start forestry systems for energy purposes</t>
  </si>
  <si>
    <t>B1</t>
  </si>
  <si>
    <t>Hectare</t>
  </si>
  <si>
    <t>B2</t>
  </si>
  <si>
    <t>Total Output 2.1.</t>
  </si>
  <si>
    <t xml:space="preserve">Output 2.2. </t>
  </si>
  <si>
    <t>Activity 2.2.1 Awareness raising on climate-resilient agroforestry and forestry systems</t>
  </si>
  <si>
    <t>B3</t>
  </si>
  <si>
    <t>B4</t>
  </si>
  <si>
    <t>Local Consultants</t>
  </si>
  <si>
    <t>B5</t>
  </si>
  <si>
    <t>B6</t>
  </si>
  <si>
    <t>B7</t>
  </si>
  <si>
    <t>B8</t>
  </si>
  <si>
    <t>Days</t>
  </si>
  <si>
    <t>B9</t>
  </si>
  <si>
    <t>B10</t>
  </si>
  <si>
    <t>B11</t>
  </si>
  <si>
    <t>B12</t>
  </si>
  <si>
    <t>B13</t>
  </si>
  <si>
    <t>B14</t>
  </si>
  <si>
    <t>B15</t>
  </si>
  <si>
    <t>B16</t>
  </si>
  <si>
    <t>B17</t>
  </si>
  <si>
    <t>Activity 2.2.2 Transfer of access and use rights on government land to smallholder farmers / producers (Government of Congo co-financing)</t>
  </si>
  <si>
    <t>GoC</t>
  </si>
  <si>
    <t>B18</t>
  </si>
  <si>
    <t>GoC total</t>
  </si>
  <si>
    <t xml:space="preserve">Activity 2.2.3 Organization of practical training on climate-resilient agroforestry and forestry systems </t>
  </si>
  <si>
    <t>B19</t>
  </si>
  <si>
    <t>B20</t>
  </si>
  <si>
    <t>B21</t>
  </si>
  <si>
    <t>B22</t>
  </si>
  <si>
    <t>B23</t>
  </si>
  <si>
    <t>B24</t>
  </si>
  <si>
    <t>B25</t>
  </si>
  <si>
    <t xml:space="preserve">Activity 2.2.4 Provision of technical assistance for the establishment of agroforestry and forestry systems  </t>
  </si>
  <si>
    <t>B26</t>
  </si>
  <si>
    <t>B27</t>
  </si>
  <si>
    <t>B28</t>
  </si>
  <si>
    <t>B29</t>
  </si>
  <si>
    <t>B30</t>
  </si>
  <si>
    <t>B31</t>
  </si>
  <si>
    <t>B32</t>
  </si>
  <si>
    <t>B33</t>
  </si>
  <si>
    <t>B34</t>
  </si>
  <si>
    <t>B35</t>
  </si>
  <si>
    <t>B36</t>
  </si>
  <si>
    <t>B37</t>
  </si>
  <si>
    <t>B38</t>
  </si>
  <si>
    <t>B39</t>
  </si>
  <si>
    <t>B40</t>
  </si>
  <si>
    <t>B41</t>
  </si>
  <si>
    <t>B42</t>
  </si>
  <si>
    <t>B43</t>
  </si>
  <si>
    <t>B44</t>
  </si>
  <si>
    <t>B45</t>
  </si>
  <si>
    <t>B46</t>
  </si>
  <si>
    <t>B47</t>
  </si>
  <si>
    <t>B48</t>
  </si>
  <si>
    <t>B49</t>
  </si>
  <si>
    <t>B50</t>
  </si>
  <si>
    <t>B51</t>
  </si>
  <si>
    <t>B52</t>
  </si>
  <si>
    <t>B53</t>
  </si>
  <si>
    <t>B54</t>
  </si>
  <si>
    <t>B55</t>
  </si>
  <si>
    <t>Activity 2.2.5 Monitoring and evaluation of overall Project interventions</t>
  </si>
  <si>
    <t>B56</t>
  </si>
  <si>
    <t>B57</t>
  </si>
  <si>
    <t>B58</t>
  </si>
  <si>
    <t>Total Output 2.2.</t>
  </si>
  <si>
    <t>Output 2.3.</t>
  </si>
  <si>
    <t xml:space="preserve">Activity 2.3.1 Rehabilitation of nurseries </t>
  </si>
  <si>
    <t>B59</t>
  </si>
  <si>
    <t>Activity 2.3.2 Deployment of assisted natural regeneration (ANR)</t>
  </si>
  <si>
    <t>B60</t>
  </si>
  <si>
    <t>B61</t>
  </si>
  <si>
    <t>B62</t>
  </si>
  <si>
    <t>B63</t>
  </si>
  <si>
    <t>B64</t>
  </si>
  <si>
    <t>Total Output 2.3.</t>
  </si>
  <si>
    <t>Output 2.4</t>
  </si>
  <si>
    <t>Activity 2.4.1. Support for the upscaling of climate-resilient agroforestry and forestry models</t>
  </si>
  <si>
    <t>B65</t>
  </si>
  <si>
    <t>B66</t>
  </si>
  <si>
    <t>Total Output 2.4.</t>
  </si>
  <si>
    <t>Total component 2</t>
  </si>
  <si>
    <t>Component 3</t>
  </si>
  <si>
    <t>Output 3.1.</t>
  </si>
  <si>
    <t>Activity 3.1.1 Development and implementation of business plans in forest areas</t>
  </si>
  <si>
    <t>D1</t>
  </si>
  <si>
    <t>D2</t>
  </si>
  <si>
    <t>D3</t>
  </si>
  <si>
    <t>D4</t>
  </si>
  <si>
    <t>D5</t>
  </si>
  <si>
    <t>D6</t>
  </si>
  <si>
    <t>D7</t>
  </si>
  <si>
    <t>D8</t>
  </si>
  <si>
    <t>Activity 3.1.2 Development and implementation of business plans for beneficiaries in savannah areas</t>
  </si>
  <si>
    <t>IFAD</t>
  </si>
  <si>
    <t>D9</t>
  </si>
  <si>
    <t>IFAD total</t>
  </si>
  <si>
    <t>Total Output 3.1.</t>
  </si>
  <si>
    <t>Output 3.2.</t>
  </si>
  <si>
    <t>Activity 3.2.1 Capacity building of national financial institutions on rural finance for agriculture</t>
  </si>
  <si>
    <t>D10</t>
  </si>
  <si>
    <t>Activity 3.2.2 Capacity building of national financial institutions on green investment in agroforestry an forestry sectors</t>
  </si>
  <si>
    <t>D11</t>
  </si>
  <si>
    <t>D12</t>
  </si>
  <si>
    <t>D13</t>
  </si>
  <si>
    <t>Activity 3.2.3 Development of a national financial inclusion strategy and formalization of MFIs</t>
  </si>
  <si>
    <t>D14</t>
  </si>
  <si>
    <t>D15</t>
  </si>
  <si>
    <t>Total Output 3.2.</t>
  </si>
  <si>
    <t>Output 3.3.</t>
  </si>
  <si>
    <t xml:space="preserve">Activity 3.3.1 Identification and development of suitable credit lines for forestry and agricuture sectors </t>
  </si>
  <si>
    <t>D16</t>
  </si>
  <si>
    <t>D17</t>
  </si>
  <si>
    <t>D18</t>
  </si>
  <si>
    <t>Activity 3.3.2 Development of inclusive financial products and services for agrifood value chain</t>
  </si>
  <si>
    <t>D19</t>
  </si>
  <si>
    <t>Activity 3.3.3 Facilitation of interactions between beneficiaries and national financial institutions for the use of created suitable financial products</t>
  </si>
  <si>
    <t>D20</t>
  </si>
  <si>
    <t>D21</t>
  </si>
  <si>
    <t>D22</t>
  </si>
  <si>
    <t>D23</t>
  </si>
  <si>
    <t>Total Output 3.3</t>
  </si>
  <si>
    <t>Output 3.4.</t>
  </si>
  <si>
    <t>Activity 3.4.1 Facilitation of the establishment of purchase agreements</t>
  </si>
  <si>
    <t>D24</t>
  </si>
  <si>
    <t>D25</t>
  </si>
  <si>
    <t>D26</t>
  </si>
  <si>
    <t>Activity 3.4.2 Support of local market platform and operationalization of purchase agreements with buyers</t>
  </si>
  <si>
    <t>D27</t>
  </si>
  <si>
    <t>Total Output 3.4</t>
  </si>
  <si>
    <t>Total component 3</t>
  </si>
  <si>
    <t>PMC</t>
  </si>
  <si>
    <t>PMC Project Management costs</t>
  </si>
  <si>
    <t>PMC1</t>
  </si>
  <si>
    <t>PMC2</t>
  </si>
  <si>
    <t>PMC3</t>
  </si>
  <si>
    <t>PMC4</t>
  </si>
  <si>
    <t>PMC5</t>
  </si>
  <si>
    <t>PMC6</t>
  </si>
  <si>
    <t>PMC7</t>
  </si>
  <si>
    <t>PMC Total</t>
  </si>
  <si>
    <t>Grand Total</t>
  </si>
  <si>
    <t xml:space="preserve">GCF Total </t>
  </si>
  <si>
    <t>GoC Total</t>
  </si>
  <si>
    <t>IFAD Total</t>
  </si>
  <si>
    <t>Development of maps for the delimitation of the agroforestry and forestry systems which includes the development of maps themselves, cost meetings / trainings (targeting at least 10 participants per meeting), and local transportation</t>
  </si>
  <si>
    <t>Printing of materials (such as flyers) and Communication and awareness raising campaign at local level</t>
  </si>
  <si>
    <t>Meetings of the tenure rights recognition commission (in each department) - 1 meeting per year (with at least 40 participants per meeting)</t>
  </si>
  <si>
    <t>Environmental, social, gender and indigenous people expert (national expert, full time position). 1/3 of the cost on Component 1 (9 months in Y1; 12 months in Y2 to Y8)</t>
  </si>
  <si>
    <t>Equipment for land registration and cadaster (computers, printers, and different tools for measurement - details depending on the office needs to be provided during inception phase)</t>
  </si>
  <si>
    <t>Technical assistance/backstopping for comp 1, and 3 (international expertise on planning - 12 days in Y1; 20 days in Y2 to Y3; 18 days in Y4; 10 days in Y5 and 6)</t>
  </si>
  <si>
    <t>Travel costs for personnel of cadasters covering DSA and transportation (for local check and verification / ground truthing, and exchange with local communities for the delimitation)</t>
  </si>
  <si>
    <t>Gender expert (6 days in Y1 to 3, 5 days in Y4 to 8)</t>
  </si>
  <si>
    <t>Consultations for (and oversight of) environmental, social, gender and indigenous people aspects (meetings) (I day meeting, assumption 20 participants for Y1; at least 40 participants per meeting in Y2 to Y8)</t>
  </si>
  <si>
    <t>Consultations for (and oversight of) environmental, social, gender and indigenous people aspects (travels necessary for technical support, monitoring and management of any risks)</t>
  </si>
  <si>
    <t>International mission of the gender expert (3 misssions in Congo, including in the field for exchanges with stakeholders and for trainings)</t>
  </si>
  <si>
    <t xml:space="preserve">Technical coordinator comp 1 and 3 - full time national expertise (5 months in Y1; 12 months in Y2 to Y8) </t>
  </si>
  <si>
    <t>Establishment of 2,700 ha of agro-forestry and forestry systems (which include costs of clearing, cutting old trees, transport of seedlings, marking, digging, planting, weeding, pruning trees, fertilizer, plant protection, harvest and firewood cut and logistical cost)</t>
  </si>
  <si>
    <t>Staff, technical expertise (international and national consultants), equipment, cost of several meetings (including for trainings) and operational costs</t>
  </si>
  <si>
    <t>Acquisition of Vehicle - 1 Pick-up 4 wheel drive</t>
  </si>
  <si>
    <t>Acquisition of electric generator (1 unit)</t>
  </si>
  <si>
    <t xml:space="preserve">Driver - full time position (3 months in Y1; 12 months per year in Y2 to Y8) </t>
  </si>
  <si>
    <t xml:space="preserve">Communication officer (part time expert, 2 months per year) </t>
  </si>
  <si>
    <t>Environmental, social, gender and indigenous people expert (full time position). 1/3 of the cost on Component 2 (9 months in Y1; 12 months in Y2 to Y8)</t>
  </si>
  <si>
    <t>Technical assistance/backstopping - International expertise on stakeholder engagement and policy/ strategy - 10 days/ year in Y1 to Y6)</t>
  </si>
  <si>
    <t>Vehicle maintenance for the whole project duration (lumpsum)</t>
  </si>
  <si>
    <t xml:space="preserve">Vehicle insurance (payable per year), for all project duration </t>
  </si>
  <si>
    <t xml:space="preserve">Fuel for electric generator (for whole project duration, but to be used as per demand basis - frequent blackout in the country) </t>
  </si>
  <si>
    <t xml:space="preserve">Travel cost - drivers (field mission) </t>
  </si>
  <si>
    <t>Travel costs for MAFDP, MAEP, MATGT, MTE focal points for field missions</t>
  </si>
  <si>
    <t xml:space="preserve">Travel costs for MAFDP, MAEP, MATGT, MTE technical experts for field missions </t>
  </si>
  <si>
    <t xml:space="preserve">Travel costs for national project coordinator and for the use of PMU experts </t>
  </si>
  <si>
    <t>Land rental for agroforestry systems (based based with the Law n° 040-2018 of 28 December 2018 on the finance law for the year 2019 which state the cost of the land rental)</t>
  </si>
  <si>
    <t xml:space="preserve">Acquisition of motorcycles (for field activities within districts including training, senzitisation, communication, monitoring, etc.) </t>
  </si>
  <si>
    <t xml:space="preserve">Training on agro-forestry using the farmers field school methodology (mix of ground activities and technical practices, exchanges, etc.) </t>
  </si>
  <si>
    <t xml:space="preserve">Training on seedling production and nursery establishment for beneficiaries, using the farmers field school methodology (mix of ground activities and technical practices, exchanges, etc.) </t>
  </si>
  <si>
    <t>Technical assistance/backstopping (international expertise on climate resilient and climate smart agriculture, farmers field school - 20 days/ year in Y1 to Y7)</t>
  </si>
  <si>
    <t>Sensitizer and agronomic expert, full time, Y2 to Y4</t>
  </si>
  <si>
    <t xml:space="preserve">Travel cost for MAEP focal point to the targeted districts, for training, technical backstopping, technical exchanging and monitoring purposes </t>
  </si>
  <si>
    <t>Travel costs for SNR departamental focal point  (1 per department: 5 in total)</t>
  </si>
  <si>
    <t xml:space="preserve">Acquisition of tractors (3) as tools for agricultural and forestry activities establishement </t>
  </si>
  <si>
    <t xml:space="preserve">Acquisition of trucks (3) as tools for agricultural and forestry activities establishement, but also for transportation of production to local markets </t>
  </si>
  <si>
    <t xml:space="preserve">Computers (laptop - 10 units) for field work including all data collection related activities </t>
  </si>
  <si>
    <t xml:space="preserve">Office furniture such as desks, office chairs, filling cabinets, bookcases for offices - coordination (Brazzaville) and in the field (antenas) </t>
  </si>
  <si>
    <t xml:space="preserve">Projector (1 unit per antenna for the field work) </t>
  </si>
  <si>
    <t xml:space="preserve">Printers (5 units) </t>
  </si>
  <si>
    <t xml:space="preserve">Projector (1 unit for PMU Brazzaville) </t>
  </si>
  <si>
    <t xml:space="preserve">Computers (laptop - 5 units) for PMU  team members </t>
  </si>
  <si>
    <t xml:space="preserve">Photocopy machine  - multifunction (1 unit) </t>
  </si>
  <si>
    <t xml:space="preserve">Fuel for vehicles / tractors (PMU field mission for implementation of the activities such as organization of meetings, senzitization and awareness raising, communication, monitoring of the establishement of the agroforestry systems, quality control, etc.) </t>
  </si>
  <si>
    <t>Gender expert (12 days in Y1 to 3, 10 days in Y4 to 8)</t>
  </si>
  <si>
    <t xml:space="preserve">Technical assistance / backstopping FAO - Expert on MRV (20 days in Y1; 60 days per year in Y2 to Y8) </t>
  </si>
  <si>
    <t>Technical assistance/backstopping  FAO - Expert on climate resilient and climate smart agriculture (20 days/ year in Y1 to Y7)</t>
  </si>
  <si>
    <t xml:space="preserve">Office rental  in Pointe Noire (for the whole duration of the project) </t>
  </si>
  <si>
    <t xml:space="preserve">Internet and phone calls for field missions and for office use </t>
  </si>
  <si>
    <t xml:space="preserve">Fuel for vehicles / tractors </t>
  </si>
  <si>
    <t>Internet and phone calls for Brazzaville office</t>
  </si>
  <si>
    <t>Establishment of 11,800 ha of agro-forestry systems (which include costs of clearing, cutting old trees, transport of seedlings, marking, digging, planting, weeding, pruning trees, fertilizer, plant protection, harvest and firewood cut, and logistical cost)</t>
  </si>
  <si>
    <t>MRV activities which includes travel to the field for ground truthing, technical expertise, purchase of office furnitures, internet connection, etc.</t>
  </si>
  <si>
    <t>Chief technical advisor (CTA) / project team leader (3/4 of the full time staff : 6 months in Y1; 12 months in Y2 to Y 6; 6 months per year in Y 7 and Y 8)</t>
  </si>
  <si>
    <t>Consultations for (and oversight of) environmental, social, gender and indigenous people aspects (meetings)  (I day meeting, assumption 20 participants for Y1; at least 40 participants per meeting in Y2 to Y8)</t>
  </si>
  <si>
    <t>Consultations for (and oversight of) environmental, social, gender and indigenous people aspects (travels)</t>
  </si>
  <si>
    <t>International mission of the gender expert</t>
  </si>
  <si>
    <t xml:space="preserve">Travel cost - mission of the international consultant for MRV emissions for technical backstopping </t>
  </si>
  <si>
    <t xml:space="preserve">International missions from FAO HQ for technical backstopping on agroforestry, agriculture, and forestry aspects </t>
  </si>
  <si>
    <t xml:space="preserve">National travel for PMU experts for the implementation and the monitoring of the activities </t>
  </si>
  <si>
    <t>Travel costs for SNR and PRONAR focal points</t>
  </si>
  <si>
    <t xml:space="preserve">Technical coordinator comp 2 - full time national expertise (5 months in Y1; 12 months in Y2 to Y8) </t>
  </si>
  <si>
    <t>Independent performance evaluations ( international and national consultants; and field mission - interim evaluation at Y4 and final evaluation at Y9)</t>
  </si>
  <si>
    <t xml:space="preserve">M&amp;E officer (full time position, for 8 years but 9 months in Y1 and 12 months in Y2 to Y8) ) </t>
  </si>
  <si>
    <t xml:space="preserve">Steering commitee meetings (2 meetings per years, with 20 participants per meeting) </t>
  </si>
  <si>
    <t>Rental value of the premises dedicated to the establishment of the nurseries, and based on the investment of their installation and their depreciation</t>
  </si>
  <si>
    <t>Forest nursery equipment and small furnitures (seeds, bags, tools, self-protection equipment, agro-chemicals, clearing, shadow area, bag filling)</t>
  </si>
  <si>
    <t>Natural assisted regeneration targeting 5,000 ha - Costs includes costs for seedlings, land preparation - plantation if any, costs of fire management, thinning, pruning and potentially costs of monitoring and verification in the field</t>
  </si>
  <si>
    <t xml:space="preserve">Trainings: at least 3 meetings/sensitizations per year, for 3 years, with 40 participants per meeting </t>
  </si>
  <si>
    <t>Technical assistance/backstopping  FAO (expert on forestry, forest natural regeneration, 10 days/ year in Y2 to Y7)</t>
  </si>
  <si>
    <t xml:space="preserve">Administrative and financial assistant (based in Brazzaville), full time but half of the cost, 12 months per year </t>
  </si>
  <si>
    <t xml:space="preserve">International missions from FAO HQ for technical backstopping </t>
  </si>
  <si>
    <t>Testing and validation of agro-forestry models: development of the protocol, cost of experiments and technical expertise</t>
  </si>
  <si>
    <t xml:space="preserve">Training (meetings, 3 per year for Y1 to Y2 and 1 per year in Y3 to Y4) </t>
  </si>
  <si>
    <t>International expert to design a funding mechanism for business plans and to draft operational manuals (23 days in Y2; 15 days in Y3; 10 days in Y4 and 10 days in Y5)</t>
  </si>
  <si>
    <t>Cost for the development of business plans (technical expertise and meetings)</t>
  </si>
  <si>
    <t>Chief technical advisor (CTA) / project team leader (1/4 of the full time staff : 6 months in Y1; 12 months in Y2 to Y 6; 6 months per year in Y 7 and Y 8)</t>
  </si>
  <si>
    <t>Travel cost - internal travels of PMU</t>
  </si>
  <si>
    <t>Travel costs for the international expert to design  a funding mechanisms for business plans and to draft operational manuals</t>
  </si>
  <si>
    <t xml:space="preserve">General operating expenses (office supplies, phone devices, etc.) </t>
  </si>
  <si>
    <t xml:space="preserve">Technical assistance (expertise on finance for the development of credit lines and on risk management), Trainings for MFI  (meetings), operational costs </t>
  </si>
  <si>
    <t xml:space="preserve">Training and capacity builing (technical expertise, cost of meetings for trainings, operational costs) </t>
  </si>
  <si>
    <t xml:space="preserve">Trainings for Banks and MFIs (3 trainings in Y2, Y3 and Y4, 3 days per training with at least 20 participants per training) </t>
  </si>
  <si>
    <t xml:space="preserve">Expert on Finance  (23 days per year in Y2 to Y4) </t>
  </si>
  <si>
    <t xml:space="preserve">Technical assistance / backstopping FAO - Expert on Finance  (10 days per year in Y2 to Y4) </t>
  </si>
  <si>
    <t>Consultant and training of validation for results</t>
  </si>
  <si>
    <t xml:space="preserve">Others (general opertating expenses and small materials for field missions and technical work under component 4) </t>
  </si>
  <si>
    <t>Expert on Finance  (15 days in Y1; 23 days per year in Y2 to Y6; 18 days in Y7 and Y8)</t>
  </si>
  <si>
    <t xml:space="preserve">Technical analysis of inclusive financial products and services for agrifood value chain and consultation workshops for the refinement of the products and services (technical expertise; validation meeting) </t>
  </si>
  <si>
    <t xml:space="preserve">Field mission and meetings for the facilitation of the information sharing and senzitization on new credit lines </t>
  </si>
  <si>
    <t xml:space="preserve">Office coordinator in Pointe Noire  (3 months in Y1; 12 months per year in Y2 to Y8) </t>
  </si>
  <si>
    <t xml:space="preserve">Procurement assistant and admin in Pointe Noire  (3 months in Y1; 12 months per year in Y2 to Y8) </t>
  </si>
  <si>
    <t>Environmental, social, gender and indigenous people expert (full time position). 1/3 of the cost on Component 3 (9 months in Y1; 12 months in Y2 to Y8)</t>
  </si>
  <si>
    <t xml:space="preserve">Development of market contacts for the establishment of future purchase agreements </t>
  </si>
  <si>
    <t xml:space="preserve">Office coordinator in Buenza  (3 months in Y1; 12 months per year in Y2 to Y8) </t>
  </si>
  <si>
    <t xml:space="preserve">Procurement assistant and admin in Buenza  (3 months in Y1; 12 months per year in Y2 to Y8) </t>
  </si>
  <si>
    <t>Workshops and technical assistance (technical expertise)</t>
  </si>
  <si>
    <t xml:space="preserve">Office cleaning (for the whole project duration) </t>
  </si>
  <si>
    <t xml:space="preserve">Security equipment for offices, such as VHF radio for staff and vehicles and CODAN radio for vehicles </t>
  </si>
  <si>
    <t>Office rental in Brazzaville (rent per month for the whole project duration)</t>
  </si>
  <si>
    <t xml:space="preserve">Watchmen for office in Brazza (for the whole project duration) </t>
  </si>
  <si>
    <t>Financial and operational manager (full time position) - 6 months in Y1; 12 months in Y2 to Y8</t>
  </si>
  <si>
    <t>Procurement manager (based in Brazzaville, full time position) - 6 months in Y1; 12 months in Y2 to Y 7; 6 months in Y8</t>
  </si>
  <si>
    <t xml:space="preserve">Administrative cost and team staff, operational expenses </t>
  </si>
  <si>
    <t>FAO</t>
  </si>
  <si>
    <t>FAO total</t>
  </si>
  <si>
    <t>FAO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</si>
</sst>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1" formatCode="_(* #,##0_);_(* \(#,##0\);_(* &quot;-&quot;_);_(@_)"/>
    <numFmt numFmtId="43" formatCode="_(* #,##0.00_);_(* \(#,##0.00\);_(* &quot;-&quot;??_);_(@_)"/>
    <numFmt numFmtId="164" formatCode="_-* #,##0.00_-;\-* #,##0.00_-;_-* &quot;-&quot;??_-;_-@_-"/>
    <numFmt numFmtId="165" formatCode="_-* #,##0_-;\-* #,##0_-;_-* &quot;-&quot;??_-;_-@_-"/>
    <numFmt numFmtId="166" formatCode="_(* #,##0_);_(* \(#,##0\);_(* &quot;-&quot;??_);_(@_)"/>
    <numFmt numFmtId="167" formatCode="#,##0.0"/>
    <numFmt numFmtId="168" formatCode="_-* #,##0.00000_-;\-* #,##0.00000_-;_-* &quot;-&quot;??_-;_-@_-"/>
  </numFmts>
  <fonts count="8" x14ac:knownFonts="1">
    <font>
      <sz val="11"/>
      <color theme="1"/>
      <name val="Calibri"/>
      <family val="2"/>
      <charset val="1"/>
      <scheme val="minor"/>
    </font>
    <font>
      <sz val="11"/>
      <color theme="1"/>
      <name val="Calibri"/>
      <family val="2"/>
      <charset val="1"/>
      <scheme val="minor"/>
    </font>
    <font>
      <sz val="11"/>
      <color theme="0"/>
      <name val="Calibri"/>
      <family val="2"/>
      <scheme val="minor"/>
    </font>
    <font>
      <b/>
      <sz val="11"/>
      <color theme="1"/>
      <name val="Calibri"/>
      <family val="2"/>
      <scheme val="minor"/>
    </font>
    <font>
      <sz val="12"/>
      <color theme="1"/>
      <name val="Calibri"/>
      <family val="2"/>
      <charset val="1"/>
      <scheme val="minor"/>
    </font>
    <font>
      <sz val="10"/>
      <color theme="1"/>
      <name val="Calibri"/>
      <family val="2"/>
      <charset val="1"/>
      <scheme val="minor"/>
    </font>
    <font>
      <b/>
      <sz val="11"/>
      <name val="Calibri"/>
      <family val="2"/>
      <scheme val="minor"/>
    </font>
    <font>
      <sz val="11"/>
      <name val="Calibri"/>
      <family val="2"/>
      <scheme val="minor"/>
    </font>
  </fonts>
  <fills count="11">
    <fill>
      <patternFill patternType="none"/>
    </fill>
    <fill>
      <patternFill patternType="gray125"/>
    </fill>
    <fill>
      <patternFill patternType="solid">
        <fgColor theme="8" tint="-0.249977111117893"/>
        <bgColor theme="8" tint="-0.249977111117893"/>
      </patternFill>
    </fill>
    <fill>
      <patternFill patternType="solid">
        <fgColor theme="4" tint="0.79998168889431442"/>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9" tint="0.39997558519241921"/>
        <bgColor indexed="64"/>
      </patternFill>
    </fill>
    <fill>
      <patternFill patternType="solid">
        <fgColor theme="3" tint="0.59999389629810485"/>
        <bgColor indexed="64"/>
      </patternFill>
    </fill>
  </fills>
  <borders count="4">
    <border>
      <left/>
      <right/>
      <top/>
      <bottom/>
      <diagonal/>
    </border>
    <border>
      <left style="thin">
        <color indexed="64"/>
      </left>
      <right style="thin">
        <color indexed="64"/>
      </right>
      <top style="thin">
        <color indexed="64"/>
      </top>
      <bottom/>
      <diagonal/>
    </border>
    <border>
      <left/>
      <right/>
      <top style="thin">
        <color indexed="64"/>
      </top>
      <bottom style="thin">
        <color theme="8" tint="0.79998168889431442"/>
      </bottom>
      <diagonal/>
    </border>
    <border>
      <left style="thin">
        <color indexed="64"/>
      </left>
      <right style="thin">
        <color indexed="64"/>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78">
    <xf numFmtId="0" fontId="0" fillId="0" borderId="0" xfId="0"/>
    <xf numFmtId="165" fontId="0" fillId="0" borderId="0" xfId="1" applyNumberFormat="1" applyFont="1"/>
    <xf numFmtId="3" fontId="0" fillId="0" borderId="0" xfId="1" applyNumberFormat="1" applyFont="1"/>
    <xf numFmtId="0" fontId="2" fillId="2" borderId="1" xfId="0" applyFont="1" applyFill="1" applyBorder="1"/>
    <xf numFmtId="0" fontId="2" fillId="2" borderId="2" xfId="0" applyFont="1" applyFill="1" applyBorder="1"/>
    <xf numFmtId="0" fontId="2" fillId="2" borderId="3" xfId="0" applyFont="1" applyFill="1" applyBorder="1"/>
    <xf numFmtId="0" fontId="2" fillId="2" borderId="3" xfId="0" applyFont="1" applyFill="1" applyBorder="1" applyAlignment="1"/>
    <xf numFmtId="165" fontId="2" fillId="2" borderId="3" xfId="1" applyNumberFormat="1" applyFont="1" applyFill="1" applyBorder="1" applyAlignment="1"/>
    <xf numFmtId="3" fontId="2" fillId="2" borderId="3" xfId="1" applyNumberFormat="1" applyFont="1" applyFill="1" applyBorder="1" applyAlignment="1"/>
    <xf numFmtId="0" fontId="3" fillId="0" borderId="0" xfId="0" applyFont="1" applyBorder="1" applyAlignment="1">
      <alignment vertical="center"/>
    </xf>
    <xf numFmtId="0" fontId="0" fillId="3" borderId="0" xfId="0" applyFill="1"/>
    <xf numFmtId="165" fontId="0" fillId="3" borderId="0" xfId="1" applyNumberFormat="1" applyFont="1" applyFill="1"/>
    <xf numFmtId="3" fontId="0" fillId="3" borderId="0" xfId="1" applyNumberFormat="1" applyFont="1" applyFill="1"/>
    <xf numFmtId="0" fontId="3" fillId="0" borderId="0" xfId="0" applyFont="1" applyFill="1" applyBorder="1" applyAlignment="1">
      <alignment vertical="center"/>
    </xf>
    <xf numFmtId="0" fontId="0" fillId="0" borderId="0" xfId="0" applyFill="1"/>
    <xf numFmtId="165" fontId="0" fillId="0" borderId="0" xfId="1" applyNumberFormat="1" applyFont="1" applyFill="1"/>
    <xf numFmtId="3" fontId="0" fillId="0" borderId="0" xfId="1" applyNumberFormat="1" applyFont="1" applyFill="1"/>
    <xf numFmtId="164" fontId="0" fillId="0" borderId="0" xfId="1" applyFont="1" applyFill="1"/>
    <xf numFmtId="0" fontId="0" fillId="0" borderId="0" xfId="0" applyAlignment="1">
      <alignment horizontal="center" vertical="center" wrapText="1"/>
    </xf>
    <xf numFmtId="0" fontId="0" fillId="4" borderId="0" xfId="0" applyFill="1"/>
    <xf numFmtId="165" fontId="0" fillId="4" borderId="0" xfId="1" applyNumberFormat="1" applyFont="1" applyFill="1"/>
    <xf numFmtId="3" fontId="0" fillId="4" borderId="0" xfId="1" applyNumberFormat="1" applyFont="1" applyFill="1"/>
    <xf numFmtId="0" fontId="0" fillId="0" borderId="0" xfId="0" applyAlignment="1"/>
    <xf numFmtId="0" fontId="0" fillId="0" borderId="0" xfId="0" applyAlignment="1">
      <alignment horizontal="center" wrapText="1"/>
    </xf>
    <xf numFmtId="0" fontId="3" fillId="5" borderId="0" xfId="0" applyFont="1" applyFill="1" applyAlignment="1">
      <alignment horizontal="center" vertical="center" wrapText="1"/>
    </xf>
    <xf numFmtId="0" fontId="3" fillId="5" borderId="0" xfId="0" applyFont="1" applyFill="1" applyAlignment="1">
      <alignment horizontal="center" wrapText="1"/>
    </xf>
    <xf numFmtId="0" fontId="3" fillId="5" borderId="0" xfId="0" applyFont="1" applyFill="1"/>
    <xf numFmtId="165" fontId="3" fillId="5" borderId="0" xfId="1" applyNumberFormat="1" applyFont="1" applyFill="1"/>
    <xf numFmtId="0" fontId="3" fillId="0" borderId="0" xfId="0" applyFont="1" applyAlignment="1">
      <alignment vertical="center"/>
    </xf>
    <xf numFmtId="0" fontId="0" fillId="0" borderId="0" xfId="0" applyAlignment="1">
      <alignment vertical="center"/>
    </xf>
    <xf numFmtId="166" fontId="0" fillId="0" borderId="0" xfId="1" applyNumberFormat="1" applyFont="1"/>
    <xf numFmtId="167" fontId="0" fillId="0" borderId="0" xfId="1" applyNumberFormat="1" applyFont="1"/>
    <xf numFmtId="0" fontId="3" fillId="0" borderId="0" xfId="0" applyFont="1" applyFill="1" applyAlignment="1">
      <alignment vertical="center"/>
    </xf>
    <xf numFmtId="0" fontId="0" fillId="0" borderId="0" xfId="0" applyFill="1" applyAlignment="1">
      <alignment vertical="center"/>
    </xf>
    <xf numFmtId="165" fontId="0" fillId="0" borderId="0" xfId="1" applyNumberFormat="1" applyFont="1" applyFill="1" applyAlignment="1">
      <alignment horizontal="right"/>
    </xf>
    <xf numFmtId="3" fontId="0" fillId="0" borderId="0" xfId="1" applyNumberFormat="1" applyFont="1" applyFill="1" applyAlignment="1">
      <alignment horizontal="right"/>
    </xf>
    <xf numFmtId="43" fontId="0" fillId="0" borderId="0" xfId="1" applyNumberFormat="1" applyFont="1"/>
    <xf numFmtId="0" fontId="3" fillId="5" borderId="0" xfId="0" applyFont="1" applyFill="1" applyAlignment="1">
      <alignment vertical="center" wrapText="1"/>
    </xf>
    <xf numFmtId="3" fontId="3" fillId="5" borderId="0" xfId="1" applyNumberFormat="1" applyFont="1" applyFill="1"/>
    <xf numFmtId="0" fontId="3" fillId="0" borderId="0" xfId="0" applyFont="1" applyFill="1" applyAlignment="1"/>
    <xf numFmtId="0" fontId="3" fillId="0" borderId="0" xfId="0" applyFont="1" applyAlignment="1"/>
    <xf numFmtId="41" fontId="0" fillId="0" borderId="0" xfId="1" applyNumberFormat="1" applyFont="1"/>
    <xf numFmtId="166" fontId="0" fillId="0" borderId="0" xfId="1" applyNumberFormat="1" applyFont="1" applyFill="1"/>
    <xf numFmtId="0" fontId="0" fillId="5" borderId="0" xfId="0" applyFill="1"/>
    <xf numFmtId="0" fontId="3" fillId="0" borderId="0" xfId="0" applyFont="1"/>
    <xf numFmtId="0" fontId="3" fillId="6" borderId="0" xfId="0" applyFont="1" applyFill="1"/>
    <xf numFmtId="165" fontId="3" fillId="6" borderId="0" xfId="1" applyNumberFormat="1" applyFont="1" applyFill="1"/>
    <xf numFmtId="0" fontId="3" fillId="7" borderId="0" xfId="0" applyFont="1" applyFill="1"/>
    <xf numFmtId="165" fontId="3" fillId="7" borderId="0" xfId="1" applyNumberFormat="1" applyFont="1" applyFill="1"/>
    <xf numFmtId="3" fontId="3" fillId="7" borderId="0" xfId="1" applyNumberFormat="1" applyFont="1" applyFill="1"/>
    <xf numFmtId="0" fontId="3" fillId="8" borderId="0" xfId="0" applyFont="1" applyFill="1"/>
    <xf numFmtId="165" fontId="3" fillId="8" borderId="0" xfId="1" applyNumberFormat="1" applyFont="1" applyFill="1"/>
    <xf numFmtId="3" fontId="3" fillId="8" borderId="0" xfId="1" applyNumberFormat="1" applyFont="1" applyFill="1"/>
    <xf numFmtId="0" fontId="3" fillId="9" borderId="0" xfId="0" applyFont="1" applyFill="1"/>
    <xf numFmtId="165" fontId="3" fillId="9" borderId="0" xfId="1" applyNumberFormat="1" applyFont="1" applyFill="1"/>
    <xf numFmtId="3" fontId="3" fillId="9" borderId="0" xfId="1" applyNumberFormat="1" applyFont="1" applyFill="1"/>
    <xf numFmtId="0" fontId="3" fillId="10" borderId="0" xfId="0" applyFont="1" applyFill="1"/>
    <xf numFmtId="165" fontId="3" fillId="10" borderId="0" xfId="1" applyNumberFormat="1" applyFont="1" applyFill="1"/>
    <xf numFmtId="3" fontId="3" fillId="10" borderId="0" xfId="1" applyNumberFormat="1" applyFont="1" applyFill="1"/>
    <xf numFmtId="0" fontId="4" fillId="0" borderId="0" xfId="0" applyFont="1" applyFill="1"/>
    <xf numFmtId="165" fontId="0" fillId="0" borderId="0" xfId="0" applyNumberFormat="1" applyFill="1"/>
    <xf numFmtId="0" fontId="0" fillId="0" borderId="0" xfId="0" applyFill="1" applyAlignment="1">
      <alignment horizontal="center" wrapText="1"/>
    </xf>
    <xf numFmtId="0" fontId="5" fillId="0" borderId="0" xfId="0" applyFont="1" applyFill="1"/>
    <xf numFmtId="0" fontId="5" fillId="0" borderId="0" xfId="0" applyFont="1"/>
    <xf numFmtId="0" fontId="5" fillId="0" borderId="0" xfId="0" applyFont="1" applyAlignment="1"/>
    <xf numFmtId="0" fontId="5" fillId="0" borderId="0" xfId="0" applyFont="1" applyAlignment="1">
      <alignment horizontal="left"/>
    </xf>
    <xf numFmtId="0" fontId="5" fillId="0" borderId="0" xfId="0" applyFont="1" applyFill="1" applyAlignment="1"/>
    <xf numFmtId="167" fontId="0" fillId="0" borderId="0" xfId="1" applyNumberFormat="1" applyFont="1" applyFill="1"/>
    <xf numFmtId="0" fontId="0" fillId="0" borderId="0" xfId="0" applyFill="1" applyAlignment="1"/>
    <xf numFmtId="0" fontId="0" fillId="0" borderId="0" xfId="0" applyFill="1" applyAlignment="1">
      <alignment horizontal="center" vertical="center" wrapText="1"/>
    </xf>
    <xf numFmtId="0" fontId="5" fillId="0" borderId="0" xfId="0" applyFont="1" applyFill="1" applyAlignment="1">
      <alignment horizontal="left"/>
    </xf>
    <xf numFmtId="0" fontId="7" fillId="0" borderId="0" xfId="0" applyFont="1" applyFill="1"/>
    <xf numFmtId="165" fontId="7" fillId="0" borderId="0" xfId="1" applyNumberFormat="1" applyFont="1" applyFill="1"/>
    <xf numFmtId="167" fontId="7" fillId="0" borderId="0" xfId="1" applyNumberFormat="1" applyFont="1" applyFill="1"/>
    <xf numFmtId="3" fontId="7" fillId="0" borderId="0" xfId="1" applyNumberFormat="1" applyFont="1" applyFill="1"/>
    <xf numFmtId="0" fontId="6" fillId="0" borderId="0" xfId="0" applyFont="1" applyFill="1" applyAlignment="1">
      <alignment vertical="center"/>
    </xf>
    <xf numFmtId="0" fontId="7" fillId="0" borderId="0" xfId="0" applyFont="1" applyFill="1" applyAlignment="1"/>
    <xf numFmtId="168" fontId="0" fillId="0" borderId="0" xfId="1" applyNumberFormat="1" applyFont="1" applyFill="1"/>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84"/>
  <sheetViews>
    <sheetView tabSelected="1" topLeftCell="A4" zoomScale="90" zoomScaleNormal="90" workbookViewId="0">
      <selection activeCell="D4" sqref="D4"/>
    </sheetView>
  </sheetViews>
  <sheetFormatPr defaultRowHeight="14.5" x14ac:dyDescent="0.35"/>
  <cols>
    <col min="1" max="1" width="17.453125" customWidth="1"/>
    <col min="2" max="2" width="18.7265625" customWidth="1"/>
    <col min="3" max="3" width="63.7265625" customWidth="1"/>
    <col min="5" max="5" width="24.7265625" customWidth="1"/>
    <col min="6" max="6" width="11.453125" customWidth="1"/>
    <col min="7" max="7" width="14.453125" customWidth="1"/>
    <col min="8" max="8" width="14.54296875" style="1" customWidth="1"/>
    <col min="9" max="9" width="10.7265625" style="1" customWidth="1"/>
    <col min="10" max="10" width="13.7265625" style="1" customWidth="1"/>
    <col min="11" max="11" width="14.26953125" style="1" customWidth="1"/>
    <col min="12" max="13" width="12.26953125" style="1" customWidth="1"/>
    <col min="14" max="14" width="14" style="1" customWidth="1"/>
    <col min="15" max="15" width="13.26953125" style="1" customWidth="1"/>
    <col min="16" max="16" width="12.54296875" style="1" customWidth="1"/>
    <col min="17" max="17" width="12.1796875" style="1" customWidth="1"/>
    <col min="18" max="18" width="14" style="2" bestFit="1" customWidth="1"/>
    <col min="19" max="19" width="15" style="1" bestFit="1" customWidth="1"/>
    <col min="20" max="20" width="9.453125" bestFit="1" customWidth="1"/>
  </cols>
  <sheetData>
    <row r="1" spans="1:19" x14ac:dyDescent="0.35">
      <c r="A1" t="s">
        <v>0</v>
      </c>
    </row>
    <row r="4" spans="1:19" x14ac:dyDescent="0.35">
      <c r="A4" s="3" t="s">
        <v>1</v>
      </c>
      <c r="B4" s="3" t="s">
        <v>2</v>
      </c>
      <c r="C4" s="4" t="s">
        <v>3</v>
      </c>
      <c r="D4" s="5" t="s">
        <v>4</v>
      </c>
      <c r="E4" s="4" t="s">
        <v>5</v>
      </c>
      <c r="F4" s="6" t="s">
        <v>6</v>
      </c>
      <c r="G4" s="6" t="s">
        <v>7</v>
      </c>
      <c r="H4" s="7" t="s">
        <v>8</v>
      </c>
      <c r="I4" s="7" t="s">
        <v>9</v>
      </c>
      <c r="J4" s="7" t="s">
        <v>10</v>
      </c>
      <c r="K4" s="7" t="s">
        <v>11</v>
      </c>
      <c r="L4" s="7" t="s">
        <v>12</v>
      </c>
      <c r="M4" s="7" t="s">
        <v>13</v>
      </c>
      <c r="N4" s="7" t="s">
        <v>14</v>
      </c>
      <c r="O4" s="7" t="s">
        <v>15</v>
      </c>
      <c r="P4" s="7" t="s">
        <v>16</v>
      </c>
      <c r="Q4" s="7" t="s">
        <v>17</v>
      </c>
      <c r="R4" s="8" t="s">
        <v>18</v>
      </c>
    </row>
    <row r="5" spans="1:19" s="14" customFormat="1" ht="15" customHeight="1" x14ac:dyDescent="0.35">
      <c r="A5" s="28" t="s">
        <v>19</v>
      </c>
      <c r="B5" s="29" t="s">
        <v>20</v>
      </c>
      <c r="C5" s="14" t="s">
        <v>21</v>
      </c>
      <c r="D5" s="14" t="s">
        <v>22</v>
      </c>
      <c r="E5" s="14" t="s">
        <v>23</v>
      </c>
      <c r="F5" s="14" t="s">
        <v>24</v>
      </c>
      <c r="G5" s="14" t="s">
        <v>25</v>
      </c>
      <c r="H5" s="15">
        <v>12500</v>
      </c>
      <c r="I5" s="15">
        <v>22</v>
      </c>
      <c r="J5" s="15">
        <f>H5*11</f>
        <v>137500</v>
      </c>
      <c r="K5" s="15">
        <f>H5*11</f>
        <v>137500</v>
      </c>
      <c r="L5" s="15"/>
      <c r="M5" s="15">
        <v>0</v>
      </c>
      <c r="N5" s="15">
        <v>0</v>
      </c>
      <c r="O5" s="15">
        <v>0</v>
      </c>
      <c r="P5" s="15">
        <v>0</v>
      </c>
      <c r="Q5" s="15">
        <v>0</v>
      </c>
      <c r="R5" s="16">
        <f t="shared" ref="R5" si="0">SUM(J5:Q5)</f>
        <v>275000</v>
      </c>
    </row>
    <row r="6" spans="1:19" s="14" customFormat="1" ht="15" customHeight="1" x14ac:dyDescent="0.35">
      <c r="A6" s="32"/>
      <c r="B6" s="33"/>
      <c r="C6" s="10" t="s">
        <v>26</v>
      </c>
      <c r="D6" s="10"/>
      <c r="E6" s="10"/>
      <c r="F6" s="10"/>
      <c r="G6" s="10"/>
      <c r="H6" s="11"/>
      <c r="I6" s="11"/>
      <c r="J6" s="11">
        <f>SUM(J5)</f>
        <v>137500</v>
      </c>
      <c r="K6" s="11">
        <f t="shared" ref="K6:R6" si="1">SUM(K5)</f>
        <v>137500</v>
      </c>
      <c r="L6" s="11">
        <f t="shared" si="1"/>
        <v>0</v>
      </c>
      <c r="M6" s="11">
        <f t="shared" si="1"/>
        <v>0</v>
      </c>
      <c r="N6" s="11">
        <f t="shared" si="1"/>
        <v>0</v>
      </c>
      <c r="O6" s="11">
        <f t="shared" si="1"/>
        <v>0</v>
      </c>
      <c r="P6" s="11">
        <f t="shared" si="1"/>
        <v>0</v>
      </c>
      <c r="Q6" s="11">
        <f t="shared" si="1"/>
        <v>0</v>
      </c>
      <c r="R6" s="11">
        <f t="shared" si="1"/>
        <v>275000</v>
      </c>
    </row>
    <row r="7" spans="1:19" s="14" customFormat="1" ht="15" customHeight="1" x14ac:dyDescent="0.35">
      <c r="A7" s="32"/>
      <c r="B7" s="33"/>
      <c r="C7" s="19" t="s">
        <v>27</v>
      </c>
      <c r="D7" s="19"/>
      <c r="E7" s="19"/>
      <c r="F7" s="19"/>
      <c r="G7" s="19"/>
      <c r="H7" s="20"/>
      <c r="I7" s="20"/>
      <c r="J7" s="20">
        <f>J6</f>
        <v>137500</v>
      </c>
      <c r="K7" s="20">
        <f t="shared" ref="K7:R7" si="2">K6</f>
        <v>137500</v>
      </c>
      <c r="L7" s="20">
        <f t="shared" si="2"/>
        <v>0</v>
      </c>
      <c r="M7" s="20">
        <f t="shared" si="2"/>
        <v>0</v>
      </c>
      <c r="N7" s="20">
        <f t="shared" si="2"/>
        <v>0</v>
      </c>
      <c r="O7" s="20">
        <f t="shared" si="2"/>
        <v>0</v>
      </c>
      <c r="P7" s="20">
        <f t="shared" si="2"/>
        <v>0</v>
      </c>
      <c r="Q7" s="20">
        <f t="shared" si="2"/>
        <v>0</v>
      </c>
      <c r="R7" s="20">
        <f t="shared" si="2"/>
        <v>275000</v>
      </c>
    </row>
    <row r="8" spans="1:19" ht="15" customHeight="1" x14ac:dyDescent="0.35">
      <c r="A8" s="9" t="s">
        <v>19</v>
      </c>
      <c r="B8" s="22" t="s">
        <v>28</v>
      </c>
      <c r="C8" s="22" t="s">
        <v>29</v>
      </c>
      <c r="D8" t="s">
        <v>22</v>
      </c>
      <c r="E8" t="s">
        <v>30</v>
      </c>
      <c r="F8" t="s">
        <v>31</v>
      </c>
      <c r="G8" t="s">
        <v>25</v>
      </c>
      <c r="H8" s="1">
        <v>12500</v>
      </c>
      <c r="I8" s="1">
        <v>2</v>
      </c>
      <c r="J8" s="1">
        <v>12500</v>
      </c>
      <c r="K8" s="1">
        <v>12500</v>
      </c>
      <c r="L8" s="1">
        <v>0</v>
      </c>
      <c r="M8" s="1">
        <v>0</v>
      </c>
      <c r="N8" s="1">
        <v>0</v>
      </c>
      <c r="O8" s="1">
        <v>0</v>
      </c>
      <c r="P8" s="1">
        <v>0</v>
      </c>
      <c r="Q8" s="1">
        <v>0</v>
      </c>
      <c r="R8" s="2">
        <f>SUM(J8:Q8)</f>
        <v>25000</v>
      </c>
    </row>
    <row r="9" spans="1:19" ht="15" customHeight="1" x14ac:dyDescent="0.35">
      <c r="A9" s="9" t="s">
        <v>19</v>
      </c>
      <c r="B9" s="22" t="s">
        <v>28</v>
      </c>
      <c r="C9" s="22" t="s">
        <v>29</v>
      </c>
      <c r="D9" t="s">
        <v>22</v>
      </c>
      <c r="E9" t="s">
        <v>32</v>
      </c>
      <c r="F9" t="s">
        <v>33</v>
      </c>
      <c r="G9" t="s">
        <v>25</v>
      </c>
      <c r="H9" s="1">
        <v>4000</v>
      </c>
      <c r="I9" s="1">
        <f>R9/H9</f>
        <v>6</v>
      </c>
      <c r="J9" s="1">
        <v>4000</v>
      </c>
      <c r="K9" s="1">
        <v>4000</v>
      </c>
      <c r="L9" s="1">
        <v>4000</v>
      </c>
      <c r="M9" s="1">
        <v>4000</v>
      </c>
      <c r="N9" s="1">
        <v>4000</v>
      </c>
      <c r="O9" s="1">
        <v>4000</v>
      </c>
      <c r="Q9" s="1">
        <v>0</v>
      </c>
      <c r="R9" s="2">
        <f>SUM(J9:Q9)</f>
        <v>24000</v>
      </c>
    </row>
    <row r="10" spans="1:19" s="14" customFormat="1" ht="15" customHeight="1" x14ac:dyDescent="0.35">
      <c r="A10" s="9" t="s">
        <v>19</v>
      </c>
      <c r="B10" s="22" t="s">
        <v>28</v>
      </c>
      <c r="C10" s="22" t="s">
        <v>29</v>
      </c>
      <c r="D10" s="14" t="s">
        <v>22</v>
      </c>
      <c r="E10" s="14" t="s">
        <v>34</v>
      </c>
      <c r="F10" t="s">
        <v>35</v>
      </c>
      <c r="G10" s="14" t="s">
        <v>36</v>
      </c>
      <c r="H10" s="15">
        <f>R10/I10</f>
        <v>3204.2580645161293</v>
      </c>
      <c r="I10" s="16">
        <v>31</v>
      </c>
      <c r="J10" s="16">
        <v>8630</v>
      </c>
      <c r="K10" s="16">
        <v>11737</v>
      </c>
      <c r="L10" s="16">
        <v>12208</v>
      </c>
      <c r="M10" s="16">
        <v>12574</v>
      </c>
      <c r="N10" s="16">
        <v>12951</v>
      </c>
      <c r="O10" s="16">
        <v>13340</v>
      </c>
      <c r="P10" s="16">
        <v>13740</v>
      </c>
      <c r="Q10" s="16">
        <v>14152</v>
      </c>
      <c r="R10" s="16">
        <f t="shared" ref="R10" si="3">SUM(J10:Q10)</f>
        <v>99332</v>
      </c>
      <c r="S10" s="15"/>
    </row>
    <row r="11" spans="1:19" s="14" customFormat="1" ht="15" customHeight="1" x14ac:dyDescent="0.35">
      <c r="A11" s="9"/>
      <c r="B11" s="22"/>
      <c r="C11" s="10" t="s">
        <v>26</v>
      </c>
      <c r="D11" s="10"/>
      <c r="E11" s="10"/>
      <c r="F11" s="10"/>
      <c r="G11" s="10"/>
      <c r="H11" s="11"/>
      <c r="I11" s="11"/>
      <c r="J11" s="11">
        <f>SUM(J8:J10)</f>
        <v>25130</v>
      </c>
      <c r="K11" s="11">
        <f t="shared" ref="K11:R11" si="4">SUM(K8:K10)</f>
        <v>28237</v>
      </c>
      <c r="L11" s="11">
        <f t="shared" si="4"/>
        <v>16208</v>
      </c>
      <c r="M11" s="11">
        <f t="shared" si="4"/>
        <v>16574</v>
      </c>
      <c r="N11" s="11">
        <f t="shared" si="4"/>
        <v>16951</v>
      </c>
      <c r="O11" s="11">
        <f t="shared" si="4"/>
        <v>17340</v>
      </c>
      <c r="P11" s="11">
        <f t="shared" si="4"/>
        <v>13740</v>
      </c>
      <c r="Q11" s="11">
        <f t="shared" si="4"/>
        <v>14152</v>
      </c>
      <c r="R11" s="11">
        <f t="shared" si="4"/>
        <v>148332</v>
      </c>
      <c r="S11" s="15"/>
    </row>
    <row r="12" spans="1:19" ht="15" customHeight="1" x14ac:dyDescent="0.35">
      <c r="A12" s="9" t="s">
        <v>19</v>
      </c>
      <c r="B12" s="22" t="s">
        <v>28</v>
      </c>
      <c r="C12" s="22" t="s">
        <v>37</v>
      </c>
      <c r="D12" t="s">
        <v>22</v>
      </c>
      <c r="E12" s="14" t="s">
        <v>38</v>
      </c>
      <c r="F12" s="14" t="s">
        <v>39</v>
      </c>
      <c r="G12" s="14" t="s">
        <v>25</v>
      </c>
      <c r="H12" s="15">
        <v>40000</v>
      </c>
      <c r="I12" s="15">
        <v>2</v>
      </c>
      <c r="J12" s="15">
        <v>20000</v>
      </c>
      <c r="K12" s="15">
        <v>20000</v>
      </c>
      <c r="L12" s="15">
        <v>40000</v>
      </c>
      <c r="M12" s="15">
        <v>0</v>
      </c>
      <c r="N12" s="15">
        <v>0</v>
      </c>
      <c r="O12" s="15">
        <v>0</v>
      </c>
      <c r="P12" s="15">
        <v>0</v>
      </c>
      <c r="Q12" s="15">
        <v>0</v>
      </c>
      <c r="R12" s="16">
        <f>SUM(J12:Q12)</f>
        <v>80000</v>
      </c>
    </row>
    <row r="13" spans="1:19" s="14" customFormat="1" ht="15" customHeight="1" x14ac:dyDescent="0.35">
      <c r="A13" s="13" t="s">
        <v>19</v>
      </c>
      <c r="B13" s="68" t="s">
        <v>28</v>
      </c>
      <c r="C13" s="68" t="s">
        <v>37</v>
      </c>
      <c r="D13" s="14" t="s">
        <v>22</v>
      </c>
      <c r="E13" s="14" t="s">
        <v>34</v>
      </c>
      <c r="F13" s="14" t="s">
        <v>40</v>
      </c>
      <c r="G13" s="14" t="s">
        <v>41</v>
      </c>
      <c r="H13" s="15">
        <v>885</v>
      </c>
      <c r="I13" s="16">
        <f>R13/H13</f>
        <v>110</v>
      </c>
      <c r="J13" s="16">
        <f>12*H13</f>
        <v>10620</v>
      </c>
      <c r="K13" s="16">
        <f>H13*20</f>
        <v>17700</v>
      </c>
      <c r="L13" s="16">
        <f>H13*20</f>
        <v>17700</v>
      </c>
      <c r="M13" s="16">
        <f>H13*20</f>
        <v>17700</v>
      </c>
      <c r="N13" s="16">
        <f>H13*18</f>
        <v>15930</v>
      </c>
      <c r="O13" s="16">
        <f>H13*10</f>
        <v>8850</v>
      </c>
      <c r="P13" s="16">
        <f>H13*10</f>
        <v>8850</v>
      </c>
      <c r="Q13" s="16">
        <v>0</v>
      </c>
      <c r="R13" s="16">
        <f t="shared" ref="R13:R14" si="5">SUM(J13:Q13)</f>
        <v>97350</v>
      </c>
      <c r="S13" s="15"/>
    </row>
    <row r="14" spans="1:19" ht="15" customHeight="1" x14ac:dyDescent="0.35">
      <c r="A14" s="9" t="s">
        <v>19</v>
      </c>
      <c r="B14" s="22" t="s">
        <v>28</v>
      </c>
      <c r="C14" s="22" t="s">
        <v>37</v>
      </c>
      <c r="D14" t="s">
        <v>22</v>
      </c>
      <c r="E14" s="14" t="s">
        <v>42</v>
      </c>
      <c r="F14" s="14" t="s">
        <v>43</v>
      </c>
      <c r="G14" s="14" t="s">
        <v>25</v>
      </c>
      <c r="H14" s="15">
        <v>20000</v>
      </c>
      <c r="I14" s="15">
        <v>2</v>
      </c>
      <c r="J14" s="15">
        <v>10000</v>
      </c>
      <c r="K14" s="15">
        <v>20000</v>
      </c>
      <c r="L14" s="15">
        <v>10000</v>
      </c>
      <c r="M14" s="15">
        <v>0</v>
      </c>
      <c r="N14" s="15">
        <v>0</v>
      </c>
      <c r="O14" s="15">
        <v>0</v>
      </c>
      <c r="P14" s="15">
        <v>0</v>
      </c>
      <c r="Q14" s="15">
        <v>0</v>
      </c>
      <c r="R14" s="16">
        <f t="shared" si="5"/>
        <v>40000</v>
      </c>
    </row>
    <row r="15" spans="1:19" ht="15" customHeight="1" x14ac:dyDescent="0.35">
      <c r="A15" s="9" t="s">
        <v>19</v>
      </c>
      <c r="B15" s="22" t="s">
        <v>28</v>
      </c>
      <c r="C15" s="22" t="s">
        <v>37</v>
      </c>
      <c r="D15" t="s">
        <v>22</v>
      </c>
      <c r="E15" s="14" t="s">
        <v>44</v>
      </c>
      <c r="F15" s="14" t="s">
        <v>45</v>
      </c>
      <c r="G15" s="14" t="s">
        <v>41</v>
      </c>
      <c r="H15" s="15">
        <v>457</v>
      </c>
      <c r="I15" s="16">
        <v>43</v>
      </c>
      <c r="J15" s="16">
        <f>H15*6</f>
        <v>2742</v>
      </c>
      <c r="K15" s="16">
        <f>H15*6</f>
        <v>2742</v>
      </c>
      <c r="L15" s="16">
        <f>H15*6</f>
        <v>2742</v>
      </c>
      <c r="M15" s="16">
        <f>H15*5</f>
        <v>2285</v>
      </c>
      <c r="N15" s="16">
        <f>H15*5</f>
        <v>2285</v>
      </c>
      <c r="O15" s="16">
        <f>H15*5</f>
        <v>2285</v>
      </c>
      <c r="P15" s="16">
        <f>H15*5</f>
        <v>2285</v>
      </c>
      <c r="Q15" s="16">
        <f>H15*5</f>
        <v>2285</v>
      </c>
      <c r="R15" s="16">
        <f t="shared" ref="R15:R16" si="6">SUM(J15:Q15)</f>
        <v>19651</v>
      </c>
      <c r="S15"/>
    </row>
    <row r="16" spans="1:19" s="14" customFormat="1" ht="15" customHeight="1" x14ac:dyDescent="0.35">
      <c r="A16" s="13" t="s">
        <v>19</v>
      </c>
      <c r="B16" s="68" t="s">
        <v>28</v>
      </c>
      <c r="C16" s="68" t="s">
        <v>37</v>
      </c>
      <c r="D16" s="14" t="s">
        <v>22</v>
      </c>
      <c r="E16" s="14" t="s">
        <v>32</v>
      </c>
      <c r="F16" s="14" t="s">
        <v>46</v>
      </c>
      <c r="G16" s="14" t="s">
        <v>25</v>
      </c>
      <c r="H16" s="15">
        <v>4000</v>
      </c>
      <c r="I16" s="17">
        <f>R16/H16</f>
        <v>7</v>
      </c>
      <c r="J16" s="16">
        <v>4000</v>
      </c>
      <c r="K16" s="16">
        <v>4000</v>
      </c>
      <c r="L16" s="16">
        <v>4000</v>
      </c>
      <c r="M16" s="16">
        <v>4000</v>
      </c>
      <c r="N16" s="16">
        <v>4000</v>
      </c>
      <c r="O16" s="16">
        <v>4000</v>
      </c>
      <c r="P16" s="16">
        <v>4000</v>
      </c>
      <c r="Q16" s="16"/>
      <c r="R16" s="16">
        <f t="shared" si="6"/>
        <v>28000</v>
      </c>
    </row>
    <row r="17" spans="1:19" s="14" customFormat="1" ht="15" customHeight="1" x14ac:dyDescent="0.35">
      <c r="A17" s="13" t="s">
        <v>19</v>
      </c>
      <c r="B17" s="68" t="s">
        <v>28</v>
      </c>
      <c r="C17" s="68" t="s">
        <v>37</v>
      </c>
      <c r="D17" s="14" t="s">
        <v>22</v>
      </c>
      <c r="E17" s="14" t="s">
        <v>42</v>
      </c>
      <c r="F17" s="14" t="s">
        <v>47</v>
      </c>
      <c r="G17" s="14" t="s">
        <v>25</v>
      </c>
      <c r="H17" s="15">
        <v>4000</v>
      </c>
      <c r="I17" s="67">
        <f>R17/H17</f>
        <v>15</v>
      </c>
      <c r="J17" s="15">
        <f>H17</f>
        <v>4000</v>
      </c>
      <c r="K17" s="15">
        <f>H17*2</f>
        <v>8000</v>
      </c>
      <c r="L17" s="15">
        <f>H17*2</f>
        <v>8000</v>
      </c>
      <c r="M17" s="15">
        <f>H17*2</f>
        <v>8000</v>
      </c>
      <c r="N17" s="15">
        <f>H17*2</f>
        <v>8000</v>
      </c>
      <c r="O17" s="15">
        <f>H17*2</f>
        <v>8000</v>
      </c>
      <c r="P17" s="15">
        <f>H17*2</f>
        <v>8000</v>
      </c>
      <c r="Q17" s="15">
        <f>H17*2</f>
        <v>8000</v>
      </c>
      <c r="R17" s="16">
        <f t="shared" ref="R17" si="7">SUM(J17:Q17)</f>
        <v>60000</v>
      </c>
    </row>
    <row r="18" spans="1:19" s="14" customFormat="1" ht="15" customHeight="1" x14ac:dyDescent="0.35">
      <c r="A18" s="13" t="s">
        <v>19</v>
      </c>
      <c r="B18" s="68" t="s">
        <v>28</v>
      </c>
      <c r="C18" s="68" t="s">
        <v>37</v>
      </c>
      <c r="D18" s="14" t="s">
        <v>22</v>
      </c>
      <c r="E18" s="14" t="s">
        <v>42</v>
      </c>
      <c r="F18" s="14" t="s">
        <v>48</v>
      </c>
      <c r="G18" s="14" t="s">
        <v>49</v>
      </c>
      <c r="H18" s="15">
        <v>5000</v>
      </c>
      <c r="I18" s="16">
        <v>3</v>
      </c>
      <c r="J18" s="16">
        <v>5000</v>
      </c>
      <c r="K18" s="16">
        <v>5000</v>
      </c>
      <c r="L18" s="16">
        <v>5000</v>
      </c>
      <c r="M18" s="15"/>
      <c r="N18" s="16"/>
      <c r="O18" s="15"/>
      <c r="P18" s="16"/>
      <c r="Q18" s="16"/>
      <c r="R18" s="16">
        <f>SUM(J18:Q18)</f>
        <v>15000</v>
      </c>
    </row>
    <row r="19" spans="1:19" s="14" customFormat="1" ht="15" customHeight="1" x14ac:dyDescent="0.35">
      <c r="A19" s="13" t="s">
        <v>19</v>
      </c>
      <c r="B19" s="68" t="s">
        <v>28</v>
      </c>
      <c r="C19" s="68" t="s">
        <v>37</v>
      </c>
      <c r="D19" s="14" t="s">
        <v>22</v>
      </c>
      <c r="E19" s="14" t="s">
        <v>34</v>
      </c>
      <c r="F19" s="14" t="s">
        <v>50</v>
      </c>
      <c r="G19" s="14" t="s">
        <v>36</v>
      </c>
      <c r="H19" s="15">
        <f>R19/I19</f>
        <v>3219.0337078651687</v>
      </c>
      <c r="I19" s="15">
        <v>89</v>
      </c>
      <c r="J19" s="15">
        <v>14384</v>
      </c>
      <c r="K19" s="15">
        <v>35212</v>
      </c>
      <c r="L19" s="15">
        <v>36624</v>
      </c>
      <c r="M19" s="15">
        <v>37723</v>
      </c>
      <c r="N19" s="15">
        <v>38854</v>
      </c>
      <c r="O19" s="15">
        <v>40020</v>
      </c>
      <c r="P19" s="15">
        <v>41220</v>
      </c>
      <c r="Q19" s="15">
        <v>42457</v>
      </c>
      <c r="R19" s="16">
        <f t="shared" ref="R19" si="8">SUM(J19:Q19)</f>
        <v>286494</v>
      </c>
    </row>
    <row r="20" spans="1:19" x14ac:dyDescent="0.35">
      <c r="A20" s="9"/>
      <c r="B20" s="22"/>
      <c r="C20" s="10" t="s">
        <v>26</v>
      </c>
      <c r="D20" s="10"/>
      <c r="E20" s="10"/>
      <c r="F20" s="10"/>
      <c r="G20" s="10"/>
      <c r="H20" s="11"/>
      <c r="I20" s="11"/>
      <c r="J20" s="11">
        <f>SUM(J12:J19)</f>
        <v>70746</v>
      </c>
      <c r="K20" s="11">
        <f t="shared" ref="K20:Q20" si="9">SUM(K12:K19)</f>
        <v>112654</v>
      </c>
      <c r="L20" s="11">
        <f t="shared" si="9"/>
        <v>124066</v>
      </c>
      <c r="M20" s="11">
        <f t="shared" si="9"/>
        <v>69708</v>
      </c>
      <c r="N20" s="11">
        <f t="shared" si="9"/>
        <v>69069</v>
      </c>
      <c r="O20" s="11">
        <f t="shared" si="9"/>
        <v>63155</v>
      </c>
      <c r="P20" s="11">
        <f t="shared" si="9"/>
        <v>64355</v>
      </c>
      <c r="Q20" s="11">
        <f t="shared" si="9"/>
        <v>52742</v>
      </c>
      <c r="R20" s="11">
        <f>SUM(R12:R19)</f>
        <v>626495</v>
      </c>
    </row>
    <row r="21" spans="1:19" s="14" customFormat="1" ht="15" customHeight="1" x14ac:dyDescent="0.35">
      <c r="A21" s="13"/>
      <c r="B21" s="61"/>
      <c r="C21" s="19" t="s">
        <v>51</v>
      </c>
      <c r="D21" s="19"/>
      <c r="E21" s="19"/>
      <c r="F21" s="19"/>
      <c r="G21" s="19"/>
      <c r="H21" s="20"/>
      <c r="I21" s="20"/>
      <c r="J21" s="20">
        <f>J20+J11</f>
        <v>95876</v>
      </c>
      <c r="K21" s="20">
        <f t="shared" ref="K21:Q21" si="10">K20+K11</f>
        <v>140891</v>
      </c>
      <c r="L21" s="20">
        <f t="shared" si="10"/>
        <v>140274</v>
      </c>
      <c r="M21" s="20">
        <f t="shared" si="10"/>
        <v>86282</v>
      </c>
      <c r="N21" s="20">
        <f t="shared" si="10"/>
        <v>86020</v>
      </c>
      <c r="O21" s="20">
        <f t="shared" si="10"/>
        <v>80495</v>
      </c>
      <c r="P21" s="20">
        <f t="shared" si="10"/>
        <v>78095</v>
      </c>
      <c r="Q21" s="20">
        <f t="shared" si="10"/>
        <v>66894</v>
      </c>
      <c r="R21" s="20">
        <f>R20+R11</f>
        <v>774827</v>
      </c>
      <c r="S21" s="15"/>
    </row>
    <row r="22" spans="1:19" ht="15" customHeight="1" x14ac:dyDescent="0.35">
      <c r="A22" s="24"/>
      <c r="B22" s="25" t="s">
        <v>52</v>
      </c>
      <c r="C22" s="26"/>
      <c r="D22" s="26"/>
      <c r="E22" s="26"/>
      <c r="F22" s="26"/>
      <c r="G22" s="26"/>
      <c r="H22" s="27"/>
      <c r="I22" s="27"/>
      <c r="J22" s="27">
        <f t="shared" ref="J22:R22" si="11">J21+J7</f>
        <v>233376</v>
      </c>
      <c r="K22" s="27">
        <f t="shared" si="11"/>
        <v>278391</v>
      </c>
      <c r="L22" s="27">
        <f t="shared" si="11"/>
        <v>140274</v>
      </c>
      <c r="M22" s="27">
        <f t="shared" si="11"/>
        <v>86282</v>
      </c>
      <c r="N22" s="27">
        <f t="shared" si="11"/>
        <v>86020</v>
      </c>
      <c r="O22" s="27">
        <f t="shared" si="11"/>
        <v>80495</v>
      </c>
      <c r="P22" s="27">
        <f t="shared" si="11"/>
        <v>78095</v>
      </c>
      <c r="Q22" s="27">
        <f t="shared" si="11"/>
        <v>66894</v>
      </c>
      <c r="R22" s="27">
        <f t="shared" si="11"/>
        <v>1049827</v>
      </c>
    </row>
    <row r="23" spans="1:19" x14ac:dyDescent="0.35">
      <c r="A23" s="28" t="s">
        <v>53</v>
      </c>
      <c r="B23" s="22" t="s">
        <v>54</v>
      </c>
      <c r="C23" s="22" t="s">
        <v>55</v>
      </c>
      <c r="D23" t="s">
        <v>311</v>
      </c>
      <c r="E23" t="s">
        <v>23</v>
      </c>
      <c r="F23" t="s">
        <v>56</v>
      </c>
      <c r="G23" t="s">
        <v>57</v>
      </c>
      <c r="H23" s="15">
        <f>R23/I23</f>
        <v>1490.1218518518519</v>
      </c>
      <c r="I23" s="15">
        <v>2700</v>
      </c>
      <c r="J23" s="1">
        <v>0</v>
      </c>
      <c r="K23" s="1">
        <v>940033</v>
      </c>
      <c r="L23" s="1">
        <v>958362</v>
      </c>
      <c r="M23" s="1">
        <v>1052208</v>
      </c>
      <c r="N23" s="1">
        <v>1072726</v>
      </c>
      <c r="O23" s="1">
        <v>0</v>
      </c>
      <c r="P23" s="1">
        <v>0</v>
      </c>
      <c r="Q23" s="1">
        <v>0</v>
      </c>
      <c r="R23" s="2">
        <f>SUM(J23:Q23)</f>
        <v>4023329</v>
      </c>
    </row>
    <row r="24" spans="1:19" x14ac:dyDescent="0.35">
      <c r="A24" s="28" t="s">
        <v>53</v>
      </c>
      <c r="B24" s="22" t="s">
        <v>54</v>
      </c>
      <c r="C24" s="22" t="s">
        <v>55</v>
      </c>
      <c r="D24" t="s">
        <v>311</v>
      </c>
      <c r="E24" t="s">
        <v>30</v>
      </c>
      <c r="F24" t="s">
        <v>58</v>
      </c>
      <c r="G24" t="s">
        <v>25</v>
      </c>
      <c r="H24" s="1">
        <v>2486671</v>
      </c>
      <c r="I24" s="1">
        <v>1</v>
      </c>
      <c r="J24" s="1">
        <v>497334</v>
      </c>
      <c r="K24" s="1">
        <v>497334</v>
      </c>
      <c r="L24" s="1">
        <v>497334</v>
      </c>
      <c r="M24" s="1">
        <v>497334</v>
      </c>
      <c r="N24" s="1">
        <v>497335</v>
      </c>
      <c r="O24" s="1">
        <v>0</v>
      </c>
      <c r="P24" s="1">
        <v>0</v>
      </c>
      <c r="Q24" s="1">
        <v>0</v>
      </c>
      <c r="R24" s="2">
        <f>SUM(J24:Q24)</f>
        <v>2486671</v>
      </c>
    </row>
    <row r="25" spans="1:19" ht="15" customHeight="1" x14ac:dyDescent="0.35">
      <c r="A25" s="28"/>
      <c r="B25" s="22"/>
      <c r="C25" s="10" t="s">
        <v>312</v>
      </c>
      <c r="D25" s="10"/>
      <c r="E25" s="10"/>
      <c r="F25" s="10"/>
      <c r="G25" s="10"/>
      <c r="H25" s="11"/>
      <c r="I25" s="11"/>
      <c r="J25" s="11">
        <f t="shared" ref="J25:R25" si="12">SUM(J23:J24)</f>
        <v>497334</v>
      </c>
      <c r="K25" s="11">
        <f t="shared" si="12"/>
        <v>1437367</v>
      </c>
      <c r="L25" s="11">
        <f t="shared" si="12"/>
        <v>1455696</v>
      </c>
      <c r="M25" s="11">
        <f t="shared" si="12"/>
        <v>1549542</v>
      </c>
      <c r="N25" s="11">
        <f t="shared" si="12"/>
        <v>1570061</v>
      </c>
      <c r="O25" s="11">
        <f t="shared" si="12"/>
        <v>0</v>
      </c>
      <c r="P25" s="11">
        <f t="shared" si="12"/>
        <v>0</v>
      </c>
      <c r="Q25" s="11">
        <f t="shared" si="12"/>
        <v>0</v>
      </c>
      <c r="R25" s="12">
        <f t="shared" si="12"/>
        <v>6510000</v>
      </c>
    </row>
    <row r="26" spans="1:19" ht="15" customHeight="1" x14ac:dyDescent="0.35">
      <c r="A26" s="28"/>
      <c r="B26" s="22"/>
      <c r="C26" s="19" t="s">
        <v>59</v>
      </c>
      <c r="D26" s="19"/>
      <c r="E26" s="19"/>
      <c r="F26" s="19"/>
      <c r="G26" s="19"/>
      <c r="H26" s="20"/>
      <c r="I26" s="20"/>
      <c r="J26" s="20">
        <f>SUM(J25)</f>
        <v>497334</v>
      </c>
      <c r="K26" s="20">
        <f t="shared" ref="K26:R26" si="13">SUM(K25)</f>
        <v>1437367</v>
      </c>
      <c r="L26" s="20">
        <f t="shared" si="13"/>
        <v>1455696</v>
      </c>
      <c r="M26" s="20">
        <f t="shared" si="13"/>
        <v>1549542</v>
      </c>
      <c r="N26" s="20">
        <f t="shared" si="13"/>
        <v>1570061</v>
      </c>
      <c r="O26" s="20">
        <f t="shared" si="13"/>
        <v>0</v>
      </c>
      <c r="P26" s="20">
        <f t="shared" si="13"/>
        <v>0</v>
      </c>
      <c r="Q26" s="20">
        <f t="shared" si="13"/>
        <v>0</v>
      </c>
      <c r="R26" s="20">
        <f t="shared" si="13"/>
        <v>6510000</v>
      </c>
    </row>
    <row r="27" spans="1:19" ht="14.65" customHeight="1" x14ac:dyDescent="0.35">
      <c r="A27" s="28" t="s">
        <v>53</v>
      </c>
      <c r="B27" s="33" t="s">
        <v>60</v>
      </c>
      <c r="C27" t="s">
        <v>61</v>
      </c>
      <c r="D27" t="s">
        <v>22</v>
      </c>
      <c r="E27" t="s">
        <v>38</v>
      </c>
      <c r="F27" t="s">
        <v>62</v>
      </c>
      <c r="G27" t="s">
        <v>25</v>
      </c>
      <c r="H27" s="1">
        <v>60000</v>
      </c>
      <c r="I27" s="1">
        <v>1</v>
      </c>
      <c r="J27" s="1">
        <v>60000</v>
      </c>
      <c r="K27" s="1">
        <v>0</v>
      </c>
      <c r="L27" s="1">
        <v>0</v>
      </c>
      <c r="M27" s="1">
        <v>0</v>
      </c>
      <c r="N27" s="1">
        <v>0</v>
      </c>
      <c r="O27" s="1">
        <v>0</v>
      </c>
      <c r="P27" s="1">
        <v>0</v>
      </c>
      <c r="Q27" s="1">
        <v>0</v>
      </c>
      <c r="R27" s="2">
        <f t="shared" ref="R27:R41" si="14">SUM(J27:Q27)</f>
        <v>60000</v>
      </c>
    </row>
    <row r="28" spans="1:19" ht="15" customHeight="1" x14ac:dyDescent="0.35">
      <c r="A28" s="28" t="s">
        <v>53</v>
      </c>
      <c r="B28" s="29" t="s">
        <v>60</v>
      </c>
      <c r="C28" t="s">
        <v>61</v>
      </c>
      <c r="D28" t="s">
        <v>22</v>
      </c>
      <c r="E28" t="s">
        <v>38</v>
      </c>
      <c r="F28" t="s">
        <v>63</v>
      </c>
      <c r="G28" t="s">
        <v>25</v>
      </c>
      <c r="H28" s="1">
        <v>3300</v>
      </c>
      <c r="I28" s="1">
        <v>1</v>
      </c>
      <c r="J28" s="1">
        <f>H28</f>
        <v>3300</v>
      </c>
      <c r="K28" s="1">
        <v>0</v>
      </c>
      <c r="L28" s="1">
        <v>0</v>
      </c>
      <c r="M28" s="1">
        <v>0</v>
      </c>
      <c r="N28" s="1">
        <v>0</v>
      </c>
      <c r="O28" s="1">
        <v>0</v>
      </c>
      <c r="P28" s="1">
        <v>0</v>
      </c>
      <c r="Q28" s="1">
        <v>0</v>
      </c>
      <c r="R28" s="2">
        <f>SUM(J28:Q28)</f>
        <v>3300</v>
      </c>
      <c r="S28" s="15"/>
    </row>
    <row r="29" spans="1:19" ht="15" customHeight="1" x14ac:dyDescent="0.35">
      <c r="A29" s="28" t="s">
        <v>53</v>
      </c>
      <c r="B29" s="33" t="s">
        <v>60</v>
      </c>
      <c r="C29" t="s">
        <v>61</v>
      </c>
      <c r="D29" t="s">
        <v>22</v>
      </c>
      <c r="E29" t="s">
        <v>64</v>
      </c>
      <c r="F29" t="s">
        <v>65</v>
      </c>
      <c r="G29" t="s">
        <v>36</v>
      </c>
      <c r="H29" s="1">
        <f>R29/I29</f>
        <v>1259.3333333333333</v>
      </c>
      <c r="I29" s="1">
        <v>87</v>
      </c>
      <c r="J29" s="1">
        <v>3368</v>
      </c>
      <c r="K29" s="1">
        <v>13742</v>
      </c>
      <c r="L29" s="1">
        <v>14293</v>
      </c>
      <c r="M29" s="1">
        <v>14722</v>
      </c>
      <c r="N29" s="1">
        <v>15163</v>
      </c>
      <c r="O29" s="1">
        <v>15618</v>
      </c>
      <c r="P29" s="1">
        <v>16087</v>
      </c>
      <c r="Q29" s="1">
        <v>16569</v>
      </c>
      <c r="R29" s="2">
        <f t="shared" si="14"/>
        <v>109562</v>
      </c>
    </row>
    <row r="30" spans="1:19" ht="15" customHeight="1" x14ac:dyDescent="0.35">
      <c r="A30" s="28" t="s">
        <v>53</v>
      </c>
      <c r="B30" s="29" t="s">
        <v>60</v>
      </c>
      <c r="C30" t="s">
        <v>61</v>
      </c>
      <c r="D30" t="s">
        <v>22</v>
      </c>
      <c r="E30" t="s">
        <v>64</v>
      </c>
      <c r="F30" t="s">
        <v>66</v>
      </c>
      <c r="G30" t="s">
        <v>36</v>
      </c>
      <c r="H30" s="1">
        <v>2516</v>
      </c>
      <c r="I30" s="30">
        <v>32</v>
      </c>
      <c r="J30" s="1">
        <f>4532*2</f>
        <v>9064</v>
      </c>
      <c r="K30" s="1">
        <f>4623*2</f>
        <v>9246</v>
      </c>
      <c r="L30" s="1">
        <f>4808*2</f>
        <v>9616</v>
      </c>
      <c r="M30" s="1">
        <f>4952*2</f>
        <v>9904</v>
      </c>
      <c r="N30" s="1">
        <f>5101*2</f>
        <v>10202</v>
      </c>
      <c r="O30" s="1">
        <f>5254*2</f>
        <v>10508</v>
      </c>
      <c r="P30" s="1">
        <f>5412*2</f>
        <v>10824</v>
      </c>
      <c r="Q30" s="1">
        <f>5574*2</f>
        <v>11148</v>
      </c>
      <c r="R30" s="2">
        <f t="shared" si="14"/>
        <v>80512</v>
      </c>
    </row>
    <row r="31" spans="1:19" ht="15" customHeight="1" x14ac:dyDescent="0.35">
      <c r="A31" s="28" t="s">
        <v>53</v>
      </c>
      <c r="B31" s="33" t="s">
        <v>60</v>
      </c>
      <c r="C31" t="s">
        <v>61</v>
      </c>
      <c r="D31" t="s">
        <v>22</v>
      </c>
      <c r="E31" s="14" t="s">
        <v>34</v>
      </c>
      <c r="F31" t="s">
        <v>67</v>
      </c>
      <c r="G31" t="s">
        <v>36</v>
      </c>
      <c r="H31" s="1">
        <f>R31/I31</f>
        <v>3204.2580645161293</v>
      </c>
      <c r="I31" s="1">
        <v>31</v>
      </c>
      <c r="J31" s="1">
        <v>8630</v>
      </c>
      <c r="K31" s="1">
        <v>11737</v>
      </c>
      <c r="L31" s="1">
        <v>12208</v>
      </c>
      <c r="M31" s="1">
        <v>12574</v>
      </c>
      <c r="N31" s="1">
        <v>12951</v>
      </c>
      <c r="O31" s="1">
        <v>13340</v>
      </c>
      <c r="P31" s="1">
        <v>13740</v>
      </c>
      <c r="Q31" s="1">
        <v>14152</v>
      </c>
      <c r="R31" s="2">
        <f t="shared" si="14"/>
        <v>99332</v>
      </c>
    </row>
    <row r="32" spans="1:19" ht="15" customHeight="1" x14ac:dyDescent="0.35">
      <c r="A32" s="28" t="s">
        <v>53</v>
      </c>
      <c r="B32" s="29" t="s">
        <v>60</v>
      </c>
      <c r="C32" t="s">
        <v>61</v>
      </c>
      <c r="D32" t="s">
        <v>22</v>
      </c>
      <c r="E32" s="14" t="s">
        <v>44</v>
      </c>
      <c r="F32" t="s">
        <v>68</v>
      </c>
      <c r="G32" t="s">
        <v>69</v>
      </c>
      <c r="H32" s="1">
        <v>457</v>
      </c>
      <c r="I32" s="1">
        <v>60</v>
      </c>
      <c r="J32" s="1">
        <f>H32*10</f>
        <v>4570</v>
      </c>
      <c r="K32" s="1">
        <f>H32*10</f>
        <v>4570</v>
      </c>
      <c r="L32" s="1">
        <f>H32*10</f>
        <v>4570</v>
      </c>
      <c r="M32" s="1">
        <f>H32*10</f>
        <v>4570</v>
      </c>
      <c r="N32" s="1">
        <f>H32*10</f>
        <v>4570</v>
      </c>
      <c r="O32" s="1">
        <f>H32*10</f>
        <v>4570</v>
      </c>
      <c r="R32" s="2">
        <f t="shared" si="14"/>
        <v>27420</v>
      </c>
    </row>
    <row r="33" spans="1:19" s="14" customFormat="1" ht="15" customHeight="1" x14ac:dyDescent="0.35">
      <c r="A33" s="28" t="s">
        <v>53</v>
      </c>
      <c r="B33" s="33" t="s">
        <v>60</v>
      </c>
      <c r="C33" s="14" t="s">
        <v>61</v>
      </c>
      <c r="D33" s="14" t="s">
        <v>22</v>
      </c>
      <c r="E33" s="14" t="s">
        <v>30</v>
      </c>
      <c r="F33" s="14" t="s">
        <v>70</v>
      </c>
      <c r="G33" s="14" t="s">
        <v>25</v>
      </c>
      <c r="H33" s="15">
        <f>R33</f>
        <v>34817</v>
      </c>
      <c r="I33" s="15">
        <v>1</v>
      </c>
      <c r="J33" s="15">
        <v>1056</v>
      </c>
      <c r="K33" s="15">
        <v>2872</v>
      </c>
      <c r="L33" s="15">
        <v>3659</v>
      </c>
      <c r="M33" s="15">
        <v>4477</v>
      </c>
      <c r="N33" s="15">
        <v>4945</v>
      </c>
      <c r="O33" s="15">
        <v>5429</v>
      </c>
      <c r="P33" s="15">
        <v>5930</v>
      </c>
      <c r="Q33" s="15">
        <v>6449</v>
      </c>
      <c r="R33" s="16">
        <f t="shared" si="14"/>
        <v>34817</v>
      </c>
      <c r="S33" s="15"/>
    </row>
    <row r="34" spans="1:19" s="14" customFormat="1" ht="15" customHeight="1" x14ac:dyDescent="0.35">
      <c r="A34" s="28" t="s">
        <v>53</v>
      </c>
      <c r="B34" s="29" t="s">
        <v>60</v>
      </c>
      <c r="C34" s="14" t="s">
        <v>61</v>
      </c>
      <c r="D34" s="14" t="s">
        <v>22</v>
      </c>
      <c r="E34" s="14" t="s">
        <v>30</v>
      </c>
      <c r="F34" s="14" t="s">
        <v>71</v>
      </c>
      <c r="G34" s="14" t="s">
        <v>36</v>
      </c>
      <c r="H34" s="15">
        <f>R34/I34</f>
        <v>635.66666666666663</v>
      </c>
      <c r="I34" s="15">
        <v>24</v>
      </c>
      <c r="J34" s="15">
        <v>1809</v>
      </c>
      <c r="K34" s="15">
        <v>1836</v>
      </c>
      <c r="L34" s="15">
        <v>1864</v>
      </c>
      <c r="M34" s="15">
        <v>1892</v>
      </c>
      <c r="N34" s="15">
        <v>1920</v>
      </c>
      <c r="O34" s="15">
        <v>1949</v>
      </c>
      <c r="P34" s="15">
        <v>1978</v>
      </c>
      <c r="Q34" s="15">
        <v>2008</v>
      </c>
      <c r="R34" s="16">
        <f t="shared" si="14"/>
        <v>15256</v>
      </c>
      <c r="S34" s="15"/>
    </row>
    <row r="35" spans="1:19" s="14" customFormat="1" ht="15" customHeight="1" x14ac:dyDescent="0.35">
      <c r="A35" s="28" t="s">
        <v>53</v>
      </c>
      <c r="B35" s="33" t="s">
        <v>60</v>
      </c>
      <c r="C35" t="s">
        <v>61</v>
      </c>
      <c r="D35" s="14" t="s">
        <v>22</v>
      </c>
      <c r="E35" s="14" t="s">
        <v>30</v>
      </c>
      <c r="F35" s="14" t="s">
        <v>72</v>
      </c>
      <c r="G35" s="14" t="s">
        <v>25</v>
      </c>
      <c r="H35" s="15">
        <v>1000</v>
      </c>
      <c r="I35" s="42">
        <f>R35/H35</f>
        <v>8.4359999999999999</v>
      </c>
      <c r="J35" s="15">
        <v>714</v>
      </c>
      <c r="K35" s="15">
        <v>1040</v>
      </c>
      <c r="L35" s="15">
        <v>1061</v>
      </c>
      <c r="M35" s="15">
        <v>1081</v>
      </c>
      <c r="N35" s="15">
        <v>1102</v>
      </c>
      <c r="O35" s="15">
        <v>1124</v>
      </c>
      <c r="P35" s="15">
        <v>1146</v>
      </c>
      <c r="Q35" s="15">
        <v>1168</v>
      </c>
      <c r="R35" s="16">
        <f>SUM(J35:Q35)</f>
        <v>8436</v>
      </c>
      <c r="S35" s="15"/>
    </row>
    <row r="36" spans="1:19" s="14" customFormat="1" ht="15" customHeight="1" x14ac:dyDescent="0.35">
      <c r="A36" s="28" t="s">
        <v>53</v>
      </c>
      <c r="B36" s="33" t="s">
        <v>60</v>
      </c>
      <c r="C36" s="14" t="s">
        <v>61</v>
      </c>
      <c r="D36" s="14" t="s">
        <v>22</v>
      </c>
      <c r="E36" s="14" t="s">
        <v>32</v>
      </c>
      <c r="F36" s="14" t="s">
        <v>73</v>
      </c>
      <c r="G36" s="14" t="s">
        <v>25</v>
      </c>
      <c r="H36" s="15">
        <v>4000</v>
      </c>
      <c r="I36" s="67">
        <f>R36/H36</f>
        <v>13</v>
      </c>
      <c r="J36" s="15">
        <v>8000</v>
      </c>
      <c r="K36" s="15">
        <f>H36*2</f>
        <v>8000</v>
      </c>
      <c r="L36" s="15">
        <f>H36*2</f>
        <v>8000</v>
      </c>
      <c r="M36" s="15">
        <f>H36*2</f>
        <v>8000</v>
      </c>
      <c r="N36" s="15">
        <f>H36*2</f>
        <v>8000</v>
      </c>
      <c r="O36" s="15">
        <v>4000</v>
      </c>
      <c r="P36" s="15">
        <f>H36</f>
        <v>4000</v>
      </c>
      <c r="Q36" s="15">
        <f>H36</f>
        <v>4000</v>
      </c>
      <c r="R36" s="16">
        <f>SUM(J36:Q36)</f>
        <v>52000</v>
      </c>
      <c r="S36" s="15"/>
    </row>
    <row r="37" spans="1:19" s="14" customFormat="1" ht="15" customHeight="1" x14ac:dyDescent="0.35">
      <c r="A37" s="32" t="s">
        <v>53</v>
      </c>
      <c r="B37" s="33" t="s">
        <v>60</v>
      </c>
      <c r="C37" s="14" t="s">
        <v>61</v>
      </c>
      <c r="D37" s="14" t="s">
        <v>22</v>
      </c>
      <c r="E37" s="14" t="s">
        <v>42</v>
      </c>
      <c r="F37" s="14" t="s">
        <v>74</v>
      </c>
      <c r="G37" s="14" t="s">
        <v>25</v>
      </c>
      <c r="H37" s="15">
        <v>4000</v>
      </c>
      <c r="I37" s="67">
        <f>R37/H37</f>
        <v>15</v>
      </c>
      <c r="J37" s="15">
        <v>8000</v>
      </c>
      <c r="K37" s="15">
        <f>H37*2</f>
        <v>8000</v>
      </c>
      <c r="L37" s="15">
        <f>H37*2</f>
        <v>8000</v>
      </c>
      <c r="M37" s="15">
        <f>H37*2</f>
        <v>8000</v>
      </c>
      <c r="N37" s="15">
        <f>H37*2</f>
        <v>8000</v>
      </c>
      <c r="O37" s="15">
        <f>H37*2</f>
        <v>8000</v>
      </c>
      <c r="P37" s="15">
        <f>H37*2</f>
        <v>8000</v>
      </c>
      <c r="Q37" s="15">
        <v>4000</v>
      </c>
      <c r="R37" s="16">
        <f t="shared" ref="R37" si="15">SUM(J37:Q37)</f>
        <v>60000</v>
      </c>
      <c r="S37" s="15"/>
    </row>
    <row r="38" spans="1:19" s="14" customFormat="1" ht="15" customHeight="1" x14ac:dyDescent="0.35">
      <c r="A38" s="32" t="s">
        <v>53</v>
      </c>
      <c r="B38" s="33" t="s">
        <v>60</v>
      </c>
      <c r="C38" s="14" t="s">
        <v>61</v>
      </c>
      <c r="D38" s="14" t="s">
        <v>22</v>
      </c>
      <c r="E38" s="14" t="s">
        <v>42</v>
      </c>
      <c r="F38" s="14" t="s">
        <v>75</v>
      </c>
      <c r="G38" s="14" t="s">
        <v>41</v>
      </c>
      <c r="H38" s="15">
        <f>R38/I38</f>
        <v>198.89655172413794</v>
      </c>
      <c r="I38" s="15">
        <v>29</v>
      </c>
      <c r="J38" s="15">
        <v>412</v>
      </c>
      <c r="K38" s="15">
        <v>824</v>
      </c>
      <c r="L38" s="15">
        <v>824</v>
      </c>
      <c r="M38" s="15">
        <v>824</v>
      </c>
      <c r="N38" s="15">
        <v>824</v>
      </c>
      <c r="O38" s="15">
        <v>824</v>
      </c>
      <c r="P38" s="15">
        <v>824</v>
      </c>
      <c r="Q38" s="15">
        <v>412</v>
      </c>
      <c r="R38" s="16">
        <f t="shared" si="14"/>
        <v>5768</v>
      </c>
      <c r="S38" s="15"/>
    </row>
    <row r="39" spans="1:19" ht="15" customHeight="1" x14ac:dyDescent="0.35">
      <c r="A39" s="28" t="s">
        <v>53</v>
      </c>
      <c r="B39" s="29" t="s">
        <v>60</v>
      </c>
      <c r="C39" t="s">
        <v>61</v>
      </c>
      <c r="D39" t="s">
        <v>22</v>
      </c>
      <c r="E39" t="s">
        <v>42</v>
      </c>
      <c r="F39" t="s">
        <v>76</v>
      </c>
      <c r="G39" t="s">
        <v>49</v>
      </c>
      <c r="H39" s="1">
        <f>R39/I39</f>
        <v>400.79310344827587</v>
      </c>
      <c r="I39" s="1">
        <v>58</v>
      </c>
      <c r="J39" s="1">
        <v>1440</v>
      </c>
      <c r="K39" s="1">
        <v>2938</v>
      </c>
      <c r="L39" s="1">
        <v>2995</v>
      </c>
      <c r="M39" s="1">
        <v>3053</v>
      </c>
      <c r="N39" s="1">
        <v>3113</v>
      </c>
      <c r="O39" s="1">
        <v>3174</v>
      </c>
      <c r="P39" s="1">
        <v>3235</v>
      </c>
      <c r="Q39" s="1">
        <v>3298</v>
      </c>
      <c r="R39" s="2">
        <f t="shared" si="14"/>
        <v>23246</v>
      </c>
    </row>
    <row r="40" spans="1:19" ht="15" customHeight="1" x14ac:dyDescent="0.35">
      <c r="A40" s="28" t="s">
        <v>53</v>
      </c>
      <c r="B40" s="29" t="s">
        <v>60</v>
      </c>
      <c r="C40" t="s">
        <v>61</v>
      </c>
      <c r="D40" t="s">
        <v>22</v>
      </c>
      <c r="E40" t="s">
        <v>42</v>
      </c>
      <c r="F40" t="s">
        <v>77</v>
      </c>
      <c r="G40" t="s">
        <v>49</v>
      </c>
      <c r="H40" s="1">
        <v>400</v>
      </c>
      <c r="I40" s="1">
        <v>348</v>
      </c>
      <c r="J40" s="1">
        <v>4800</v>
      </c>
      <c r="K40" s="1">
        <v>19200</v>
      </c>
      <c r="L40" s="1">
        <v>19200</v>
      </c>
      <c r="M40" s="1">
        <v>19200</v>
      </c>
      <c r="N40" s="1">
        <v>19200</v>
      </c>
      <c r="O40" s="1">
        <v>19200</v>
      </c>
      <c r="P40" s="1">
        <v>19200</v>
      </c>
      <c r="Q40" s="1">
        <v>19200</v>
      </c>
      <c r="R40" s="2">
        <f t="shared" si="14"/>
        <v>139200</v>
      </c>
    </row>
    <row r="41" spans="1:19" ht="15" customHeight="1" x14ac:dyDescent="0.35">
      <c r="A41" s="28" t="s">
        <v>53</v>
      </c>
      <c r="B41" s="29" t="s">
        <v>60</v>
      </c>
      <c r="C41" t="s">
        <v>61</v>
      </c>
      <c r="D41" t="s">
        <v>22</v>
      </c>
      <c r="E41" t="s">
        <v>42</v>
      </c>
      <c r="F41" t="s">
        <v>78</v>
      </c>
      <c r="G41" t="s">
        <v>49</v>
      </c>
      <c r="H41" s="1">
        <f>R41/I41</f>
        <v>401.26056338028167</v>
      </c>
      <c r="I41" s="1">
        <v>142</v>
      </c>
      <c r="J41" s="1">
        <f>3600+1225</f>
        <v>4825</v>
      </c>
      <c r="K41" s="1">
        <f>4800+2499</f>
        <v>7299</v>
      </c>
      <c r="L41" s="1">
        <f>4800+2548</f>
        <v>7348</v>
      </c>
      <c r="M41" s="1">
        <f>4800+2598</f>
        <v>7398</v>
      </c>
      <c r="N41" s="1">
        <f>4800+2649</f>
        <v>7449</v>
      </c>
      <c r="O41" s="1">
        <f>4800+2700</f>
        <v>7500</v>
      </c>
      <c r="P41" s="1">
        <f>4800+2753</f>
        <v>7553</v>
      </c>
      <c r="Q41" s="1">
        <f>4800+2807</f>
        <v>7607</v>
      </c>
      <c r="R41" s="2">
        <f t="shared" si="14"/>
        <v>56979</v>
      </c>
    </row>
    <row r="42" spans="1:19" x14ac:dyDescent="0.35">
      <c r="A42" s="28"/>
      <c r="B42" s="29"/>
      <c r="C42" s="10" t="s">
        <v>26</v>
      </c>
      <c r="D42" s="10"/>
      <c r="E42" s="10"/>
      <c r="F42" s="10"/>
      <c r="G42" s="10"/>
      <c r="H42" s="11"/>
      <c r="I42" s="11"/>
      <c r="J42" s="11">
        <f>SUM(J27:J41)</f>
        <v>119988</v>
      </c>
      <c r="K42" s="11">
        <f t="shared" ref="K42:Q42" si="16">SUM(K27:K41)</f>
        <v>91304</v>
      </c>
      <c r="L42" s="11">
        <f t="shared" si="16"/>
        <v>93638</v>
      </c>
      <c r="M42" s="11">
        <f t="shared" si="16"/>
        <v>95695</v>
      </c>
      <c r="N42" s="11">
        <f t="shared" si="16"/>
        <v>97439</v>
      </c>
      <c r="O42" s="11">
        <f t="shared" si="16"/>
        <v>95236</v>
      </c>
      <c r="P42" s="11">
        <f t="shared" si="16"/>
        <v>92517</v>
      </c>
      <c r="Q42" s="11">
        <f t="shared" si="16"/>
        <v>90011</v>
      </c>
      <c r="R42" s="11">
        <f>SUM(R27:R41)</f>
        <v>775828</v>
      </c>
    </row>
    <row r="43" spans="1:19" ht="15" customHeight="1" x14ac:dyDescent="0.35">
      <c r="A43" s="28" t="s">
        <v>53</v>
      </c>
      <c r="B43" s="22" t="s">
        <v>60</v>
      </c>
      <c r="C43" s="14" t="s">
        <v>79</v>
      </c>
      <c r="D43" s="14" t="s">
        <v>80</v>
      </c>
      <c r="E43" s="14" t="s">
        <v>30</v>
      </c>
      <c r="F43" s="14" t="s">
        <v>81</v>
      </c>
      <c r="G43" s="14" t="s">
        <v>25</v>
      </c>
      <c r="H43" s="1">
        <v>7718432.5572223663</v>
      </c>
      <c r="I43" s="1">
        <v>1</v>
      </c>
      <c r="J43" s="1">
        <v>0</v>
      </c>
      <c r="K43" s="1">
        <v>0</v>
      </c>
      <c r="L43" s="1">
        <v>297807</v>
      </c>
      <c r="M43" s="1">
        <v>687126</v>
      </c>
      <c r="N43" s="1">
        <v>1172972</v>
      </c>
      <c r="O43" s="1">
        <v>1760549</v>
      </c>
      <c r="P43" s="1">
        <v>1881643</v>
      </c>
      <c r="Q43" s="1">
        <v>1918336</v>
      </c>
      <c r="R43" s="2">
        <f>SUM(J43:Q43)</f>
        <v>7718433</v>
      </c>
    </row>
    <row r="44" spans="1:19" s="14" customFormat="1" ht="15" customHeight="1" x14ac:dyDescent="0.35">
      <c r="A44" s="13"/>
      <c r="B44" s="61"/>
      <c r="C44" s="10" t="s">
        <v>82</v>
      </c>
      <c r="D44" s="10"/>
      <c r="E44" s="10"/>
      <c r="F44" s="10"/>
      <c r="G44" s="10"/>
      <c r="H44" s="11"/>
      <c r="I44" s="11"/>
      <c r="J44" s="11">
        <f>J43</f>
        <v>0</v>
      </c>
      <c r="K44" s="11">
        <f t="shared" ref="K44:R44" si="17">K43</f>
        <v>0</v>
      </c>
      <c r="L44" s="11">
        <f t="shared" si="17"/>
        <v>297807</v>
      </c>
      <c r="M44" s="11">
        <f t="shared" si="17"/>
        <v>687126</v>
      </c>
      <c r="N44" s="11">
        <f t="shared" si="17"/>
        <v>1172972</v>
      </c>
      <c r="O44" s="11">
        <f t="shared" si="17"/>
        <v>1760549</v>
      </c>
      <c r="P44" s="11">
        <f t="shared" si="17"/>
        <v>1881643</v>
      </c>
      <c r="Q44" s="11">
        <f t="shared" si="17"/>
        <v>1918336</v>
      </c>
      <c r="R44" s="11">
        <f t="shared" si="17"/>
        <v>7718433</v>
      </c>
      <c r="S44" s="15"/>
    </row>
    <row r="45" spans="1:19" ht="15" customHeight="1" x14ac:dyDescent="0.35">
      <c r="A45" s="28" t="s">
        <v>53</v>
      </c>
      <c r="B45" s="22" t="s">
        <v>60</v>
      </c>
      <c r="C45" t="s">
        <v>83</v>
      </c>
      <c r="D45" t="s">
        <v>22</v>
      </c>
      <c r="E45" t="s">
        <v>38</v>
      </c>
      <c r="F45" s="14" t="s">
        <v>84</v>
      </c>
      <c r="G45" t="s">
        <v>25</v>
      </c>
      <c r="H45" s="1">
        <v>5147</v>
      </c>
      <c r="I45" s="1">
        <v>15</v>
      </c>
      <c r="J45" s="1">
        <v>77205</v>
      </c>
      <c r="L45" s="1">
        <v>0</v>
      </c>
      <c r="M45" s="1">
        <v>0</v>
      </c>
      <c r="N45" s="1">
        <v>0</v>
      </c>
      <c r="O45" s="1">
        <v>0</v>
      </c>
      <c r="P45" s="1">
        <v>0</v>
      </c>
      <c r="Q45" s="1">
        <v>0</v>
      </c>
      <c r="R45" s="2">
        <f>SUBTOTAL(9,J45:Q45)</f>
        <v>77205</v>
      </c>
    </row>
    <row r="46" spans="1:19" ht="15" customHeight="1" x14ac:dyDescent="0.35">
      <c r="A46" s="28" t="s">
        <v>53</v>
      </c>
      <c r="B46" s="22" t="s">
        <v>60</v>
      </c>
      <c r="C46" t="s">
        <v>83</v>
      </c>
      <c r="D46" t="s">
        <v>22</v>
      </c>
      <c r="E46" t="s">
        <v>23</v>
      </c>
      <c r="F46" s="14" t="s">
        <v>85</v>
      </c>
      <c r="G46" t="s">
        <v>25</v>
      </c>
      <c r="H46" s="1">
        <v>120000</v>
      </c>
      <c r="I46" s="31">
        <v>1</v>
      </c>
      <c r="J46" s="1">
        <v>20000</v>
      </c>
      <c r="K46" s="1">
        <v>20000</v>
      </c>
      <c r="L46" s="1">
        <v>20000</v>
      </c>
      <c r="M46" s="1">
        <v>20000</v>
      </c>
      <c r="N46" s="1">
        <v>20000</v>
      </c>
      <c r="O46" s="1">
        <v>20000</v>
      </c>
      <c r="R46" s="2">
        <f>SUM(J46:O46)</f>
        <v>120000</v>
      </c>
    </row>
    <row r="47" spans="1:19" s="71" customFormat="1" ht="15" customHeight="1" x14ac:dyDescent="0.35">
      <c r="A47" s="75" t="s">
        <v>53</v>
      </c>
      <c r="B47" s="76" t="s">
        <v>60</v>
      </c>
      <c r="C47" s="71" t="s">
        <v>83</v>
      </c>
      <c r="D47" s="71" t="s">
        <v>22</v>
      </c>
      <c r="E47" s="71" t="s">
        <v>23</v>
      </c>
      <c r="F47" s="71" t="s">
        <v>86</v>
      </c>
      <c r="G47" s="71" t="s">
        <v>25</v>
      </c>
      <c r="H47" s="72">
        <v>120000</v>
      </c>
      <c r="I47" s="73">
        <v>1</v>
      </c>
      <c r="J47" s="1">
        <v>20000</v>
      </c>
      <c r="K47" s="1">
        <v>20000</v>
      </c>
      <c r="L47" s="1">
        <v>20000</v>
      </c>
      <c r="M47" s="1">
        <v>20000</v>
      </c>
      <c r="N47" s="1">
        <v>20000</v>
      </c>
      <c r="O47" s="1">
        <v>20000</v>
      </c>
      <c r="Q47" s="72"/>
      <c r="R47" s="74">
        <f>SUM(J47:Q47)</f>
        <v>120000</v>
      </c>
      <c r="S47" s="72"/>
    </row>
    <row r="48" spans="1:19" s="71" customFormat="1" ht="15" customHeight="1" x14ac:dyDescent="0.35">
      <c r="A48" s="75" t="s">
        <v>53</v>
      </c>
      <c r="B48" s="76" t="s">
        <v>60</v>
      </c>
      <c r="C48" s="71" t="s">
        <v>83</v>
      </c>
      <c r="D48" s="71" t="s">
        <v>22</v>
      </c>
      <c r="E48" s="71" t="s">
        <v>34</v>
      </c>
      <c r="F48" s="71" t="s">
        <v>87</v>
      </c>
      <c r="G48" s="71" t="s">
        <v>7</v>
      </c>
      <c r="H48" s="72">
        <v>885</v>
      </c>
      <c r="I48" s="73">
        <v>110</v>
      </c>
      <c r="J48" s="72">
        <f>H48*10</f>
        <v>8850</v>
      </c>
      <c r="K48" s="72">
        <f>20*H48</f>
        <v>17700</v>
      </c>
      <c r="L48" s="72">
        <f>H48*20</f>
        <v>17700</v>
      </c>
      <c r="M48" s="72">
        <f>H48*20</f>
        <v>17700</v>
      </c>
      <c r="N48" s="72">
        <f>H48*20</f>
        <v>17700</v>
      </c>
      <c r="O48" s="72">
        <f>H48*10</f>
        <v>8850</v>
      </c>
      <c r="P48" s="72">
        <f>H48*10</f>
        <v>8850</v>
      </c>
      <c r="Q48" s="72"/>
      <c r="R48" s="74">
        <f>SUM(J48:Q48)</f>
        <v>97350</v>
      </c>
      <c r="S48" s="72"/>
    </row>
    <row r="49" spans="1:19" s="71" customFormat="1" ht="15" customHeight="1" x14ac:dyDescent="0.35">
      <c r="A49" s="75" t="s">
        <v>53</v>
      </c>
      <c r="B49" s="76" t="s">
        <v>60</v>
      </c>
      <c r="C49" s="71" t="s">
        <v>83</v>
      </c>
      <c r="D49" s="71" t="s">
        <v>22</v>
      </c>
      <c r="E49" s="71" t="s">
        <v>64</v>
      </c>
      <c r="F49" s="71" t="s">
        <v>88</v>
      </c>
      <c r="G49" s="71" t="s">
        <v>36</v>
      </c>
      <c r="H49" s="72">
        <v>2542</v>
      </c>
      <c r="I49" s="73">
        <v>36</v>
      </c>
      <c r="J49" s="72">
        <f>H49*6</f>
        <v>15252</v>
      </c>
      <c r="K49" s="72">
        <f>H49*12</f>
        <v>30504</v>
      </c>
      <c r="L49" s="72">
        <f>H49*12</f>
        <v>30504</v>
      </c>
      <c r="M49" s="72">
        <f>H49*6</f>
        <v>15252</v>
      </c>
      <c r="N49" s="72"/>
      <c r="O49" s="72"/>
      <c r="P49" s="72"/>
      <c r="Q49" s="72"/>
      <c r="R49" s="74">
        <f t="shared" ref="R49:R51" si="18">SUM(J49:Q49)</f>
        <v>91512</v>
      </c>
      <c r="S49" s="72"/>
    </row>
    <row r="50" spans="1:19" s="71" customFormat="1" ht="15" customHeight="1" x14ac:dyDescent="0.35">
      <c r="A50" s="75" t="s">
        <v>53</v>
      </c>
      <c r="B50" s="76" t="s">
        <v>60</v>
      </c>
      <c r="C50" s="71" t="s">
        <v>83</v>
      </c>
      <c r="D50" s="71" t="s">
        <v>22</v>
      </c>
      <c r="E50" s="71" t="s">
        <v>42</v>
      </c>
      <c r="F50" s="71" t="s">
        <v>89</v>
      </c>
      <c r="G50" s="71" t="s">
        <v>49</v>
      </c>
      <c r="H50" s="72">
        <f>R50/I50</f>
        <v>399.17857142857144</v>
      </c>
      <c r="I50" s="72">
        <v>84</v>
      </c>
      <c r="J50" s="72">
        <v>1102</v>
      </c>
      <c r="K50" s="72">
        <v>4495</v>
      </c>
      <c r="L50" s="72">
        <v>4582</v>
      </c>
      <c r="M50" s="72">
        <v>3737</v>
      </c>
      <c r="N50" s="72">
        <v>4763</v>
      </c>
      <c r="O50" s="72">
        <v>4855</v>
      </c>
      <c r="P50" s="72">
        <v>4950</v>
      </c>
      <c r="Q50" s="72">
        <v>5047</v>
      </c>
      <c r="R50" s="74">
        <f t="shared" si="18"/>
        <v>33531</v>
      </c>
      <c r="S50" s="72"/>
    </row>
    <row r="51" spans="1:19" ht="15" customHeight="1" x14ac:dyDescent="0.35">
      <c r="A51" s="28" t="s">
        <v>53</v>
      </c>
      <c r="B51" s="22" t="s">
        <v>60</v>
      </c>
      <c r="C51" t="s">
        <v>83</v>
      </c>
      <c r="D51" t="s">
        <v>22</v>
      </c>
      <c r="E51" t="s">
        <v>42</v>
      </c>
      <c r="F51" s="14" t="s">
        <v>90</v>
      </c>
      <c r="G51" t="s">
        <v>49</v>
      </c>
      <c r="H51" s="1">
        <f>R51/I51</f>
        <v>688.73381294964031</v>
      </c>
      <c r="I51" s="1">
        <v>139</v>
      </c>
      <c r="J51" s="1">
        <v>3060</v>
      </c>
      <c r="K51" s="1">
        <v>12485</v>
      </c>
      <c r="L51" s="1">
        <v>12728</v>
      </c>
      <c r="M51" s="1">
        <v>12976</v>
      </c>
      <c r="N51" s="1">
        <v>13229</v>
      </c>
      <c r="O51" s="1">
        <v>13487</v>
      </c>
      <c r="P51" s="1">
        <v>13750</v>
      </c>
      <c r="Q51" s="1">
        <v>14019</v>
      </c>
      <c r="R51" s="2">
        <f t="shared" si="18"/>
        <v>95734</v>
      </c>
    </row>
    <row r="52" spans="1:19" x14ac:dyDescent="0.35">
      <c r="A52" s="28"/>
      <c r="B52" s="29"/>
      <c r="C52" s="10" t="s">
        <v>26</v>
      </c>
      <c r="D52" s="10"/>
      <c r="E52" s="10"/>
      <c r="F52" s="10"/>
      <c r="G52" s="10"/>
      <c r="H52" s="11"/>
      <c r="I52" s="11"/>
      <c r="J52" s="11">
        <f>SUM(J45:J51)</f>
        <v>145469</v>
      </c>
      <c r="K52" s="11">
        <f t="shared" ref="K52:R52" si="19">SUM(K45:K51)</f>
        <v>105184</v>
      </c>
      <c r="L52" s="11">
        <f t="shared" si="19"/>
        <v>105514</v>
      </c>
      <c r="M52" s="11">
        <f t="shared" si="19"/>
        <v>89665</v>
      </c>
      <c r="N52" s="11">
        <f t="shared" si="19"/>
        <v>75692</v>
      </c>
      <c r="O52" s="11">
        <f t="shared" si="19"/>
        <v>67192</v>
      </c>
      <c r="P52" s="11">
        <f t="shared" si="19"/>
        <v>27550</v>
      </c>
      <c r="Q52" s="11">
        <f t="shared" si="19"/>
        <v>19066</v>
      </c>
      <c r="R52" s="11">
        <f t="shared" si="19"/>
        <v>635332</v>
      </c>
    </row>
    <row r="53" spans="1:19" ht="15" customHeight="1" x14ac:dyDescent="0.35">
      <c r="A53" s="28" t="s">
        <v>53</v>
      </c>
      <c r="B53" s="22" t="s">
        <v>60</v>
      </c>
      <c r="C53" t="s">
        <v>91</v>
      </c>
      <c r="D53" t="s">
        <v>22</v>
      </c>
      <c r="E53" t="s">
        <v>38</v>
      </c>
      <c r="F53" s="14" t="s">
        <v>92</v>
      </c>
      <c r="G53" t="s">
        <v>7</v>
      </c>
      <c r="H53" s="1">
        <v>95905</v>
      </c>
      <c r="I53" s="1">
        <v>3</v>
      </c>
      <c r="J53" s="1">
        <v>0</v>
      </c>
      <c r="K53" s="1">
        <v>287715</v>
      </c>
      <c r="L53" s="1">
        <v>0</v>
      </c>
      <c r="M53" s="1">
        <v>0</v>
      </c>
      <c r="N53" s="1">
        <v>0</v>
      </c>
      <c r="O53" s="1">
        <v>0</v>
      </c>
      <c r="P53" s="1">
        <v>0</v>
      </c>
      <c r="Q53" s="1">
        <v>0</v>
      </c>
      <c r="R53" s="2">
        <f t="shared" ref="R53:R80" si="20">SUM(J53:Q53)</f>
        <v>287715</v>
      </c>
    </row>
    <row r="54" spans="1:19" s="14" customFormat="1" ht="15" customHeight="1" x14ac:dyDescent="0.35">
      <c r="A54" s="32" t="s">
        <v>53</v>
      </c>
      <c r="B54" s="22" t="s">
        <v>60</v>
      </c>
      <c r="C54" t="s">
        <v>91</v>
      </c>
      <c r="D54" s="14" t="s">
        <v>22</v>
      </c>
      <c r="E54" s="14" t="s">
        <v>38</v>
      </c>
      <c r="F54" s="14" t="s">
        <v>93</v>
      </c>
      <c r="G54" s="14" t="s">
        <v>7</v>
      </c>
      <c r="H54" s="15">
        <v>70000</v>
      </c>
      <c r="I54" s="15">
        <v>3</v>
      </c>
      <c r="J54" s="15">
        <v>0</v>
      </c>
      <c r="K54" s="15">
        <v>210000</v>
      </c>
      <c r="L54" s="15">
        <v>0</v>
      </c>
      <c r="M54" s="15">
        <v>0</v>
      </c>
      <c r="N54" s="15">
        <v>0</v>
      </c>
      <c r="O54" s="15">
        <v>0</v>
      </c>
      <c r="P54" s="15">
        <v>0</v>
      </c>
      <c r="Q54" s="15">
        <v>0</v>
      </c>
      <c r="R54" s="16">
        <f t="shared" si="20"/>
        <v>210000</v>
      </c>
      <c r="S54" s="15"/>
    </row>
    <row r="55" spans="1:19" s="14" customFormat="1" ht="15" customHeight="1" x14ac:dyDescent="0.35">
      <c r="A55" s="32" t="s">
        <v>53</v>
      </c>
      <c r="B55" s="68" t="s">
        <v>60</v>
      </c>
      <c r="C55" s="14" t="s">
        <v>91</v>
      </c>
      <c r="D55" s="14" t="s">
        <v>22</v>
      </c>
      <c r="E55" s="14" t="s">
        <v>38</v>
      </c>
      <c r="F55" s="14" t="s">
        <v>94</v>
      </c>
      <c r="G55" s="14" t="s">
        <v>25</v>
      </c>
      <c r="H55" s="15">
        <v>60000</v>
      </c>
      <c r="I55" s="15">
        <v>1</v>
      </c>
      <c r="J55" s="15">
        <v>60000</v>
      </c>
      <c r="K55" s="15">
        <v>0</v>
      </c>
      <c r="L55" s="15">
        <v>0</v>
      </c>
      <c r="M55" s="15">
        <v>0</v>
      </c>
      <c r="N55" s="15">
        <v>0</v>
      </c>
      <c r="O55" s="15">
        <v>0</v>
      </c>
      <c r="P55" s="15">
        <v>0</v>
      </c>
      <c r="Q55" s="15">
        <v>0</v>
      </c>
      <c r="R55" s="16">
        <f>SUM(J55:Q55)</f>
        <v>60000</v>
      </c>
      <c r="S55" s="15"/>
    </row>
    <row r="56" spans="1:19" s="14" customFormat="1" ht="15" customHeight="1" x14ac:dyDescent="0.35">
      <c r="A56" s="32" t="s">
        <v>53</v>
      </c>
      <c r="B56" s="68" t="s">
        <v>60</v>
      </c>
      <c r="C56" s="14" t="s">
        <v>91</v>
      </c>
      <c r="D56" s="14" t="s">
        <v>22</v>
      </c>
      <c r="E56" s="14" t="s">
        <v>38</v>
      </c>
      <c r="F56" s="14" t="s">
        <v>95</v>
      </c>
      <c r="G56" s="14" t="s">
        <v>7</v>
      </c>
      <c r="H56" s="15">
        <v>1247</v>
      </c>
      <c r="I56" s="15">
        <v>10</v>
      </c>
      <c r="J56" s="15">
        <f>H56*I56</f>
        <v>12470</v>
      </c>
      <c r="K56" s="15">
        <v>0</v>
      </c>
      <c r="L56" s="15">
        <v>0</v>
      </c>
      <c r="M56" s="15">
        <v>0</v>
      </c>
      <c r="N56" s="15">
        <v>0</v>
      </c>
      <c r="O56" s="15">
        <v>0</v>
      </c>
      <c r="P56" s="15">
        <v>0</v>
      </c>
      <c r="Q56" s="15">
        <v>0</v>
      </c>
      <c r="R56" s="16">
        <f t="shared" ref="R56:R57" si="21">SUM(J56:Q56)</f>
        <v>12470</v>
      </c>
      <c r="S56" s="15"/>
    </row>
    <row r="57" spans="1:19" s="14" customFormat="1" ht="15" customHeight="1" x14ac:dyDescent="0.35">
      <c r="A57" s="32" t="s">
        <v>53</v>
      </c>
      <c r="B57" s="68" t="s">
        <v>60</v>
      </c>
      <c r="C57" s="14" t="s">
        <v>91</v>
      </c>
      <c r="D57" s="14" t="s">
        <v>22</v>
      </c>
      <c r="E57" s="14" t="s">
        <v>38</v>
      </c>
      <c r="F57" s="14" t="s">
        <v>96</v>
      </c>
      <c r="G57" s="14" t="s">
        <v>25</v>
      </c>
      <c r="H57" s="15">
        <f>R57</f>
        <v>65000</v>
      </c>
      <c r="I57" s="15">
        <v>1</v>
      </c>
      <c r="J57" s="15">
        <v>40000</v>
      </c>
      <c r="K57" s="15">
        <v>5000</v>
      </c>
      <c r="L57" s="15">
        <v>5000</v>
      </c>
      <c r="M57" s="15">
        <v>5000</v>
      </c>
      <c r="N57" s="15">
        <v>5000</v>
      </c>
      <c r="O57" s="15">
        <v>5000</v>
      </c>
      <c r="P57" s="15"/>
      <c r="Q57" s="15"/>
      <c r="R57" s="16">
        <f t="shared" si="21"/>
        <v>65000</v>
      </c>
      <c r="S57" s="15"/>
    </row>
    <row r="58" spans="1:19" s="14" customFormat="1" ht="15" customHeight="1" x14ac:dyDescent="0.35">
      <c r="A58" s="32" t="s">
        <v>53</v>
      </c>
      <c r="B58" s="68" t="s">
        <v>60</v>
      </c>
      <c r="C58" s="14" t="s">
        <v>91</v>
      </c>
      <c r="D58" s="14" t="s">
        <v>22</v>
      </c>
      <c r="E58" s="14" t="s">
        <v>38</v>
      </c>
      <c r="F58" s="14" t="s">
        <v>97</v>
      </c>
      <c r="G58" s="14" t="s">
        <v>7</v>
      </c>
      <c r="H58" s="15">
        <v>733</v>
      </c>
      <c r="I58" s="15">
        <v>2</v>
      </c>
      <c r="J58" s="15">
        <f>H58*I58</f>
        <v>1466</v>
      </c>
      <c r="K58" s="15"/>
      <c r="L58" s="15"/>
      <c r="M58" s="15"/>
      <c r="N58" s="15"/>
      <c r="O58" s="15"/>
      <c r="P58" s="15"/>
      <c r="Q58" s="15"/>
      <c r="R58" s="16">
        <f t="shared" ref="R58:R63" si="22">SUM(J58:Q58)</f>
        <v>1466</v>
      </c>
      <c r="S58" s="15"/>
    </row>
    <row r="59" spans="1:19" s="14" customFormat="1" ht="15" customHeight="1" x14ac:dyDescent="0.35">
      <c r="A59" s="32" t="s">
        <v>53</v>
      </c>
      <c r="B59" s="68" t="s">
        <v>60</v>
      </c>
      <c r="C59" s="14" t="s">
        <v>91</v>
      </c>
      <c r="D59" s="14" t="s">
        <v>22</v>
      </c>
      <c r="E59" s="14" t="s">
        <v>38</v>
      </c>
      <c r="F59" s="14" t="s">
        <v>98</v>
      </c>
      <c r="G59" s="14" t="s">
        <v>7</v>
      </c>
      <c r="H59" s="15">
        <f>R59/I59</f>
        <v>158.4</v>
      </c>
      <c r="I59" s="15">
        <v>5</v>
      </c>
      <c r="J59" s="15">
        <v>792</v>
      </c>
      <c r="K59" s="15">
        <v>0</v>
      </c>
      <c r="L59" s="15">
        <v>0</v>
      </c>
      <c r="M59" s="15">
        <v>0</v>
      </c>
      <c r="N59" s="15">
        <v>0</v>
      </c>
      <c r="O59" s="15">
        <v>0</v>
      </c>
      <c r="P59" s="15">
        <v>0</v>
      </c>
      <c r="Q59" s="15">
        <v>0</v>
      </c>
      <c r="R59" s="16">
        <f t="shared" si="22"/>
        <v>792</v>
      </c>
      <c r="S59" s="15"/>
    </row>
    <row r="60" spans="1:19" ht="15" customHeight="1" x14ac:dyDescent="0.35">
      <c r="A60" s="32" t="s">
        <v>53</v>
      </c>
      <c r="B60" s="22" t="s">
        <v>60</v>
      </c>
      <c r="C60" t="s">
        <v>91</v>
      </c>
      <c r="D60" s="14" t="s">
        <v>22</v>
      </c>
      <c r="E60" s="14" t="s">
        <v>38</v>
      </c>
      <c r="F60" s="14" t="s">
        <v>99</v>
      </c>
      <c r="G60" s="14" t="s">
        <v>7</v>
      </c>
      <c r="H60" s="15">
        <v>734</v>
      </c>
      <c r="I60" s="15">
        <v>1</v>
      </c>
      <c r="J60" s="15">
        <f>H60*I60</f>
        <v>734</v>
      </c>
      <c r="K60" s="15">
        <v>0</v>
      </c>
      <c r="L60" s="15">
        <v>0</v>
      </c>
      <c r="M60" s="15">
        <v>0</v>
      </c>
      <c r="N60" s="15">
        <v>0</v>
      </c>
      <c r="O60" s="15">
        <v>0</v>
      </c>
      <c r="P60" s="15">
        <v>0</v>
      </c>
      <c r="Q60" s="15">
        <v>0</v>
      </c>
      <c r="R60" s="16">
        <f t="shared" si="22"/>
        <v>734</v>
      </c>
    </row>
    <row r="61" spans="1:19" ht="15" customHeight="1" x14ac:dyDescent="0.35">
      <c r="A61" s="32" t="s">
        <v>53</v>
      </c>
      <c r="B61" s="68" t="s">
        <v>60</v>
      </c>
      <c r="C61" s="14" t="s">
        <v>91</v>
      </c>
      <c r="D61" t="s">
        <v>22</v>
      </c>
      <c r="E61" t="s">
        <v>38</v>
      </c>
      <c r="F61" s="14" t="s">
        <v>100</v>
      </c>
      <c r="G61" t="s">
        <v>7</v>
      </c>
      <c r="H61" s="1">
        <v>1247</v>
      </c>
      <c r="I61" s="1">
        <v>5</v>
      </c>
      <c r="J61" s="1">
        <f>H61*I61</f>
        <v>6235</v>
      </c>
      <c r="K61" s="1">
        <v>0</v>
      </c>
      <c r="L61" s="1">
        <v>0</v>
      </c>
      <c r="M61" s="1">
        <v>0</v>
      </c>
      <c r="N61" s="1">
        <v>0</v>
      </c>
      <c r="O61" s="1">
        <v>0</v>
      </c>
      <c r="P61" s="1">
        <v>0</v>
      </c>
      <c r="Q61" s="1">
        <v>0</v>
      </c>
      <c r="R61" s="2">
        <f>SUM(J61:Q61)</f>
        <v>6235</v>
      </c>
      <c r="S61" s="15"/>
    </row>
    <row r="62" spans="1:19" ht="15" customHeight="1" x14ac:dyDescent="0.35">
      <c r="A62" s="32" t="s">
        <v>53</v>
      </c>
      <c r="B62" s="68" t="s">
        <v>60</v>
      </c>
      <c r="C62" s="14" t="s">
        <v>91</v>
      </c>
      <c r="D62" s="14" t="s">
        <v>22</v>
      </c>
      <c r="E62" s="14" t="s">
        <v>38</v>
      </c>
      <c r="F62" s="14" t="s">
        <v>101</v>
      </c>
      <c r="G62" s="14" t="s">
        <v>7</v>
      </c>
      <c r="H62" s="15">
        <v>2000</v>
      </c>
      <c r="I62" s="15">
        <v>1</v>
      </c>
      <c r="J62" s="15">
        <f>H62</f>
        <v>2000</v>
      </c>
      <c r="K62" s="15">
        <v>0</v>
      </c>
      <c r="L62" s="15">
        <v>0</v>
      </c>
      <c r="M62" s="15">
        <v>0</v>
      </c>
      <c r="N62" s="15">
        <v>0</v>
      </c>
      <c r="O62" s="15">
        <v>0</v>
      </c>
      <c r="P62" s="15">
        <v>0</v>
      </c>
      <c r="Q62" s="15">
        <v>0</v>
      </c>
      <c r="R62" s="16">
        <f>SUM(J62:Q62)</f>
        <v>2000</v>
      </c>
      <c r="S62" s="15"/>
    </row>
    <row r="63" spans="1:19" s="14" customFormat="1" ht="15" customHeight="1" x14ac:dyDescent="0.35">
      <c r="A63" s="32" t="s">
        <v>53</v>
      </c>
      <c r="B63" s="68" t="s">
        <v>60</v>
      </c>
      <c r="C63" s="14" t="s">
        <v>91</v>
      </c>
      <c r="D63" s="14" t="s">
        <v>22</v>
      </c>
      <c r="E63" s="14" t="s">
        <v>64</v>
      </c>
      <c r="F63" s="14" t="s">
        <v>102</v>
      </c>
      <c r="G63" s="14" t="s">
        <v>36</v>
      </c>
      <c r="H63" s="15">
        <f>R63/I63</f>
        <v>1259.3333333333333</v>
      </c>
      <c r="I63" s="15">
        <v>87</v>
      </c>
      <c r="J63" s="15">
        <v>3368</v>
      </c>
      <c r="K63" s="15">
        <v>13742</v>
      </c>
      <c r="L63" s="15">
        <v>14293</v>
      </c>
      <c r="M63" s="15">
        <v>14722</v>
      </c>
      <c r="N63" s="15">
        <v>15163</v>
      </c>
      <c r="O63" s="15">
        <v>15618</v>
      </c>
      <c r="P63" s="15">
        <v>16087</v>
      </c>
      <c r="Q63" s="15">
        <v>16569</v>
      </c>
      <c r="R63" s="16">
        <f t="shared" si="22"/>
        <v>109562</v>
      </c>
      <c r="S63" s="15"/>
    </row>
    <row r="64" spans="1:19" s="14" customFormat="1" ht="15" customHeight="1" x14ac:dyDescent="0.35">
      <c r="A64" s="32" t="s">
        <v>53</v>
      </c>
      <c r="B64" s="22" t="s">
        <v>60</v>
      </c>
      <c r="C64" s="14" t="s">
        <v>91</v>
      </c>
      <c r="D64" s="14" t="s">
        <v>22</v>
      </c>
      <c r="E64" s="14" t="s">
        <v>30</v>
      </c>
      <c r="F64" s="14" t="s">
        <v>103</v>
      </c>
      <c r="G64" s="14" t="s">
        <v>36</v>
      </c>
      <c r="H64" s="15">
        <v>711.94252873563221</v>
      </c>
      <c r="I64" s="15">
        <f>R64/H64</f>
        <v>87</v>
      </c>
      <c r="J64" s="15">
        <v>3978</v>
      </c>
      <c r="K64" s="15">
        <v>8115</v>
      </c>
      <c r="L64" s="15">
        <v>8273.5</v>
      </c>
      <c r="M64" s="15">
        <v>8434.5</v>
      </c>
      <c r="N64" s="15">
        <v>8599</v>
      </c>
      <c r="O64" s="15">
        <v>8767</v>
      </c>
      <c r="P64" s="15">
        <v>8938</v>
      </c>
      <c r="Q64" s="15">
        <v>6834</v>
      </c>
      <c r="R64" s="16">
        <f>SUM(J64:Q64)</f>
        <v>61939</v>
      </c>
      <c r="S64" s="15"/>
    </row>
    <row r="65" spans="1:20" s="14" customFormat="1" ht="15" customHeight="1" x14ac:dyDescent="0.35">
      <c r="A65" s="32" t="s">
        <v>53</v>
      </c>
      <c r="B65" s="22" t="s">
        <v>60</v>
      </c>
      <c r="C65" t="s">
        <v>91</v>
      </c>
      <c r="D65" s="14" t="s">
        <v>22</v>
      </c>
      <c r="E65" s="14" t="s">
        <v>44</v>
      </c>
      <c r="F65" s="14" t="s">
        <v>104</v>
      </c>
      <c r="G65" s="14" t="s">
        <v>41</v>
      </c>
      <c r="H65" s="15">
        <v>457</v>
      </c>
      <c r="I65" s="15">
        <v>86</v>
      </c>
      <c r="J65" s="16">
        <f>H65*12</f>
        <v>5484</v>
      </c>
      <c r="K65" s="16">
        <f>H65*12</f>
        <v>5484</v>
      </c>
      <c r="L65" s="16">
        <f>H65*12</f>
        <v>5484</v>
      </c>
      <c r="M65" s="16">
        <f>H65*10</f>
        <v>4570</v>
      </c>
      <c r="N65" s="16">
        <f>H65*10</f>
        <v>4570</v>
      </c>
      <c r="O65" s="16">
        <f>H65*10</f>
        <v>4570</v>
      </c>
      <c r="P65" s="16">
        <f>H65*10</f>
        <v>4570</v>
      </c>
      <c r="Q65" s="16">
        <f>H65*10</f>
        <v>4570</v>
      </c>
      <c r="R65" s="16">
        <f t="shared" ref="R65" si="23">SUM(J65:Q65)</f>
        <v>39302</v>
      </c>
      <c r="S65" s="15"/>
    </row>
    <row r="66" spans="1:20" s="14" customFormat="1" ht="15" customHeight="1" x14ac:dyDescent="0.35">
      <c r="A66" s="28" t="s">
        <v>53</v>
      </c>
      <c r="B66" s="22" t="s">
        <v>60</v>
      </c>
      <c r="C66" s="14" t="s">
        <v>91</v>
      </c>
      <c r="D66" s="14" t="s">
        <v>22</v>
      </c>
      <c r="E66" s="14" t="s">
        <v>44</v>
      </c>
      <c r="F66" s="14" t="s">
        <v>105</v>
      </c>
      <c r="G66" s="14" t="s">
        <v>41</v>
      </c>
      <c r="H66" s="15">
        <v>450</v>
      </c>
      <c r="I66" s="15">
        <v>440</v>
      </c>
      <c r="J66" s="15">
        <f>H66*20</f>
        <v>9000</v>
      </c>
      <c r="K66" s="15">
        <f>H66*60</f>
        <v>27000</v>
      </c>
      <c r="L66" s="15">
        <f>H66*60</f>
        <v>27000</v>
      </c>
      <c r="M66" s="15">
        <f>H66*60</f>
        <v>27000</v>
      </c>
      <c r="N66" s="15">
        <f>H66*60</f>
        <v>27000</v>
      </c>
      <c r="O66" s="15">
        <f>H66*60</f>
        <v>27000</v>
      </c>
      <c r="P66" s="15">
        <f>H66*60</f>
        <v>27000</v>
      </c>
      <c r="Q66" s="15">
        <f>H66*60</f>
        <v>27000</v>
      </c>
      <c r="R66" s="16">
        <f t="shared" si="20"/>
        <v>198000</v>
      </c>
      <c r="S66" s="15"/>
    </row>
    <row r="67" spans="1:20" x14ac:dyDescent="0.35">
      <c r="A67" s="32" t="s">
        <v>53</v>
      </c>
      <c r="B67" s="22" t="s">
        <v>60</v>
      </c>
      <c r="C67" s="14" t="s">
        <v>91</v>
      </c>
      <c r="D67" s="14" t="s">
        <v>22</v>
      </c>
      <c r="E67" s="14" t="s">
        <v>34</v>
      </c>
      <c r="F67" s="14" t="s">
        <v>106</v>
      </c>
      <c r="G67" s="14" t="s">
        <v>7</v>
      </c>
      <c r="H67" s="15">
        <v>885</v>
      </c>
      <c r="I67" s="67">
        <f>R67/H67</f>
        <v>120</v>
      </c>
      <c r="J67" s="15">
        <f>H67*10</f>
        <v>8850</v>
      </c>
      <c r="K67" s="15">
        <f>20*H67</f>
        <v>17700</v>
      </c>
      <c r="L67" s="15">
        <f>H67*20</f>
        <v>17700</v>
      </c>
      <c r="M67" s="15">
        <f>H67*20</f>
        <v>17700</v>
      </c>
      <c r="N67" s="15">
        <f>H67*20</f>
        <v>17700</v>
      </c>
      <c r="O67" s="15">
        <f>H67*20</f>
        <v>17700</v>
      </c>
      <c r="P67" s="15">
        <f>H67*10</f>
        <v>8850</v>
      </c>
      <c r="Q67" s="15"/>
      <c r="R67" s="16">
        <f>SUM(J67:Q67)</f>
        <v>106200</v>
      </c>
    </row>
    <row r="68" spans="1:20" s="14" customFormat="1" ht="15" customHeight="1" x14ac:dyDescent="0.35">
      <c r="A68" s="28" t="s">
        <v>53</v>
      </c>
      <c r="B68" s="22" t="s">
        <v>60</v>
      </c>
      <c r="C68" s="14" t="s">
        <v>91</v>
      </c>
      <c r="D68" s="14" t="s">
        <v>22</v>
      </c>
      <c r="E68" s="14" t="s">
        <v>30</v>
      </c>
      <c r="F68" s="14" t="s">
        <v>107</v>
      </c>
      <c r="G68" s="14" t="s">
        <v>36</v>
      </c>
      <c r="H68" s="15">
        <f t="shared" ref="H68" si="24">R68/I68</f>
        <v>572.20689655172418</v>
      </c>
      <c r="I68" s="15">
        <v>87</v>
      </c>
      <c r="J68" s="15">
        <v>1591</v>
      </c>
      <c r="K68" s="15">
        <v>6492</v>
      </c>
      <c r="L68" s="15">
        <v>6619</v>
      </c>
      <c r="M68" s="15">
        <v>6748</v>
      </c>
      <c r="N68" s="15">
        <v>6879</v>
      </c>
      <c r="O68" s="15">
        <v>7013</v>
      </c>
      <c r="P68" s="15">
        <v>7150</v>
      </c>
      <c r="Q68" s="15">
        <v>7290</v>
      </c>
      <c r="R68" s="16">
        <f t="shared" si="20"/>
        <v>49782</v>
      </c>
      <c r="S68" s="15"/>
    </row>
    <row r="69" spans="1:20" s="14" customFormat="1" ht="15" customHeight="1" x14ac:dyDescent="0.35">
      <c r="A69" s="32" t="s">
        <v>53</v>
      </c>
      <c r="B69" s="22" t="s">
        <v>60</v>
      </c>
      <c r="C69" s="14" t="s">
        <v>91</v>
      </c>
      <c r="D69" s="14" t="s">
        <v>22</v>
      </c>
      <c r="E69" s="14" t="s">
        <v>30</v>
      </c>
      <c r="F69" s="14" t="s">
        <v>108</v>
      </c>
      <c r="G69" s="14" t="s">
        <v>36</v>
      </c>
      <c r="H69" s="15">
        <v>844</v>
      </c>
      <c r="I69" s="15">
        <v>84</v>
      </c>
      <c r="J69" s="15">
        <v>8863</v>
      </c>
      <c r="K69" s="15">
        <v>8863</v>
      </c>
      <c r="L69" s="15">
        <v>8863</v>
      </c>
      <c r="M69" s="15">
        <v>8863</v>
      </c>
      <c r="N69" s="15">
        <v>8863</v>
      </c>
      <c r="O69" s="15">
        <v>8863</v>
      </c>
      <c r="P69" s="15">
        <v>8863</v>
      </c>
      <c r="Q69" s="15">
        <v>8863</v>
      </c>
      <c r="R69" s="16">
        <f t="shared" si="20"/>
        <v>70904</v>
      </c>
      <c r="S69" s="15"/>
    </row>
    <row r="70" spans="1:20" s="14" customFormat="1" ht="15" customHeight="1" x14ac:dyDescent="0.35">
      <c r="A70" s="28" t="s">
        <v>53</v>
      </c>
      <c r="B70" s="22" t="s">
        <v>60</v>
      </c>
      <c r="C70" t="s">
        <v>91</v>
      </c>
      <c r="D70" s="14" t="s">
        <v>22</v>
      </c>
      <c r="E70" s="14" t="s">
        <v>30</v>
      </c>
      <c r="F70" s="14" t="s">
        <v>109</v>
      </c>
      <c r="G70" s="14" t="s">
        <v>36</v>
      </c>
      <c r="H70" s="15">
        <v>711.94252873563221</v>
      </c>
      <c r="I70" s="15">
        <f>R70/H70</f>
        <v>87</v>
      </c>
      <c r="J70" s="15">
        <v>3978</v>
      </c>
      <c r="K70" s="15">
        <v>8115</v>
      </c>
      <c r="L70" s="15">
        <v>8273.5</v>
      </c>
      <c r="M70" s="15">
        <v>8434.5</v>
      </c>
      <c r="N70" s="15">
        <v>8599</v>
      </c>
      <c r="O70" s="15">
        <v>8767</v>
      </c>
      <c r="P70" s="15">
        <v>8938</v>
      </c>
      <c r="Q70" s="15">
        <v>6834</v>
      </c>
      <c r="R70" s="16">
        <f t="shared" si="20"/>
        <v>61939</v>
      </c>
      <c r="S70" s="15"/>
    </row>
    <row r="71" spans="1:20" s="14" customFormat="1" ht="15" customHeight="1" x14ac:dyDescent="0.35">
      <c r="A71" s="32" t="s">
        <v>53</v>
      </c>
      <c r="B71" s="22" t="s">
        <v>60</v>
      </c>
      <c r="C71" t="s">
        <v>91</v>
      </c>
      <c r="D71" s="14" t="s">
        <v>22</v>
      </c>
      <c r="E71" s="14" t="s">
        <v>30</v>
      </c>
      <c r="F71" s="14" t="s">
        <v>110</v>
      </c>
      <c r="G71" s="14" t="s">
        <v>36</v>
      </c>
      <c r="H71" s="15">
        <v>1000</v>
      </c>
      <c r="I71" s="15">
        <v>90</v>
      </c>
      <c r="J71" s="15">
        <f>H71*6</f>
        <v>6000</v>
      </c>
      <c r="K71" s="15">
        <f>H71*12</f>
        <v>12000</v>
      </c>
      <c r="L71" s="15">
        <f>H71*12</f>
        <v>12000</v>
      </c>
      <c r="M71" s="15">
        <f>H71*12</f>
        <v>12000</v>
      </c>
      <c r="N71" s="15">
        <f>H71*12</f>
        <v>12000</v>
      </c>
      <c r="O71" s="15">
        <f>H71*12</f>
        <v>12000</v>
      </c>
      <c r="P71" s="15">
        <f>H71*12</f>
        <v>12000</v>
      </c>
      <c r="Q71" s="15">
        <f>H71*12</f>
        <v>12000</v>
      </c>
      <c r="R71" s="16">
        <f>SUM(J71:Q71)</f>
        <v>90000</v>
      </c>
      <c r="S71" s="15"/>
    </row>
    <row r="72" spans="1:20" s="14" customFormat="1" ht="15" customHeight="1" x14ac:dyDescent="0.35">
      <c r="A72" s="28" t="s">
        <v>53</v>
      </c>
      <c r="B72" s="22" t="s">
        <v>60</v>
      </c>
      <c r="C72" t="s">
        <v>91</v>
      </c>
      <c r="D72" s="14" t="s">
        <v>22</v>
      </c>
      <c r="E72" s="14" t="s">
        <v>23</v>
      </c>
      <c r="F72" s="14" t="s">
        <v>111</v>
      </c>
      <c r="G72" s="14" t="s">
        <v>57</v>
      </c>
      <c r="H72" s="15">
        <f>R72/I72</f>
        <v>1561.3806779661018</v>
      </c>
      <c r="I72" s="15">
        <v>11800</v>
      </c>
      <c r="J72" s="15"/>
      <c r="K72" s="15"/>
      <c r="L72" s="15">
        <v>1574390</v>
      </c>
      <c r="M72" s="15">
        <v>2210198</v>
      </c>
      <c r="N72" s="15">
        <v>2870977</v>
      </c>
      <c r="O72" s="15">
        <v>3560073</v>
      </c>
      <c r="P72" s="15">
        <v>4269873</v>
      </c>
      <c r="Q72" s="15">
        <v>3938781</v>
      </c>
      <c r="R72" s="16">
        <f>SUM(J72:Q72)</f>
        <v>18424292</v>
      </c>
      <c r="S72" s="15"/>
      <c r="T72" s="60">
        <f>R72-S72</f>
        <v>18424292</v>
      </c>
    </row>
    <row r="73" spans="1:20" s="14" customFormat="1" ht="15" customHeight="1" x14ac:dyDescent="0.35">
      <c r="A73" s="32" t="s">
        <v>53</v>
      </c>
      <c r="B73" s="68" t="s">
        <v>60</v>
      </c>
      <c r="C73" s="14" t="s">
        <v>91</v>
      </c>
      <c r="D73" s="14" t="s">
        <v>22</v>
      </c>
      <c r="E73" s="14" t="s">
        <v>23</v>
      </c>
      <c r="F73" s="14" t="s">
        <v>112</v>
      </c>
      <c r="G73" s="14" t="s">
        <v>25</v>
      </c>
      <c r="H73" s="15">
        <v>20800</v>
      </c>
      <c r="I73" s="15">
        <v>8</v>
      </c>
      <c r="J73" s="15">
        <v>20800</v>
      </c>
      <c r="K73" s="15">
        <v>20800</v>
      </c>
      <c r="L73" s="15">
        <v>20800</v>
      </c>
      <c r="M73" s="15">
        <v>20800</v>
      </c>
      <c r="N73" s="15">
        <v>20800</v>
      </c>
      <c r="O73" s="15">
        <v>20800</v>
      </c>
      <c r="P73" s="15">
        <v>20800</v>
      </c>
      <c r="Q73" s="15">
        <v>20800</v>
      </c>
      <c r="R73" s="16">
        <f t="shared" si="20"/>
        <v>166400</v>
      </c>
      <c r="S73" s="15"/>
    </row>
    <row r="74" spans="1:20" s="14" customFormat="1" ht="15" customHeight="1" x14ac:dyDescent="0.35">
      <c r="A74" s="32" t="s">
        <v>53</v>
      </c>
      <c r="B74" s="68" t="s">
        <v>60</v>
      </c>
      <c r="C74" s="14" t="s">
        <v>91</v>
      </c>
      <c r="D74" s="14" t="s">
        <v>22</v>
      </c>
      <c r="E74" s="14" t="s">
        <v>34</v>
      </c>
      <c r="F74" s="14" t="s">
        <v>113</v>
      </c>
      <c r="G74" s="14" t="s">
        <v>36</v>
      </c>
      <c r="H74" s="34">
        <v>14411</v>
      </c>
      <c r="I74" s="35">
        <f>R74/H74</f>
        <v>57.252168482409267</v>
      </c>
      <c r="J74" s="35">
        <v>63659</v>
      </c>
      <c r="K74" s="35">
        <v>127318</v>
      </c>
      <c r="L74" s="35">
        <v>129699</v>
      </c>
      <c r="M74" s="35">
        <v>129699</v>
      </c>
      <c r="N74" s="35">
        <v>129699</v>
      </c>
      <c r="O74" s="35">
        <v>129699</v>
      </c>
      <c r="P74" s="35">
        <v>57644</v>
      </c>
      <c r="Q74" s="35">
        <v>57644</v>
      </c>
      <c r="R74" s="16">
        <f t="shared" si="20"/>
        <v>825061</v>
      </c>
      <c r="S74" s="15"/>
    </row>
    <row r="75" spans="1:20" s="14" customFormat="1" ht="15" customHeight="1" x14ac:dyDescent="0.35">
      <c r="A75" s="32" t="s">
        <v>53</v>
      </c>
      <c r="B75" s="68" t="s">
        <v>60</v>
      </c>
      <c r="C75" s="14" t="s">
        <v>91</v>
      </c>
      <c r="D75" s="14" t="s">
        <v>22</v>
      </c>
      <c r="E75" s="14" t="s">
        <v>32</v>
      </c>
      <c r="F75" s="14" t="s">
        <v>114</v>
      </c>
      <c r="G75" s="14" t="s">
        <v>25</v>
      </c>
      <c r="H75" s="15">
        <v>4000</v>
      </c>
      <c r="I75" s="67">
        <f>R75/H75</f>
        <v>6</v>
      </c>
      <c r="J75" s="15">
        <v>4000</v>
      </c>
      <c r="K75" s="15">
        <v>4000</v>
      </c>
      <c r="L75" s="15">
        <v>4000</v>
      </c>
      <c r="M75" s="15">
        <v>4000</v>
      </c>
      <c r="N75" s="15">
        <v>4000</v>
      </c>
      <c r="O75" s="15">
        <v>4000</v>
      </c>
      <c r="Q75" s="15"/>
      <c r="R75" s="16">
        <f>SUM(J75:Q75)</f>
        <v>24000</v>
      </c>
      <c r="S75" s="60"/>
    </row>
    <row r="76" spans="1:20" s="14" customFormat="1" ht="15" customHeight="1" x14ac:dyDescent="0.35">
      <c r="A76" s="32" t="s">
        <v>53</v>
      </c>
      <c r="B76" s="68" t="s">
        <v>60</v>
      </c>
      <c r="C76" s="14" t="s">
        <v>91</v>
      </c>
      <c r="D76" s="14" t="s">
        <v>22</v>
      </c>
      <c r="E76" s="14" t="s">
        <v>42</v>
      </c>
      <c r="F76" s="14" t="s">
        <v>115</v>
      </c>
      <c r="G76" s="14" t="s">
        <v>25</v>
      </c>
      <c r="H76" s="15">
        <v>4000</v>
      </c>
      <c r="I76" s="67">
        <f>R76/H76</f>
        <v>15</v>
      </c>
      <c r="J76" s="15">
        <v>8000</v>
      </c>
      <c r="K76" s="15">
        <f>H76*2</f>
        <v>8000</v>
      </c>
      <c r="L76" s="15">
        <f>H76*2</f>
        <v>8000</v>
      </c>
      <c r="M76" s="15">
        <f>H76*2</f>
        <v>8000</v>
      </c>
      <c r="N76" s="15">
        <f>H76*2</f>
        <v>8000</v>
      </c>
      <c r="O76" s="15">
        <f>H76*2</f>
        <v>8000</v>
      </c>
      <c r="P76" s="15">
        <f>H76*2</f>
        <v>8000</v>
      </c>
      <c r="Q76" s="15">
        <v>4000</v>
      </c>
      <c r="R76" s="16">
        <f t="shared" ref="R76" si="25">SUM(J76:Q76)</f>
        <v>60000</v>
      </c>
    </row>
    <row r="77" spans="1:20" s="14" customFormat="1" ht="15" customHeight="1" x14ac:dyDescent="0.35">
      <c r="A77" s="32" t="s">
        <v>53</v>
      </c>
      <c r="B77" s="68" t="s">
        <v>60</v>
      </c>
      <c r="C77" s="14" t="s">
        <v>91</v>
      </c>
      <c r="D77" s="14" t="s">
        <v>22</v>
      </c>
      <c r="E77" s="14" t="s">
        <v>42</v>
      </c>
      <c r="F77" s="14" t="s">
        <v>116</v>
      </c>
      <c r="G77" s="14" t="s">
        <v>49</v>
      </c>
      <c r="H77" s="15">
        <v>6000</v>
      </c>
      <c r="I77" s="16">
        <v>3</v>
      </c>
      <c r="J77" s="15"/>
      <c r="K77" s="15"/>
      <c r="L77" s="15">
        <v>6000</v>
      </c>
      <c r="M77" s="15"/>
      <c r="N77" s="15">
        <v>6000</v>
      </c>
      <c r="O77" s="15"/>
      <c r="P77" s="15">
        <v>6000</v>
      </c>
      <c r="Q77" s="15"/>
      <c r="R77" s="16">
        <f t="shared" si="20"/>
        <v>18000</v>
      </c>
      <c r="S77" s="15"/>
    </row>
    <row r="78" spans="1:20" s="14" customFormat="1" ht="15" customHeight="1" x14ac:dyDescent="0.35">
      <c r="A78" s="32" t="s">
        <v>53</v>
      </c>
      <c r="B78" s="68" t="s">
        <v>60</v>
      </c>
      <c r="C78" s="14" t="s">
        <v>91</v>
      </c>
      <c r="D78" s="14" t="s">
        <v>22</v>
      </c>
      <c r="E78" s="14" t="s">
        <v>42</v>
      </c>
      <c r="F78" s="14" t="s">
        <v>117</v>
      </c>
      <c r="G78" s="14" t="s">
        <v>49</v>
      </c>
      <c r="H78" s="15">
        <v>5000</v>
      </c>
      <c r="I78" s="15">
        <f>R78/H78</f>
        <v>15</v>
      </c>
      <c r="J78" s="15">
        <v>5000</v>
      </c>
      <c r="K78" s="15">
        <v>10000</v>
      </c>
      <c r="L78" s="15">
        <v>10000</v>
      </c>
      <c r="M78" s="15">
        <v>10000</v>
      </c>
      <c r="N78" s="15">
        <v>10000</v>
      </c>
      <c r="O78" s="15">
        <v>10000</v>
      </c>
      <c r="P78" s="15">
        <v>10000</v>
      </c>
      <c r="Q78" s="15">
        <v>10000</v>
      </c>
      <c r="R78" s="16">
        <f t="shared" si="20"/>
        <v>75000</v>
      </c>
      <c r="S78" s="15"/>
    </row>
    <row r="79" spans="1:20" s="14" customFormat="1" ht="15" customHeight="1" x14ac:dyDescent="0.35">
      <c r="A79" s="32" t="s">
        <v>53</v>
      </c>
      <c r="B79" s="68" t="s">
        <v>60</v>
      </c>
      <c r="C79" s="14" t="s">
        <v>91</v>
      </c>
      <c r="D79" s="14" t="s">
        <v>22</v>
      </c>
      <c r="E79" s="14" t="s">
        <v>42</v>
      </c>
      <c r="F79" s="14" t="s">
        <v>118</v>
      </c>
      <c r="G79" s="14" t="s">
        <v>49</v>
      </c>
      <c r="H79" s="15">
        <v>5000</v>
      </c>
      <c r="I79" s="15">
        <f>R79/H79</f>
        <v>13</v>
      </c>
      <c r="J79" s="15">
        <v>5000</v>
      </c>
      <c r="K79" s="15">
        <v>10000</v>
      </c>
      <c r="L79" s="15">
        <v>10000</v>
      </c>
      <c r="M79" s="15">
        <v>10000</v>
      </c>
      <c r="N79" s="15">
        <v>5000</v>
      </c>
      <c r="O79" s="15">
        <v>10000</v>
      </c>
      <c r="P79" s="15">
        <v>10000</v>
      </c>
      <c r="Q79" s="15">
        <v>5000</v>
      </c>
      <c r="R79" s="16">
        <f t="shared" si="20"/>
        <v>65000</v>
      </c>
      <c r="S79" s="15"/>
    </row>
    <row r="80" spans="1:20" s="14" customFormat="1" ht="15" customHeight="1" x14ac:dyDescent="0.35">
      <c r="A80" s="32" t="s">
        <v>53</v>
      </c>
      <c r="B80" s="22" t="s">
        <v>60</v>
      </c>
      <c r="C80" t="s">
        <v>91</v>
      </c>
      <c r="D80" s="14" t="s">
        <v>22</v>
      </c>
      <c r="E80" s="14" t="s">
        <v>42</v>
      </c>
      <c r="F80" s="14" t="s">
        <v>119</v>
      </c>
      <c r="G80" s="14" t="s">
        <v>49</v>
      </c>
      <c r="H80" s="15">
        <f>R80/I80</f>
        <v>290.76923076923077</v>
      </c>
      <c r="I80" s="15">
        <v>39</v>
      </c>
      <c r="J80" s="15">
        <f>720+1980</f>
        <v>2700</v>
      </c>
      <c r="K80" s="15">
        <v>1440</v>
      </c>
      <c r="L80" s="15">
        <v>1440</v>
      </c>
      <c r="M80" s="15">
        <v>1440</v>
      </c>
      <c r="N80" s="15">
        <v>1440</v>
      </c>
      <c r="O80" s="15">
        <v>1440</v>
      </c>
      <c r="P80" s="15">
        <v>720</v>
      </c>
      <c r="Q80" s="15">
        <v>720</v>
      </c>
      <c r="R80" s="16">
        <f t="shared" si="20"/>
        <v>11340</v>
      </c>
      <c r="S80" s="15"/>
    </row>
    <row r="81" spans="1:19" s="14" customFormat="1" ht="15" customHeight="1" x14ac:dyDescent="0.35">
      <c r="A81" s="28" t="s">
        <v>53</v>
      </c>
      <c r="B81" s="22" t="s">
        <v>60</v>
      </c>
      <c r="C81" t="s">
        <v>91</v>
      </c>
      <c r="D81" s="14" t="s">
        <v>22</v>
      </c>
      <c r="E81" s="14" t="s">
        <v>42</v>
      </c>
      <c r="F81" s="14" t="s">
        <v>120</v>
      </c>
      <c r="G81" s="14" t="s">
        <v>49</v>
      </c>
      <c r="H81" s="15">
        <f>R81/I81</f>
        <v>399.82558139534882</v>
      </c>
      <c r="I81" s="16">
        <v>86</v>
      </c>
      <c r="J81" s="16">
        <v>3415</v>
      </c>
      <c r="K81" s="16">
        <v>5290</v>
      </c>
      <c r="L81" s="16">
        <v>5290</v>
      </c>
      <c r="M81" s="16">
        <v>5290</v>
      </c>
      <c r="N81" s="16">
        <v>5290</v>
      </c>
      <c r="O81" s="16">
        <v>3750</v>
      </c>
      <c r="P81" s="16">
        <v>3030</v>
      </c>
      <c r="Q81" s="16">
        <v>3030</v>
      </c>
      <c r="R81" s="16">
        <f>SUM(J81:Q81)</f>
        <v>34385</v>
      </c>
      <c r="S81" s="15"/>
    </row>
    <row r="82" spans="1:19" ht="15" customHeight="1" x14ac:dyDescent="0.35">
      <c r="A82" s="28" t="s">
        <v>53</v>
      </c>
      <c r="B82" s="22" t="s">
        <v>60</v>
      </c>
      <c r="C82" t="s">
        <v>91</v>
      </c>
      <c r="D82" t="s">
        <v>22</v>
      </c>
      <c r="E82" t="s">
        <v>34</v>
      </c>
      <c r="F82" s="14" t="s">
        <v>121</v>
      </c>
      <c r="G82" t="s">
        <v>36</v>
      </c>
      <c r="H82" s="1">
        <f>R82/I82</f>
        <v>3219.0337078651687</v>
      </c>
      <c r="I82" s="1">
        <v>89</v>
      </c>
      <c r="J82" s="1">
        <v>14384</v>
      </c>
      <c r="K82" s="1">
        <v>35212</v>
      </c>
      <c r="L82" s="1">
        <v>36624</v>
      </c>
      <c r="M82" s="1">
        <v>37723</v>
      </c>
      <c r="N82" s="1">
        <v>38854</v>
      </c>
      <c r="O82" s="1">
        <v>40020</v>
      </c>
      <c r="P82" s="1">
        <v>41220</v>
      </c>
      <c r="Q82" s="1">
        <v>42457</v>
      </c>
      <c r="R82" s="2">
        <f>SUM(J82:Q82)</f>
        <v>286494</v>
      </c>
    </row>
    <row r="83" spans="1:19" x14ac:dyDescent="0.35">
      <c r="A83" s="28"/>
      <c r="B83" s="29"/>
      <c r="C83" s="10" t="s">
        <v>26</v>
      </c>
      <c r="D83" s="10"/>
      <c r="E83" s="10"/>
      <c r="F83" s="10"/>
      <c r="G83" s="10"/>
      <c r="H83" s="11"/>
      <c r="I83" s="11"/>
      <c r="J83" s="11">
        <f>SUM(J53:J82)</f>
        <v>301767</v>
      </c>
      <c r="K83" s="11">
        <f t="shared" ref="K83:R83" si="26">SUM(K53:K82)</f>
        <v>832286</v>
      </c>
      <c r="L83" s="11">
        <f t="shared" si="26"/>
        <v>1919749</v>
      </c>
      <c r="M83" s="11">
        <f t="shared" si="26"/>
        <v>2550622</v>
      </c>
      <c r="N83" s="11">
        <f t="shared" si="26"/>
        <v>3214433</v>
      </c>
      <c r="O83" s="11">
        <f t="shared" si="26"/>
        <v>3903080</v>
      </c>
      <c r="P83" s="11">
        <f t="shared" si="26"/>
        <v>4529683</v>
      </c>
      <c r="Q83" s="11">
        <f t="shared" si="26"/>
        <v>4172392</v>
      </c>
      <c r="R83" s="11">
        <f t="shared" si="26"/>
        <v>21424012</v>
      </c>
    </row>
    <row r="84" spans="1:19" s="14" customFormat="1" ht="15" customHeight="1" x14ac:dyDescent="0.35">
      <c r="A84" s="28" t="s">
        <v>53</v>
      </c>
      <c r="B84" s="33" t="s">
        <v>60</v>
      </c>
      <c r="C84" t="s">
        <v>122</v>
      </c>
      <c r="D84" s="14" t="s">
        <v>22</v>
      </c>
      <c r="E84" s="14" t="s">
        <v>44</v>
      </c>
      <c r="F84" s="14" t="s">
        <v>123</v>
      </c>
      <c r="G84" s="14" t="s">
        <v>25</v>
      </c>
      <c r="H84" s="15">
        <v>165000</v>
      </c>
      <c r="I84" s="67">
        <f>R84/H84</f>
        <v>1.76</v>
      </c>
      <c r="J84" s="15">
        <v>0</v>
      </c>
      <c r="K84" s="15">
        <v>0</v>
      </c>
      <c r="L84" s="15">
        <v>0</v>
      </c>
      <c r="M84" s="15">
        <v>125400</v>
      </c>
      <c r="N84" s="15">
        <v>0</v>
      </c>
      <c r="O84" s="15">
        <v>0</v>
      </c>
      <c r="P84" s="15">
        <v>0</v>
      </c>
      <c r="Q84" s="15">
        <v>165000</v>
      </c>
      <c r="R84" s="16">
        <f>SUM(J84:Q84)</f>
        <v>290400</v>
      </c>
      <c r="S84" s="15"/>
    </row>
    <row r="85" spans="1:19" s="14" customFormat="1" ht="15" customHeight="1" x14ac:dyDescent="0.35">
      <c r="A85" s="28" t="s">
        <v>53</v>
      </c>
      <c r="B85" s="22" t="s">
        <v>60</v>
      </c>
      <c r="C85" t="s">
        <v>122</v>
      </c>
      <c r="D85" s="14" t="s">
        <v>22</v>
      </c>
      <c r="E85" s="14" t="s">
        <v>34</v>
      </c>
      <c r="F85" s="14" t="s">
        <v>124</v>
      </c>
      <c r="G85" s="14" t="s">
        <v>36</v>
      </c>
      <c r="H85" s="15">
        <f>R85/I85</f>
        <v>3204.3118279569894</v>
      </c>
      <c r="I85" s="15">
        <v>93</v>
      </c>
      <c r="J85" s="15">
        <v>25891</v>
      </c>
      <c r="K85" s="15">
        <v>35212</v>
      </c>
      <c r="L85" s="15">
        <v>36624</v>
      </c>
      <c r="M85" s="15">
        <v>37723</v>
      </c>
      <c r="N85" s="15">
        <v>38854</v>
      </c>
      <c r="O85" s="15">
        <v>40020</v>
      </c>
      <c r="P85" s="15">
        <v>41220</v>
      </c>
      <c r="Q85" s="15">
        <v>42457</v>
      </c>
      <c r="R85" s="16">
        <f>SUM(J85:Q85)</f>
        <v>298001</v>
      </c>
      <c r="S85" s="15"/>
    </row>
    <row r="86" spans="1:19" x14ac:dyDescent="0.35">
      <c r="A86" s="28" t="s">
        <v>53</v>
      </c>
      <c r="B86" s="33" t="s">
        <v>60</v>
      </c>
      <c r="C86" t="s">
        <v>122</v>
      </c>
      <c r="D86" t="s">
        <v>22</v>
      </c>
      <c r="E86" t="s">
        <v>32</v>
      </c>
      <c r="F86" s="14" t="s">
        <v>125</v>
      </c>
      <c r="G86" t="s">
        <v>7</v>
      </c>
      <c r="H86" s="1">
        <f>R86/I86</f>
        <v>1500</v>
      </c>
      <c r="I86" s="1">
        <v>16</v>
      </c>
      <c r="J86" s="1">
        <v>3000</v>
      </c>
      <c r="K86" s="1">
        <v>3000</v>
      </c>
      <c r="L86" s="1">
        <v>3000</v>
      </c>
      <c r="M86" s="1">
        <v>3000</v>
      </c>
      <c r="N86" s="1">
        <v>3000</v>
      </c>
      <c r="O86" s="1">
        <v>3000</v>
      </c>
      <c r="P86" s="1">
        <v>3000</v>
      </c>
      <c r="Q86" s="1">
        <v>3000</v>
      </c>
      <c r="R86" s="2">
        <f>SUM(J86:Q86)</f>
        <v>24000</v>
      </c>
      <c r="S86" s="77"/>
    </row>
    <row r="87" spans="1:19" s="14" customFormat="1" x14ac:dyDescent="0.35">
      <c r="A87" s="32"/>
      <c r="B87" s="33"/>
      <c r="C87" s="10" t="s">
        <v>26</v>
      </c>
      <c r="D87" s="10"/>
      <c r="E87" s="10"/>
      <c r="F87" s="10"/>
      <c r="G87" s="10"/>
      <c r="H87" s="11"/>
      <c r="I87" s="11"/>
      <c r="J87" s="11">
        <f>SUM(J84:J86)</f>
        <v>28891</v>
      </c>
      <c r="K87" s="11">
        <f t="shared" ref="K87:R87" si="27">SUM(K84:K86)</f>
        <v>38212</v>
      </c>
      <c r="L87" s="11">
        <f t="shared" si="27"/>
        <v>39624</v>
      </c>
      <c r="M87" s="11">
        <f t="shared" si="27"/>
        <v>166123</v>
      </c>
      <c r="N87" s="11">
        <f t="shared" si="27"/>
        <v>41854</v>
      </c>
      <c r="O87" s="11">
        <f t="shared" si="27"/>
        <v>43020</v>
      </c>
      <c r="P87" s="11">
        <f t="shared" si="27"/>
        <v>44220</v>
      </c>
      <c r="Q87" s="11">
        <f t="shared" si="27"/>
        <v>210457</v>
      </c>
      <c r="R87" s="11">
        <f t="shared" si="27"/>
        <v>612401</v>
      </c>
      <c r="S87" s="15"/>
    </row>
    <row r="88" spans="1:19" ht="15" customHeight="1" x14ac:dyDescent="0.35">
      <c r="A88" s="28"/>
      <c r="B88" s="18"/>
      <c r="C88" s="19" t="s">
        <v>126</v>
      </c>
      <c r="D88" s="19"/>
      <c r="E88" s="19"/>
      <c r="F88" s="19"/>
      <c r="G88" s="19"/>
      <c r="H88" s="20"/>
      <c r="I88" s="20"/>
      <c r="J88" s="20">
        <f>J87+J83+J52+J44+J42</f>
        <v>596115</v>
      </c>
      <c r="K88" s="20">
        <f t="shared" ref="K88:Q88" si="28">K87+K83+K52+K44+K42</f>
        <v>1066986</v>
      </c>
      <c r="L88" s="20">
        <f t="shared" si="28"/>
        <v>2456332</v>
      </c>
      <c r="M88" s="20">
        <f t="shared" si="28"/>
        <v>3589231</v>
      </c>
      <c r="N88" s="20">
        <f t="shared" si="28"/>
        <v>4602390</v>
      </c>
      <c r="O88" s="20">
        <f t="shared" si="28"/>
        <v>5869077</v>
      </c>
      <c r="P88" s="20">
        <f t="shared" si="28"/>
        <v>6575613</v>
      </c>
      <c r="Q88" s="20">
        <f t="shared" si="28"/>
        <v>6410262</v>
      </c>
      <c r="R88" s="20">
        <f>R87+R83+R52+R44+R42</f>
        <v>31166006</v>
      </c>
    </row>
    <row r="89" spans="1:19" x14ac:dyDescent="0.35">
      <c r="A89" s="28" t="s">
        <v>53</v>
      </c>
      <c r="B89" s="29" t="s">
        <v>127</v>
      </c>
      <c r="C89" t="s">
        <v>128</v>
      </c>
      <c r="D89" t="s">
        <v>80</v>
      </c>
      <c r="E89" t="s">
        <v>30</v>
      </c>
      <c r="F89" s="14" t="s">
        <v>129</v>
      </c>
      <c r="G89" t="s">
        <v>25</v>
      </c>
      <c r="H89" s="1">
        <f>R89</f>
        <v>1296853</v>
      </c>
      <c r="I89" s="1">
        <v>1</v>
      </c>
      <c r="J89" s="1">
        <v>0</v>
      </c>
      <c r="K89" s="1">
        <v>0</v>
      </c>
      <c r="L89" s="1">
        <v>1296853</v>
      </c>
      <c r="M89" s="1">
        <v>0</v>
      </c>
      <c r="N89" s="1">
        <v>0</v>
      </c>
      <c r="O89" s="1">
        <v>0</v>
      </c>
      <c r="P89" s="1">
        <v>0</v>
      </c>
      <c r="Q89" s="1">
        <v>0</v>
      </c>
      <c r="R89" s="2">
        <f>L89</f>
        <v>1296853</v>
      </c>
    </row>
    <row r="90" spans="1:19" ht="15" customHeight="1" x14ac:dyDescent="0.35">
      <c r="A90" s="28"/>
      <c r="B90" s="29"/>
      <c r="C90" s="10" t="s">
        <v>82</v>
      </c>
      <c r="D90" s="10"/>
      <c r="E90" s="10"/>
      <c r="F90" s="10"/>
      <c r="G90" s="10"/>
      <c r="H90" s="11"/>
      <c r="I90" s="11"/>
      <c r="J90" s="11">
        <f>SUM(J89)</f>
        <v>0</v>
      </c>
      <c r="K90" s="11">
        <f t="shared" ref="K90:R90" si="29">SUM(K89)</f>
        <v>0</v>
      </c>
      <c r="L90" s="11">
        <f t="shared" si="29"/>
        <v>1296853</v>
      </c>
      <c r="M90" s="11">
        <f t="shared" si="29"/>
        <v>0</v>
      </c>
      <c r="N90" s="11">
        <f t="shared" si="29"/>
        <v>0</v>
      </c>
      <c r="O90" s="11">
        <f t="shared" si="29"/>
        <v>0</v>
      </c>
      <c r="P90" s="11">
        <f t="shared" si="29"/>
        <v>0</v>
      </c>
      <c r="Q90" s="11">
        <f t="shared" si="29"/>
        <v>0</v>
      </c>
      <c r="R90" s="12">
        <f t="shared" si="29"/>
        <v>1296853</v>
      </c>
    </row>
    <row r="91" spans="1:19" ht="15" customHeight="1" x14ac:dyDescent="0.35">
      <c r="A91" s="28" t="s">
        <v>53</v>
      </c>
      <c r="B91" s="29" t="s">
        <v>127</v>
      </c>
      <c r="C91" t="s">
        <v>130</v>
      </c>
      <c r="D91" t="s">
        <v>22</v>
      </c>
      <c r="E91" t="s">
        <v>38</v>
      </c>
      <c r="F91" t="s">
        <v>131</v>
      </c>
      <c r="G91" t="s">
        <v>25</v>
      </c>
      <c r="H91" s="1">
        <v>150000</v>
      </c>
      <c r="I91" s="1">
        <v>1</v>
      </c>
      <c r="J91" s="1">
        <v>0</v>
      </c>
      <c r="K91" s="1">
        <v>150000</v>
      </c>
      <c r="L91" s="1">
        <v>0</v>
      </c>
      <c r="M91" s="1">
        <v>0</v>
      </c>
      <c r="N91" s="1">
        <v>0</v>
      </c>
      <c r="O91" s="1">
        <v>0</v>
      </c>
      <c r="P91" s="1">
        <v>0</v>
      </c>
      <c r="Q91" s="1">
        <v>0</v>
      </c>
      <c r="R91" s="2">
        <f>SUBTOTAL(9,J91:Q91)</f>
        <v>150000</v>
      </c>
    </row>
    <row r="92" spans="1:19" ht="15" customHeight="1" x14ac:dyDescent="0.35">
      <c r="A92" s="32" t="s">
        <v>53</v>
      </c>
      <c r="B92" s="29" t="s">
        <v>127</v>
      </c>
      <c r="C92" t="s">
        <v>130</v>
      </c>
      <c r="D92" t="s">
        <v>22</v>
      </c>
      <c r="E92" t="s">
        <v>23</v>
      </c>
      <c r="F92" t="s">
        <v>132</v>
      </c>
      <c r="G92" t="s">
        <v>57</v>
      </c>
      <c r="H92" s="1">
        <f>R92/I92</f>
        <v>273.25979999999998</v>
      </c>
      <c r="I92" s="1">
        <v>5000</v>
      </c>
      <c r="J92" s="1">
        <v>0</v>
      </c>
      <c r="K92" s="1">
        <v>265490</v>
      </c>
      <c r="L92" s="1">
        <v>270667</v>
      </c>
      <c r="M92" s="1">
        <v>276223</v>
      </c>
      <c r="N92" s="1">
        <v>270667</v>
      </c>
      <c r="O92" s="1">
        <v>283252</v>
      </c>
      <c r="P92" s="1">
        <v>0</v>
      </c>
      <c r="Q92" s="1">
        <v>0</v>
      </c>
      <c r="R92" s="2">
        <f>SUM(J92:Q92)</f>
        <v>1366299</v>
      </c>
      <c r="S92" s="1">
        <v>1366299</v>
      </c>
    </row>
    <row r="93" spans="1:19" ht="15" customHeight="1" x14ac:dyDescent="0.35">
      <c r="A93" s="32" t="s">
        <v>53</v>
      </c>
      <c r="B93" s="29" t="s">
        <v>127</v>
      </c>
      <c r="C93" t="s">
        <v>130</v>
      </c>
      <c r="D93" t="s">
        <v>22</v>
      </c>
      <c r="E93" t="s">
        <v>23</v>
      </c>
      <c r="F93" t="s">
        <v>133</v>
      </c>
      <c r="G93" t="s">
        <v>25</v>
      </c>
      <c r="H93" s="1">
        <v>15000</v>
      </c>
      <c r="I93" s="1">
        <v>3</v>
      </c>
      <c r="J93" s="1">
        <v>0</v>
      </c>
      <c r="K93" s="1">
        <v>0</v>
      </c>
      <c r="L93" s="1">
        <v>15000</v>
      </c>
      <c r="M93" s="1">
        <v>15000</v>
      </c>
      <c r="N93" s="1">
        <v>15000</v>
      </c>
      <c r="O93" s="1">
        <v>0</v>
      </c>
      <c r="P93" s="1">
        <v>0</v>
      </c>
      <c r="Q93" s="1">
        <v>0</v>
      </c>
      <c r="R93" s="2">
        <f>SUM(J93:Q93)</f>
        <v>45000</v>
      </c>
    </row>
    <row r="94" spans="1:19" ht="15" customHeight="1" x14ac:dyDescent="0.35">
      <c r="A94" s="28" t="s">
        <v>53</v>
      </c>
      <c r="B94" s="29" t="s">
        <v>127</v>
      </c>
      <c r="C94" t="s">
        <v>130</v>
      </c>
      <c r="D94" t="s">
        <v>22</v>
      </c>
      <c r="E94" s="14" t="s">
        <v>34</v>
      </c>
      <c r="F94" t="s">
        <v>134</v>
      </c>
      <c r="G94" s="14" t="s">
        <v>7</v>
      </c>
      <c r="H94" s="15">
        <v>885</v>
      </c>
      <c r="I94" s="67">
        <v>60</v>
      </c>
      <c r="J94" s="15"/>
      <c r="K94" s="15">
        <f>10*H94</f>
        <v>8850</v>
      </c>
      <c r="L94" s="15">
        <f>H94*10</f>
        <v>8850</v>
      </c>
      <c r="M94" s="15">
        <f>H94*10</f>
        <v>8850</v>
      </c>
      <c r="N94" s="15">
        <f>H94*10</f>
        <v>8850</v>
      </c>
      <c r="O94" s="15">
        <f>H94*10</f>
        <v>8850</v>
      </c>
      <c r="P94" s="15">
        <f>H94*10</f>
        <v>8850</v>
      </c>
      <c r="Q94" s="15"/>
      <c r="R94" s="16">
        <f>SUM(J94:Q94)</f>
        <v>53100</v>
      </c>
      <c r="S94" s="1">
        <f>M92-N92</f>
        <v>5556</v>
      </c>
    </row>
    <row r="95" spans="1:19" x14ac:dyDescent="0.35">
      <c r="A95" s="32" t="s">
        <v>53</v>
      </c>
      <c r="B95" s="29" t="s">
        <v>127</v>
      </c>
      <c r="C95" t="s">
        <v>130</v>
      </c>
      <c r="D95" s="14" t="s">
        <v>22</v>
      </c>
      <c r="E95" s="14" t="s">
        <v>64</v>
      </c>
      <c r="F95" t="s">
        <v>135</v>
      </c>
      <c r="G95" s="14" t="s">
        <v>36</v>
      </c>
      <c r="H95" s="15">
        <f>R95/I95</f>
        <v>377.02222222222224</v>
      </c>
      <c r="I95" s="15">
        <v>90</v>
      </c>
      <c r="J95" s="15">
        <f>4048/2</f>
        <v>2024</v>
      </c>
      <c r="K95" s="15">
        <f>8258/2</f>
        <v>4129</v>
      </c>
      <c r="L95" s="15">
        <f>8589/2</f>
        <v>4294.5</v>
      </c>
      <c r="M95" s="15">
        <f>8846/2</f>
        <v>4423</v>
      </c>
      <c r="N95" s="15">
        <f>9112/2</f>
        <v>4556</v>
      </c>
      <c r="O95" s="15">
        <f>9385/2</f>
        <v>4692.5</v>
      </c>
      <c r="P95" s="15">
        <f>9669/2</f>
        <v>4834.5</v>
      </c>
      <c r="Q95" s="15">
        <f>9957/2</f>
        <v>4978.5</v>
      </c>
      <c r="R95" s="16">
        <f t="shared" ref="R95" si="30">SUM(J95:Q95)</f>
        <v>33932</v>
      </c>
    </row>
    <row r="96" spans="1:19" ht="15" customHeight="1" x14ac:dyDescent="0.35">
      <c r="A96" s="28"/>
      <c r="B96" s="29"/>
      <c r="C96" s="10" t="s">
        <v>26</v>
      </c>
      <c r="D96" s="10"/>
      <c r="E96" s="10"/>
      <c r="F96" s="10"/>
      <c r="G96" s="10"/>
      <c r="H96" s="11"/>
      <c r="I96" s="11"/>
      <c r="J96" s="11">
        <f>SUM(J91:J95)</f>
        <v>2024</v>
      </c>
      <c r="K96" s="11">
        <f>SUM(K91:K95)</f>
        <v>428469</v>
      </c>
      <c r="L96" s="11">
        <f t="shared" ref="L96:R96" si="31">SUM(L91:L95)</f>
        <v>298811.5</v>
      </c>
      <c r="M96" s="11">
        <f t="shared" si="31"/>
        <v>304496</v>
      </c>
      <c r="N96" s="11">
        <f t="shared" si="31"/>
        <v>299073</v>
      </c>
      <c r="O96" s="11">
        <f t="shared" si="31"/>
        <v>296794.5</v>
      </c>
      <c r="P96" s="11">
        <f t="shared" si="31"/>
        <v>13684.5</v>
      </c>
      <c r="Q96" s="11">
        <f t="shared" si="31"/>
        <v>4978.5</v>
      </c>
      <c r="R96" s="11">
        <f t="shared" si="31"/>
        <v>1648331</v>
      </c>
    </row>
    <row r="97" spans="1:19" ht="15" customHeight="1" x14ac:dyDescent="0.35">
      <c r="A97" s="28"/>
      <c r="B97" s="18"/>
      <c r="C97" s="19" t="s">
        <v>136</v>
      </c>
      <c r="D97" s="19"/>
      <c r="E97" s="19"/>
      <c r="F97" s="19"/>
      <c r="G97" s="19"/>
      <c r="H97" s="20"/>
      <c r="I97" s="20"/>
      <c r="J97" s="20">
        <f>J90+J96</f>
        <v>2024</v>
      </c>
      <c r="K97" s="20">
        <f t="shared" ref="K97:R97" si="32">K90+K96</f>
        <v>428469</v>
      </c>
      <c r="L97" s="20">
        <f t="shared" si="32"/>
        <v>1595664.5</v>
      </c>
      <c r="M97" s="20">
        <f t="shared" si="32"/>
        <v>304496</v>
      </c>
      <c r="N97" s="20">
        <f t="shared" si="32"/>
        <v>299073</v>
      </c>
      <c r="O97" s="20">
        <f t="shared" si="32"/>
        <v>296794.5</v>
      </c>
      <c r="P97" s="20">
        <f t="shared" si="32"/>
        <v>13684.5</v>
      </c>
      <c r="Q97" s="20">
        <f t="shared" si="32"/>
        <v>4978.5</v>
      </c>
      <c r="R97" s="21">
        <f t="shared" si="32"/>
        <v>2945184</v>
      </c>
    </row>
    <row r="98" spans="1:19" ht="15" customHeight="1" x14ac:dyDescent="0.35">
      <c r="A98" s="32" t="s">
        <v>53</v>
      </c>
      <c r="B98" s="22" t="s">
        <v>137</v>
      </c>
      <c r="C98" t="s">
        <v>138</v>
      </c>
      <c r="D98" t="s">
        <v>22</v>
      </c>
      <c r="E98" t="s">
        <v>42</v>
      </c>
      <c r="F98" t="s">
        <v>139</v>
      </c>
      <c r="G98" t="s">
        <v>49</v>
      </c>
      <c r="H98" s="1">
        <v>6000</v>
      </c>
      <c r="I98" s="1">
        <v>1</v>
      </c>
      <c r="K98" s="1">
        <v>6000</v>
      </c>
      <c r="R98" s="2">
        <f>SUM(K98:Q98)</f>
        <v>6000</v>
      </c>
    </row>
    <row r="99" spans="1:19" ht="15" customHeight="1" x14ac:dyDescent="0.35">
      <c r="A99" s="32" t="s">
        <v>53</v>
      </c>
      <c r="B99" s="22" t="s">
        <v>137</v>
      </c>
      <c r="C99" t="s">
        <v>138</v>
      </c>
      <c r="D99" t="s">
        <v>22</v>
      </c>
      <c r="E99" t="s">
        <v>23</v>
      </c>
      <c r="F99" t="s">
        <v>140</v>
      </c>
      <c r="G99" t="s">
        <v>25</v>
      </c>
      <c r="H99" s="1">
        <v>125000</v>
      </c>
      <c r="I99" s="31">
        <v>1</v>
      </c>
      <c r="J99" s="1">
        <v>0</v>
      </c>
      <c r="K99" s="1">
        <v>50000</v>
      </c>
      <c r="L99" s="1">
        <v>50000</v>
      </c>
      <c r="M99" s="1">
        <v>25000</v>
      </c>
      <c r="N99" s="1">
        <v>0</v>
      </c>
      <c r="O99" s="1">
        <v>0</v>
      </c>
      <c r="P99" s="1">
        <v>0</v>
      </c>
      <c r="Q99" s="1">
        <v>0</v>
      </c>
      <c r="R99" s="2">
        <f>SUM(J99:Q99)</f>
        <v>125000</v>
      </c>
    </row>
    <row r="100" spans="1:19" x14ac:dyDescent="0.35">
      <c r="A100" s="28"/>
      <c r="B100" s="22"/>
      <c r="C100" s="10" t="s">
        <v>26</v>
      </c>
      <c r="D100" s="10"/>
      <c r="E100" s="10"/>
      <c r="F100" s="10"/>
      <c r="G100" s="10"/>
      <c r="H100" s="11"/>
      <c r="I100" s="11"/>
      <c r="J100" s="11">
        <f>SUM(J98:J99)</f>
        <v>0</v>
      </c>
      <c r="K100" s="11">
        <f t="shared" ref="K100:R100" si="33">SUM(K98:K99)</f>
        <v>56000</v>
      </c>
      <c r="L100" s="11">
        <f t="shared" si="33"/>
        <v>50000</v>
      </c>
      <c r="M100" s="11">
        <f t="shared" si="33"/>
        <v>25000</v>
      </c>
      <c r="N100" s="11">
        <f t="shared" si="33"/>
        <v>0</v>
      </c>
      <c r="O100" s="11">
        <f t="shared" si="33"/>
        <v>0</v>
      </c>
      <c r="P100" s="11">
        <f t="shared" si="33"/>
        <v>0</v>
      </c>
      <c r="Q100" s="11">
        <f t="shared" si="33"/>
        <v>0</v>
      </c>
      <c r="R100" s="11">
        <f t="shared" si="33"/>
        <v>131000</v>
      </c>
    </row>
    <row r="101" spans="1:19" s="14" customFormat="1" ht="15" customHeight="1" x14ac:dyDescent="0.35">
      <c r="A101" s="32"/>
      <c r="B101" s="69"/>
      <c r="C101" s="19" t="s">
        <v>141</v>
      </c>
      <c r="D101" s="19"/>
      <c r="E101" s="19"/>
      <c r="F101" s="19"/>
      <c r="G101" s="19"/>
      <c r="H101" s="20"/>
      <c r="I101" s="20"/>
      <c r="J101" s="20">
        <f>J100</f>
        <v>0</v>
      </c>
      <c r="K101" s="20">
        <f t="shared" ref="K101:R101" si="34">K100</f>
        <v>56000</v>
      </c>
      <c r="L101" s="20">
        <f t="shared" si="34"/>
        <v>50000</v>
      </c>
      <c r="M101" s="20">
        <f t="shared" si="34"/>
        <v>25000</v>
      </c>
      <c r="N101" s="20">
        <f t="shared" si="34"/>
        <v>0</v>
      </c>
      <c r="O101" s="20">
        <f t="shared" si="34"/>
        <v>0</v>
      </c>
      <c r="P101" s="20">
        <f t="shared" si="34"/>
        <v>0</v>
      </c>
      <c r="Q101" s="20">
        <f t="shared" si="34"/>
        <v>0</v>
      </c>
      <c r="R101" s="21">
        <f t="shared" si="34"/>
        <v>131000</v>
      </c>
      <c r="S101" s="15"/>
    </row>
    <row r="102" spans="1:19" s="14" customFormat="1" x14ac:dyDescent="0.35">
      <c r="A102" s="37"/>
      <c r="B102" s="25" t="s">
        <v>142</v>
      </c>
      <c r="C102" s="26"/>
      <c r="D102" s="26"/>
      <c r="E102" s="26"/>
      <c r="F102" s="26"/>
      <c r="G102" s="26"/>
      <c r="H102" s="27"/>
      <c r="I102" s="27"/>
      <c r="J102" s="27">
        <f>J101+J97+J88+J26</f>
        <v>1095473</v>
      </c>
      <c r="K102" s="27">
        <f t="shared" ref="K102:R102" si="35">K101+K97+K88+K26</f>
        <v>2988822</v>
      </c>
      <c r="L102" s="27">
        <f t="shared" si="35"/>
        <v>5557692.5</v>
      </c>
      <c r="M102" s="27">
        <f t="shared" si="35"/>
        <v>5468269</v>
      </c>
      <c r="N102" s="27">
        <f t="shared" si="35"/>
        <v>6471524</v>
      </c>
      <c r="O102" s="27">
        <f t="shared" si="35"/>
        <v>6165871.5</v>
      </c>
      <c r="P102" s="27">
        <f t="shared" si="35"/>
        <v>6589297.5</v>
      </c>
      <c r="Q102" s="27">
        <f t="shared" si="35"/>
        <v>6415240.5</v>
      </c>
      <c r="R102" s="27">
        <f t="shared" si="35"/>
        <v>40752190</v>
      </c>
      <c r="S102" s="15"/>
    </row>
    <row r="103" spans="1:19" ht="15" customHeight="1" x14ac:dyDescent="0.35">
      <c r="A103" s="39" t="s">
        <v>143</v>
      </c>
      <c r="B103" s="22" t="s">
        <v>144</v>
      </c>
      <c r="C103" t="s">
        <v>145</v>
      </c>
      <c r="D103" s="14" t="s">
        <v>22</v>
      </c>
      <c r="E103" t="s">
        <v>32</v>
      </c>
      <c r="F103" t="s">
        <v>146</v>
      </c>
      <c r="G103" t="s">
        <v>25</v>
      </c>
      <c r="H103" s="1">
        <v>4000</v>
      </c>
      <c r="I103" s="1">
        <v>8</v>
      </c>
      <c r="J103" s="1">
        <f>H103*3</f>
        <v>12000</v>
      </c>
      <c r="K103" s="1">
        <f>H103*3</f>
        <v>12000</v>
      </c>
      <c r="L103" s="1">
        <f>H103</f>
        <v>4000</v>
      </c>
      <c r="M103" s="1">
        <f>H103</f>
        <v>4000</v>
      </c>
      <c r="N103" s="1">
        <v>0</v>
      </c>
      <c r="O103" s="1">
        <v>0</v>
      </c>
      <c r="P103" s="1">
        <v>0</v>
      </c>
      <c r="Q103" s="1">
        <v>0</v>
      </c>
      <c r="R103" s="2">
        <f t="shared" ref="R103:R106" si="36">SUM(J103:Q103)</f>
        <v>32000</v>
      </c>
    </row>
    <row r="104" spans="1:19" ht="15" customHeight="1" x14ac:dyDescent="0.35">
      <c r="A104" s="40" t="s">
        <v>143</v>
      </c>
      <c r="B104" s="22" t="s">
        <v>144</v>
      </c>
      <c r="C104" t="s">
        <v>145</v>
      </c>
      <c r="D104" t="s">
        <v>22</v>
      </c>
      <c r="E104" t="s">
        <v>44</v>
      </c>
      <c r="F104" t="s">
        <v>147</v>
      </c>
      <c r="G104" t="s">
        <v>41</v>
      </c>
      <c r="H104" s="1">
        <v>550</v>
      </c>
      <c r="I104" s="1">
        <v>58</v>
      </c>
      <c r="J104" s="1">
        <f>8*H104</f>
        <v>4400</v>
      </c>
      <c r="K104" s="1">
        <f>15*H104</f>
        <v>8250</v>
      </c>
      <c r="L104" s="1">
        <f>H104*15</f>
        <v>8250</v>
      </c>
      <c r="M104" s="1">
        <f>H104*10</f>
        <v>5500</v>
      </c>
      <c r="N104" s="1">
        <f>H104*10</f>
        <v>5500</v>
      </c>
      <c r="O104" s="1">
        <v>0</v>
      </c>
      <c r="P104" s="1">
        <v>0</v>
      </c>
      <c r="Q104" s="1">
        <v>0</v>
      </c>
      <c r="R104" s="2">
        <f t="shared" si="36"/>
        <v>31900</v>
      </c>
    </row>
    <row r="105" spans="1:19" ht="15" customHeight="1" x14ac:dyDescent="0.35">
      <c r="A105" s="39" t="s">
        <v>143</v>
      </c>
      <c r="B105" s="22" t="s">
        <v>144</v>
      </c>
      <c r="C105" t="s">
        <v>145</v>
      </c>
      <c r="D105" t="s">
        <v>22</v>
      </c>
      <c r="E105" t="s">
        <v>23</v>
      </c>
      <c r="F105" t="s">
        <v>148</v>
      </c>
      <c r="G105" t="s">
        <v>7</v>
      </c>
      <c r="H105" s="1">
        <v>250</v>
      </c>
      <c r="I105" s="41">
        <f>R105/H105</f>
        <v>1081.9159999999999</v>
      </c>
      <c r="J105" s="1">
        <v>36191</v>
      </c>
      <c r="K105" s="1">
        <v>45715</v>
      </c>
      <c r="L105" s="1">
        <v>41429</v>
      </c>
      <c r="M105" s="1">
        <v>48572</v>
      </c>
      <c r="N105" s="1">
        <v>55715</v>
      </c>
      <c r="O105" s="1">
        <v>42857</v>
      </c>
      <c r="Q105" s="1">
        <v>0</v>
      </c>
      <c r="R105" s="2">
        <f>SUM(J105:Q105)</f>
        <v>270479</v>
      </c>
    </row>
    <row r="106" spans="1:19" ht="15" customHeight="1" x14ac:dyDescent="0.35">
      <c r="A106" s="40" t="s">
        <v>143</v>
      </c>
      <c r="B106" s="22" t="s">
        <v>144</v>
      </c>
      <c r="C106" t="s">
        <v>145</v>
      </c>
      <c r="D106" t="s">
        <v>22</v>
      </c>
      <c r="E106" t="s">
        <v>34</v>
      </c>
      <c r="F106" t="s">
        <v>149</v>
      </c>
      <c r="G106" t="s">
        <v>36</v>
      </c>
      <c r="H106" s="1">
        <v>14411</v>
      </c>
      <c r="I106" s="30">
        <f>R106/H106</f>
        <v>21</v>
      </c>
      <c r="J106" s="1">
        <v>28822</v>
      </c>
      <c r="K106" s="1">
        <v>43233</v>
      </c>
      <c r="L106" s="1">
        <v>43233</v>
      </c>
      <c r="M106" s="1">
        <v>43233</v>
      </c>
      <c r="N106" s="1">
        <v>43233</v>
      </c>
      <c r="O106" s="1">
        <v>43233</v>
      </c>
      <c r="P106" s="1">
        <v>28822</v>
      </c>
      <c r="Q106" s="1">
        <v>28822</v>
      </c>
      <c r="R106" s="2">
        <f t="shared" si="36"/>
        <v>302631</v>
      </c>
    </row>
    <row r="107" spans="1:19" ht="15" customHeight="1" x14ac:dyDescent="0.35">
      <c r="A107" s="39" t="s">
        <v>143</v>
      </c>
      <c r="B107" s="22" t="s">
        <v>144</v>
      </c>
      <c r="C107" t="s">
        <v>145</v>
      </c>
      <c r="D107" s="14" t="s">
        <v>22</v>
      </c>
      <c r="E107" s="14" t="s">
        <v>64</v>
      </c>
      <c r="F107" t="s">
        <v>150</v>
      </c>
      <c r="G107" s="14" t="s">
        <v>36</v>
      </c>
      <c r="H107" s="15">
        <f>R107/I107</f>
        <v>377.02222222222224</v>
      </c>
      <c r="I107" s="15">
        <v>90</v>
      </c>
      <c r="J107" s="15">
        <f>4048/2</f>
        <v>2024</v>
      </c>
      <c r="K107" s="15">
        <f>8258/2</f>
        <v>4129</v>
      </c>
      <c r="L107" s="15">
        <f>8589/2</f>
        <v>4294.5</v>
      </c>
      <c r="M107" s="15">
        <f>8846/2</f>
        <v>4423</v>
      </c>
      <c r="N107" s="15">
        <f>9112/2</f>
        <v>4556</v>
      </c>
      <c r="O107" s="15">
        <f>9385/2</f>
        <v>4692.5</v>
      </c>
      <c r="P107" s="15">
        <f>9669/2</f>
        <v>4834.5</v>
      </c>
      <c r="Q107" s="15">
        <f>9957/2</f>
        <v>4978.5</v>
      </c>
      <c r="R107" s="16">
        <f>SUM(J107:Q107)</f>
        <v>33932</v>
      </c>
    </row>
    <row r="108" spans="1:19" s="14" customFormat="1" ht="15" customHeight="1" x14ac:dyDescent="0.35">
      <c r="A108" s="40" t="s">
        <v>143</v>
      </c>
      <c r="B108" s="22" t="s">
        <v>144</v>
      </c>
      <c r="C108" t="s">
        <v>145</v>
      </c>
      <c r="D108" t="s">
        <v>22</v>
      </c>
      <c r="E108" t="s">
        <v>42</v>
      </c>
      <c r="F108" t="s">
        <v>151</v>
      </c>
      <c r="G108" t="s">
        <v>49</v>
      </c>
      <c r="H108" s="1">
        <f>R108/I108</f>
        <v>406.95652173913044</v>
      </c>
      <c r="I108" s="1">
        <v>23</v>
      </c>
      <c r="J108" s="1">
        <v>1440</v>
      </c>
      <c r="K108" s="1">
        <v>1440</v>
      </c>
      <c r="L108" s="1">
        <v>1440</v>
      </c>
      <c r="M108" s="1">
        <v>1440</v>
      </c>
      <c r="N108" s="1">
        <v>1440</v>
      </c>
      <c r="O108" s="1">
        <v>1440</v>
      </c>
      <c r="P108" s="1">
        <v>720</v>
      </c>
      <c r="Q108" s="1"/>
      <c r="R108" s="2">
        <f>SUM(J108:Q108)</f>
        <v>9360</v>
      </c>
      <c r="S108" s="15"/>
    </row>
    <row r="109" spans="1:19" x14ac:dyDescent="0.35">
      <c r="A109" s="40" t="s">
        <v>143</v>
      </c>
      <c r="B109" s="22" t="s">
        <v>144</v>
      </c>
      <c r="C109" t="s">
        <v>145</v>
      </c>
      <c r="D109" t="s">
        <v>22</v>
      </c>
      <c r="E109" t="s">
        <v>42</v>
      </c>
      <c r="F109" t="s">
        <v>152</v>
      </c>
      <c r="G109" t="s">
        <v>49</v>
      </c>
      <c r="H109" s="1">
        <v>6000</v>
      </c>
      <c r="I109" s="1">
        <f>R109/H109</f>
        <v>4</v>
      </c>
      <c r="J109" s="1">
        <f>H109</f>
        <v>6000</v>
      </c>
      <c r="K109" s="1">
        <f>H109</f>
        <v>6000</v>
      </c>
      <c r="L109" s="1">
        <f>H109</f>
        <v>6000</v>
      </c>
      <c r="M109" s="1">
        <f>H109</f>
        <v>6000</v>
      </c>
      <c r="O109" s="1">
        <v>0</v>
      </c>
      <c r="P109" s="1">
        <v>0</v>
      </c>
      <c r="Q109" s="1">
        <v>0</v>
      </c>
      <c r="R109" s="2">
        <f>SUM(J109:Q109)</f>
        <v>24000</v>
      </c>
    </row>
    <row r="110" spans="1:19" ht="15" customHeight="1" x14ac:dyDescent="0.35">
      <c r="A110" s="40" t="s">
        <v>143</v>
      </c>
      <c r="B110" s="22" t="s">
        <v>144</v>
      </c>
      <c r="C110" t="s">
        <v>145</v>
      </c>
      <c r="D110" s="14" t="s">
        <v>22</v>
      </c>
      <c r="E110" s="14" t="s">
        <v>30</v>
      </c>
      <c r="F110" t="s">
        <v>153</v>
      </c>
      <c r="G110" s="14" t="s">
        <v>25</v>
      </c>
      <c r="H110" s="15">
        <v>8000</v>
      </c>
      <c r="I110" s="15">
        <v>1</v>
      </c>
      <c r="J110" s="15">
        <f>H110/8</f>
        <v>1000</v>
      </c>
      <c r="K110" s="15">
        <v>1000</v>
      </c>
      <c r="L110" s="15">
        <v>1000</v>
      </c>
      <c r="M110" s="15">
        <v>1000</v>
      </c>
      <c r="N110" s="15">
        <v>1000</v>
      </c>
      <c r="O110" s="15">
        <v>1000</v>
      </c>
      <c r="P110" s="15">
        <v>1000</v>
      </c>
      <c r="Q110" s="15">
        <v>1000</v>
      </c>
      <c r="R110" s="16">
        <v>8000</v>
      </c>
    </row>
    <row r="111" spans="1:19" ht="15" customHeight="1" x14ac:dyDescent="0.35">
      <c r="A111" s="39"/>
      <c r="B111" s="22"/>
      <c r="C111" s="10" t="s">
        <v>26</v>
      </c>
      <c r="D111" s="10"/>
      <c r="E111" s="10"/>
      <c r="F111" s="10"/>
      <c r="G111" s="10"/>
      <c r="H111" s="11"/>
      <c r="I111" s="11"/>
      <c r="J111" s="11">
        <f t="shared" ref="J111:R111" si="37">SUM(J103:J110)</f>
        <v>91877</v>
      </c>
      <c r="K111" s="11">
        <f t="shared" si="37"/>
        <v>121767</v>
      </c>
      <c r="L111" s="11">
        <f t="shared" si="37"/>
        <v>109646.5</v>
      </c>
      <c r="M111" s="11">
        <f t="shared" si="37"/>
        <v>114168</v>
      </c>
      <c r="N111" s="11">
        <f t="shared" si="37"/>
        <v>111444</v>
      </c>
      <c r="O111" s="11">
        <f t="shared" si="37"/>
        <v>93222.5</v>
      </c>
      <c r="P111" s="11">
        <f t="shared" si="37"/>
        <v>35376.5</v>
      </c>
      <c r="Q111" s="11">
        <f t="shared" si="37"/>
        <v>34800.5</v>
      </c>
      <c r="R111" s="11">
        <f t="shared" si="37"/>
        <v>712302</v>
      </c>
    </row>
    <row r="112" spans="1:19" ht="15" customHeight="1" x14ac:dyDescent="0.35">
      <c r="A112" s="40" t="s">
        <v>143</v>
      </c>
      <c r="B112" s="22" t="s">
        <v>144</v>
      </c>
      <c r="C112" t="s">
        <v>154</v>
      </c>
      <c r="D112" t="s">
        <v>155</v>
      </c>
      <c r="E112" t="s">
        <v>30</v>
      </c>
      <c r="F112" t="s">
        <v>156</v>
      </c>
      <c r="G112" t="s">
        <v>25</v>
      </c>
      <c r="H112" s="1">
        <f>R112</f>
        <v>958000</v>
      </c>
      <c r="I112" s="1">
        <v>1</v>
      </c>
      <c r="J112" s="1">
        <v>116876</v>
      </c>
      <c r="K112" s="1">
        <v>246206</v>
      </c>
      <c r="L112" s="1">
        <v>283568</v>
      </c>
      <c r="M112" s="1">
        <v>249080</v>
      </c>
      <c r="N112" s="1">
        <v>62270</v>
      </c>
      <c r="O112" s="1">
        <v>0</v>
      </c>
      <c r="P112" s="1">
        <v>0</v>
      </c>
      <c r="Q112" s="1">
        <v>0</v>
      </c>
      <c r="R112" s="2">
        <f>SUM(J112:Q112)</f>
        <v>958000</v>
      </c>
    </row>
    <row r="113" spans="1:19" ht="15" customHeight="1" x14ac:dyDescent="0.35">
      <c r="A113" s="39"/>
      <c r="B113" s="22"/>
      <c r="C113" s="10" t="s">
        <v>157</v>
      </c>
      <c r="D113" s="10"/>
      <c r="E113" s="10"/>
      <c r="F113" s="10"/>
      <c r="G113" s="10"/>
      <c r="H113" s="11"/>
      <c r="I113" s="11"/>
      <c r="J113" s="11">
        <f>SUM(J112)</f>
        <v>116876</v>
      </c>
      <c r="K113" s="11">
        <f t="shared" ref="K113:R113" si="38">SUM(K112)</f>
        <v>246206</v>
      </c>
      <c r="L113" s="11">
        <f t="shared" si="38"/>
        <v>283568</v>
      </c>
      <c r="M113" s="11">
        <f t="shared" si="38"/>
        <v>249080</v>
      </c>
      <c r="N113" s="11">
        <f t="shared" si="38"/>
        <v>62270</v>
      </c>
      <c r="O113" s="11">
        <f t="shared" si="38"/>
        <v>0</v>
      </c>
      <c r="P113" s="11">
        <f t="shared" si="38"/>
        <v>0</v>
      </c>
      <c r="Q113" s="11">
        <f t="shared" si="38"/>
        <v>0</v>
      </c>
      <c r="R113" s="12">
        <f t="shared" si="38"/>
        <v>958000</v>
      </c>
    </row>
    <row r="114" spans="1:19" ht="15" customHeight="1" x14ac:dyDescent="0.35">
      <c r="A114" s="40"/>
      <c r="B114" s="23"/>
      <c r="C114" s="19" t="s">
        <v>158</v>
      </c>
      <c r="D114" s="19"/>
      <c r="E114" s="19"/>
      <c r="F114" s="19"/>
      <c r="G114" s="19"/>
      <c r="H114" s="20"/>
      <c r="I114" s="20"/>
      <c r="J114" s="20">
        <f>J113+J111</f>
        <v>208753</v>
      </c>
      <c r="K114" s="20">
        <f t="shared" ref="K114:R114" si="39">K113+K111</f>
        <v>367973</v>
      </c>
      <c r="L114" s="20">
        <f t="shared" si="39"/>
        <v>393214.5</v>
      </c>
      <c r="M114" s="20">
        <f t="shared" si="39"/>
        <v>363248</v>
      </c>
      <c r="N114" s="20">
        <f t="shared" si="39"/>
        <v>173714</v>
      </c>
      <c r="O114" s="20">
        <f t="shared" si="39"/>
        <v>93222.5</v>
      </c>
      <c r="P114" s="20">
        <f t="shared" si="39"/>
        <v>35376.5</v>
      </c>
      <c r="Q114" s="20">
        <f t="shared" si="39"/>
        <v>34800.5</v>
      </c>
      <c r="R114" s="20">
        <f t="shared" si="39"/>
        <v>1670302</v>
      </c>
    </row>
    <row r="115" spans="1:19" ht="15" customHeight="1" x14ac:dyDescent="0.35">
      <c r="A115" s="39" t="s">
        <v>143</v>
      </c>
      <c r="B115" s="22" t="s">
        <v>159</v>
      </c>
      <c r="C115" t="s">
        <v>160</v>
      </c>
      <c r="D115" t="s">
        <v>155</v>
      </c>
      <c r="E115" t="s">
        <v>30</v>
      </c>
      <c r="F115" t="s">
        <v>161</v>
      </c>
      <c r="G115" t="s">
        <v>25</v>
      </c>
      <c r="H115" s="1">
        <f>R115</f>
        <v>109185</v>
      </c>
      <c r="I115" s="1">
        <v>1</v>
      </c>
      <c r="J115" s="1">
        <v>86497</v>
      </c>
      <c r="K115" s="1">
        <v>19961</v>
      </c>
      <c r="L115" s="1">
        <v>2727</v>
      </c>
      <c r="M115" s="1">
        <v>0</v>
      </c>
      <c r="N115" s="1">
        <v>0</v>
      </c>
      <c r="O115" s="1">
        <v>0</v>
      </c>
      <c r="P115" s="1">
        <v>0</v>
      </c>
      <c r="Q115" s="1">
        <v>0</v>
      </c>
      <c r="R115" s="2">
        <f>SUM(J115:Q115)</f>
        <v>109185</v>
      </c>
    </row>
    <row r="116" spans="1:19" ht="15" customHeight="1" x14ac:dyDescent="0.35">
      <c r="A116" s="40"/>
      <c r="B116" s="22"/>
      <c r="C116" s="10" t="s">
        <v>157</v>
      </c>
      <c r="D116" s="10"/>
      <c r="E116" s="10"/>
      <c r="F116" s="10"/>
      <c r="G116" s="10"/>
      <c r="H116" s="11"/>
      <c r="I116" s="11"/>
      <c r="J116" s="11">
        <f>SUM(J115)</f>
        <v>86497</v>
      </c>
      <c r="K116" s="11">
        <f t="shared" ref="K116:R116" si="40">SUM(K115)</f>
        <v>19961</v>
      </c>
      <c r="L116" s="11">
        <f t="shared" si="40"/>
        <v>2727</v>
      </c>
      <c r="M116" s="11">
        <f t="shared" si="40"/>
        <v>0</v>
      </c>
      <c r="N116" s="11">
        <f t="shared" si="40"/>
        <v>0</v>
      </c>
      <c r="O116" s="11">
        <f t="shared" si="40"/>
        <v>0</v>
      </c>
      <c r="P116" s="11">
        <f t="shared" si="40"/>
        <v>0</v>
      </c>
      <c r="Q116" s="11">
        <f t="shared" si="40"/>
        <v>0</v>
      </c>
      <c r="R116" s="12">
        <f t="shared" si="40"/>
        <v>109185</v>
      </c>
    </row>
    <row r="117" spans="1:19" s="14" customFormat="1" ht="15" customHeight="1" x14ac:dyDescent="0.35">
      <c r="A117" s="39" t="s">
        <v>143</v>
      </c>
      <c r="B117" s="68" t="s">
        <v>159</v>
      </c>
      <c r="C117" s="14" t="s">
        <v>162</v>
      </c>
      <c r="D117" s="14" t="s">
        <v>22</v>
      </c>
      <c r="E117" s="14" t="s">
        <v>32</v>
      </c>
      <c r="F117" s="14" t="s">
        <v>163</v>
      </c>
      <c r="G117" s="14" t="s">
        <v>25</v>
      </c>
      <c r="H117" s="15">
        <f>R117</f>
        <v>45000</v>
      </c>
      <c r="I117" s="16">
        <v>1</v>
      </c>
      <c r="J117" s="15">
        <v>0</v>
      </c>
      <c r="K117" s="15">
        <v>15000</v>
      </c>
      <c r="L117" s="15">
        <v>15000</v>
      </c>
      <c r="M117" s="15">
        <v>15000</v>
      </c>
      <c r="N117" s="15">
        <v>0</v>
      </c>
      <c r="O117" s="15">
        <v>0</v>
      </c>
      <c r="P117" s="15">
        <v>0</v>
      </c>
      <c r="Q117" s="15">
        <v>0</v>
      </c>
      <c r="R117" s="16">
        <f>SUM(J117:Q117)</f>
        <v>45000</v>
      </c>
      <c r="S117" s="15"/>
    </row>
    <row r="118" spans="1:19" s="14" customFormat="1" x14ac:dyDescent="0.35">
      <c r="A118" s="39" t="s">
        <v>143</v>
      </c>
      <c r="B118" s="68" t="s">
        <v>159</v>
      </c>
      <c r="C118" s="14" t="s">
        <v>162</v>
      </c>
      <c r="D118" s="14" t="s">
        <v>22</v>
      </c>
      <c r="E118" s="14" t="s">
        <v>44</v>
      </c>
      <c r="F118" s="14" t="s">
        <v>164</v>
      </c>
      <c r="G118" s="14" t="s">
        <v>41</v>
      </c>
      <c r="H118" s="15">
        <v>450</v>
      </c>
      <c r="I118" s="15">
        <v>69</v>
      </c>
      <c r="J118" s="15"/>
      <c r="K118" s="15">
        <v>10350</v>
      </c>
      <c r="L118" s="15">
        <v>10350</v>
      </c>
      <c r="M118" s="15">
        <v>10350</v>
      </c>
      <c r="N118" s="15"/>
      <c r="O118" s="15"/>
      <c r="P118" s="15"/>
      <c r="Q118" s="15"/>
      <c r="R118" s="16">
        <f>SUM(J118:Q118)</f>
        <v>31050</v>
      </c>
      <c r="S118" s="15"/>
    </row>
    <row r="119" spans="1:19" s="14" customFormat="1" ht="15" customHeight="1" x14ac:dyDescent="0.35">
      <c r="A119" s="39" t="s">
        <v>143</v>
      </c>
      <c r="B119" s="68" t="s">
        <v>159</v>
      </c>
      <c r="C119" s="14" t="s">
        <v>162</v>
      </c>
      <c r="D119" s="14" t="s">
        <v>22</v>
      </c>
      <c r="E119" s="14" t="s">
        <v>34</v>
      </c>
      <c r="F119" s="14" t="s">
        <v>165</v>
      </c>
      <c r="G119" s="14" t="s">
        <v>41</v>
      </c>
      <c r="H119" s="15">
        <v>885</v>
      </c>
      <c r="I119" s="15">
        <v>30</v>
      </c>
      <c r="J119" s="15"/>
      <c r="K119" s="15">
        <f>H119*10</f>
        <v>8850</v>
      </c>
      <c r="L119" s="15">
        <f>H119*10</f>
        <v>8850</v>
      </c>
      <c r="M119" s="15">
        <f>H119*10</f>
        <v>8850</v>
      </c>
      <c r="N119" s="15"/>
      <c r="O119" s="15"/>
      <c r="P119" s="15"/>
      <c r="Q119" s="15"/>
      <c r="R119" s="16">
        <f>SUM(J119:Q119)</f>
        <v>26550</v>
      </c>
      <c r="S119" s="15"/>
    </row>
    <row r="120" spans="1:19" ht="15" customHeight="1" x14ac:dyDescent="0.35">
      <c r="A120" s="39"/>
      <c r="B120" s="22"/>
      <c r="C120" s="10" t="s">
        <v>26</v>
      </c>
      <c r="D120" s="10"/>
      <c r="E120" s="10"/>
      <c r="F120" s="10"/>
      <c r="G120" s="10"/>
      <c r="H120" s="11"/>
      <c r="I120" s="11"/>
      <c r="J120" s="11">
        <f>SUM(J117:J119)</f>
        <v>0</v>
      </c>
      <c r="K120" s="11">
        <f>SUM(K117:K119)</f>
        <v>34200</v>
      </c>
      <c r="L120" s="11">
        <f t="shared" ref="L120:R120" si="41">SUM(L117:L119)</f>
        <v>34200</v>
      </c>
      <c r="M120" s="11">
        <f t="shared" si="41"/>
        <v>34200</v>
      </c>
      <c r="N120" s="11">
        <f t="shared" si="41"/>
        <v>0</v>
      </c>
      <c r="O120" s="11">
        <f t="shared" si="41"/>
        <v>0</v>
      </c>
      <c r="P120" s="11">
        <f t="shared" si="41"/>
        <v>0</v>
      </c>
      <c r="Q120" s="11">
        <f t="shared" si="41"/>
        <v>0</v>
      </c>
      <c r="R120" s="11">
        <f t="shared" si="41"/>
        <v>102600</v>
      </c>
    </row>
    <row r="121" spans="1:19" ht="15" customHeight="1" x14ac:dyDescent="0.35">
      <c r="A121" s="40" t="s">
        <v>143</v>
      </c>
      <c r="B121" s="22" t="s">
        <v>159</v>
      </c>
      <c r="C121" t="s">
        <v>166</v>
      </c>
      <c r="D121" t="s">
        <v>155</v>
      </c>
      <c r="E121" t="s">
        <v>30</v>
      </c>
      <c r="F121" t="s">
        <v>167</v>
      </c>
      <c r="G121" t="s">
        <v>25</v>
      </c>
      <c r="H121" s="1">
        <f>R121</f>
        <v>72578</v>
      </c>
      <c r="I121" s="1">
        <v>1</v>
      </c>
      <c r="J121" s="1">
        <v>40933.991999999998</v>
      </c>
      <c r="K121" s="1">
        <v>15604.27</v>
      </c>
      <c r="L121" s="1">
        <v>16039.737999999999</v>
      </c>
      <c r="M121" s="1">
        <v>0</v>
      </c>
      <c r="N121" s="1">
        <v>0</v>
      </c>
      <c r="O121" s="1">
        <v>0</v>
      </c>
      <c r="P121" s="1">
        <v>0</v>
      </c>
      <c r="Q121" s="1">
        <v>0</v>
      </c>
      <c r="R121" s="2">
        <f>SUM(J121:Q121)</f>
        <v>72578</v>
      </c>
    </row>
    <row r="122" spans="1:19" ht="14.65" customHeight="1" x14ac:dyDescent="0.35">
      <c r="A122" s="39" t="s">
        <v>143</v>
      </c>
      <c r="B122" s="22" t="s">
        <v>159</v>
      </c>
      <c r="C122" t="s">
        <v>166</v>
      </c>
      <c r="D122" t="s">
        <v>155</v>
      </c>
      <c r="E122" t="s">
        <v>30</v>
      </c>
      <c r="F122" t="s">
        <v>168</v>
      </c>
      <c r="G122" t="s">
        <v>25</v>
      </c>
      <c r="H122" s="1">
        <f>R122</f>
        <v>96237</v>
      </c>
      <c r="I122" s="1">
        <v>1</v>
      </c>
      <c r="J122" s="1">
        <v>48119</v>
      </c>
      <c r="K122" s="1">
        <v>48118</v>
      </c>
      <c r="L122" s="1">
        <v>0</v>
      </c>
      <c r="M122" s="1">
        <v>0</v>
      </c>
      <c r="N122" s="1">
        <v>0</v>
      </c>
      <c r="O122" s="1">
        <v>0</v>
      </c>
      <c r="P122" s="1">
        <v>0</v>
      </c>
      <c r="Q122" s="1">
        <v>0</v>
      </c>
      <c r="R122" s="2">
        <f>SUM(J122:Q122)</f>
        <v>96237</v>
      </c>
    </row>
    <row r="123" spans="1:19" ht="15" customHeight="1" x14ac:dyDescent="0.35">
      <c r="A123" s="40"/>
      <c r="B123" s="22"/>
      <c r="C123" s="10" t="s">
        <v>157</v>
      </c>
      <c r="D123" s="10"/>
      <c r="E123" s="10"/>
      <c r="F123" s="10"/>
      <c r="G123" s="10"/>
      <c r="H123" s="11"/>
      <c r="I123" s="11"/>
      <c r="J123" s="11">
        <f>SUM(J121:J122)</f>
        <v>89052.991999999998</v>
      </c>
      <c r="K123" s="11">
        <f t="shared" ref="K123:R123" si="42">SUM(K121:K122)</f>
        <v>63722.270000000004</v>
      </c>
      <c r="L123" s="11">
        <f t="shared" si="42"/>
        <v>16039.737999999999</v>
      </c>
      <c r="M123" s="11">
        <f t="shared" si="42"/>
        <v>0</v>
      </c>
      <c r="N123" s="11">
        <f t="shared" si="42"/>
        <v>0</v>
      </c>
      <c r="O123" s="11">
        <f t="shared" si="42"/>
        <v>0</v>
      </c>
      <c r="P123" s="11">
        <f t="shared" si="42"/>
        <v>0</v>
      </c>
      <c r="Q123" s="11">
        <f t="shared" si="42"/>
        <v>0</v>
      </c>
      <c r="R123" s="12">
        <f t="shared" si="42"/>
        <v>168815</v>
      </c>
    </row>
    <row r="124" spans="1:19" ht="15" customHeight="1" x14ac:dyDescent="0.35">
      <c r="A124" s="39"/>
      <c r="B124" s="23"/>
      <c r="C124" s="19" t="s">
        <v>169</v>
      </c>
      <c r="D124" s="19"/>
      <c r="E124" s="19"/>
      <c r="F124" s="19"/>
      <c r="G124" s="19"/>
      <c r="H124" s="20"/>
      <c r="I124" s="20"/>
      <c r="J124" s="20">
        <f t="shared" ref="J124:R124" si="43">J123+J120+J116</f>
        <v>175549.992</v>
      </c>
      <c r="K124" s="20">
        <f t="shared" si="43"/>
        <v>117883.27</v>
      </c>
      <c r="L124" s="20">
        <f t="shared" si="43"/>
        <v>52966.737999999998</v>
      </c>
      <c r="M124" s="20">
        <f t="shared" si="43"/>
        <v>34200</v>
      </c>
      <c r="N124" s="20">
        <f t="shared" si="43"/>
        <v>0</v>
      </c>
      <c r="O124" s="20">
        <f t="shared" si="43"/>
        <v>0</v>
      </c>
      <c r="P124" s="20">
        <f t="shared" si="43"/>
        <v>0</v>
      </c>
      <c r="Q124" s="20">
        <f t="shared" si="43"/>
        <v>0</v>
      </c>
      <c r="R124" s="21">
        <f t="shared" si="43"/>
        <v>380600</v>
      </c>
    </row>
    <row r="125" spans="1:19" ht="15" customHeight="1" x14ac:dyDescent="0.35">
      <c r="A125" s="40" t="s">
        <v>143</v>
      </c>
      <c r="B125" s="22" t="s">
        <v>170</v>
      </c>
      <c r="C125" s="14" t="s">
        <v>171</v>
      </c>
      <c r="D125" s="14" t="s">
        <v>22</v>
      </c>
      <c r="E125" s="14" t="s">
        <v>44</v>
      </c>
      <c r="F125" s="14" t="s">
        <v>172</v>
      </c>
      <c r="G125" s="14" t="s">
        <v>41</v>
      </c>
      <c r="H125" s="1">
        <v>450</v>
      </c>
      <c r="I125" s="1">
        <f>R125/H125</f>
        <v>166</v>
      </c>
      <c r="J125" s="1">
        <v>6750</v>
      </c>
      <c r="K125" s="1">
        <v>10350</v>
      </c>
      <c r="L125" s="1">
        <v>10350</v>
      </c>
      <c r="M125" s="1">
        <v>10350</v>
      </c>
      <c r="N125" s="1">
        <v>10350</v>
      </c>
      <c r="O125" s="1">
        <v>10350</v>
      </c>
      <c r="P125" s="1">
        <v>8100</v>
      </c>
      <c r="Q125" s="1">
        <v>8100</v>
      </c>
      <c r="R125" s="2">
        <f>SUM(J125:Q125)</f>
        <v>74700</v>
      </c>
    </row>
    <row r="126" spans="1:19" x14ac:dyDescent="0.35">
      <c r="A126" s="40" t="s">
        <v>143</v>
      </c>
      <c r="B126" s="22" t="s">
        <v>170</v>
      </c>
      <c r="C126" s="14" t="s">
        <v>171</v>
      </c>
      <c r="D126" s="14" t="s">
        <v>22</v>
      </c>
      <c r="E126" s="14" t="s">
        <v>34</v>
      </c>
      <c r="F126" s="14" t="s">
        <v>173</v>
      </c>
      <c r="G126" s="14" t="s">
        <v>41</v>
      </c>
      <c r="H126" s="1">
        <v>885</v>
      </c>
      <c r="I126" s="1">
        <v>50</v>
      </c>
      <c r="J126" s="1">
        <f>H126*10</f>
        <v>8850</v>
      </c>
      <c r="K126" s="1">
        <f>H126*10</f>
        <v>8850</v>
      </c>
      <c r="L126" s="1">
        <f>H126*10</f>
        <v>8850</v>
      </c>
      <c r="M126" s="1">
        <f>H126*10</f>
        <v>8850</v>
      </c>
      <c r="N126" s="1">
        <f>H126*10</f>
        <v>8850</v>
      </c>
      <c r="R126" s="2">
        <f>SUM(J126:Q126)</f>
        <v>44250</v>
      </c>
    </row>
    <row r="127" spans="1:19" ht="15" customHeight="1" x14ac:dyDescent="0.35">
      <c r="A127" s="39" t="s">
        <v>143</v>
      </c>
      <c r="B127" s="22" t="s">
        <v>170</v>
      </c>
      <c r="C127" s="14" t="s">
        <v>171</v>
      </c>
      <c r="D127" s="14" t="s">
        <v>22</v>
      </c>
      <c r="E127" s="14" t="s">
        <v>42</v>
      </c>
      <c r="F127" s="14" t="s">
        <v>174</v>
      </c>
      <c r="G127" s="14" t="s">
        <v>49</v>
      </c>
      <c r="H127" s="1">
        <v>6000</v>
      </c>
      <c r="I127" s="36">
        <f>R127/H127</f>
        <v>5</v>
      </c>
      <c r="J127" s="1">
        <v>6000</v>
      </c>
      <c r="K127" s="1">
        <v>6000</v>
      </c>
      <c r="L127" s="1">
        <v>6000</v>
      </c>
      <c r="M127" s="1">
        <v>6000</v>
      </c>
      <c r="N127" s="1">
        <v>6000</v>
      </c>
      <c r="R127" s="2">
        <f>SUM(J127:Q127)</f>
        <v>30000</v>
      </c>
    </row>
    <row r="128" spans="1:19" ht="15" customHeight="1" x14ac:dyDescent="0.35">
      <c r="A128" s="39"/>
      <c r="B128" s="22"/>
      <c r="C128" s="10" t="s">
        <v>26</v>
      </c>
      <c r="D128" s="10"/>
      <c r="E128" s="10"/>
      <c r="F128" s="10"/>
      <c r="G128" s="10"/>
      <c r="H128" s="11"/>
      <c r="I128" s="11"/>
      <c r="J128" s="11">
        <f>SUM(J125:J127)</f>
        <v>21600</v>
      </c>
      <c r="K128" s="11">
        <f t="shared" ref="K128:R128" si="44">SUM(K125:K127)</f>
        <v>25200</v>
      </c>
      <c r="L128" s="11">
        <f t="shared" si="44"/>
        <v>25200</v>
      </c>
      <c r="M128" s="11">
        <f t="shared" si="44"/>
        <v>25200</v>
      </c>
      <c r="N128" s="11">
        <f t="shared" si="44"/>
        <v>25200</v>
      </c>
      <c r="O128" s="11">
        <f t="shared" si="44"/>
        <v>10350</v>
      </c>
      <c r="P128" s="11">
        <f t="shared" si="44"/>
        <v>8100</v>
      </c>
      <c r="Q128" s="11">
        <f t="shared" si="44"/>
        <v>8100</v>
      </c>
      <c r="R128" s="12">
        <f t="shared" si="44"/>
        <v>148950</v>
      </c>
    </row>
    <row r="129" spans="1:19" ht="15" customHeight="1" x14ac:dyDescent="0.35">
      <c r="A129" s="40" t="s">
        <v>143</v>
      </c>
      <c r="B129" s="22" t="s">
        <v>170</v>
      </c>
      <c r="C129" t="s">
        <v>175</v>
      </c>
      <c r="D129" t="s">
        <v>155</v>
      </c>
      <c r="E129" t="s">
        <v>30</v>
      </c>
      <c r="F129" t="s">
        <v>176</v>
      </c>
      <c r="G129" t="s">
        <v>25</v>
      </c>
      <c r="H129" s="1">
        <f>R129</f>
        <v>71000</v>
      </c>
      <c r="I129" s="1">
        <v>1</v>
      </c>
      <c r="J129" s="1">
        <v>32802</v>
      </c>
      <c r="K129" s="1">
        <v>33725</v>
      </c>
      <c r="L129" s="1">
        <v>1846</v>
      </c>
      <c r="M129" s="1">
        <v>2627</v>
      </c>
      <c r="N129" s="1">
        <v>0</v>
      </c>
      <c r="O129" s="1">
        <v>0</v>
      </c>
      <c r="P129" s="1">
        <v>0</v>
      </c>
      <c r="Q129" s="1">
        <v>0</v>
      </c>
      <c r="R129" s="2">
        <f>SUM(J129:Q129)</f>
        <v>71000</v>
      </c>
    </row>
    <row r="130" spans="1:19" s="14" customFormat="1" ht="15" customHeight="1" x14ac:dyDescent="0.35">
      <c r="A130" s="39"/>
      <c r="B130" s="22"/>
      <c r="C130" s="10" t="s">
        <v>157</v>
      </c>
      <c r="D130" s="10"/>
      <c r="E130" s="10"/>
      <c r="F130" s="10"/>
      <c r="G130" s="10"/>
      <c r="H130" s="11"/>
      <c r="I130" s="11"/>
      <c r="J130" s="11">
        <f>SUM(J129)</f>
        <v>32802</v>
      </c>
      <c r="K130" s="11">
        <f t="shared" ref="K130:R130" si="45">SUM(K129)</f>
        <v>33725</v>
      </c>
      <c r="L130" s="11">
        <f t="shared" si="45"/>
        <v>1846</v>
      </c>
      <c r="M130" s="11">
        <f t="shared" si="45"/>
        <v>2627</v>
      </c>
      <c r="N130" s="11">
        <f t="shared" si="45"/>
        <v>0</v>
      </c>
      <c r="O130" s="11">
        <f t="shared" si="45"/>
        <v>0</v>
      </c>
      <c r="P130" s="11">
        <f t="shared" si="45"/>
        <v>0</v>
      </c>
      <c r="Q130" s="11">
        <f t="shared" si="45"/>
        <v>0</v>
      </c>
      <c r="R130" s="12">
        <f t="shared" si="45"/>
        <v>71000</v>
      </c>
      <c r="S130" s="15"/>
    </row>
    <row r="131" spans="1:19" s="14" customFormat="1" ht="15" customHeight="1" x14ac:dyDescent="0.35">
      <c r="A131" s="40" t="s">
        <v>143</v>
      </c>
      <c r="B131" s="22" t="s">
        <v>170</v>
      </c>
      <c r="C131" t="s">
        <v>177</v>
      </c>
      <c r="D131" t="s">
        <v>22</v>
      </c>
      <c r="E131" t="s">
        <v>23</v>
      </c>
      <c r="F131" t="s">
        <v>178</v>
      </c>
      <c r="G131" t="s">
        <v>25</v>
      </c>
      <c r="H131" s="1">
        <v>5000</v>
      </c>
      <c r="I131" s="1">
        <f>R131/H131</f>
        <v>5</v>
      </c>
      <c r="J131" s="1">
        <v>0</v>
      </c>
      <c r="K131" s="1">
        <v>5000</v>
      </c>
      <c r="L131" s="1">
        <v>5000</v>
      </c>
      <c r="M131" s="1">
        <v>5000</v>
      </c>
      <c r="N131" s="1">
        <v>5000</v>
      </c>
      <c r="O131" s="1">
        <v>5000</v>
      </c>
      <c r="P131" s="1">
        <v>0</v>
      </c>
      <c r="Q131" s="1">
        <v>0</v>
      </c>
      <c r="R131" s="16">
        <f>SUM(J131:Q131)</f>
        <v>25000</v>
      </c>
      <c r="S131" s="15"/>
    </row>
    <row r="132" spans="1:19" ht="15" customHeight="1" x14ac:dyDescent="0.35">
      <c r="A132" s="39" t="s">
        <v>143</v>
      </c>
      <c r="B132" s="22" t="s">
        <v>170</v>
      </c>
      <c r="C132" t="s">
        <v>177</v>
      </c>
      <c r="D132" s="14" t="s">
        <v>22</v>
      </c>
      <c r="E132" s="14" t="s">
        <v>64</v>
      </c>
      <c r="F132" t="s">
        <v>179</v>
      </c>
      <c r="G132" s="14" t="s">
        <v>36</v>
      </c>
      <c r="H132" s="15">
        <f>R132/I132</f>
        <v>2541.7816091954023</v>
      </c>
      <c r="I132" s="15">
        <v>87</v>
      </c>
      <c r="J132" s="15">
        <v>6798</v>
      </c>
      <c r="K132" s="15">
        <v>27736</v>
      </c>
      <c r="L132" s="15">
        <v>28848</v>
      </c>
      <c r="M132" s="15">
        <v>29713</v>
      </c>
      <c r="N132" s="15">
        <v>30605</v>
      </c>
      <c r="O132" s="15">
        <v>31523</v>
      </c>
      <c r="P132" s="15">
        <v>32469</v>
      </c>
      <c r="Q132" s="15">
        <v>33443</v>
      </c>
      <c r="R132" s="16">
        <f>SUM(J132:Q132)</f>
        <v>221135</v>
      </c>
      <c r="S132"/>
    </row>
    <row r="133" spans="1:19" x14ac:dyDescent="0.35">
      <c r="A133" s="40" t="s">
        <v>143</v>
      </c>
      <c r="B133" s="22" t="s">
        <v>170</v>
      </c>
      <c r="C133" t="s">
        <v>177</v>
      </c>
      <c r="D133" s="14" t="s">
        <v>22</v>
      </c>
      <c r="E133" s="14" t="s">
        <v>64</v>
      </c>
      <c r="F133" t="s">
        <v>180</v>
      </c>
      <c r="G133" s="14" t="s">
        <v>36</v>
      </c>
      <c r="H133" s="15">
        <f>R133/I133</f>
        <v>2002.2183908045977</v>
      </c>
      <c r="I133" s="15">
        <v>87</v>
      </c>
      <c r="J133" s="15">
        <v>5355</v>
      </c>
      <c r="K133" s="15">
        <v>21848</v>
      </c>
      <c r="L133" s="15">
        <v>22724</v>
      </c>
      <c r="M133" s="15">
        <v>23406</v>
      </c>
      <c r="N133" s="15">
        <v>24108</v>
      </c>
      <c r="O133" s="15">
        <v>24832</v>
      </c>
      <c r="P133" s="15">
        <v>25576</v>
      </c>
      <c r="Q133" s="15">
        <v>26344</v>
      </c>
      <c r="R133" s="16">
        <f>SUM(J133:Q133)</f>
        <v>174193</v>
      </c>
    </row>
    <row r="134" spans="1:19" ht="15" customHeight="1" x14ac:dyDescent="0.35">
      <c r="A134" s="28" t="s">
        <v>143</v>
      </c>
      <c r="B134" s="22" t="s">
        <v>170</v>
      </c>
      <c r="C134" t="s">
        <v>177</v>
      </c>
      <c r="D134" t="s">
        <v>22</v>
      </c>
      <c r="E134" t="s">
        <v>34</v>
      </c>
      <c r="F134" t="s">
        <v>181</v>
      </c>
      <c r="G134" t="s">
        <v>36</v>
      </c>
      <c r="H134" s="1">
        <f>R134/I134</f>
        <v>3204.2580645161293</v>
      </c>
      <c r="I134" s="30">
        <v>31</v>
      </c>
      <c r="J134" s="1">
        <v>8630</v>
      </c>
      <c r="K134" s="1">
        <v>11737</v>
      </c>
      <c r="L134" s="1">
        <v>12208</v>
      </c>
      <c r="M134" s="1">
        <v>12574</v>
      </c>
      <c r="N134" s="1">
        <v>12951</v>
      </c>
      <c r="O134" s="1">
        <v>13340</v>
      </c>
      <c r="P134" s="1">
        <v>13740</v>
      </c>
      <c r="Q134" s="1">
        <v>14152</v>
      </c>
      <c r="R134" s="2">
        <f t="shared" ref="R134" si="46">SUM(J134:Q134)</f>
        <v>99332</v>
      </c>
    </row>
    <row r="135" spans="1:19" ht="15" customHeight="1" x14ac:dyDescent="0.35">
      <c r="A135" s="39"/>
      <c r="B135" s="22"/>
      <c r="C135" s="10" t="s">
        <v>26</v>
      </c>
      <c r="D135" s="10"/>
      <c r="E135" s="10"/>
      <c r="F135" s="10"/>
      <c r="G135" s="10"/>
      <c r="H135" s="11"/>
      <c r="I135" s="11"/>
      <c r="J135" s="11">
        <f>SUM(J131:J134)</f>
        <v>20783</v>
      </c>
      <c r="K135" s="11">
        <f t="shared" ref="K135:R135" si="47">SUM(K131:K134)</f>
        <v>66321</v>
      </c>
      <c r="L135" s="11">
        <f t="shared" si="47"/>
        <v>68780</v>
      </c>
      <c r="M135" s="11">
        <f t="shared" si="47"/>
        <v>70693</v>
      </c>
      <c r="N135" s="11">
        <f t="shared" si="47"/>
        <v>72664</v>
      </c>
      <c r="O135" s="11">
        <f t="shared" si="47"/>
        <v>74695</v>
      </c>
      <c r="P135" s="11">
        <f t="shared" si="47"/>
        <v>71785</v>
      </c>
      <c r="Q135" s="11">
        <f t="shared" si="47"/>
        <v>73939</v>
      </c>
      <c r="R135" s="11">
        <f t="shared" si="47"/>
        <v>519660</v>
      </c>
    </row>
    <row r="136" spans="1:19" s="14" customFormat="1" ht="15" customHeight="1" x14ac:dyDescent="0.35">
      <c r="A136" s="40"/>
      <c r="B136" s="23"/>
      <c r="C136" s="19" t="s">
        <v>182</v>
      </c>
      <c r="D136" s="19"/>
      <c r="E136" s="19"/>
      <c r="F136" s="19"/>
      <c r="G136" s="19"/>
      <c r="H136" s="20"/>
      <c r="I136" s="20"/>
      <c r="J136" s="20">
        <f>J135+J130+J128</f>
        <v>75185</v>
      </c>
      <c r="K136" s="20">
        <f t="shared" ref="K136:R136" si="48">K135+K130+K128</f>
        <v>125246</v>
      </c>
      <c r="L136" s="20">
        <f t="shared" si="48"/>
        <v>95826</v>
      </c>
      <c r="M136" s="20">
        <f t="shared" si="48"/>
        <v>98520</v>
      </c>
      <c r="N136" s="20">
        <f t="shared" si="48"/>
        <v>97864</v>
      </c>
      <c r="O136" s="20">
        <f t="shared" si="48"/>
        <v>85045</v>
      </c>
      <c r="P136" s="20">
        <f t="shared" si="48"/>
        <v>79885</v>
      </c>
      <c r="Q136" s="20">
        <f t="shared" si="48"/>
        <v>82039</v>
      </c>
      <c r="R136" s="21">
        <f t="shared" si="48"/>
        <v>739610</v>
      </c>
      <c r="S136" s="15"/>
    </row>
    <row r="137" spans="1:19" s="14" customFormat="1" ht="15" customHeight="1" x14ac:dyDescent="0.35">
      <c r="A137" s="39" t="s">
        <v>143</v>
      </c>
      <c r="B137" s="29" t="s">
        <v>183</v>
      </c>
      <c r="C137" t="s">
        <v>184</v>
      </c>
      <c r="D137" t="s">
        <v>22</v>
      </c>
      <c r="E137" t="s">
        <v>23</v>
      </c>
      <c r="F137" t="s">
        <v>185</v>
      </c>
      <c r="G137" t="s">
        <v>25</v>
      </c>
      <c r="H137" s="1">
        <v>6000</v>
      </c>
      <c r="I137" s="1">
        <f>R137/H137</f>
        <v>5</v>
      </c>
      <c r="J137" s="1">
        <v>0</v>
      </c>
      <c r="K137" s="1">
        <v>6000</v>
      </c>
      <c r="L137" s="1">
        <v>6000</v>
      </c>
      <c r="M137" s="1">
        <v>6000</v>
      </c>
      <c r="N137" s="1">
        <v>6000</v>
      </c>
      <c r="O137" s="1">
        <v>6000</v>
      </c>
      <c r="P137" s="1">
        <v>0</v>
      </c>
      <c r="Q137" s="1">
        <v>0</v>
      </c>
      <c r="R137" s="2">
        <f>SUM(J137:Q137)</f>
        <v>30000</v>
      </c>
      <c r="S137" s="15"/>
    </row>
    <row r="138" spans="1:19" x14ac:dyDescent="0.35">
      <c r="A138" s="40" t="s">
        <v>143</v>
      </c>
      <c r="B138" s="29" t="s">
        <v>183</v>
      </c>
      <c r="C138" t="s">
        <v>184</v>
      </c>
      <c r="D138" s="14" t="s">
        <v>22</v>
      </c>
      <c r="E138" s="14" t="s">
        <v>64</v>
      </c>
      <c r="F138" t="s">
        <v>186</v>
      </c>
      <c r="G138" s="14" t="s">
        <v>36</v>
      </c>
      <c r="H138" s="15">
        <f>R138/I138</f>
        <v>2541.7816091954023</v>
      </c>
      <c r="I138" s="15">
        <v>87</v>
      </c>
      <c r="J138" s="15">
        <v>6798</v>
      </c>
      <c r="K138" s="15">
        <v>27736</v>
      </c>
      <c r="L138" s="15">
        <v>28848</v>
      </c>
      <c r="M138" s="15">
        <v>29713</v>
      </c>
      <c r="N138" s="15">
        <v>30605</v>
      </c>
      <c r="O138" s="15">
        <v>31523</v>
      </c>
      <c r="P138" s="15">
        <v>32469</v>
      </c>
      <c r="Q138" s="15">
        <v>33443</v>
      </c>
      <c r="R138" s="16">
        <f>SUM(J138:Q138)</f>
        <v>221135</v>
      </c>
    </row>
    <row r="139" spans="1:19" ht="15" customHeight="1" x14ac:dyDescent="0.35">
      <c r="A139" s="39" t="s">
        <v>143</v>
      </c>
      <c r="B139" s="29" t="s">
        <v>183</v>
      </c>
      <c r="C139" t="s">
        <v>184</v>
      </c>
      <c r="D139" s="14" t="s">
        <v>22</v>
      </c>
      <c r="E139" s="14" t="s">
        <v>64</v>
      </c>
      <c r="F139" t="s">
        <v>187</v>
      </c>
      <c r="G139" s="14" t="s">
        <v>36</v>
      </c>
      <c r="H139" s="15">
        <f>R139/I139</f>
        <v>2002.2183908045977</v>
      </c>
      <c r="I139" s="15">
        <v>87</v>
      </c>
      <c r="J139" s="15">
        <v>5355</v>
      </c>
      <c r="K139" s="15">
        <v>21848</v>
      </c>
      <c r="L139" s="15">
        <v>22724</v>
      </c>
      <c r="M139" s="15">
        <v>23406</v>
      </c>
      <c r="N139" s="15">
        <v>24108</v>
      </c>
      <c r="O139" s="15">
        <v>24832</v>
      </c>
      <c r="P139" s="15">
        <v>25576</v>
      </c>
      <c r="Q139" s="15">
        <v>26344</v>
      </c>
      <c r="R139" s="16">
        <f>SUM(J139:Q139)</f>
        <v>174193</v>
      </c>
    </row>
    <row r="140" spans="1:19" ht="15" customHeight="1" x14ac:dyDescent="0.35">
      <c r="A140" s="40"/>
      <c r="B140" s="29"/>
      <c r="C140" s="10" t="s">
        <v>26</v>
      </c>
      <c r="D140" s="10"/>
      <c r="E140" s="10"/>
      <c r="F140" s="10"/>
      <c r="G140" s="10"/>
      <c r="H140" s="11"/>
      <c r="I140" s="11"/>
      <c r="J140" s="11">
        <f>SUM(J137:J139)</f>
        <v>12153</v>
      </c>
      <c r="K140" s="11">
        <f t="shared" ref="K140:R140" si="49">SUM(K137:K139)</f>
        <v>55584</v>
      </c>
      <c r="L140" s="11">
        <f t="shared" si="49"/>
        <v>57572</v>
      </c>
      <c r="M140" s="11">
        <f t="shared" si="49"/>
        <v>59119</v>
      </c>
      <c r="N140" s="11">
        <f t="shared" si="49"/>
        <v>60713</v>
      </c>
      <c r="O140" s="11">
        <f t="shared" si="49"/>
        <v>62355</v>
      </c>
      <c r="P140" s="11">
        <f t="shared" si="49"/>
        <v>58045</v>
      </c>
      <c r="Q140" s="11">
        <f t="shared" si="49"/>
        <v>59787</v>
      </c>
      <c r="R140" s="11">
        <f t="shared" si="49"/>
        <v>425328</v>
      </c>
    </row>
    <row r="141" spans="1:19" ht="15" customHeight="1" x14ac:dyDescent="0.35">
      <c r="A141" s="39" t="s">
        <v>143</v>
      </c>
      <c r="B141" s="29" t="s">
        <v>183</v>
      </c>
      <c r="C141" t="s">
        <v>188</v>
      </c>
      <c r="D141" t="s">
        <v>155</v>
      </c>
      <c r="E141" t="s">
        <v>30</v>
      </c>
      <c r="F141" t="s">
        <v>189</v>
      </c>
      <c r="G141" t="s">
        <v>25</v>
      </c>
      <c r="H141" s="1">
        <f>R141</f>
        <v>256000</v>
      </c>
      <c r="I141" s="1">
        <v>1</v>
      </c>
      <c r="J141" s="1">
        <v>7680</v>
      </c>
      <c r="K141" s="1">
        <v>49408</v>
      </c>
      <c r="L141" s="1">
        <v>83200</v>
      </c>
      <c r="M141" s="1">
        <v>76544</v>
      </c>
      <c r="N141" s="1">
        <v>39168</v>
      </c>
      <c r="O141" s="1">
        <v>0</v>
      </c>
      <c r="P141" s="1">
        <v>0</v>
      </c>
      <c r="Q141" s="1">
        <v>0</v>
      </c>
      <c r="R141" s="2">
        <f>SUM(J141:Q141)</f>
        <v>256000</v>
      </c>
    </row>
    <row r="142" spans="1:19" ht="15" customHeight="1" x14ac:dyDescent="0.35">
      <c r="A142" s="40"/>
      <c r="B142" s="29"/>
      <c r="C142" s="10" t="s">
        <v>157</v>
      </c>
      <c r="D142" s="10"/>
      <c r="E142" s="10"/>
      <c r="F142" s="10"/>
      <c r="G142" s="10"/>
      <c r="H142" s="11"/>
      <c r="I142" s="11"/>
      <c r="J142" s="11">
        <f>SUM(J141)</f>
        <v>7680</v>
      </c>
      <c r="K142" s="11">
        <f t="shared" ref="K142:R142" si="50">SUM(K141)</f>
        <v>49408</v>
      </c>
      <c r="L142" s="11">
        <f t="shared" si="50"/>
        <v>83200</v>
      </c>
      <c r="M142" s="11">
        <f t="shared" si="50"/>
        <v>76544</v>
      </c>
      <c r="N142" s="11">
        <f t="shared" si="50"/>
        <v>39168</v>
      </c>
      <c r="O142" s="11">
        <f t="shared" si="50"/>
        <v>0</v>
      </c>
      <c r="P142" s="11">
        <f t="shared" si="50"/>
        <v>0</v>
      </c>
      <c r="Q142" s="11">
        <f t="shared" si="50"/>
        <v>0</v>
      </c>
      <c r="R142" s="12">
        <f t="shared" si="50"/>
        <v>256000</v>
      </c>
    </row>
    <row r="143" spans="1:19" ht="15" customHeight="1" x14ac:dyDescent="0.35">
      <c r="A143" s="40"/>
      <c r="B143" s="18"/>
      <c r="C143" s="19" t="s">
        <v>190</v>
      </c>
      <c r="D143" s="19"/>
      <c r="E143" s="19"/>
      <c r="F143" s="19"/>
      <c r="G143" s="19"/>
      <c r="H143" s="20"/>
      <c r="I143" s="20"/>
      <c r="J143" s="20">
        <f>J140+J142</f>
        <v>19833</v>
      </c>
      <c r="K143" s="20">
        <f t="shared" ref="K143:R143" si="51">K140+K142</f>
        <v>104992</v>
      </c>
      <c r="L143" s="20">
        <f t="shared" si="51"/>
        <v>140772</v>
      </c>
      <c r="M143" s="20">
        <f t="shared" si="51"/>
        <v>135663</v>
      </c>
      <c r="N143" s="20">
        <f t="shared" si="51"/>
        <v>99881</v>
      </c>
      <c r="O143" s="20">
        <f t="shared" si="51"/>
        <v>62355</v>
      </c>
      <c r="P143" s="20">
        <f t="shared" si="51"/>
        <v>58045</v>
      </c>
      <c r="Q143" s="20">
        <f t="shared" si="51"/>
        <v>59787</v>
      </c>
      <c r="R143" s="21">
        <f t="shared" si="51"/>
        <v>681328</v>
      </c>
    </row>
    <row r="144" spans="1:19" ht="15" customHeight="1" x14ac:dyDescent="0.35">
      <c r="A144" s="25"/>
      <c r="B144" s="24" t="s">
        <v>191</v>
      </c>
      <c r="C144" s="26"/>
      <c r="D144" s="26"/>
      <c r="E144" s="26"/>
      <c r="F144" s="26"/>
      <c r="G144" s="26"/>
      <c r="H144" s="27"/>
      <c r="I144" s="27"/>
      <c r="J144" s="27">
        <f t="shared" ref="J144:R144" si="52">J111+J113+J116+J120+J123+J128+J130+J135+J140+J142</f>
        <v>479320.99199999997</v>
      </c>
      <c r="K144" s="27">
        <f t="shared" si="52"/>
        <v>716094.27</v>
      </c>
      <c r="L144" s="27">
        <f t="shared" si="52"/>
        <v>682779.23800000001</v>
      </c>
      <c r="M144" s="27">
        <f t="shared" si="52"/>
        <v>631631</v>
      </c>
      <c r="N144" s="27">
        <f t="shared" si="52"/>
        <v>371459</v>
      </c>
      <c r="O144" s="27">
        <f t="shared" si="52"/>
        <v>240622.5</v>
      </c>
      <c r="P144" s="27">
        <f t="shared" si="52"/>
        <v>173306.5</v>
      </c>
      <c r="Q144" s="27">
        <f t="shared" si="52"/>
        <v>176626.5</v>
      </c>
      <c r="R144" s="27">
        <f t="shared" si="52"/>
        <v>3471840</v>
      </c>
    </row>
    <row r="145" spans="1:19" ht="15" customHeight="1" x14ac:dyDescent="0.35">
      <c r="A145" s="28" t="s">
        <v>192</v>
      </c>
      <c r="B145" s="29" t="s">
        <v>192</v>
      </c>
      <c r="C145" t="s">
        <v>193</v>
      </c>
      <c r="D145" t="s">
        <v>22</v>
      </c>
      <c r="E145" t="s">
        <v>23</v>
      </c>
      <c r="F145" t="s">
        <v>194</v>
      </c>
      <c r="G145" t="s">
        <v>36</v>
      </c>
      <c r="H145" s="1">
        <f>R145/I145</f>
        <v>415.91954022988506</v>
      </c>
      <c r="I145" s="1">
        <v>87</v>
      </c>
      <c r="J145" s="1">
        <v>1112</v>
      </c>
      <c r="K145" s="1">
        <v>4539</v>
      </c>
      <c r="L145" s="1">
        <v>4721</v>
      </c>
      <c r="M145" s="1">
        <v>4862</v>
      </c>
      <c r="N145" s="1">
        <v>5008</v>
      </c>
      <c r="O145" s="1">
        <v>5158</v>
      </c>
      <c r="P145" s="1">
        <v>5313</v>
      </c>
      <c r="Q145" s="1">
        <v>5472</v>
      </c>
      <c r="R145" s="2">
        <f>SUM(J145:Q145)</f>
        <v>36185</v>
      </c>
    </row>
    <row r="146" spans="1:19" ht="15" customHeight="1" x14ac:dyDescent="0.35">
      <c r="A146" s="32" t="s">
        <v>192</v>
      </c>
      <c r="B146" s="33" t="s">
        <v>192</v>
      </c>
      <c r="C146" s="14" t="s">
        <v>193</v>
      </c>
      <c r="D146" s="14" t="s">
        <v>22</v>
      </c>
      <c r="E146" s="14" t="s">
        <v>38</v>
      </c>
      <c r="F146" t="s">
        <v>195</v>
      </c>
      <c r="G146" s="14" t="s">
        <v>25</v>
      </c>
      <c r="H146" s="15">
        <f>R146</f>
        <v>13477</v>
      </c>
      <c r="I146" s="15">
        <v>1</v>
      </c>
      <c r="J146" s="15">
        <v>13477</v>
      </c>
      <c r="K146" s="15">
        <v>0</v>
      </c>
      <c r="L146" s="15">
        <v>0</v>
      </c>
      <c r="M146" s="15">
        <v>0</v>
      </c>
      <c r="N146" s="15">
        <v>0</v>
      </c>
      <c r="O146" s="15">
        <v>0</v>
      </c>
      <c r="P146" s="15">
        <v>0</v>
      </c>
      <c r="Q146" s="15">
        <v>0</v>
      </c>
      <c r="R146" s="16">
        <f t="shared" ref="R146:R153" si="53">SUM(J146:Q146)</f>
        <v>13477</v>
      </c>
      <c r="S146" s="15"/>
    </row>
    <row r="147" spans="1:19" x14ac:dyDescent="0.35">
      <c r="A147" s="32" t="s">
        <v>192</v>
      </c>
      <c r="B147" s="33" t="s">
        <v>192</v>
      </c>
      <c r="C147" s="14" t="s">
        <v>193</v>
      </c>
      <c r="D147" s="14" t="s">
        <v>22</v>
      </c>
      <c r="E147" s="14" t="s">
        <v>30</v>
      </c>
      <c r="F147" t="s">
        <v>196</v>
      </c>
      <c r="G147" s="14" t="s">
        <v>36</v>
      </c>
      <c r="H147" s="15">
        <f t="shared" ref="H147:H150" si="54">R147/I147</f>
        <v>1755.0109890109891</v>
      </c>
      <c r="I147" s="15">
        <v>91</v>
      </c>
      <c r="J147" s="15">
        <v>11424</v>
      </c>
      <c r="K147" s="15">
        <v>19977</v>
      </c>
      <c r="L147" s="15">
        <v>20365</v>
      </c>
      <c r="M147" s="15">
        <v>20762</v>
      </c>
      <c r="N147" s="15">
        <v>21167</v>
      </c>
      <c r="O147" s="15">
        <v>21580</v>
      </c>
      <c r="P147" s="15">
        <v>22001</v>
      </c>
      <c r="Q147" s="15">
        <v>22430</v>
      </c>
      <c r="R147" s="16">
        <f t="shared" si="53"/>
        <v>159706</v>
      </c>
    </row>
    <row r="148" spans="1:19" ht="15" customHeight="1" x14ac:dyDescent="0.35">
      <c r="A148" s="32" t="s">
        <v>192</v>
      </c>
      <c r="B148" s="33" t="s">
        <v>192</v>
      </c>
      <c r="C148" s="14" t="s">
        <v>193</v>
      </c>
      <c r="D148" s="14" t="s">
        <v>22</v>
      </c>
      <c r="E148" s="14" t="s">
        <v>23</v>
      </c>
      <c r="F148" t="s">
        <v>197</v>
      </c>
      <c r="G148" s="14" t="s">
        <v>36</v>
      </c>
      <c r="H148" s="15">
        <f t="shared" si="54"/>
        <v>395.27380952380952</v>
      </c>
      <c r="I148" s="15">
        <v>336</v>
      </c>
      <c r="J148" s="15">
        <v>4406</v>
      </c>
      <c r="K148" s="15">
        <v>17978</v>
      </c>
      <c r="L148" s="15">
        <v>18329</v>
      </c>
      <c r="M148" s="15">
        <v>18686</v>
      </c>
      <c r="N148" s="15">
        <v>19050</v>
      </c>
      <c r="O148" s="15">
        <v>19422</v>
      </c>
      <c r="P148" s="15">
        <v>19801</v>
      </c>
      <c r="Q148" s="15">
        <v>15140</v>
      </c>
      <c r="R148" s="16">
        <f t="shared" si="53"/>
        <v>132812</v>
      </c>
      <c r="S148" s="15"/>
    </row>
    <row r="149" spans="1:19" ht="15" customHeight="1" x14ac:dyDescent="0.35">
      <c r="A149" s="32" t="s">
        <v>192</v>
      </c>
      <c r="B149" s="33" t="s">
        <v>192</v>
      </c>
      <c r="C149" s="14" t="s">
        <v>193</v>
      </c>
      <c r="D149" s="14" t="s">
        <v>22</v>
      </c>
      <c r="E149" s="14" t="s">
        <v>34</v>
      </c>
      <c r="F149" t="s">
        <v>198</v>
      </c>
      <c r="G149" s="14" t="s">
        <v>36</v>
      </c>
      <c r="H149" s="15">
        <f t="shared" si="54"/>
        <v>2659.2111111111112</v>
      </c>
      <c r="I149" s="15">
        <v>90</v>
      </c>
      <c r="J149" s="15">
        <v>14276</v>
      </c>
      <c r="K149" s="15">
        <v>29123</v>
      </c>
      <c r="L149" s="15">
        <v>30290</v>
      </c>
      <c r="M149" s="15">
        <v>31199</v>
      </c>
      <c r="N149" s="15">
        <v>32135</v>
      </c>
      <c r="O149" s="15">
        <v>33099</v>
      </c>
      <c r="P149" s="15">
        <v>34092</v>
      </c>
      <c r="Q149" s="15">
        <v>35115</v>
      </c>
      <c r="R149" s="16">
        <f t="shared" si="53"/>
        <v>239329</v>
      </c>
      <c r="S149" s="15"/>
    </row>
    <row r="150" spans="1:19" ht="15" customHeight="1" x14ac:dyDescent="0.35">
      <c r="A150" s="32" t="s">
        <v>192</v>
      </c>
      <c r="B150" s="33" t="s">
        <v>192</v>
      </c>
      <c r="C150" s="14" t="s">
        <v>193</v>
      </c>
      <c r="D150" s="14" t="s">
        <v>22</v>
      </c>
      <c r="E150" s="14" t="s">
        <v>34</v>
      </c>
      <c r="F150" t="s">
        <v>199</v>
      </c>
      <c r="G150" s="14" t="s">
        <v>36</v>
      </c>
      <c r="H150" s="15">
        <f t="shared" si="54"/>
        <v>2609.0823529411764</v>
      </c>
      <c r="I150" s="15">
        <v>85</v>
      </c>
      <c r="J150" s="15">
        <v>14276</v>
      </c>
      <c r="K150" s="15">
        <v>29123</v>
      </c>
      <c r="L150" s="15">
        <v>30290</v>
      </c>
      <c r="M150" s="15">
        <v>31199</v>
      </c>
      <c r="N150" s="15">
        <v>32135</v>
      </c>
      <c r="O150" s="15">
        <v>33099</v>
      </c>
      <c r="P150" s="15">
        <v>34092</v>
      </c>
      <c r="Q150" s="15">
        <v>17558</v>
      </c>
      <c r="R150" s="16">
        <f t="shared" si="53"/>
        <v>221772</v>
      </c>
    </row>
    <row r="151" spans="1:19" ht="15" customHeight="1" x14ac:dyDescent="0.35">
      <c r="A151" s="28"/>
      <c r="B151" s="29"/>
      <c r="C151" s="10" t="s">
        <v>26</v>
      </c>
      <c r="D151" s="10"/>
      <c r="E151" s="10"/>
      <c r="F151" s="10"/>
      <c r="G151" s="10"/>
      <c r="H151" s="11"/>
      <c r="I151" s="11"/>
      <c r="J151" s="11">
        <f t="shared" ref="J151:Q151" si="55">SUM(J145:J150)</f>
        <v>58971</v>
      </c>
      <c r="K151" s="11">
        <f t="shared" si="55"/>
        <v>100740</v>
      </c>
      <c r="L151" s="11">
        <f t="shared" si="55"/>
        <v>103995</v>
      </c>
      <c r="M151" s="11">
        <f t="shared" si="55"/>
        <v>106708</v>
      </c>
      <c r="N151" s="11">
        <f t="shared" si="55"/>
        <v>109495</v>
      </c>
      <c r="O151" s="11">
        <f t="shared" si="55"/>
        <v>112358</v>
      </c>
      <c r="P151" s="11">
        <f t="shared" si="55"/>
        <v>115299</v>
      </c>
      <c r="Q151" s="11">
        <f t="shared" si="55"/>
        <v>95715</v>
      </c>
      <c r="R151" s="12">
        <f>SUM(J151:Q151)</f>
        <v>803281</v>
      </c>
      <c r="S151" s="77"/>
    </row>
    <row r="152" spans="1:19" ht="15" customHeight="1" x14ac:dyDescent="0.35">
      <c r="A152" s="28" t="s">
        <v>192</v>
      </c>
      <c r="B152" s="29" t="s">
        <v>192</v>
      </c>
      <c r="C152" t="s">
        <v>193</v>
      </c>
      <c r="D152" t="s">
        <v>311</v>
      </c>
      <c r="E152" t="s">
        <v>30</v>
      </c>
      <c r="F152" t="s">
        <v>200</v>
      </c>
      <c r="G152" t="s">
        <v>25</v>
      </c>
      <c r="H152" s="1">
        <v>490000</v>
      </c>
      <c r="I152" s="1">
        <v>1</v>
      </c>
      <c r="J152" s="1">
        <f>H152/5</f>
        <v>98000</v>
      </c>
      <c r="K152" s="1">
        <f>J152</f>
        <v>98000</v>
      </c>
      <c r="L152" s="1">
        <f>J152</f>
        <v>98000</v>
      </c>
      <c r="M152" s="1">
        <f>J152</f>
        <v>98000</v>
      </c>
      <c r="N152" s="1">
        <f>J152</f>
        <v>98000</v>
      </c>
      <c r="O152" s="1">
        <v>0</v>
      </c>
      <c r="P152" s="1">
        <v>0</v>
      </c>
      <c r="Q152" s="1">
        <v>0</v>
      </c>
      <c r="R152" s="2">
        <f t="shared" si="53"/>
        <v>490000</v>
      </c>
      <c r="S152" s="15"/>
    </row>
    <row r="153" spans="1:19" ht="15" customHeight="1" x14ac:dyDescent="0.35">
      <c r="C153" s="10" t="s">
        <v>312</v>
      </c>
      <c r="D153" s="10"/>
      <c r="E153" s="10"/>
      <c r="F153" s="10"/>
      <c r="G153" s="10"/>
      <c r="H153" s="11"/>
      <c r="I153" s="11"/>
      <c r="J153" s="11">
        <f>SUM(J152)</f>
        <v>98000</v>
      </c>
      <c r="K153" s="11">
        <f t="shared" ref="K153:Q153" si="56">SUM(K152)</f>
        <v>98000</v>
      </c>
      <c r="L153" s="11">
        <f t="shared" si="56"/>
        <v>98000</v>
      </c>
      <c r="M153" s="11">
        <f t="shared" si="56"/>
        <v>98000</v>
      </c>
      <c r="N153" s="11">
        <f t="shared" si="56"/>
        <v>98000</v>
      </c>
      <c r="O153" s="11">
        <f t="shared" si="56"/>
        <v>0</v>
      </c>
      <c r="P153" s="11">
        <f t="shared" si="56"/>
        <v>0</v>
      </c>
      <c r="Q153" s="11">
        <f t="shared" si="56"/>
        <v>0</v>
      </c>
      <c r="R153" s="12">
        <f t="shared" si="53"/>
        <v>490000</v>
      </c>
      <c r="S153" s="77"/>
    </row>
    <row r="154" spans="1:19" x14ac:dyDescent="0.35">
      <c r="A154" s="43"/>
      <c r="B154" s="26" t="s">
        <v>201</v>
      </c>
      <c r="C154" s="26"/>
      <c r="D154" s="26"/>
      <c r="E154" s="26"/>
      <c r="F154" s="26"/>
      <c r="G154" s="26"/>
      <c r="H154" s="27"/>
      <c r="I154" s="27"/>
      <c r="J154" s="27">
        <f>J151+J153</f>
        <v>156971</v>
      </c>
      <c r="K154" s="27">
        <f t="shared" ref="K154:Q154" si="57">K151+K153</f>
        <v>198740</v>
      </c>
      <c r="L154" s="27">
        <f t="shared" si="57"/>
        <v>201995</v>
      </c>
      <c r="M154" s="27">
        <f t="shared" si="57"/>
        <v>204708</v>
      </c>
      <c r="N154" s="27">
        <f t="shared" si="57"/>
        <v>207495</v>
      </c>
      <c r="O154" s="27">
        <f t="shared" si="57"/>
        <v>112358</v>
      </c>
      <c r="P154" s="27">
        <f t="shared" si="57"/>
        <v>115299</v>
      </c>
      <c r="Q154" s="27">
        <f t="shared" si="57"/>
        <v>95715</v>
      </c>
      <c r="R154" s="38">
        <f>SUM(J154:Q154)</f>
        <v>1293281</v>
      </c>
      <c r="S154" s="15"/>
    </row>
    <row r="155" spans="1:19" x14ac:dyDescent="0.35">
      <c r="S155" s="15"/>
    </row>
    <row r="156" spans="1:19" x14ac:dyDescent="0.35">
      <c r="A156" s="44"/>
      <c r="B156" s="44"/>
      <c r="C156" s="44"/>
      <c r="D156" s="44"/>
      <c r="E156" s="44"/>
      <c r="F156" s="45" t="s">
        <v>202</v>
      </c>
      <c r="G156" s="45"/>
      <c r="H156" s="46"/>
      <c r="I156" s="46"/>
      <c r="J156" s="46">
        <f t="shared" ref="J156:R156" si="58">J154+J144+J102+J22</f>
        <v>1965140.9920000001</v>
      </c>
      <c r="K156" s="46">
        <f t="shared" si="58"/>
        <v>4182047.27</v>
      </c>
      <c r="L156" s="46">
        <f t="shared" si="58"/>
        <v>6582740.7379999999</v>
      </c>
      <c r="M156" s="46">
        <f t="shared" si="58"/>
        <v>6390890</v>
      </c>
      <c r="N156" s="46">
        <f t="shared" si="58"/>
        <v>7136498</v>
      </c>
      <c r="O156" s="46">
        <f t="shared" si="58"/>
        <v>6599347</v>
      </c>
      <c r="P156" s="46">
        <f t="shared" si="58"/>
        <v>6955998</v>
      </c>
      <c r="Q156" s="46">
        <f t="shared" si="58"/>
        <v>6754476</v>
      </c>
      <c r="R156" s="46">
        <f t="shared" si="58"/>
        <v>46567138</v>
      </c>
      <c r="S156" s="15"/>
    </row>
    <row r="157" spans="1:19" x14ac:dyDescent="0.35">
      <c r="A157" s="44"/>
      <c r="B157" s="44"/>
      <c r="C157" s="44"/>
      <c r="D157" s="44"/>
      <c r="E157" s="44"/>
      <c r="F157" s="47" t="s">
        <v>203</v>
      </c>
      <c r="G157" s="47"/>
      <c r="H157" s="48"/>
      <c r="I157" s="48"/>
      <c r="J157" s="48">
        <f>SUMIF(C5:C154,"GCF Total",J5:J154)</f>
        <v>1036899</v>
      </c>
      <c r="K157" s="48">
        <f>SUMIF(C5:C154,"GCF Total",K5:K154)</f>
        <v>2233658</v>
      </c>
      <c r="L157" s="48">
        <f>SUMIF(C5:C154,"GCF Total",L5:L154)</f>
        <v>3047004</v>
      </c>
      <c r="M157" s="48">
        <f>SUMIF(C5:C154,"GCF Total",M5:M154)</f>
        <v>3727971</v>
      </c>
      <c r="N157" s="48">
        <f>SUMIF(C5:C154,"GCF Total",N5:N154)</f>
        <v>4194027</v>
      </c>
      <c r="O157" s="48">
        <f>SUMIF(C5:C154,"GCF Total",O5:O154)</f>
        <v>4838798</v>
      </c>
      <c r="P157" s="48">
        <f>SUMIF(C8:C154,"GCF Total",P8:P154)</f>
        <v>5074355</v>
      </c>
      <c r="Q157" s="48">
        <f>SUMIF(C5:C154,"GCF Total",Q5:Q154)</f>
        <v>4836140</v>
      </c>
      <c r="R157" s="49">
        <f ca="1">SUMIF(C5:D154,"GCF Total",R5:R154)</f>
        <v>28988852</v>
      </c>
      <c r="S157" s="15"/>
    </row>
    <row r="158" spans="1:19" x14ac:dyDescent="0.35">
      <c r="A158" s="44"/>
      <c r="B158" s="44"/>
      <c r="C158" s="44"/>
      <c r="D158" s="44"/>
      <c r="E158" s="44"/>
      <c r="F158" s="50" t="s">
        <v>204</v>
      </c>
      <c r="G158" s="50"/>
      <c r="H158" s="51"/>
      <c r="I158" s="51"/>
      <c r="J158" s="51">
        <f>SUMIF(C8:C154,"GoC Total",J8:J154)</f>
        <v>0</v>
      </c>
      <c r="K158" s="51">
        <f>SUMIF(C8:C154,"GoC Total",K8:K154)</f>
        <v>0</v>
      </c>
      <c r="L158" s="51">
        <f>SUMIF(C8:C154,"GoC Total",L8:L154)</f>
        <v>1594660</v>
      </c>
      <c r="M158" s="51">
        <f>SUMIF(C8:C154,"GoC Total",M8:M154)</f>
        <v>687126</v>
      </c>
      <c r="N158" s="51">
        <f>SUMIF(C8:C154,"GoC Total",N8:N154)</f>
        <v>1172972</v>
      </c>
      <c r="O158" s="51">
        <f>SUMIF(C8:C154,"GoC Total",O8:O154)</f>
        <v>1760549</v>
      </c>
      <c r="P158" s="51">
        <f>SUMIF(C8:C154,"GoC Total",P8:P154)</f>
        <v>1881643</v>
      </c>
      <c r="Q158" s="51">
        <f>SUMIF(C8:C154,"GoC Total",Q8:Q154)</f>
        <v>1918336</v>
      </c>
      <c r="R158" s="52">
        <f>SUMIF(C8:C154,"GoC Total",R8:R154)</f>
        <v>9015286</v>
      </c>
      <c r="S158" s="15"/>
    </row>
    <row r="159" spans="1:19" x14ac:dyDescent="0.35">
      <c r="A159" s="44"/>
      <c r="B159" s="44"/>
      <c r="C159" s="44"/>
      <c r="D159" s="44"/>
      <c r="E159" s="44"/>
      <c r="F159" s="53" t="s">
        <v>205</v>
      </c>
      <c r="G159" s="53"/>
      <c r="H159" s="54"/>
      <c r="I159" s="54"/>
      <c r="J159" s="54">
        <f>SUMIF(C8:C154,"IFAD Total",J8:J154)</f>
        <v>332907.99199999997</v>
      </c>
      <c r="K159" s="54">
        <f>SUMIF(C8:C154,"IFAD Total",K8:K154)</f>
        <v>413022.27</v>
      </c>
      <c r="L159" s="54">
        <f>SUMIF(C8:C154,"IFAD Total",L8:L154)</f>
        <v>387380.73800000001</v>
      </c>
      <c r="M159" s="54">
        <f>SUMIF(C8:C154,"IFAD Total",M8:M154)</f>
        <v>328251</v>
      </c>
      <c r="N159" s="54">
        <f>SUMIF(C8:C154,"IFAD Total",N8:N154)</f>
        <v>101438</v>
      </c>
      <c r="O159" s="54">
        <f>SUMIF(C8:C154,"IFAD Total",O8:O154)</f>
        <v>0</v>
      </c>
      <c r="P159" s="54">
        <f>SUMIF(C8:C154,"IFAD Total",P8:P154)</f>
        <v>0</v>
      </c>
      <c r="Q159" s="54">
        <f>SUMIF(C8:C154,"IFAD Total",Q8:Q154)</f>
        <v>0</v>
      </c>
      <c r="R159" s="55">
        <f>SUMIF(C8:C154,"IFAD Total",R8:R154)</f>
        <v>1563000</v>
      </c>
      <c r="S159" s="15"/>
    </row>
    <row r="160" spans="1:19" x14ac:dyDescent="0.35">
      <c r="A160" s="44"/>
      <c r="B160" s="44"/>
      <c r="C160" s="44"/>
      <c r="D160" s="44"/>
      <c r="E160" s="44"/>
      <c r="F160" s="56" t="s">
        <v>313</v>
      </c>
      <c r="G160" s="56"/>
      <c r="H160" s="57"/>
      <c r="I160" s="57"/>
      <c r="J160" s="57">
        <f>SUMIF(C8:C154,"FAO Total",J8:J154)</f>
        <v>595334</v>
      </c>
      <c r="K160" s="57">
        <f>SUMIF(C8:C154,"FAO Total",K8:K154)</f>
        <v>1535367</v>
      </c>
      <c r="L160" s="57">
        <f>SUMIF(C8:C154,"FAO Total",L8:L154)</f>
        <v>1553696</v>
      </c>
      <c r="M160" s="57">
        <f>SUMIF(C8:C154,"FAO Total",M8:M154)</f>
        <v>1647542</v>
      </c>
      <c r="N160" s="57">
        <f>SUMIF(C8:C154,"FAO Total",N8:N154)</f>
        <v>1668061</v>
      </c>
      <c r="O160" s="57">
        <f>SUMIF(C8:C154,"FAO Total",O8:O154)</f>
        <v>0</v>
      </c>
      <c r="P160" s="57">
        <f>SUMIF(C8:C154,"FAO Total",P8:P154)</f>
        <v>0</v>
      </c>
      <c r="Q160" s="57">
        <f>SUMIF(C8:C154,"FAO Total",Q8:Q154)</f>
        <v>0</v>
      </c>
      <c r="R160" s="58">
        <f>SUMIF(C8:C154,"FAO Total",R8:R154)</f>
        <v>7000000</v>
      </c>
      <c r="S160" s="15"/>
    </row>
    <row r="161" spans="1:19" x14ac:dyDescent="0.35">
      <c r="S161" s="15"/>
    </row>
    <row r="162" spans="1:19" x14ac:dyDescent="0.35">
      <c r="B162" s="14"/>
      <c r="C162" s="14"/>
      <c r="D162" s="14"/>
      <c r="E162" s="14"/>
      <c r="F162" s="14"/>
      <c r="G162" s="14"/>
      <c r="S162" s="15"/>
    </row>
    <row r="163" spans="1:19" ht="15.5" x14ac:dyDescent="0.35">
      <c r="B163" s="14"/>
      <c r="C163" s="14"/>
      <c r="D163" s="14"/>
      <c r="E163" s="59"/>
      <c r="F163" s="14"/>
      <c r="G163" s="14"/>
      <c r="S163" s="15"/>
    </row>
    <row r="164" spans="1:19" ht="15.5" x14ac:dyDescent="0.35">
      <c r="B164" s="17"/>
      <c r="C164" s="14"/>
      <c r="D164" s="14"/>
      <c r="E164" s="59"/>
      <c r="F164" s="15"/>
      <c r="G164" s="14"/>
      <c r="H164" s="34"/>
      <c r="I164" s="35"/>
      <c r="J164" s="35"/>
      <c r="K164" s="35"/>
      <c r="L164" s="35"/>
      <c r="M164" s="35"/>
      <c r="N164" s="35"/>
      <c r="O164" s="35"/>
      <c r="P164" s="35"/>
      <c r="Q164" s="35"/>
      <c r="R164" s="16"/>
    </row>
    <row r="165" spans="1:19" ht="15.5" x14ac:dyDescent="0.35">
      <c r="B165" s="17"/>
      <c r="C165" s="14"/>
      <c r="D165" s="14"/>
      <c r="E165" s="59"/>
      <c r="F165" s="15"/>
      <c r="G165" s="14"/>
    </row>
    <row r="166" spans="1:19" ht="15.5" x14ac:dyDescent="0.35">
      <c r="A166" s="14"/>
      <c r="B166" s="17"/>
      <c r="C166" s="14"/>
      <c r="D166" s="14"/>
      <c r="E166" s="59"/>
      <c r="F166" s="15"/>
      <c r="G166" s="14"/>
      <c r="R166" s="1"/>
    </row>
    <row r="167" spans="1:19" ht="15.5" x14ac:dyDescent="0.35">
      <c r="A167" s="14"/>
      <c r="B167" s="17"/>
      <c r="C167" s="14"/>
      <c r="D167" s="14"/>
      <c r="E167" s="59"/>
      <c r="F167" s="15"/>
      <c r="G167" s="14"/>
      <c r="R167" s="1"/>
    </row>
    <row r="168" spans="1:19" ht="15.5" x14ac:dyDescent="0.35">
      <c r="A168" s="14"/>
      <c r="B168" s="17"/>
      <c r="C168" s="14"/>
      <c r="D168" s="14"/>
      <c r="E168" s="59"/>
      <c r="F168" s="15"/>
      <c r="G168" s="14"/>
      <c r="R168" s="1"/>
    </row>
    <row r="169" spans="1:19" ht="15.5" x14ac:dyDescent="0.35">
      <c r="B169" s="17"/>
      <c r="C169" s="14"/>
      <c r="D169" s="14"/>
      <c r="E169" s="59"/>
      <c r="F169" s="15"/>
      <c r="G169" s="14"/>
    </row>
    <row r="170" spans="1:19" ht="15.5" x14ac:dyDescent="0.35">
      <c r="A170" s="14"/>
      <c r="B170" s="17"/>
      <c r="C170" s="14"/>
      <c r="D170" s="14"/>
      <c r="E170" s="59"/>
      <c r="F170" s="15"/>
      <c r="G170" s="14"/>
    </row>
    <row r="171" spans="1:19" ht="15.5" x14ac:dyDescent="0.35">
      <c r="A171" s="14"/>
      <c r="B171" s="17"/>
      <c r="C171" s="14"/>
      <c r="D171" s="14"/>
      <c r="E171" s="59"/>
      <c r="F171" s="15"/>
      <c r="G171" s="14"/>
    </row>
    <row r="172" spans="1:19" ht="15.5" x14ac:dyDescent="0.35">
      <c r="B172" s="14"/>
      <c r="C172" s="14"/>
      <c r="D172" s="14"/>
      <c r="E172" s="59"/>
      <c r="F172" s="15"/>
      <c r="G172" s="14"/>
    </row>
    <row r="173" spans="1:19" ht="15.5" x14ac:dyDescent="0.35">
      <c r="B173" s="17"/>
      <c r="C173" s="14"/>
      <c r="D173" s="14"/>
      <c r="E173" s="59"/>
      <c r="F173" s="15"/>
      <c r="G173" s="14"/>
    </row>
    <row r="174" spans="1:19" ht="15.5" x14ac:dyDescent="0.35">
      <c r="B174" s="14"/>
      <c r="C174" s="14"/>
      <c r="D174" s="14"/>
      <c r="E174" s="59"/>
      <c r="F174" s="15"/>
      <c r="G174" s="60"/>
    </row>
    <row r="175" spans="1:19" ht="15.5" x14ac:dyDescent="0.35">
      <c r="B175" s="14"/>
      <c r="C175" s="14"/>
      <c r="D175" s="14"/>
      <c r="E175" s="59"/>
      <c r="F175" s="14"/>
      <c r="G175" s="14"/>
    </row>
    <row r="176" spans="1:19" ht="15.5" x14ac:dyDescent="0.35">
      <c r="B176" s="14"/>
      <c r="C176" s="14"/>
      <c r="D176" s="14"/>
      <c r="E176" s="59"/>
      <c r="F176" s="14"/>
      <c r="G176" s="14"/>
    </row>
    <row r="177" spans="2:7" ht="15.5" x14ac:dyDescent="0.35">
      <c r="B177" s="14"/>
      <c r="C177" s="14"/>
      <c r="D177" s="14"/>
      <c r="E177" s="59"/>
      <c r="F177" s="14"/>
      <c r="G177" s="14"/>
    </row>
    <row r="178" spans="2:7" ht="15.5" x14ac:dyDescent="0.35">
      <c r="B178" s="14"/>
      <c r="C178" s="14"/>
      <c r="D178" s="14"/>
      <c r="E178" s="59"/>
      <c r="F178" s="14"/>
      <c r="G178" s="14"/>
    </row>
    <row r="179" spans="2:7" x14ac:dyDescent="0.35">
      <c r="B179" s="14"/>
      <c r="C179" s="14"/>
      <c r="D179" s="14"/>
      <c r="E179" s="14"/>
      <c r="F179" s="14"/>
      <c r="G179" s="14"/>
    </row>
    <row r="180" spans="2:7" x14ac:dyDescent="0.35">
      <c r="B180" s="14"/>
      <c r="C180" s="14"/>
      <c r="D180" s="14"/>
      <c r="E180" s="14"/>
      <c r="F180" s="14"/>
      <c r="G180" s="14"/>
    </row>
    <row r="181" spans="2:7" x14ac:dyDescent="0.35">
      <c r="B181" s="14"/>
      <c r="C181" s="14"/>
      <c r="D181" s="14"/>
      <c r="E181" s="14"/>
      <c r="F181" s="14"/>
      <c r="G181" s="14"/>
    </row>
    <row r="182" spans="2:7" x14ac:dyDescent="0.35">
      <c r="B182" s="14"/>
      <c r="C182" s="14"/>
      <c r="D182" s="14"/>
      <c r="E182" s="14"/>
      <c r="F182" s="14"/>
      <c r="G182" s="14"/>
    </row>
    <row r="183" spans="2:7" x14ac:dyDescent="0.35">
      <c r="B183" s="14"/>
      <c r="C183" s="14"/>
      <c r="D183" s="14"/>
      <c r="E183" s="14"/>
      <c r="F183" s="14"/>
      <c r="G183" s="14"/>
    </row>
    <row r="184" spans="2:7" x14ac:dyDescent="0.35">
      <c r="B184" s="14"/>
      <c r="C184" s="14"/>
      <c r="D184" s="14"/>
      <c r="E184" s="14"/>
      <c r="F184" s="14"/>
      <c r="G184" s="14"/>
    </row>
  </sheetData>
  <autoFilter ref="A4:T154"/>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32"/>
  <sheetViews>
    <sheetView zoomScale="90" zoomScaleNormal="90" workbookViewId="0">
      <selection activeCell="B65" sqref="B65"/>
    </sheetView>
  </sheetViews>
  <sheetFormatPr defaultRowHeight="14.5" x14ac:dyDescent="0.35"/>
  <cols>
    <col min="1" max="1" width="7.7265625" customWidth="1"/>
  </cols>
  <sheetData>
    <row r="2" spans="1:2" s="63" customFormat="1" ht="13" x14ac:dyDescent="0.3">
      <c r="A2" s="63" t="s">
        <v>24</v>
      </c>
      <c r="B2" s="62" t="s">
        <v>206</v>
      </c>
    </row>
    <row r="4" spans="1:2" s="63" customFormat="1" ht="13" x14ac:dyDescent="0.3">
      <c r="A4" s="62" t="s">
        <v>31</v>
      </c>
      <c r="B4" s="63" t="s">
        <v>207</v>
      </c>
    </row>
    <row r="5" spans="1:2" s="63" customFormat="1" ht="13" x14ac:dyDescent="0.3">
      <c r="A5" s="62" t="s">
        <v>33</v>
      </c>
      <c r="B5" s="64" t="s">
        <v>208</v>
      </c>
    </row>
    <row r="6" spans="1:2" s="63" customFormat="1" ht="13" x14ac:dyDescent="0.3">
      <c r="A6" s="62" t="s">
        <v>35</v>
      </c>
      <c r="B6" s="63" t="s">
        <v>209</v>
      </c>
    </row>
    <row r="7" spans="1:2" s="62" customFormat="1" ht="13" x14ac:dyDescent="0.3">
      <c r="A7" s="62" t="s">
        <v>39</v>
      </c>
      <c r="B7" s="62" t="s">
        <v>210</v>
      </c>
    </row>
    <row r="8" spans="1:2" s="62" customFormat="1" ht="13" x14ac:dyDescent="0.3">
      <c r="A8" s="62" t="s">
        <v>40</v>
      </c>
      <c r="B8" s="62" t="s">
        <v>211</v>
      </c>
    </row>
    <row r="9" spans="1:2" s="62" customFormat="1" ht="13" x14ac:dyDescent="0.3">
      <c r="A9" s="62" t="s">
        <v>43</v>
      </c>
      <c r="B9" s="66" t="s">
        <v>212</v>
      </c>
    </row>
    <row r="10" spans="1:2" s="62" customFormat="1" ht="13" x14ac:dyDescent="0.3">
      <c r="A10" s="62" t="s">
        <v>45</v>
      </c>
      <c r="B10" s="62" t="s">
        <v>213</v>
      </c>
    </row>
    <row r="11" spans="1:2" s="62" customFormat="1" ht="13" x14ac:dyDescent="0.3">
      <c r="A11" s="62" t="s">
        <v>46</v>
      </c>
      <c r="B11" s="66" t="s">
        <v>214</v>
      </c>
    </row>
    <row r="12" spans="1:2" s="62" customFormat="1" ht="13" x14ac:dyDescent="0.3">
      <c r="A12" s="62" t="s">
        <v>47</v>
      </c>
      <c r="B12" s="70" t="s">
        <v>215</v>
      </c>
    </row>
    <row r="13" spans="1:2" s="62" customFormat="1" ht="13" x14ac:dyDescent="0.3">
      <c r="A13" s="62" t="s">
        <v>48</v>
      </c>
      <c r="B13" s="62" t="s">
        <v>216</v>
      </c>
    </row>
    <row r="14" spans="1:2" s="62" customFormat="1" ht="13" x14ac:dyDescent="0.3">
      <c r="A14" s="62" t="s">
        <v>50</v>
      </c>
      <c r="B14" s="62" t="s">
        <v>217</v>
      </c>
    </row>
    <row r="15" spans="1:2" s="63" customFormat="1" ht="13" x14ac:dyDescent="0.3">
      <c r="A15" s="62"/>
    </row>
    <row r="16" spans="1:2" s="63" customFormat="1" ht="13" x14ac:dyDescent="0.3">
      <c r="A16" s="63" t="s">
        <v>56</v>
      </c>
      <c r="B16" s="63" t="s">
        <v>218</v>
      </c>
    </row>
    <row r="17" spans="1:2" s="63" customFormat="1" ht="13" x14ac:dyDescent="0.3">
      <c r="A17" s="63" t="s">
        <v>58</v>
      </c>
      <c r="B17" s="63" t="s">
        <v>219</v>
      </c>
    </row>
    <row r="18" spans="1:2" s="63" customFormat="1" ht="13" x14ac:dyDescent="0.3">
      <c r="A18" s="62"/>
    </row>
    <row r="19" spans="1:2" s="63" customFormat="1" ht="13" x14ac:dyDescent="0.3">
      <c r="A19" s="63" t="s">
        <v>62</v>
      </c>
      <c r="B19" s="63" t="s">
        <v>220</v>
      </c>
    </row>
    <row r="20" spans="1:2" s="63" customFormat="1" ht="13" x14ac:dyDescent="0.3">
      <c r="A20" s="63" t="s">
        <v>63</v>
      </c>
      <c r="B20" s="62" t="s">
        <v>221</v>
      </c>
    </row>
    <row r="21" spans="1:2" s="63" customFormat="1" ht="13" x14ac:dyDescent="0.3">
      <c r="A21" s="63" t="s">
        <v>65</v>
      </c>
      <c r="B21" s="63" t="s">
        <v>222</v>
      </c>
    </row>
    <row r="22" spans="1:2" s="63" customFormat="1" ht="13" x14ac:dyDescent="0.3">
      <c r="A22" s="63" t="s">
        <v>66</v>
      </c>
      <c r="B22" s="62" t="s">
        <v>223</v>
      </c>
    </row>
    <row r="23" spans="1:2" s="63" customFormat="1" ht="13" x14ac:dyDescent="0.3">
      <c r="A23" s="63" t="s">
        <v>67</v>
      </c>
      <c r="B23" s="63" t="s">
        <v>224</v>
      </c>
    </row>
    <row r="24" spans="1:2" s="62" customFormat="1" ht="13" x14ac:dyDescent="0.3">
      <c r="A24" s="62" t="s">
        <v>68</v>
      </c>
      <c r="B24" s="62" t="s">
        <v>225</v>
      </c>
    </row>
    <row r="25" spans="1:2" s="62" customFormat="1" ht="13" x14ac:dyDescent="0.3">
      <c r="A25" s="62" t="s">
        <v>70</v>
      </c>
      <c r="B25" s="62" t="s">
        <v>226</v>
      </c>
    </row>
    <row r="26" spans="1:2" s="62" customFormat="1" ht="13" x14ac:dyDescent="0.3">
      <c r="A26" s="62" t="s">
        <v>71</v>
      </c>
      <c r="B26" s="62" t="s">
        <v>227</v>
      </c>
    </row>
    <row r="27" spans="1:2" s="62" customFormat="1" ht="13" x14ac:dyDescent="0.3">
      <c r="A27" s="62" t="s">
        <v>72</v>
      </c>
      <c r="B27" s="62" t="s">
        <v>228</v>
      </c>
    </row>
    <row r="28" spans="1:2" s="62" customFormat="1" ht="13" x14ac:dyDescent="0.3">
      <c r="A28" s="62" t="s">
        <v>73</v>
      </c>
      <c r="B28" s="66" t="s">
        <v>214</v>
      </c>
    </row>
    <row r="29" spans="1:2" s="62" customFormat="1" ht="13" x14ac:dyDescent="0.3">
      <c r="A29" s="62" t="s">
        <v>74</v>
      </c>
      <c r="B29" s="66" t="s">
        <v>215</v>
      </c>
    </row>
    <row r="30" spans="1:2" s="62" customFormat="1" ht="13" x14ac:dyDescent="0.3">
      <c r="A30" s="62" t="s">
        <v>75</v>
      </c>
      <c r="B30" s="62" t="s">
        <v>229</v>
      </c>
    </row>
    <row r="31" spans="1:2" s="62" customFormat="1" ht="13" x14ac:dyDescent="0.3">
      <c r="A31" s="62" t="s">
        <v>76</v>
      </c>
      <c r="B31" s="62" t="s">
        <v>230</v>
      </c>
    </row>
    <row r="32" spans="1:2" s="62" customFormat="1" ht="13" x14ac:dyDescent="0.3">
      <c r="A32" s="62" t="s">
        <v>77</v>
      </c>
      <c r="B32" s="62" t="s">
        <v>231</v>
      </c>
    </row>
    <row r="33" spans="1:3" s="62" customFormat="1" ht="13" x14ac:dyDescent="0.3">
      <c r="A33" s="62" t="s">
        <v>78</v>
      </c>
      <c r="B33" s="62" t="s">
        <v>232</v>
      </c>
    </row>
    <row r="34" spans="1:3" s="62" customFormat="1" ht="13" x14ac:dyDescent="0.3"/>
    <row r="35" spans="1:3" s="62" customFormat="1" ht="13" x14ac:dyDescent="0.3">
      <c r="A35" s="62" t="s">
        <v>81</v>
      </c>
      <c r="B35" s="62" t="s">
        <v>233</v>
      </c>
    </row>
    <row r="36" spans="1:3" s="14" customFormat="1" x14ac:dyDescent="0.35"/>
    <row r="37" spans="1:3" s="62" customFormat="1" ht="13" x14ac:dyDescent="0.3">
      <c r="A37" s="62" t="s">
        <v>84</v>
      </c>
      <c r="B37" s="62" t="s">
        <v>234</v>
      </c>
    </row>
    <row r="38" spans="1:3" s="62" customFormat="1" ht="13" x14ac:dyDescent="0.3">
      <c r="A38" s="62" t="s">
        <v>85</v>
      </c>
      <c r="B38" s="66" t="s">
        <v>235</v>
      </c>
    </row>
    <row r="39" spans="1:3" s="62" customFormat="1" ht="13" x14ac:dyDescent="0.3">
      <c r="A39" s="62" t="s">
        <v>86</v>
      </c>
      <c r="B39" s="66" t="s">
        <v>236</v>
      </c>
    </row>
    <row r="40" spans="1:3" s="62" customFormat="1" ht="13" x14ac:dyDescent="0.3">
      <c r="A40" s="62" t="s">
        <v>87</v>
      </c>
      <c r="B40" s="62" t="s">
        <v>237</v>
      </c>
    </row>
    <row r="41" spans="1:3" s="62" customFormat="1" ht="13" x14ac:dyDescent="0.3">
      <c r="A41" s="62" t="s">
        <v>88</v>
      </c>
      <c r="B41" s="66" t="s">
        <v>238</v>
      </c>
    </row>
    <row r="42" spans="1:3" s="62" customFormat="1" ht="13" x14ac:dyDescent="0.3">
      <c r="A42" s="62" t="s">
        <v>89</v>
      </c>
      <c r="B42" s="62" t="s">
        <v>239</v>
      </c>
    </row>
    <row r="43" spans="1:3" s="63" customFormat="1" ht="13" x14ac:dyDescent="0.3">
      <c r="A43" s="63" t="s">
        <v>90</v>
      </c>
      <c r="B43" s="66" t="s">
        <v>240</v>
      </c>
    </row>
    <row r="45" spans="1:3" s="63" customFormat="1" ht="13" x14ac:dyDescent="0.3">
      <c r="A45" s="63" t="s">
        <v>92</v>
      </c>
      <c r="B45" s="62" t="s">
        <v>241</v>
      </c>
      <c r="C45" s="62"/>
    </row>
    <row r="46" spans="1:3" s="63" customFormat="1" ht="13" x14ac:dyDescent="0.3">
      <c r="A46" s="63" t="s">
        <v>93</v>
      </c>
      <c r="B46" s="62" t="s">
        <v>242</v>
      </c>
      <c r="C46" s="62"/>
    </row>
    <row r="47" spans="1:3" s="62" customFormat="1" ht="13" x14ac:dyDescent="0.3">
      <c r="A47" s="62" t="s">
        <v>94</v>
      </c>
      <c r="B47" s="62" t="s">
        <v>220</v>
      </c>
    </row>
    <row r="48" spans="1:3" s="62" customFormat="1" ht="13" x14ac:dyDescent="0.3">
      <c r="A48" s="62" t="s">
        <v>95</v>
      </c>
      <c r="B48" s="62" t="s">
        <v>243</v>
      </c>
    </row>
    <row r="49" spans="1:2" s="62" customFormat="1" ht="13" x14ac:dyDescent="0.3">
      <c r="A49" s="62" t="s">
        <v>96</v>
      </c>
      <c r="B49" s="62" t="s">
        <v>244</v>
      </c>
    </row>
    <row r="50" spans="1:2" s="62" customFormat="1" ht="13" x14ac:dyDescent="0.3">
      <c r="A50" s="62" t="s">
        <v>97</v>
      </c>
      <c r="B50" s="62" t="s">
        <v>245</v>
      </c>
    </row>
    <row r="51" spans="1:2" s="62" customFormat="1" ht="13" x14ac:dyDescent="0.3">
      <c r="A51" s="62" t="s">
        <v>98</v>
      </c>
      <c r="B51" s="62" t="s">
        <v>246</v>
      </c>
    </row>
    <row r="52" spans="1:2" s="62" customFormat="1" ht="13" x14ac:dyDescent="0.3">
      <c r="A52" s="62" t="s">
        <v>99</v>
      </c>
      <c r="B52" s="62" t="s">
        <v>247</v>
      </c>
    </row>
    <row r="53" spans="1:2" s="63" customFormat="1" ht="13" x14ac:dyDescent="0.3">
      <c r="A53" s="62" t="s">
        <v>100</v>
      </c>
      <c r="B53" s="62" t="s">
        <v>248</v>
      </c>
    </row>
    <row r="54" spans="1:2" s="63" customFormat="1" ht="13" x14ac:dyDescent="0.3">
      <c r="A54" s="62" t="s">
        <v>101</v>
      </c>
      <c r="B54" s="62" t="s">
        <v>249</v>
      </c>
    </row>
    <row r="55" spans="1:2" s="62" customFormat="1" ht="13" x14ac:dyDescent="0.3">
      <c r="A55" s="62" t="s">
        <v>102</v>
      </c>
      <c r="B55" s="62" t="s">
        <v>222</v>
      </c>
    </row>
    <row r="56" spans="1:2" s="62" customFormat="1" ht="13" x14ac:dyDescent="0.3">
      <c r="A56" s="62" t="s">
        <v>103</v>
      </c>
      <c r="B56" s="62" t="s">
        <v>250</v>
      </c>
    </row>
    <row r="57" spans="1:2" s="62" customFormat="1" ht="13" x14ac:dyDescent="0.3">
      <c r="A57" s="62" t="s">
        <v>104</v>
      </c>
      <c r="B57" s="62" t="s">
        <v>251</v>
      </c>
    </row>
    <row r="58" spans="1:2" s="62" customFormat="1" ht="13" x14ac:dyDescent="0.3">
      <c r="A58" s="62" t="s">
        <v>105</v>
      </c>
      <c r="B58" s="62" t="s">
        <v>252</v>
      </c>
    </row>
    <row r="59" spans="1:2" s="14" customFormat="1" x14ac:dyDescent="0.35">
      <c r="A59" s="62" t="s">
        <v>106</v>
      </c>
      <c r="B59" s="62" t="s">
        <v>253</v>
      </c>
    </row>
    <row r="60" spans="1:2" s="62" customFormat="1" ht="13" x14ac:dyDescent="0.3">
      <c r="A60" s="62" t="s">
        <v>107</v>
      </c>
      <c r="B60" s="62" t="s">
        <v>254</v>
      </c>
    </row>
    <row r="61" spans="1:2" s="62" customFormat="1" ht="13" x14ac:dyDescent="0.3">
      <c r="A61" s="62" t="s">
        <v>108</v>
      </c>
      <c r="B61" s="62" t="s">
        <v>255</v>
      </c>
    </row>
    <row r="62" spans="1:2" s="62" customFormat="1" ht="13" x14ac:dyDescent="0.3">
      <c r="A62" s="62" t="s">
        <v>109</v>
      </c>
      <c r="B62" s="62" t="s">
        <v>256</v>
      </c>
    </row>
    <row r="63" spans="1:2" s="62" customFormat="1" ht="13" x14ac:dyDescent="0.3">
      <c r="A63" s="62" t="s">
        <v>110</v>
      </c>
      <c r="B63" s="62" t="s">
        <v>257</v>
      </c>
    </row>
    <row r="64" spans="1:2" s="62" customFormat="1" ht="13" x14ac:dyDescent="0.3">
      <c r="A64" s="62" t="s">
        <v>111</v>
      </c>
      <c r="B64" s="66" t="s">
        <v>258</v>
      </c>
    </row>
    <row r="65" spans="1:3" s="62" customFormat="1" ht="13" x14ac:dyDescent="0.3">
      <c r="A65" s="62" t="s">
        <v>112</v>
      </c>
      <c r="B65" s="62" t="s">
        <v>259</v>
      </c>
    </row>
    <row r="66" spans="1:3" s="62" customFormat="1" ht="13" x14ac:dyDescent="0.3">
      <c r="A66" s="62" t="s">
        <v>113</v>
      </c>
      <c r="B66" s="62" t="s">
        <v>260</v>
      </c>
    </row>
    <row r="67" spans="1:3" s="62" customFormat="1" ht="13" x14ac:dyDescent="0.3">
      <c r="A67" s="62" t="s">
        <v>114</v>
      </c>
      <c r="B67" s="66" t="s">
        <v>261</v>
      </c>
    </row>
    <row r="68" spans="1:3" s="62" customFormat="1" ht="13" x14ac:dyDescent="0.3">
      <c r="A68" s="62" t="s">
        <v>115</v>
      </c>
      <c r="B68" s="66" t="s">
        <v>262</v>
      </c>
    </row>
    <row r="69" spans="1:3" s="62" customFormat="1" ht="13" x14ac:dyDescent="0.3">
      <c r="A69" s="62" t="s">
        <v>116</v>
      </c>
      <c r="B69" s="62" t="s">
        <v>263</v>
      </c>
    </row>
    <row r="70" spans="1:3" s="62" customFormat="1" ht="13" x14ac:dyDescent="0.3">
      <c r="A70" s="62" t="s">
        <v>117</v>
      </c>
      <c r="B70" s="66" t="s">
        <v>264</v>
      </c>
    </row>
    <row r="71" spans="1:3" s="62" customFormat="1" ht="13" x14ac:dyDescent="0.3">
      <c r="A71" s="62" t="s">
        <v>118</v>
      </c>
      <c r="B71" s="62" t="s">
        <v>265</v>
      </c>
    </row>
    <row r="72" spans="1:3" s="62" customFormat="1" ht="13" x14ac:dyDescent="0.3">
      <c r="A72" s="62" t="s">
        <v>119</v>
      </c>
      <c r="B72" s="62" t="s">
        <v>266</v>
      </c>
    </row>
    <row r="73" spans="1:3" s="62" customFormat="1" ht="13" x14ac:dyDescent="0.3">
      <c r="A73" s="62" t="s">
        <v>120</v>
      </c>
      <c r="B73" s="62" t="s">
        <v>267</v>
      </c>
    </row>
    <row r="74" spans="1:3" s="63" customFormat="1" ht="13" x14ac:dyDescent="0.3">
      <c r="A74" s="62" t="s">
        <v>121</v>
      </c>
      <c r="B74" s="63" t="s">
        <v>268</v>
      </c>
    </row>
    <row r="75" spans="1:3" s="63" customFormat="1" ht="13" x14ac:dyDescent="0.3">
      <c r="B75" s="62"/>
      <c r="C75" s="62"/>
    </row>
    <row r="76" spans="1:3" s="63" customFormat="1" ht="13" x14ac:dyDescent="0.3">
      <c r="A76" s="63" t="s">
        <v>123</v>
      </c>
      <c r="B76" s="63" t="s">
        <v>269</v>
      </c>
    </row>
    <row r="77" spans="1:3" s="63" customFormat="1" ht="13" x14ac:dyDescent="0.3">
      <c r="A77" s="63" t="s">
        <v>124</v>
      </c>
      <c r="B77" s="63" t="s">
        <v>270</v>
      </c>
    </row>
    <row r="78" spans="1:3" s="63" customFormat="1" ht="13" x14ac:dyDescent="0.3">
      <c r="A78" s="63" t="s">
        <v>125</v>
      </c>
      <c r="B78" s="62" t="s">
        <v>271</v>
      </c>
    </row>
    <row r="79" spans="1:3" s="63" customFormat="1" ht="13" x14ac:dyDescent="0.3">
      <c r="B79" s="62"/>
      <c r="C79" s="62"/>
    </row>
    <row r="80" spans="1:3" s="63" customFormat="1" ht="13" x14ac:dyDescent="0.3">
      <c r="A80" s="63" t="s">
        <v>129</v>
      </c>
      <c r="B80" s="65" t="s">
        <v>272</v>
      </c>
    </row>
    <row r="82" spans="1:2" s="63" customFormat="1" ht="13" x14ac:dyDescent="0.3">
      <c r="A82" s="63" t="s">
        <v>131</v>
      </c>
      <c r="B82" s="64" t="s">
        <v>273</v>
      </c>
    </row>
    <row r="83" spans="1:2" s="63" customFormat="1" ht="13" x14ac:dyDescent="0.3">
      <c r="A83" s="63" t="s">
        <v>132</v>
      </c>
      <c r="B83" s="64" t="s">
        <v>274</v>
      </c>
    </row>
    <row r="84" spans="1:2" s="63" customFormat="1" ht="13" x14ac:dyDescent="0.3">
      <c r="A84" s="63" t="s">
        <v>133</v>
      </c>
      <c r="B84" s="63" t="s">
        <v>275</v>
      </c>
    </row>
    <row r="85" spans="1:2" x14ac:dyDescent="0.35">
      <c r="A85" s="63" t="s">
        <v>134</v>
      </c>
      <c r="B85" s="63" t="s">
        <v>276</v>
      </c>
    </row>
    <row r="86" spans="1:2" s="63" customFormat="1" ht="13" x14ac:dyDescent="0.3">
      <c r="A86" s="63" t="s">
        <v>135</v>
      </c>
      <c r="B86" s="62" t="s">
        <v>277</v>
      </c>
    </row>
    <row r="88" spans="1:2" s="63" customFormat="1" ht="13" x14ac:dyDescent="0.3">
      <c r="A88" s="63" t="s">
        <v>139</v>
      </c>
      <c r="B88" s="63" t="s">
        <v>278</v>
      </c>
    </row>
    <row r="89" spans="1:2" s="63" customFormat="1" ht="13" x14ac:dyDescent="0.3">
      <c r="A89" s="63" t="s">
        <v>140</v>
      </c>
      <c r="B89" s="64" t="s">
        <v>279</v>
      </c>
    </row>
    <row r="91" spans="1:2" s="63" customFormat="1" ht="13" x14ac:dyDescent="0.3">
      <c r="A91" s="63" t="s">
        <v>146</v>
      </c>
      <c r="B91" s="63" t="s">
        <v>280</v>
      </c>
    </row>
    <row r="92" spans="1:2" s="63" customFormat="1" ht="13" x14ac:dyDescent="0.3">
      <c r="A92" s="63" t="s">
        <v>147</v>
      </c>
      <c r="B92" s="64" t="s">
        <v>281</v>
      </c>
    </row>
    <row r="93" spans="1:2" s="63" customFormat="1" ht="13" x14ac:dyDescent="0.3">
      <c r="A93" s="63" t="s">
        <v>148</v>
      </c>
      <c r="B93" s="63" t="s">
        <v>282</v>
      </c>
    </row>
    <row r="94" spans="1:2" s="63" customFormat="1" ht="13" x14ac:dyDescent="0.3">
      <c r="A94" s="63" t="s">
        <v>149</v>
      </c>
      <c r="B94" s="63" t="s">
        <v>283</v>
      </c>
    </row>
    <row r="95" spans="1:2" s="63" customFormat="1" ht="13" x14ac:dyDescent="0.3">
      <c r="A95" s="63" t="s">
        <v>150</v>
      </c>
      <c r="B95" s="62" t="s">
        <v>277</v>
      </c>
    </row>
    <row r="96" spans="1:2" s="63" customFormat="1" ht="13" x14ac:dyDescent="0.3">
      <c r="A96" s="63" t="s">
        <v>151</v>
      </c>
      <c r="B96" s="62" t="s">
        <v>284</v>
      </c>
    </row>
    <row r="97" spans="1:2" s="63" customFormat="1" ht="13" x14ac:dyDescent="0.3">
      <c r="A97" s="63" t="s">
        <v>152</v>
      </c>
      <c r="B97" s="66" t="s">
        <v>285</v>
      </c>
    </row>
    <row r="98" spans="1:2" s="62" customFormat="1" ht="13" x14ac:dyDescent="0.3">
      <c r="A98" s="63" t="s">
        <v>153</v>
      </c>
      <c r="B98" s="62" t="s">
        <v>286</v>
      </c>
    </row>
    <row r="99" spans="1:2" s="63" customFormat="1" ht="13" x14ac:dyDescent="0.3">
      <c r="A99" s="63" t="s">
        <v>156</v>
      </c>
      <c r="B99" s="62" t="s">
        <v>287</v>
      </c>
    </row>
    <row r="100" spans="1:2" s="63" customFormat="1" ht="13" x14ac:dyDescent="0.3">
      <c r="B100" s="62"/>
    </row>
    <row r="101" spans="1:2" s="63" customFormat="1" ht="13" x14ac:dyDescent="0.3">
      <c r="A101" s="63" t="s">
        <v>161</v>
      </c>
      <c r="B101" s="62" t="s">
        <v>288</v>
      </c>
    </row>
    <row r="102" spans="1:2" s="63" customFormat="1" ht="13" x14ac:dyDescent="0.3">
      <c r="B102" s="62"/>
    </row>
    <row r="103" spans="1:2" s="63" customFormat="1" ht="13" x14ac:dyDescent="0.3">
      <c r="A103" s="63" t="s">
        <v>163</v>
      </c>
      <c r="B103" s="63" t="s">
        <v>289</v>
      </c>
    </row>
    <row r="104" spans="1:2" s="63" customFormat="1" ht="13" x14ac:dyDescent="0.3">
      <c r="A104" s="63" t="s">
        <v>164</v>
      </c>
      <c r="B104" s="63" t="s">
        <v>290</v>
      </c>
    </row>
    <row r="105" spans="1:2" x14ac:dyDescent="0.35">
      <c r="A105" s="63" t="s">
        <v>165</v>
      </c>
      <c r="B105" s="63" t="s">
        <v>291</v>
      </c>
    </row>
    <row r="107" spans="1:2" s="63" customFormat="1" ht="13" x14ac:dyDescent="0.3">
      <c r="A107" s="63" t="s">
        <v>167</v>
      </c>
      <c r="B107" s="62" t="s">
        <v>292</v>
      </c>
    </row>
    <row r="108" spans="1:2" s="63" customFormat="1" ht="13" x14ac:dyDescent="0.3">
      <c r="A108" s="63" t="s">
        <v>168</v>
      </c>
      <c r="B108" s="62" t="s">
        <v>293</v>
      </c>
    </row>
    <row r="110" spans="1:2" s="63" customFormat="1" ht="13" x14ac:dyDescent="0.3">
      <c r="A110" s="63" t="s">
        <v>172</v>
      </c>
      <c r="B110" s="63" t="s">
        <v>294</v>
      </c>
    </row>
    <row r="111" spans="1:2" x14ac:dyDescent="0.35">
      <c r="A111" s="63" t="s">
        <v>173</v>
      </c>
      <c r="B111" s="63" t="s">
        <v>291</v>
      </c>
    </row>
    <row r="112" spans="1:2" s="63" customFormat="1" ht="13" x14ac:dyDescent="0.3">
      <c r="A112" s="63" t="s">
        <v>174</v>
      </c>
      <c r="B112" s="63" t="s">
        <v>278</v>
      </c>
    </row>
    <row r="114" spans="1:2" s="63" customFormat="1" ht="13" x14ac:dyDescent="0.3">
      <c r="A114" s="63" t="s">
        <v>176</v>
      </c>
      <c r="B114" s="63" t="s">
        <v>295</v>
      </c>
    </row>
    <row r="115" spans="1:2" s="63" customFormat="1" ht="13" x14ac:dyDescent="0.3"/>
    <row r="116" spans="1:2" s="63" customFormat="1" ht="13" x14ac:dyDescent="0.3">
      <c r="A116" s="63" t="s">
        <v>178</v>
      </c>
      <c r="B116" s="63" t="s">
        <v>296</v>
      </c>
    </row>
    <row r="117" spans="1:2" s="63" customFormat="1" ht="13" x14ac:dyDescent="0.3">
      <c r="A117" s="63" t="s">
        <v>179</v>
      </c>
      <c r="B117" s="62" t="s">
        <v>297</v>
      </c>
    </row>
    <row r="118" spans="1:2" s="63" customFormat="1" ht="13" x14ac:dyDescent="0.3">
      <c r="A118" s="63" t="s">
        <v>180</v>
      </c>
      <c r="B118" s="62" t="s">
        <v>298</v>
      </c>
    </row>
    <row r="119" spans="1:2" s="63" customFormat="1" ht="13" x14ac:dyDescent="0.3">
      <c r="A119" s="63" t="s">
        <v>181</v>
      </c>
      <c r="B119" s="63" t="s">
        <v>299</v>
      </c>
    </row>
    <row r="121" spans="1:2" s="63" customFormat="1" ht="13" x14ac:dyDescent="0.3">
      <c r="A121" s="63" t="s">
        <v>185</v>
      </c>
      <c r="B121" s="63" t="s">
        <v>300</v>
      </c>
    </row>
    <row r="122" spans="1:2" s="63" customFormat="1" ht="13" x14ac:dyDescent="0.3">
      <c r="A122" s="63" t="s">
        <v>186</v>
      </c>
      <c r="B122" s="62" t="s">
        <v>301</v>
      </c>
    </row>
    <row r="123" spans="1:2" s="63" customFormat="1" ht="13" x14ac:dyDescent="0.3">
      <c r="A123" s="63" t="s">
        <v>187</v>
      </c>
      <c r="B123" s="62" t="s">
        <v>302</v>
      </c>
    </row>
    <row r="124" spans="1:2" s="63" customFormat="1" ht="13" x14ac:dyDescent="0.3">
      <c r="A124" s="63" t="s">
        <v>189</v>
      </c>
      <c r="B124" s="63" t="s">
        <v>303</v>
      </c>
    </row>
    <row r="126" spans="1:2" s="63" customFormat="1" ht="13" x14ac:dyDescent="0.3">
      <c r="A126" s="63" t="s">
        <v>194</v>
      </c>
      <c r="B126" s="63" t="s">
        <v>304</v>
      </c>
    </row>
    <row r="127" spans="1:2" s="63" customFormat="1" ht="13" x14ac:dyDescent="0.3">
      <c r="A127" s="63" t="s">
        <v>195</v>
      </c>
      <c r="B127" s="62" t="s">
        <v>305</v>
      </c>
    </row>
    <row r="128" spans="1:2" s="63" customFormat="1" ht="13" x14ac:dyDescent="0.3">
      <c r="A128" s="63" t="s">
        <v>196</v>
      </c>
      <c r="B128" s="62" t="s">
        <v>306</v>
      </c>
    </row>
    <row r="129" spans="1:2" s="63" customFormat="1" ht="13" x14ac:dyDescent="0.3">
      <c r="A129" s="63" t="s">
        <v>197</v>
      </c>
      <c r="B129" s="62" t="s">
        <v>307</v>
      </c>
    </row>
    <row r="130" spans="1:2" s="63" customFormat="1" ht="13" x14ac:dyDescent="0.3">
      <c r="A130" s="63" t="s">
        <v>198</v>
      </c>
      <c r="B130" s="62" t="s">
        <v>308</v>
      </c>
    </row>
    <row r="131" spans="1:2" s="63" customFormat="1" ht="13" x14ac:dyDescent="0.3">
      <c r="A131" s="63" t="s">
        <v>199</v>
      </c>
      <c r="B131" s="62" t="s">
        <v>309</v>
      </c>
    </row>
    <row r="132" spans="1:2" s="63" customFormat="1" ht="13" x14ac:dyDescent="0.3">
      <c r="A132" s="63" t="s">
        <v>200</v>
      </c>
      <c r="B132" s="62" t="s">
        <v>310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remarks xmlns="366ae72f-6d51-4737-8f6b-a9169c366b64" xsi:nil="true"/>
    <file_x0020_ xmlns="366ae72f-6d51-4737-8f6b-a9169c366b6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14" ma:contentTypeDescription="Create a new document." ma:contentTypeScope="" ma:versionID="20e30d4e9bb08fd08cde126d5a8214c5">
  <xsd:schema xmlns:xsd="http://www.w3.org/2001/XMLSchema" xmlns:xs="http://www.w3.org/2001/XMLSchema" xmlns:p="http://schemas.microsoft.com/office/2006/metadata/properties" xmlns:ns2="366ae72f-6d51-4737-8f6b-a9169c366b64" xmlns:ns3="a3cd7b71-671d-4139-9a97-5d1a7380fae4" targetNamespace="http://schemas.microsoft.com/office/2006/metadata/properties" ma:root="true" ma:fieldsID="1e4dae1d9d17e89866f720decb35dab9" ns2:_="" ns3:_="">
    <xsd:import namespace="366ae72f-6d51-4737-8f6b-a9169c366b64"/>
    <xsd:import namespace="a3cd7b71-671d-4139-9a97-5d1a7380fae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description=""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F2B69E5-73D0-4E65-8F00-81B8D90E014A}">
  <ds:schemaRefs>
    <ds:schemaRef ds:uri="http://purl.org/dc/elements/1.1/"/>
    <ds:schemaRef ds:uri="http://schemas.microsoft.com/office/2006/metadata/properties"/>
    <ds:schemaRef ds:uri="http://purl.org/dc/terms/"/>
    <ds:schemaRef ds:uri="http://schemas.microsoft.com/office/2006/documentManagement/types"/>
    <ds:schemaRef ds:uri="http://purl.org/dc/dcmitype/"/>
    <ds:schemaRef ds:uri="90c3386d-b1cc-4404-9a17-ce575b01d39a"/>
    <ds:schemaRef ds:uri="http://schemas.microsoft.com/office/infopath/2007/PartnerControls"/>
    <ds:schemaRef ds:uri="http://schemas.openxmlformats.org/package/2006/metadata/core-properties"/>
    <ds:schemaRef ds:uri="218d177c-a3bf-4b0b-adae-4c1a5ab298cb"/>
    <ds:schemaRef ds:uri="http://www.w3.org/XML/1998/namespace"/>
  </ds:schemaRefs>
</ds:datastoreItem>
</file>

<file path=customXml/itemProps2.xml><?xml version="1.0" encoding="utf-8"?>
<ds:datastoreItem xmlns:ds="http://schemas.openxmlformats.org/officeDocument/2006/customXml" ds:itemID="{0CCA1265-F70E-4B57-8FDF-65A7850DB145}">
  <ds:schemaRefs>
    <ds:schemaRef ds:uri="http://schemas.microsoft.com/sharepoint/v3/contenttype/forms"/>
  </ds:schemaRefs>
</ds:datastoreItem>
</file>

<file path=customXml/itemProps3.xml><?xml version="1.0" encoding="utf-8"?>
<ds:datastoreItem xmlns:ds="http://schemas.openxmlformats.org/officeDocument/2006/customXml" ds:itemID="{E81844DA-ACB2-4207-B49A-5889C1A916F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Sheet2</vt:lpstr>
      <vt:lpstr>Notes and assumptions</vt:lpstr>
    </vt:vector>
  </TitlesOfParts>
  <Manager/>
  <Company>FAO of the UN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Randrianarison, Minoarivelo (FOA)</dc:creator>
  <cp:keywords/>
  <dc:description/>
  <cp:lastModifiedBy>Lehel, Rosalie (CBC)</cp:lastModifiedBy>
  <cp:revision/>
  <dcterms:created xsi:type="dcterms:W3CDTF">2020-11-10T16:52:56Z</dcterms:created>
  <dcterms:modified xsi:type="dcterms:W3CDTF">2021-02-18T17:44:58Z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0x01010000979F12F22C9E4F9273E32F354CEDB7</vt:lpwstr>
  </property>
</Properties>
</file>