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drawings/drawing3.xml" ContentType="application/vnd.openxmlformats-officedocument.drawing+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4.xml" ContentType="application/vnd.openxmlformats-officedocument.drawing+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111"/>
  <workbookPr defaultThemeVersion="166925"/>
  <mc:AlternateContent xmlns:mc="http://schemas.openxmlformats.org/markup-compatibility/2006">
    <mc:Choice Requires="x15">
      <x15ac:absPath xmlns:x15ac="http://schemas.microsoft.com/office/spreadsheetml/2010/11/ac" url="https://conservation.sharepoint.com/teams/Extranet/gcf/Shared Documents/05. Projects/Botswana PPF/06 Proposal/V.7/V.7 FINAL/Annex 02 CI  Botswana - Feasibility Study Appendices FINAL/"/>
    </mc:Choice>
  </mc:AlternateContent>
  <xr:revisionPtr revIDLastSave="0" documentId="13_ncr:1_{24E4DF5E-F369-EE47-9A5D-70CC9C5D1A77}" xr6:coauthVersionLast="46" xr6:coauthVersionMax="46" xr10:uidLastSave="{00000000-0000-0000-0000-000000000000}"/>
  <bookViews>
    <workbookView xWindow="0" yWindow="460" windowWidth="23260" windowHeight="12580" xr2:uid="{00000000-000D-0000-FFFF-FFFF00000000}"/>
  </bookViews>
  <sheets>
    <sheet name="Summary" sheetId="11" r:id="rId1"/>
    <sheet name="ER_Conservative" sheetId="7" r:id="rId2"/>
    <sheet name="ER_Moderate" sheetId="10" r:id="rId3"/>
    <sheet name="ER_Maximum" sheetId="8" r:id="rId4"/>
  </sheets>
  <externalReferences>
    <externalReference r:id="rId5"/>
  </externalReferences>
  <definedNames>
    <definedName name="clim_full">[1]Help!$L$92</definedName>
    <definedName name="soil">'[1]1.Description'!$C$15</definedName>
    <definedName name="soil_type">[1]List!$A$20:$A$26</definedName>
  </definedNames>
  <calcPr calcId="191029"/>
  <extLst>
    <ext xmlns:x14="http://schemas.microsoft.com/office/spreadsheetml/2009/9/main" uri="{79F54976-1DA5-4618-B147-4CDE4B953A38}">
      <x14:workbookPr defaultImageDpi="32767"/>
    </ex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AD4" i="10" l="1"/>
  <c r="K4" i="10"/>
  <c r="F28" i="10"/>
  <c r="F27" i="10"/>
  <c r="G27" i="10"/>
  <c r="G28" i="10"/>
  <c r="C37" i="10"/>
  <c r="O4" i="10"/>
  <c r="R4" i="10"/>
  <c r="U4" i="10"/>
  <c r="X4" i="10"/>
  <c r="AA4" i="10"/>
  <c r="C21" i="10"/>
  <c r="AC4" i="10"/>
  <c r="L4" i="10"/>
  <c r="P4" i="10"/>
  <c r="Q4" i="10"/>
  <c r="S4" i="10"/>
  <c r="T4" i="10"/>
  <c r="V4" i="10"/>
  <c r="W4" i="10"/>
  <c r="Y4" i="10"/>
  <c r="Z4" i="10"/>
  <c r="AB4" i="10"/>
  <c r="K5" i="10"/>
  <c r="O5" i="10"/>
  <c r="R5" i="10"/>
  <c r="U5" i="10"/>
  <c r="X5" i="10"/>
  <c r="AA5" i="10"/>
  <c r="AC5" i="10"/>
  <c r="L5" i="10"/>
  <c r="P5" i="10"/>
  <c r="Q5" i="10"/>
  <c r="S5" i="10"/>
  <c r="T5" i="10"/>
  <c r="V5" i="10"/>
  <c r="W5" i="10"/>
  <c r="Y5" i="10"/>
  <c r="Z5" i="10"/>
  <c r="AB5" i="10"/>
  <c r="AD5" i="10"/>
  <c r="K6" i="10"/>
  <c r="C38" i="10"/>
  <c r="O6" i="10"/>
  <c r="F29" i="10"/>
  <c r="D38" i="10"/>
  <c r="R6" i="10"/>
  <c r="U6" i="10"/>
  <c r="X6" i="10"/>
  <c r="AA6" i="10"/>
  <c r="AC6" i="10"/>
  <c r="L6" i="10"/>
  <c r="P6" i="10"/>
  <c r="Q6" i="10"/>
  <c r="S6" i="10"/>
  <c r="T6" i="10"/>
  <c r="V6" i="10"/>
  <c r="W6" i="10"/>
  <c r="Y6" i="10"/>
  <c r="Z6" i="10"/>
  <c r="AB6" i="10"/>
  <c r="AD6" i="10"/>
  <c r="K7" i="10"/>
  <c r="O7" i="10"/>
  <c r="R7" i="10"/>
  <c r="U7" i="10"/>
  <c r="X7" i="10"/>
  <c r="AA7" i="10"/>
  <c r="AC7" i="10"/>
  <c r="L7" i="10"/>
  <c r="P7" i="10"/>
  <c r="Q7" i="10"/>
  <c r="S7" i="10"/>
  <c r="T7" i="10"/>
  <c r="V7" i="10"/>
  <c r="W7" i="10"/>
  <c r="Y7" i="10"/>
  <c r="Z7" i="10"/>
  <c r="AB7" i="10"/>
  <c r="AD7" i="10"/>
  <c r="K8" i="10"/>
  <c r="O8" i="10"/>
  <c r="R8" i="10"/>
  <c r="U8" i="10"/>
  <c r="X8" i="10"/>
  <c r="AA8" i="10"/>
  <c r="AC8" i="10"/>
  <c r="L8" i="10"/>
  <c r="P8" i="10"/>
  <c r="Q8" i="10"/>
  <c r="S8" i="10"/>
  <c r="T8" i="10"/>
  <c r="V8" i="10"/>
  <c r="W8" i="10"/>
  <c r="Y8" i="10"/>
  <c r="Z8" i="10"/>
  <c r="AB8" i="10"/>
  <c r="AD8" i="10"/>
  <c r="K9" i="10"/>
  <c r="C39" i="10"/>
  <c r="O9" i="10"/>
  <c r="D39" i="10"/>
  <c r="R9" i="10"/>
  <c r="C30" i="10"/>
  <c r="D30" i="10"/>
  <c r="E30" i="10"/>
  <c r="F30" i="10"/>
  <c r="E39" i="10"/>
  <c r="U9" i="10"/>
  <c r="X9" i="10"/>
  <c r="AA9" i="10"/>
  <c r="AC9" i="10"/>
  <c r="L9" i="10"/>
  <c r="P9" i="10"/>
  <c r="Q9" i="10"/>
  <c r="S9" i="10"/>
  <c r="T9" i="10"/>
  <c r="V9" i="10"/>
  <c r="W9" i="10"/>
  <c r="Y9" i="10"/>
  <c r="Z9" i="10"/>
  <c r="AB9" i="10"/>
  <c r="AD9" i="10"/>
  <c r="K10" i="10"/>
  <c r="O10" i="10"/>
  <c r="R10" i="10"/>
  <c r="U10" i="10"/>
  <c r="X10" i="10"/>
  <c r="AA10" i="10"/>
  <c r="AC10" i="10"/>
  <c r="L10" i="10"/>
  <c r="P10" i="10"/>
  <c r="Q10" i="10"/>
  <c r="S10" i="10"/>
  <c r="T10" i="10"/>
  <c r="V10" i="10"/>
  <c r="W10" i="10"/>
  <c r="Y10" i="10"/>
  <c r="Z10" i="10"/>
  <c r="AB10" i="10"/>
  <c r="AD10" i="10"/>
  <c r="K11" i="10"/>
  <c r="O11" i="10"/>
  <c r="R11" i="10"/>
  <c r="U11" i="10"/>
  <c r="X11" i="10"/>
  <c r="AA11" i="10"/>
  <c r="AC11" i="10"/>
  <c r="L11" i="10"/>
  <c r="P11" i="10"/>
  <c r="Q11" i="10"/>
  <c r="S11" i="10"/>
  <c r="T11" i="10"/>
  <c r="V11" i="10"/>
  <c r="W11" i="10"/>
  <c r="Y11" i="10"/>
  <c r="Z11" i="10"/>
  <c r="AB11" i="10"/>
  <c r="AD11" i="10"/>
  <c r="E4" i="10"/>
  <c r="D29" i="11"/>
  <c r="K4" i="8"/>
  <c r="F28" i="8"/>
  <c r="F27" i="8"/>
  <c r="G27" i="8"/>
  <c r="G28" i="8"/>
  <c r="C37" i="8"/>
  <c r="O4" i="8"/>
  <c r="R4" i="8"/>
  <c r="U4" i="8"/>
  <c r="X4" i="8"/>
  <c r="AA4" i="8"/>
  <c r="AC4" i="8"/>
  <c r="L4" i="8"/>
  <c r="P4" i="8"/>
  <c r="Q4" i="8"/>
  <c r="S4" i="8"/>
  <c r="T4" i="8"/>
  <c r="V4" i="8"/>
  <c r="W4" i="8"/>
  <c r="Y4" i="8"/>
  <c r="Z4" i="8"/>
  <c r="AB4" i="8"/>
  <c r="AD4" i="8"/>
  <c r="K5" i="8"/>
  <c r="O5" i="8"/>
  <c r="R5" i="8"/>
  <c r="U5" i="8"/>
  <c r="X5" i="8"/>
  <c r="AA5" i="8"/>
  <c r="AC5" i="8"/>
  <c r="L5" i="8"/>
  <c r="P5" i="8"/>
  <c r="Q5" i="8"/>
  <c r="S5" i="8"/>
  <c r="T5" i="8"/>
  <c r="V5" i="8"/>
  <c r="W5" i="8"/>
  <c r="Y5" i="8"/>
  <c r="Z5" i="8"/>
  <c r="AB5" i="8"/>
  <c r="AD5" i="8"/>
  <c r="K6" i="8"/>
  <c r="C38" i="8"/>
  <c r="O6" i="8"/>
  <c r="F29" i="8"/>
  <c r="D38" i="8"/>
  <c r="R6" i="8"/>
  <c r="U6" i="8"/>
  <c r="X6" i="8"/>
  <c r="AA6" i="8"/>
  <c r="AC6" i="8"/>
  <c r="L6" i="8"/>
  <c r="P6" i="8"/>
  <c r="Q6" i="8"/>
  <c r="S6" i="8"/>
  <c r="T6" i="8"/>
  <c r="V6" i="8"/>
  <c r="W6" i="8"/>
  <c r="Y6" i="8"/>
  <c r="Z6" i="8"/>
  <c r="AB6" i="8"/>
  <c r="AD6" i="8"/>
  <c r="K7" i="8"/>
  <c r="O7" i="8"/>
  <c r="R7" i="8"/>
  <c r="U7" i="8"/>
  <c r="X7" i="8"/>
  <c r="AA7" i="8"/>
  <c r="AC7" i="8"/>
  <c r="L7" i="8"/>
  <c r="P7" i="8"/>
  <c r="Q7" i="8"/>
  <c r="S7" i="8"/>
  <c r="T7" i="8"/>
  <c r="V7" i="8"/>
  <c r="W7" i="8"/>
  <c r="Y7" i="8"/>
  <c r="Z7" i="8"/>
  <c r="AB7" i="8"/>
  <c r="AD7" i="8"/>
  <c r="K8" i="8"/>
  <c r="O8" i="8"/>
  <c r="R8" i="8"/>
  <c r="U8" i="8"/>
  <c r="X8" i="8"/>
  <c r="AA8" i="8"/>
  <c r="AC8" i="8"/>
  <c r="L8" i="8"/>
  <c r="P8" i="8"/>
  <c r="Q8" i="8"/>
  <c r="S8" i="8"/>
  <c r="T8" i="8"/>
  <c r="V8" i="8"/>
  <c r="W8" i="8"/>
  <c r="Y8" i="8"/>
  <c r="Z8" i="8"/>
  <c r="AB8" i="8"/>
  <c r="AD8" i="8"/>
  <c r="K9" i="8"/>
  <c r="C39" i="8"/>
  <c r="O9" i="8"/>
  <c r="D39" i="8"/>
  <c r="R9" i="8"/>
  <c r="C30" i="8"/>
  <c r="D30" i="8"/>
  <c r="E30" i="8"/>
  <c r="F30" i="8"/>
  <c r="E39" i="8"/>
  <c r="U9" i="8"/>
  <c r="X9" i="8"/>
  <c r="AA9" i="8"/>
  <c r="AC9" i="8"/>
  <c r="L9" i="8"/>
  <c r="P9" i="8"/>
  <c r="Q9" i="8"/>
  <c r="S9" i="8"/>
  <c r="T9" i="8"/>
  <c r="V9" i="8"/>
  <c r="W9" i="8"/>
  <c r="Y9" i="8"/>
  <c r="Z9" i="8"/>
  <c r="AB9" i="8"/>
  <c r="AD9" i="8"/>
  <c r="K10" i="8"/>
  <c r="O10" i="8"/>
  <c r="R10" i="8"/>
  <c r="U10" i="8"/>
  <c r="X10" i="8"/>
  <c r="AA10" i="8"/>
  <c r="AC10" i="8"/>
  <c r="L10" i="8"/>
  <c r="P10" i="8"/>
  <c r="Q10" i="8"/>
  <c r="S10" i="8"/>
  <c r="T10" i="8"/>
  <c r="V10" i="8"/>
  <c r="W10" i="8"/>
  <c r="Y10" i="8"/>
  <c r="Z10" i="8"/>
  <c r="AB10" i="8"/>
  <c r="AD10" i="8"/>
  <c r="K11" i="8"/>
  <c r="O11" i="8"/>
  <c r="R11" i="8"/>
  <c r="U11" i="8"/>
  <c r="X11" i="8"/>
  <c r="AA11" i="8"/>
  <c r="AC11" i="8"/>
  <c r="L11" i="8"/>
  <c r="P11" i="8"/>
  <c r="Q11" i="8"/>
  <c r="S11" i="8"/>
  <c r="T11" i="8"/>
  <c r="V11" i="8"/>
  <c r="W11" i="8"/>
  <c r="Y11" i="8"/>
  <c r="Z11" i="8"/>
  <c r="AB11" i="8"/>
  <c r="AD11" i="8"/>
  <c r="E4" i="8"/>
  <c r="E29" i="11"/>
  <c r="K4" i="7"/>
  <c r="F28" i="7"/>
  <c r="F27" i="7"/>
  <c r="G27" i="7"/>
  <c r="G28" i="7"/>
  <c r="C37" i="7"/>
  <c r="O4" i="7"/>
  <c r="R4" i="7"/>
  <c r="U4" i="7"/>
  <c r="X4" i="7"/>
  <c r="AA4" i="7"/>
  <c r="C21" i="7"/>
  <c r="AB4" i="7"/>
  <c r="P4" i="7"/>
  <c r="Q4" i="7"/>
  <c r="S4" i="7"/>
  <c r="T4" i="7"/>
  <c r="V4" i="7"/>
  <c r="W4" i="7"/>
  <c r="Y4" i="7"/>
  <c r="Z4" i="7"/>
  <c r="AC4" i="7"/>
  <c r="AD4" i="7"/>
  <c r="K5" i="7"/>
  <c r="O5" i="7"/>
  <c r="R5" i="7"/>
  <c r="U5" i="7"/>
  <c r="X5" i="7"/>
  <c r="AA5" i="7"/>
  <c r="AB5" i="7"/>
  <c r="P5" i="7"/>
  <c r="Q5" i="7"/>
  <c r="S5" i="7"/>
  <c r="T5" i="7"/>
  <c r="V5" i="7"/>
  <c r="W5" i="7"/>
  <c r="Y5" i="7"/>
  <c r="Z5" i="7"/>
  <c r="AC5" i="7"/>
  <c r="AD5" i="7"/>
  <c r="K6" i="7"/>
  <c r="C38" i="7"/>
  <c r="O6" i="7"/>
  <c r="F29" i="7"/>
  <c r="D38" i="7"/>
  <c r="R6" i="7"/>
  <c r="U6" i="7"/>
  <c r="X6" i="7"/>
  <c r="AA6" i="7"/>
  <c r="AB6" i="7"/>
  <c r="P6" i="7"/>
  <c r="Q6" i="7"/>
  <c r="S6" i="7"/>
  <c r="T6" i="7"/>
  <c r="V6" i="7"/>
  <c r="W6" i="7"/>
  <c r="Y6" i="7"/>
  <c r="Z6" i="7"/>
  <c r="AC6" i="7"/>
  <c r="AD6" i="7"/>
  <c r="K7" i="7"/>
  <c r="O7" i="7"/>
  <c r="R7" i="7"/>
  <c r="U7" i="7"/>
  <c r="X7" i="7"/>
  <c r="AA7" i="7"/>
  <c r="AB7" i="7"/>
  <c r="P7" i="7"/>
  <c r="Q7" i="7"/>
  <c r="S7" i="7"/>
  <c r="T7" i="7"/>
  <c r="V7" i="7"/>
  <c r="W7" i="7"/>
  <c r="Y7" i="7"/>
  <c r="Z7" i="7"/>
  <c r="AC7" i="7"/>
  <c r="AD7" i="7"/>
  <c r="K8" i="7"/>
  <c r="O8" i="7"/>
  <c r="R8" i="7"/>
  <c r="U8" i="7"/>
  <c r="X8" i="7"/>
  <c r="AA8" i="7"/>
  <c r="AB8" i="7"/>
  <c r="P8" i="7"/>
  <c r="Q8" i="7"/>
  <c r="S8" i="7"/>
  <c r="T8" i="7"/>
  <c r="V8" i="7"/>
  <c r="W8" i="7"/>
  <c r="Y8" i="7"/>
  <c r="Z8" i="7"/>
  <c r="AC8" i="7"/>
  <c r="AD8" i="7"/>
  <c r="K9" i="7"/>
  <c r="C39" i="7"/>
  <c r="O9" i="7"/>
  <c r="D39" i="7"/>
  <c r="R9" i="7"/>
  <c r="C30" i="7"/>
  <c r="D30" i="7"/>
  <c r="E30" i="7"/>
  <c r="F30" i="7"/>
  <c r="E39" i="7"/>
  <c r="U9" i="7"/>
  <c r="X9" i="7"/>
  <c r="AA9" i="7"/>
  <c r="AB9" i="7"/>
  <c r="P9" i="7"/>
  <c r="Q9" i="7"/>
  <c r="S9" i="7"/>
  <c r="T9" i="7"/>
  <c r="V9" i="7"/>
  <c r="W9" i="7"/>
  <c r="Y9" i="7"/>
  <c r="Z9" i="7"/>
  <c r="AC9" i="7"/>
  <c r="AD9" i="7"/>
  <c r="K10" i="7"/>
  <c r="O10" i="7"/>
  <c r="R10" i="7"/>
  <c r="U10" i="7"/>
  <c r="X10" i="7"/>
  <c r="AA10" i="7"/>
  <c r="AB10" i="7"/>
  <c r="P10" i="7"/>
  <c r="Q10" i="7"/>
  <c r="S10" i="7"/>
  <c r="T10" i="7"/>
  <c r="V10" i="7"/>
  <c r="W10" i="7"/>
  <c r="Y10" i="7"/>
  <c r="Z10" i="7"/>
  <c r="AC10" i="7"/>
  <c r="AD10" i="7"/>
  <c r="K11" i="7"/>
  <c r="O11" i="7"/>
  <c r="R11" i="7"/>
  <c r="U11" i="7"/>
  <c r="X11" i="7"/>
  <c r="AA11" i="7"/>
  <c r="AB11" i="7"/>
  <c r="P11" i="7"/>
  <c r="Q11" i="7"/>
  <c r="S11" i="7"/>
  <c r="T11" i="7"/>
  <c r="V11" i="7"/>
  <c r="W11" i="7"/>
  <c r="Y11" i="7"/>
  <c r="Z11" i="7"/>
  <c r="AC11" i="7"/>
  <c r="AD11" i="7"/>
  <c r="E4" i="7"/>
  <c r="F4" i="7"/>
  <c r="F29" i="11"/>
  <c r="F4" i="10"/>
  <c r="G29" i="11"/>
  <c r="F4" i="8"/>
  <c r="H29" i="11"/>
  <c r="K12" i="10"/>
  <c r="O12" i="10"/>
  <c r="R12" i="10"/>
  <c r="U12" i="10"/>
  <c r="X12" i="10"/>
  <c r="AA12" i="10"/>
  <c r="AC12" i="10"/>
  <c r="L12" i="10"/>
  <c r="P12" i="10"/>
  <c r="Q12" i="10"/>
  <c r="S12" i="10"/>
  <c r="T12" i="10"/>
  <c r="V12" i="10"/>
  <c r="W12" i="10"/>
  <c r="Y12" i="10"/>
  <c r="Z12" i="10"/>
  <c r="AB12" i="10"/>
  <c r="AD12" i="10"/>
  <c r="K13" i="10"/>
  <c r="O13" i="10"/>
  <c r="R13" i="10"/>
  <c r="U13" i="10"/>
  <c r="X13" i="10"/>
  <c r="AA13" i="10"/>
  <c r="AC13" i="10"/>
  <c r="L13" i="10"/>
  <c r="P13" i="10"/>
  <c r="Q13" i="10"/>
  <c r="S13" i="10"/>
  <c r="T13" i="10"/>
  <c r="V13" i="10"/>
  <c r="W13" i="10"/>
  <c r="Y13" i="10"/>
  <c r="Z13" i="10"/>
  <c r="AB13" i="10"/>
  <c r="AD13" i="10"/>
  <c r="E5" i="10"/>
  <c r="D30" i="11"/>
  <c r="K12" i="8"/>
  <c r="O12" i="8"/>
  <c r="R12" i="8"/>
  <c r="U12" i="8"/>
  <c r="X12" i="8"/>
  <c r="AA12" i="8"/>
  <c r="AC12" i="8"/>
  <c r="L12" i="8"/>
  <c r="P12" i="8"/>
  <c r="Q12" i="8"/>
  <c r="S12" i="8"/>
  <c r="T12" i="8"/>
  <c r="V12" i="8"/>
  <c r="W12" i="8"/>
  <c r="Y12" i="8"/>
  <c r="Z12" i="8"/>
  <c r="AB12" i="8"/>
  <c r="AD12" i="8"/>
  <c r="K13" i="8"/>
  <c r="O13" i="8"/>
  <c r="R13" i="8"/>
  <c r="U13" i="8"/>
  <c r="X13" i="8"/>
  <c r="AA13" i="8"/>
  <c r="AC13" i="8"/>
  <c r="L13" i="8"/>
  <c r="P13" i="8"/>
  <c r="Q13" i="8"/>
  <c r="S13" i="8"/>
  <c r="T13" i="8"/>
  <c r="V13" i="8"/>
  <c r="W13" i="8"/>
  <c r="Y13" i="8"/>
  <c r="Z13" i="8"/>
  <c r="AB13" i="8"/>
  <c r="AD13" i="8"/>
  <c r="E5" i="8"/>
  <c r="E30" i="11"/>
  <c r="K12" i="7"/>
  <c r="O12" i="7"/>
  <c r="R12" i="7"/>
  <c r="U12" i="7"/>
  <c r="X12" i="7"/>
  <c r="AA12" i="7"/>
  <c r="AB12" i="7"/>
  <c r="P12" i="7"/>
  <c r="Q12" i="7"/>
  <c r="S12" i="7"/>
  <c r="T12" i="7"/>
  <c r="V12" i="7"/>
  <c r="W12" i="7"/>
  <c r="Y12" i="7"/>
  <c r="Z12" i="7"/>
  <c r="AC12" i="7"/>
  <c r="AD12" i="7"/>
  <c r="K13" i="7"/>
  <c r="O13" i="7"/>
  <c r="R13" i="7"/>
  <c r="U13" i="7"/>
  <c r="X13" i="7"/>
  <c r="AA13" i="7"/>
  <c r="AB13" i="7"/>
  <c r="P13" i="7"/>
  <c r="Q13" i="7"/>
  <c r="S13" i="7"/>
  <c r="T13" i="7"/>
  <c r="V13" i="7"/>
  <c r="W13" i="7"/>
  <c r="Y13" i="7"/>
  <c r="Z13" i="7"/>
  <c r="AC13" i="7"/>
  <c r="AD13" i="7"/>
  <c r="E5" i="7"/>
  <c r="F5" i="7"/>
  <c r="F30" i="11"/>
  <c r="F5" i="10"/>
  <c r="G30" i="11"/>
  <c r="F5" i="8"/>
  <c r="H30" i="11"/>
  <c r="K14" i="10"/>
  <c r="O14" i="10"/>
  <c r="R14" i="10"/>
  <c r="U14" i="10"/>
  <c r="X14" i="10"/>
  <c r="AA14" i="10"/>
  <c r="AC14" i="10"/>
  <c r="L14" i="10"/>
  <c r="P14" i="10"/>
  <c r="Q14" i="10"/>
  <c r="S14" i="10"/>
  <c r="T14" i="10"/>
  <c r="V14" i="10"/>
  <c r="W14" i="10"/>
  <c r="Y14" i="10"/>
  <c r="Z14" i="10"/>
  <c r="AB14" i="10"/>
  <c r="AD14" i="10"/>
  <c r="K15" i="10"/>
  <c r="O15" i="10"/>
  <c r="R15" i="10"/>
  <c r="U15" i="10"/>
  <c r="X15" i="10"/>
  <c r="AA15" i="10"/>
  <c r="AC15" i="10"/>
  <c r="L15" i="10"/>
  <c r="P15" i="10"/>
  <c r="Q15" i="10"/>
  <c r="S15" i="10"/>
  <c r="T15" i="10"/>
  <c r="V15" i="10"/>
  <c r="W15" i="10"/>
  <c r="Y15" i="10"/>
  <c r="Z15" i="10"/>
  <c r="AB15" i="10"/>
  <c r="AD15" i="10"/>
  <c r="K16" i="10"/>
  <c r="O16" i="10"/>
  <c r="R16" i="10"/>
  <c r="U16" i="10"/>
  <c r="X16" i="10"/>
  <c r="AA16" i="10"/>
  <c r="AC16" i="10"/>
  <c r="L16" i="10"/>
  <c r="P16" i="10"/>
  <c r="Q16" i="10"/>
  <c r="S16" i="10"/>
  <c r="T16" i="10"/>
  <c r="V16" i="10"/>
  <c r="W16" i="10"/>
  <c r="Y16" i="10"/>
  <c r="Z16" i="10"/>
  <c r="AB16" i="10"/>
  <c r="AD16" i="10"/>
  <c r="K17" i="10"/>
  <c r="O17" i="10"/>
  <c r="R17" i="10"/>
  <c r="U17" i="10"/>
  <c r="X17" i="10"/>
  <c r="AA17" i="10"/>
  <c r="AC17" i="10"/>
  <c r="L17" i="10"/>
  <c r="P17" i="10"/>
  <c r="Q17" i="10"/>
  <c r="S17" i="10"/>
  <c r="T17" i="10"/>
  <c r="V17" i="10"/>
  <c r="W17" i="10"/>
  <c r="Y17" i="10"/>
  <c r="Z17" i="10"/>
  <c r="AB17" i="10"/>
  <c r="AD17" i="10"/>
  <c r="K18" i="10"/>
  <c r="O18" i="10"/>
  <c r="R18" i="10"/>
  <c r="U18" i="10"/>
  <c r="X18" i="10"/>
  <c r="AA18" i="10"/>
  <c r="AC18" i="10"/>
  <c r="L18" i="10"/>
  <c r="P18" i="10"/>
  <c r="Q18" i="10"/>
  <c r="S18" i="10"/>
  <c r="T18" i="10"/>
  <c r="V18" i="10"/>
  <c r="W18" i="10"/>
  <c r="Y18" i="10"/>
  <c r="Z18" i="10"/>
  <c r="AB18" i="10"/>
  <c r="AD18" i="10"/>
  <c r="K19" i="10"/>
  <c r="O19" i="10"/>
  <c r="R19" i="10"/>
  <c r="U19" i="10"/>
  <c r="X19" i="10"/>
  <c r="AA19" i="10"/>
  <c r="AC19" i="10"/>
  <c r="L19" i="10"/>
  <c r="P19" i="10"/>
  <c r="Q19" i="10"/>
  <c r="S19" i="10"/>
  <c r="T19" i="10"/>
  <c r="V19" i="10"/>
  <c r="W19" i="10"/>
  <c r="Y19" i="10"/>
  <c r="Z19" i="10"/>
  <c r="AB19" i="10"/>
  <c r="AD19" i="10"/>
  <c r="K20" i="10"/>
  <c r="O20" i="10"/>
  <c r="R20" i="10"/>
  <c r="U20" i="10"/>
  <c r="X20" i="10"/>
  <c r="AA20" i="10"/>
  <c r="AC20" i="10"/>
  <c r="L20" i="10"/>
  <c r="P20" i="10"/>
  <c r="Q20" i="10"/>
  <c r="S20" i="10"/>
  <c r="T20" i="10"/>
  <c r="V20" i="10"/>
  <c r="W20" i="10"/>
  <c r="Y20" i="10"/>
  <c r="Z20" i="10"/>
  <c r="AB20" i="10"/>
  <c r="AD20" i="10"/>
  <c r="K21" i="10"/>
  <c r="O21" i="10"/>
  <c r="R21" i="10"/>
  <c r="U21" i="10"/>
  <c r="X21" i="10"/>
  <c r="AA21" i="10"/>
  <c r="AC21" i="10"/>
  <c r="L21" i="10"/>
  <c r="P21" i="10"/>
  <c r="Q21" i="10"/>
  <c r="S21" i="10"/>
  <c r="T21" i="10"/>
  <c r="V21" i="10"/>
  <c r="W21" i="10"/>
  <c r="Y21" i="10"/>
  <c r="Z21" i="10"/>
  <c r="AB21" i="10"/>
  <c r="AD21" i="10"/>
  <c r="K22" i="10"/>
  <c r="O22" i="10"/>
  <c r="R22" i="10"/>
  <c r="U22" i="10"/>
  <c r="X22" i="10"/>
  <c r="AA22" i="10"/>
  <c r="AC22" i="10"/>
  <c r="L22" i="10"/>
  <c r="P22" i="10"/>
  <c r="Q22" i="10"/>
  <c r="S22" i="10"/>
  <c r="T22" i="10"/>
  <c r="V22" i="10"/>
  <c r="W22" i="10"/>
  <c r="Y22" i="10"/>
  <c r="Z22" i="10"/>
  <c r="AB22" i="10"/>
  <c r="AD22" i="10"/>
  <c r="K23" i="10"/>
  <c r="O23" i="10"/>
  <c r="R23" i="10"/>
  <c r="U23" i="10"/>
  <c r="X23" i="10"/>
  <c r="AA23" i="10"/>
  <c r="AC23" i="10"/>
  <c r="L23" i="10"/>
  <c r="P23" i="10"/>
  <c r="Q23" i="10"/>
  <c r="S23" i="10"/>
  <c r="T23" i="10"/>
  <c r="V23" i="10"/>
  <c r="W23" i="10"/>
  <c r="Y23" i="10"/>
  <c r="Z23" i="10"/>
  <c r="AB23" i="10"/>
  <c r="AD23" i="10"/>
  <c r="E6" i="10"/>
  <c r="D31" i="11"/>
  <c r="K14" i="8"/>
  <c r="O14" i="8"/>
  <c r="R14" i="8"/>
  <c r="U14" i="8"/>
  <c r="X14" i="8"/>
  <c r="AA14" i="8"/>
  <c r="AC14" i="8"/>
  <c r="L14" i="8"/>
  <c r="P14" i="8"/>
  <c r="Q14" i="8"/>
  <c r="S14" i="8"/>
  <c r="T14" i="8"/>
  <c r="V14" i="8"/>
  <c r="W14" i="8"/>
  <c r="Y14" i="8"/>
  <c r="Z14" i="8"/>
  <c r="AB14" i="8"/>
  <c r="AD14" i="8"/>
  <c r="K15" i="8"/>
  <c r="O15" i="8"/>
  <c r="R15" i="8"/>
  <c r="U15" i="8"/>
  <c r="X15" i="8"/>
  <c r="AA15" i="8"/>
  <c r="AC15" i="8"/>
  <c r="L15" i="8"/>
  <c r="P15" i="8"/>
  <c r="Q15" i="8"/>
  <c r="S15" i="8"/>
  <c r="T15" i="8"/>
  <c r="V15" i="8"/>
  <c r="W15" i="8"/>
  <c r="Y15" i="8"/>
  <c r="Z15" i="8"/>
  <c r="AB15" i="8"/>
  <c r="AD15" i="8"/>
  <c r="K16" i="8"/>
  <c r="O16" i="8"/>
  <c r="R16" i="8"/>
  <c r="U16" i="8"/>
  <c r="X16" i="8"/>
  <c r="AA16" i="8"/>
  <c r="AC16" i="8"/>
  <c r="L16" i="8"/>
  <c r="P16" i="8"/>
  <c r="Q16" i="8"/>
  <c r="S16" i="8"/>
  <c r="T16" i="8"/>
  <c r="V16" i="8"/>
  <c r="W16" i="8"/>
  <c r="Y16" i="8"/>
  <c r="Z16" i="8"/>
  <c r="AB16" i="8"/>
  <c r="AD16" i="8"/>
  <c r="K17" i="8"/>
  <c r="O17" i="8"/>
  <c r="R17" i="8"/>
  <c r="U17" i="8"/>
  <c r="X17" i="8"/>
  <c r="AA17" i="8"/>
  <c r="AC17" i="8"/>
  <c r="L17" i="8"/>
  <c r="P17" i="8"/>
  <c r="Q17" i="8"/>
  <c r="S17" i="8"/>
  <c r="T17" i="8"/>
  <c r="V17" i="8"/>
  <c r="W17" i="8"/>
  <c r="Y17" i="8"/>
  <c r="Z17" i="8"/>
  <c r="AB17" i="8"/>
  <c r="AD17" i="8"/>
  <c r="K18" i="8"/>
  <c r="O18" i="8"/>
  <c r="R18" i="8"/>
  <c r="U18" i="8"/>
  <c r="X18" i="8"/>
  <c r="AA18" i="8"/>
  <c r="AC18" i="8"/>
  <c r="L18" i="8"/>
  <c r="P18" i="8"/>
  <c r="Q18" i="8"/>
  <c r="S18" i="8"/>
  <c r="T18" i="8"/>
  <c r="V18" i="8"/>
  <c r="W18" i="8"/>
  <c r="Y18" i="8"/>
  <c r="Z18" i="8"/>
  <c r="AB18" i="8"/>
  <c r="AD18" i="8"/>
  <c r="K19" i="8"/>
  <c r="O19" i="8"/>
  <c r="R19" i="8"/>
  <c r="U19" i="8"/>
  <c r="X19" i="8"/>
  <c r="AA19" i="8"/>
  <c r="AC19" i="8"/>
  <c r="L19" i="8"/>
  <c r="P19" i="8"/>
  <c r="Q19" i="8"/>
  <c r="S19" i="8"/>
  <c r="T19" i="8"/>
  <c r="V19" i="8"/>
  <c r="W19" i="8"/>
  <c r="Y19" i="8"/>
  <c r="Z19" i="8"/>
  <c r="AB19" i="8"/>
  <c r="AD19" i="8"/>
  <c r="K20" i="8"/>
  <c r="O20" i="8"/>
  <c r="R20" i="8"/>
  <c r="U20" i="8"/>
  <c r="X20" i="8"/>
  <c r="AA20" i="8"/>
  <c r="AC20" i="8"/>
  <c r="L20" i="8"/>
  <c r="P20" i="8"/>
  <c r="Q20" i="8"/>
  <c r="S20" i="8"/>
  <c r="T20" i="8"/>
  <c r="V20" i="8"/>
  <c r="W20" i="8"/>
  <c r="Y20" i="8"/>
  <c r="Z20" i="8"/>
  <c r="AB20" i="8"/>
  <c r="AD20" i="8"/>
  <c r="K21" i="8"/>
  <c r="O21" i="8"/>
  <c r="R21" i="8"/>
  <c r="U21" i="8"/>
  <c r="X21" i="8"/>
  <c r="AA21" i="8"/>
  <c r="AC21" i="8"/>
  <c r="L21" i="8"/>
  <c r="P21" i="8"/>
  <c r="Q21" i="8"/>
  <c r="S21" i="8"/>
  <c r="T21" i="8"/>
  <c r="V21" i="8"/>
  <c r="W21" i="8"/>
  <c r="Y21" i="8"/>
  <c r="Z21" i="8"/>
  <c r="AB21" i="8"/>
  <c r="AD21" i="8"/>
  <c r="K22" i="8"/>
  <c r="O22" i="8"/>
  <c r="R22" i="8"/>
  <c r="U22" i="8"/>
  <c r="X22" i="8"/>
  <c r="AA22" i="8"/>
  <c r="AC22" i="8"/>
  <c r="L22" i="8"/>
  <c r="P22" i="8"/>
  <c r="Q22" i="8"/>
  <c r="S22" i="8"/>
  <c r="T22" i="8"/>
  <c r="V22" i="8"/>
  <c r="W22" i="8"/>
  <c r="Y22" i="8"/>
  <c r="Z22" i="8"/>
  <c r="AB22" i="8"/>
  <c r="AD22" i="8"/>
  <c r="K23" i="8"/>
  <c r="O23" i="8"/>
  <c r="R23" i="8"/>
  <c r="U23" i="8"/>
  <c r="X23" i="8"/>
  <c r="AA23" i="8"/>
  <c r="AC23" i="8"/>
  <c r="L23" i="8"/>
  <c r="P23" i="8"/>
  <c r="Q23" i="8"/>
  <c r="S23" i="8"/>
  <c r="T23" i="8"/>
  <c r="V23" i="8"/>
  <c r="W23" i="8"/>
  <c r="Y23" i="8"/>
  <c r="Z23" i="8"/>
  <c r="AB23" i="8"/>
  <c r="AD23" i="8"/>
  <c r="E6" i="8"/>
  <c r="E31" i="11"/>
  <c r="K14" i="7"/>
  <c r="O14" i="7"/>
  <c r="R14" i="7"/>
  <c r="U14" i="7"/>
  <c r="X14" i="7"/>
  <c r="AA14" i="7"/>
  <c r="AB14" i="7"/>
  <c r="P14" i="7"/>
  <c r="Q14" i="7"/>
  <c r="S14" i="7"/>
  <c r="T14" i="7"/>
  <c r="V14" i="7"/>
  <c r="W14" i="7"/>
  <c r="Y14" i="7"/>
  <c r="Z14" i="7"/>
  <c r="AC14" i="7"/>
  <c r="AD14" i="7"/>
  <c r="K15" i="7"/>
  <c r="O15" i="7"/>
  <c r="R15" i="7"/>
  <c r="U15" i="7"/>
  <c r="X15" i="7"/>
  <c r="AA15" i="7"/>
  <c r="AB15" i="7"/>
  <c r="P15" i="7"/>
  <c r="Q15" i="7"/>
  <c r="S15" i="7"/>
  <c r="T15" i="7"/>
  <c r="V15" i="7"/>
  <c r="W15" i="7"/>
  <c r="Y15" i="7"/>
  <c r="Z15" i="7"/>
  <c r="AC15" i="7"/>
  <c r="AD15" i="7"/>
  <c r="K16" i="7"/>
  <c r="O16" i="7"/>
  <c r="R16" i="7"/>
  <c r="U16" i="7"/>
  <c r="X16" i="7"/>
  <c r="AA16" i="7"/>
  <c r="AB16" i="7"/>
  <c r="P16" i="7"/>
  <c r="Q16" i="7"/>
  <c r="S16" i="7"/>
  <c r="T16" i="7"/>
  <c r="V16" i="7"/>
  <c r="W16" i="7"/>
  <c r="Y16" i="7"/>
  <c r="Z16" i="7"/>
  <c r="AC16" i="7"/>
  <c r="AD16" i="7"/>
  <c r="K17" i="7"/>
  <c r="O17" i="7"/>
  <c r="R17" i="7"/>
  <c r="U17" i="7"/>
  <c r="X17" i="7"/>
  <c r="AA17" i="7"/>
  <c r="AB17" i="7"/>
  <c r="P17" i="7"/>
  <c r="Q17" i="7"/>
  <c r="S17" i="7"/>
  <c r="T17" i="7"/>
  <c r="V17" i="7"/>
  <c r="W17" i="7"/>
  <c r="Y17" i="7"/>
  <c r="Z17" i="7"/>
  <c r="AC17" i="7"/>
  <c r="AD17" i="7"/>
  <c r="K18" i="7"/>
  <c r="O18" i="7"/>
  <c r="R18" i="7"/>
  <c r="U18" i="7"/>
  <c r="X18" i="7"/>
  <c r="AA18" i="7"/>
  <c r="AB18" i="7"/>
  <c r="P18" i="7"/>
  <c r="Q18" i="7"/>
  <c r="S18" i="7"/>
  <c r="T18" i="7"/>
  <c r="V18" i="7"/>
  <c r="W18" i="7"/>
  <c r="Y18" i="7"/>
  <c r="Z18" i="7"/>
  <c r="AC18" i="7"/>
  <c r="AD18" i="7"/>
  <c r="K19" i="7"/>
  <c r="O19" i="7"/>
  <c r="R19" i="7"/>
  <c r="U19" i="7"/>
  <c r="X19" i="7"/>
  <c r="AA19" i="7"/>
  <c r="AB19" i="7"/>
  <c r="P19" i="7"/>
  <c r="Q19" i="7"/>
  <c r="S19" i="7"/>
  <c r="T19" i="7"/>
  <c r="V19" i="7"/>
  <c r="W19" i="7"/>
  <c r="Y19" i="7"/>
  <c r="Z19" i="7"/>
  <c r="AC19" i="7"/>
  <c r="AD19" i="7"/>
  <c r="K20" i="7"/>
  <c r="O20" i="7"/>
  <c r="R20" i="7"/>
  <c r="U20" i="7"/>
  <c r="X20" i="7"/>
  <c r="AA20" i="7"/>
  <c r="AB20" i="7"/>
  <c r="P20" i="7"/>
  <c r="Q20" i="7"/>
  <c r="S20" i="7"/>
  <c r="T20" i="7"/>
  <c r="V20" i="7"/>
  <c r="W20" i="7"/>
  <c r="Y20" i="7"/>
  <c r="Z20" i="7"/>
  <c r="AC20" i="7"/>
  <c r="AD20" i="7"/>
  <c r="K21" i="7"/>
  <c r="O21" i="7"/>
  <c r="R21" i="7"/>
  <c r="U21" i="7"/>
  <c r="X21" i="7"/>
  <c r="AA21" i="7"/>
  <c r="AB21" i="7"/>
  <c r="P21" i="7"/>
  <c r="Q21" i="7"/>
  <c r="S21" i="7"/>
  <c r="T21" i="7"/>
  <c r="V21" i="7"/>
  <c r="W21" i="7"/>
  <c r="Y21" i="7"/>
  <c r="Z21" i="7"/>
  <c r="AC21" i="7"/>
  <c r="AD21" i="7"/>
  <c r="K22" i="7"/>
  <c r="O22" i="7"/>
  <c r="R22" i="7"/>
  <c r="U22" i="7"/>
  <c r="X22" i="7"/>
  <c r="AA22" i="7"/>
  <c r="AB22" i="7"/>
  <c r="P22" i="7"/>
  <c r="Q22" i="7"/>
  <c r="S22" i="7"/>
  <c r="T22" i="7"/>
  <c r="V22" i="7"/>
  <c r="W22" i="7"/>
  <c r="Y22" i="7"/>
  <c r="Z22" i="7"/>
  <c r="AC22" i="7"/>
  <c r="AD22" i="7"/>
  <c r="K23" i="7"/>
  <c r="O23" i="7"/>
  <c r="R23" i="7"/>
  <c r="U23" i="7"/>
  <c r="X23" i="7"/>
  <c r="AA23" i="7"/>
  <c r="AB23" i="7"/>
  <c r="P23" i="7"/>
  <c r="Q23" i="7"/>
  <c r="S23" i="7"/>
  <c r="T23" i="7"/>
  <c r="V23" i="7"/>
  <c r="W23" i="7"/>
  <c r="Y23" i="7"/>
  <c r="Z23" i="7"/>
  <c r="AC23" i="7"/>
  <c r="AD23" i="7"/>
  <c r="E6" i="7"/>
  <c r="F6" i="7"/>
  <c r="F31" i="11"/>
  <c r="F6" i="10"/>
  <c r="G31" i="11"/>
  <c r="F6" i="8"/>
  <c r="H31" i="11"/>
  <c r="E3" i="8"/>
  <c r="F3" i="8"/>
  <c r="H28" i="11"/>
  <c r="E3" i="10"/>
  <c r="F3" i="10"/>
  <c r="G28" i="11"/>
  <c r="E3" i="7"/>
  <c r="F3" i="7"/>
  <c r="F28" i="11"/>
  <c r="E28" i="11"/>
  <c r="D28" i="11"/>
  <c r="C29" i="11"/>
  <c r="C30" i="11"/>
  <c r="C31" i="11"/>
  <c r="C28" i="11"/>
  <c r="F36" i="10"/>
  <c r="F33" i="10"/>
  <c r="F32" i="10"/>
  <c r="E31" i="10"/>
  <c r="D31" i="10"/>
  <c r="C31" i="10"/>
  <c r="C19" i="10"/>
  <c r="C19" i="8"/>
  <c r="AF4" i="8"/>
  <c r="F31" i="10"/>
  <c r="G29" i="10"/>
  <c r="F38" i="10"/>
  <c r="F39" i="10"/>
  <c r="G30" i="10"/>
  <c r="G31" i="10"/>
  <c r="F37" i="10"/>
  <c r="AF4" i="10"/>
  <c r="AE4" i="10"/>
  <c r="AF5" i="10"/>
  <c r="AE5" i="10"/>
  <c r="AF6" i="10"/>
  <c r="AE6" i="10"/>
  <c r="AF7" i="10"/>
  <c r="D3" i="10"/>
  <c r="C3" i="10"/>
  <c r="AE7" i="10"/>
  <c r="AF8" i="10"/>
  <c r="AE8" i="10"/>
  <c r="AF9" i="10"/>
  <c r="AE9" i="10"/>
  <c r="AE10" i="10"/>
  <c r="AF10" i="10"/>
  <c r="AF11" i="10"/>
  <c r="D4" i="10"/>
  <c r="C4" i="10"/>
  <c r="AE11" i="10"/>
  <c r="AF12" i="10"/>
  <c r="AE12" i="10"/>
  <c r="C5" i="10"/>
  <c r="AF13" i="10"/>
  <c r="D5" i="10"/>
  <c r="AE13" i="10"/>
  <c r="AF14" i="10"/>
  <c r="AE14" i="10"/>
  <c r="AF15" i="10"/>
  <c r="AE15" i="10"/>
  <c r="AF16" i="10"/>
  <c r="AE16" i="10"/>
  <c r="AF17" i="10"/>
  <c r="AE17" i="10"/>
  <c r="AF18" i="10"/>
  <c r="AE18" i="10"/>
  <c r="AF19" i="10"/>
  <c r="AE19" i="10"/>
  <c r="AF20" i="10"/>
  <c r="AE20" i="10"/>
  <c r="AF21" i="10"/>
  <c r="AE21" i="10"/>
  <c r="AF22" i="10"/>
  <c r="AE22" i="10"/>
  <c r="C6" i="10"/>
  <c r="AF23" i="10"/>
  <c r="D6" i="10"/>
  <c r="AE23" i="10"/>
  <c r="L11" i="7"/>
  <c r="L4" i="7"/>
  <c r="L20" i="7"/>
  <c r="F36" i="8"/>
  <c r="F33" i="8"/>
  <c r="F32" i="8"/>
  <c r="E31" i="8"/>
  <c r="D31" i="8"/>
  <c r="C31" i="8"/>
  <c r="L13" i="7"/>
  <c r="L14" i="7"/>
  <c r="L21" i="7"/>
  <c r="L22" i="7"/>
  <c r="L15" i="7"/>
  <c r="L23" i="7"/>
  <c r="L16" i="7"/>
  <c r="L17" i="7"/>
  <c r="L18" i="7"/>
  <c r="L19" i="7"/>
  <c r="L12" i="7"/>
  <c r="F31" i="8"/>
  <c r="F36" i="7"/>
  <c r="G29" i="8"/>
  <c r="F38" i="8"/>
  <c r="G30" i="8"/>
  <c r="G31" i="8"/>
  <c r="F39" i="8"/>
  <c r="F37" i="8"/>
  <c r="F33" i="7"/>
  <c r="F32" i="7"/>
  <c r="E31" i="7"/>
  <c r="D31" i="7"/>
  <c r="C31" i="7"/>
  <c r="C19" i="7"/>
  <c r="AE4" i="8"/>
  <c r="F31" i="7"/>
  <c r="G29" i="7"/>
  <c r="L5" i="7"/>
  <c r="AF5" i="8"/>
  <c r="G30" i="7"/>
  <c r="G31" i="7"/>
  <c r="L6" i="7"/>
  <c r="AE5" i="8"/>
  <c r="F38" i="7"/>
  <c r="F39" i="7"/>
  <c r="F37" i="7"/>
  <c r="L7" i="7"/>
  <c r="AF6" i="8"/>
  <c r="L8" i="7"/>
  <c r="AE6" i="8"/>
  <c r="AF4" i="7"/>
  <c r="L10" i="7"/>
  <c r="L9" i="7"/>
  <c r="AF7" i="8"/>
  <c r="C3" i="8"/>
  <c r="AE4" i="7"/>
  <c r="AF5" i="7"/>
  <c r="D3" i="8"/>
  <c r="AF8" i="8"/>
  <c r="AE5" i="7"/>
  <c r="AE7" i="8"/>
  <c r="AF6" i="7"/>
  <c r="AE8" i="8"/>
  <c r="AF9" i="8"/>
  <c r="AE6" i="7"/>
  <c r="AE9" i="8"/>
  <c r="AF7" i="7"/>
  <c r="AF10" i="8"/>
  <c r="C3" i="7"/>
  <c r="AE7" i="7"/>
  <c r="D3" i="7"/>
  <c r="AF8" i="7"/>
  <c r="AE10" i="8"/>
  <c r="AF11" i="8"/>
  <c r="AE8" i="7"/>
  <c r="C4" i="8"/>
  <c r="AF9" i="7"/>
  <c r="AF12" i="8"/>
  <c r="D4" i="8"/>
  <c r="AE9" i="7"/>
  <c r="AE11" i="8"/>
  <c r="AF10" i="7"/>
  <c r="AE12" i="8"/>
  <c r="AE10" i="7"/>
  <c r="AF13" i="8"/>
  <c r="D5" i="8"/>
  <c r="C5" i="8"/>
  <c r="AF11" i="7"/>
  <c r="AE13" i="8"/>
  <c r="AF12" i="7"/>
  <c r="AF14" i="8"/>
  <c r="D4" i="7"/>
  <c r="AE11" i="7"/>
  <c r="C4" i="7"/>
  <c r="AE14" i="8"/>
  <c r="AF15" i="8"/>
  <c r="AE12" i="7"/>
  <c r="AE15" i="8"/>
  <c r="AF13" i="7"/>
  <c r="AE13" i="7"/>
  <c r="AF16" i="8"/>
  <c r="C5" i="7"/>
  <c r="AE16" i="8"/>
  <c r="AF14" i="7"/>
  <c r="D5" i="7"/>
  <c r="AE14" i="7"/>
  <c r="AF17" i="8"/>
  <c r="AE17" i="8"/>
  <c r="AF15" i="7"/>
  <c r="AE15" i="7"/>
  <c r="AF18" i="8"/>
  <c r="AE18" i="8"/>
  <c r="AF16" i="7"/>
  <c r="AE16" i="7"/>
  <c r="AF19" i="8"/>
  <c r="AE19" i="8"/>
  <c r="AF17" i="7"/>
  <c r="AE17" i="7"/>
  <c r="AF20" i="8"/>
  <c r="AE20" i="8"/>
  <c r="AF18" i="7"/>
  <c r="AE18" i="7"/>
  <c r="AF21" i="8"/>
  <c r="AE21" i="8"/>
  <c r="AF19" i="7"/>
  <c r="AE19" i="7"/>
  <c r="AF22" i="8"/>
  <c r="AE22" i="8"/>
  <c r="AF20" i="7"/>
  <c r="AE20" i="7"/>
  <c r="AF23" i="8"/>
  <c r="C6" i="8"/>
  <c r="AF21" i="7"/>
  <c r="AE23" i="8"/>
  <c r="AE21" i="7"/>
  <c r="D6" i="8"/>
  <c r="AF22" i="7"/>
  <c r="AE22" i="7"/>
  <c r="AF23" i="7"/>
  <c r="C6" i="7"/>
  <c r="AE23" i="7"/>
  <c r="D6" i="7"/>
</calcChain>
</file>

<file path=xl/sharedStrings.xml><?xml version="1.0" encoding="utf-8"?>
<sst xmlns="http://schemas.openxmlformats.org/spreadsheetml/2006/main" count="346" uniqueCount="89">
  <si>
    <t>Number</t>
  </si>
  <si>
    <t>Assumptions</t>
  </si>
  <si>
    <t>Year</t>
  </si>
  <si>
    <t>Sites</t>
  </si>
  <si>
    <t>Phase</t>
  </si>
  <si>
    <t>Demonstration</t>
  </si>
  <si>
    <t>Preparation</t>
  </si>
  <si>
    <t>Ngamiland</t>
  </si>
  <si>
    <t>Kgalagadi</t>
  </si>
  <si>
    <t>Bobirwa</t>
  </si>
  <si>
    <t>Priority</t>
  </si>
  <si>
    <t>Remaining</t>
  </si>
  <si>
    <t>Total</t>
  </si>
  <si>
    <t>Amplification</t>
  </si>
  <si>
    <t>Post</t>
  </si>
  <si>
    <t>Livestock</t>
  </si>
  <si>
    <t>Demonstration sites</t>
  </si>
  <si>
    <t>Priority sites</t>
  </si>
  <si>
    <t>Amplification sites</t>
  </si>
  <si>
    <t>Cumulative</t>
  </si>
  <si>
    <t>Remaining sites</t>
  </si>
  <si>
    <t>Total sites</t>
  </si>
  <si>
    <t>Efficacy</t>
  </si>
  <si>
    <t>Efficacy in first year</t>
  </si>
  <si>
    <t>Efficacy in second year</t>
  </si>
  <si>
    <t>Maximum efficacy for non-project sites</t>
  </si>
  <si>
    <t>Total ER (tCO2e/year)</t>
  </si>
  <si>
    <t>10 year impact</t>
  </si>
  <si>
    <t>20 year impact</t>
  </si>
  <si>
    <t>Target emissions reduction (tCO2e/head/year)</t>
  </si>
  <si>
    <t>Amplification phase (phase 4) has x% more sites than phase 3</t>
  </si>
  <si>
    <t>Number of sites adopting model per year post-implementation period</t>
  </si>
  <si>
    <t>Results summary</t>
  </si>
  <si>
    <t>Implementation period (years)</t>
  </si>
  <si>
    <t>Conservative estimate</t>
  </si>
  <si>
    <t xml:space="preserve">Based on IPCC 2006 Tier 2 Inventory </t>
  </si>
  <si>
    <t>Efficacy in third year</t>
  </si>
  <si>
    <t>Efficacy in fourth year and onwards</t>
  </si>
  <si>
    <t>Final project impact (8 year)</t>
  </si>
  <si>
    <t>Mid-term project impact (4 year)</t>
  </si>
  <si>
    <t>tCO2e/year</t>
  </si>
  <si>
    <t>Number of livestock per VDC</t>
  </si>
  <si>
    <t>Total number of livestock in target areas</t>
  </si>
  <si>
    <t>Total number of VDCs in target areas</t>
  </si>
  <si>
    <t>Approximate baseline number</t>
  </si>
  <si>
    <t>Validated</t>
  </si>
  <si>
    <t>Baseline emissions (tCO2e/head/year)</t>
  </si>
  <si>
    <t>Target emissions (tCO2e/head/year)</t>
  </si>
  <si>
    <t>Calculated</t>
  </si>
  <si>
    <t>Emissions reduction (tCO2e)</t>
  </si>
  <si>
    <t>Annual ER (tCO2e/year)</t>
  </si>
  <si>
    <t>Without project emissions  (tCO2e/head/year)</t>
  </si>
  <si>
    <t>Total target livestock</t>
  </si>
  <si>
    <t>Total project livestock</t>
  </si>
  <si>
    <t>a</t>
  </si>
  <si>
    <t>f</t>
  </si>
  <si>
    <t>m</t>
  </si>
  <si>
    <t>e</t>
  </si>
  <si>
    <t>b</t>
  </si>
  <si>
    <t>c</t>
  </si>
  <si>
    <t>l</t>
  </si>
  <si>
    <t>d</t>
  </si>
  <si>
    <t>g</t>
  </si>
  <si>
    <t>h</t>
  </si>
  <si>
    <t>i</t>
  </si>
  <si>
    <t>j</t>
  </si>
  <si>
    <t>k</t>
  </si>
  <si>
    <t>n</t>
  </si>
  <si>
    <t>Total livestock per project area (g) divided by the number of sites per project area (h)</t>
  </si>
  <si>
    <t>VDCs</t>
  </si>
  <si>
    <t>Ambitious estimate</t>
  </si>
  <si>
    <t>Probable estimate</t>
  </si>
  <si>
    <t>Possible estimate</t>
  </si>
  <si>
    <t>Total no project livestock #</t>
  </si>
  <si>
    <t>Total project scenario livestock #</t>
  </si>
  <si>
    <t>No project Livestock # per VDC</t>
  </si>
  <si>
    <t>Project Scenario Livestock # per VDC</t>
  </si>
  <si>
    <t>Cumulative ER (tCO2e/year)</t>
  </si>
  <si>
    <t>Cumulative emissions reduction (tCO2e)</t>
  </si>
  <si>
    <t>Annualized emissions reduction (tCO2e/year)</t>
  </si>
  <si>
    <t>Conservative</t>
  </si>
  <si>
    <t>Moderate</t>
  </si>
  <si>
    <t>Maximum</t>
  </si>
  <si>
    <t>Ecosystem Based Adaptation and Mitigation in Botswana's Communal Rangelands</t>
  </si>
  <si>
    <t xml:space="preserve">Annex 2 - Feasibility Study - Section 3 Carbon and Water Baseline </t>
  </si>
  <si>
    <t>No Project Emissions* (tCO2e/year)</t>
  </si>
  <si>
    <t>Project Emissions* (tCO2e/year)</t>
  </si>
  <si>
    <t>*Emissions are reported for the purpose of calculating the difference between the project and no project scenarios (where no difference exists). Emissions from land and livestock not included in the project are therefore not reported. These figures do not represent the total emissions for the targeted districts.</t>
  </si>
  <si>
    <t xml:space="preserve">Appendix 3.4 - Livestock Mitigation Targets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</si>
</sst>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3" formatCode="_(* #,##0.00_);_(* \(#,##0.00\);_(* &quot;-&quot;??_);_(@_)"/>
    <numFmt numFmtId="164" formatCode="_(* #,##0_);_(* \(#,##0\);_(* &quot;-&quot;??_);_(@_)"/>
    <numFmt numFmtId="165" formatCode="0.0%"/>
    <numFmt numFmtId="166" formatCode="0.000"/>
  </numFmts>
  <fonts count="7" x14ac:knownFonts="1">
    <font>
      <sz val="11"/>
      <color theme="1"/>
      <name val="Calibri"/>
      <family val="2"/>
      <scheme val="minor"/>
    </font>
    <font>
      <sz val="11"/>
      <color theme="1"/>
      <name val="Calibri"/>
      <family val="2"/>
      <scheme val="minor"/>
    </font>
    <font>
      <b/>
      <sz val="11"/>
      <color theme="1"/>
      <name val="Calibri"/>
      <family val="2"/>
      <scheme val="minor"/>
    </font>
    <font>
      <sz val="8"/>
      <name val="Calibri"/>
      <family val="2"/>
      <scheme val="minor"/>
    </font>
    <font>
      <b/>
      <sz val="16"/>
      <name val="Arial"/>
      <family val="2"/>
    </font>
    <font>
      <sz val="14"/>
      <name val="Arial"/>
      <family val="2"/>
    </font>
    <font>
      <b/>
      <sz val="14"/>
      <name val="Arial"/>
      <family val="2"/>
    </font>
  </fonts>
  <fills count="7">
    <fill>
      <patternFill patternType="none"/>
    </fill>
    <fill>
      <patternFill patternType="gray125"/>
    </fill>
    <fill>
      <patternFill patternType="solid">
        <fgColor theme="0" tint="-0.249977111117893"/>
        <bgColor indexed="64"/>
      </patternFill>
    </fill>
    <fill>
      <patternFill patternType="solid">
        <fgColor theme="8" tint="0.59999389629810485"/>
        <bgColor indexed="64"/>
      </patternFill>
    </fill>
    <fill>
      <patternFill patternType="solid">
        <fgColor theme="0"/>
        <bgColor indexed="64"/>
      </patternFill>
    </fill>
    <fill>
      <patternFill patternType="solid">
        <fgColor theme="7" tint="0.59999389629810485"/>
        <bgColor indexed="64"/>
      </patternFill>
    </fill>
    <fill>
      <patternFill patternType="solid">
        <fgColor theme="4" tint="0.79998168889431442"/>
        <bgColor indexed="64"/>
      </patternFill>
    </fill>
  </fills>
  <borders count="28">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bottom style="thin">
        <color auto="1"/>
      </bottom>
      <diagonal/>
    </border>
    <border>
      <left/>
      <right/>
      <top style="thin">
        <color auto="1"/>
      </top>
      <bottom style="thin">
        <color auto="1"/>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top style="thin">
        <color auto="1"/>
      </top>
      <bottom/>
      <diagonal/>
    </border>
    <border>
      <left style="thin">
        <color auto="1"/>
      </left>
      <right style="thin">
        <color auto="1"/>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dashed">
        <color auto="1"/>
      </bottom>
      <diagonal/>
    </border>
    <border>
      <left style="thin">
        <color auto="1"/>
      </left>
      <right style="thin">
        <color auto="1"/>
      </right>
      <top/>
      <bottom style="dashed">
        <color auto="1"/>
      </bottom>
      <diagonal/>
    </border>
    <border>
      <left/>
      <right/>
      <top/>
      <bottom style="dashed">
        <color auto="1"/>
      </bottom>
      <diagonal/>
    </border>
    <border>
      <left/>
      <right style="thin">
        <color auto="1"/>
      </right>
      <top/>
      <bottom style="dashed">
        <color auto="1"/>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s>
  <cellStyleXfs count="4">
    <xf numFmtId="0" fontId="0" fillId="0" borderId="0"/>
    <xf numFmtId="43" fontId="1" fillId="0" borderId="0" applyFont="0" applyFill="0" applyBorder="0" applyAlignment="0" applyProtection="0"/>
    <xf numFmtId="9" fontId="1" fillId="0" borderId="0" applyFont="0" applyFill="0" applyBorder="0" applyAlignment="0" applyProtection="0"/>
    <xf numFmtId="43" fontId="1" fillId="0" borderId="0" applyFont="0" applyFill="0" applyBorder="0" applyAlignment="0" applyProtection="0"/>
  </cellStyleXfs>
  <cellXfs count="119">
    <xf numFmtId="0" fontId="0" fillId="0" borderId="0" xfId="0"/>
    <xf numFmtId="164" fontId="0" fillId="0" borderId="0" xfId="1" applyNumberFormat="1" applyFont="1"/>
    <xf numFmtId="9" fontId="0" fillId="0" borderId="0" xfId="2" applyFont="1" applyBorder="1"/>
    <xf numFmtId="0" fontId="0" fillId="0" borderId="0" xfId="0" applyBorder="1"/>
    <xf numFmtId="164" fontId="0" fillId="0" borderId="0" xfId="1" applyNumberFormat="1" applyFont="1" applyBorder="1"/>
    <xf numFmtId="0" fontId="2" fillId="0" borderId="0" xfId="0" applyFont="1" applyBorder="1"/>
    <xf numFmtId="164" fontId="0" fillId="0" borderId="3" xfId="1" applyNumberFormat="1" applyFont="1" applyBorder="1"/>
    <xf numFmtId="164" fontId="0" fillId="2" borderId="7" xfId="1" applyNumberFormat="1" applyFont="1" applyFill="1" applyBorder="1"/>
    <xf numFmtId="164" fontId="0" fillId="2" borderId="15" xfId="1" applyNumberFormat="1" applyFont="1" applyFill="1" applyBorder="1"/>
    <xf numFmtId="164" fontId="0" fillId="2" borderId="14" xfId="1" applyNumberFormat="1" applyFont="1" applyFill="1" applyBorder="1"/>
    <xf numFmtId="164" fontId="0" fillId="2" borderId="12" xfId="1" applyNumberFormat="1" applyFont="1" applyFill="1" applyBorder="1"/>
    <xf numFmtId="164" fontId="0" fillId="2" borderId="13" xfId="1" applyNumberFormat="1" applyFont="1" applyFill="1" applyBorder="1"/>
    <xf numFmtId="9" fontId="0" fillId="2" borderId="0" xfId="2" applyFont="1" applyFill="1" applyBorder="1"/>
    <xf numFmtId="164" fontId="0" fillId="2" borderId="8" xfId="1" applyNumberFormat="1" applyFont="1" applyFill="1" applyBorder="1"/>
    <xf numFmtId="164" fontId="0" fillId="2" borderId="0" xfId="1" applyNumberFormat="1" applyFont="1" applyFill="1" applyBorder="1"/>
    <xf numFmtId="164" fontId="0" fillId="2" borderId="4" xfId="1" applyNumberFormat="1" applyFont="1" applyFill="1" applyBorder="1"/>
    <xf numFmtId="164" fontId="0" fillId="2" borderId="9" xfId="1" applyNumberFormat="1" applyFont="1" applyFill="1" applyBorder="1"/>
    <xf numFmtId="9" fontId="0" fillId="2" borderId="10" xfId="2" applyFont="1" applyFill="1" applyBorder="1"/>
    <xf numFmtId="164" fontId="0" fillId="2" borderId="11" xfId="1" applyNumberFormat="1" applyFont="1" applyFill="1" applyBorder="1"/>
    <xf numFmtId="164" fontId="0" fillId="2" borderId="10" xfId="1" applyNumberFormat="1" applyFont="1" applyFill="1" applyBorder="1"/>
    <xf numFmtId="164" fontId="0" fillId="2" borderId="5" xfId="1" applyNumberFormat="1" applyFont="1" applyFill="1" applyBorder="1"/>
    <xf numFmtId="164" fontId="0" fillId="2" borderId="16" xfId="1" applyNumberFormat="1" applyFont="1" applyFill="1" applyBorder="1"/>
    <xf numFmtId="9" fontId="0" fillId="2" borderId="18" xfId="2" applyFont="1" applyFill="1" applyBorder="1"/>
    <xf numFmtId="164" fontId="0" fillId="2" borderId="19" xfId="1" applyNumberFormat="1" applyFont="1" applyFill="1" applyBorder="1"/>
    <xf numFmtId="164" fontId="0" fillId="2" borderId="18" xfId="1" applyNumberFormat="1" applyFont="1" applyFill="1" applyBorder="1"/>
    <xf numFmtId="164" fontId="0" fillId="2" borderId="17" xfId="1" applyNumberFormat="1" applyFont="1" applyFill="1" applyBorder="1"/>
    <xf numFmtId="164" fontId="0" fillId="2" borderId="0" xfId="0" applyNumberFormat="1" applyFill="1" applyBorder="1"/>
    <xf numFmtId="164" fontId="0" fillId="2" borderId="10" xfId="0" applyNumberFormat="1" applyFill="1" applyBorder="1"/>
    <xf numFmtId="9" fontId="0" fillId="3" borderId="8" xfId="2" applyFont="1" applyFill="1" applyBorder="1"/>
    <xf numFmtId="0" fontId="0" fillId="3" borderId="8" xfId="0" applyFill="1" applyBorder="1"/>
    <xf numFmtId="164" fontId="0" fillId="3" borderId="8" xfId="1" applyNumberFormat="1" applyFont="1" applyFill="1" applyBorder="1"/>
    <xf numFmtId="0" fontId="0" fillId="3" borderId="11" xfId="0" applyFill="1" applyBorder="1"/>
    <xf numFmtId="164" fontId="0" fillId="3" borderId="0" xfId="1" applyNumberFormat="1" applyFont="1" applyFill="1" applyBorder="1"/>
    <xf numFmtId="164" fontId="0" fillId="2" borderId="6" xfId="1" applyNumberFormat="1" applyFont="1" applyFill="1" applyBorder="1"/>
    <xf numFmtId="0" fontId="0" fillId="2" borderId="0" xfId="0" applyFill="1" applyBorder="1" applyAlignment="1">
      <alignment horizontal="right"/>
    </xf>
    <xf numFmtId="0" fontId="0" fillId="2" borderId="18" xfId="0" applyFill="1" applyBorder="1" applyAlignment="1">
      <alignment horizontal="right"/>
    </xf>
    <xf numFmtId="0" fontId="0" fillId="2" borderId="10" xfId="0" applyFill="1" applyBorder="1" applyAlignment="1">
      <alignment horizontal="right"/>
    </xf>
    <xf numFmtId="0" fontId="0" fillId="3" borderId="14" xfId="0" applyFill="1" applyBorder="1"/>
    <xf numFmtId="0" fontId="0" fillId="3" borderId="0" xfId="0" applyFill="1" applyBorder="1"/>
    <xf numFmtId="0" fontId="0" fillId="3" borderId="10" xfId="0" applyFill="1" applyBorder="1"/>
    <xf numFmtId="0" fontId="0" fillId="4" borderId="7" xfId="0" applyFill="1" applyBorder="1"/>
    <xf numFmtId="0" fontId="0" fillId="4" borderId="9" xfId="0" applyFill="1" applyBorder="1"/>
    <xf numFmtId="0" fontId="0" fillId="4" borderId="2" xfId="0" applyFill="1" applyBorder="1"/>
    <xf numFmtId="0" fontId="2" fillId="4" borderId="2" xfId="0" applyFont="1" applyFill="1" applyBorder="1"/>
    <xf numFmtId="0" fontId="0" fillId="4" borderId="7" xfId="0" applyFill="1" applyBorder="1" applyAlignment="1">
      <alignment horizontal="left"/>
    </xf>
    <xf numFmtId="0" fontId="0" fillId="4" borderId="9" xfId="0" applyFill="1" applyBorder="1" applyAlignment="1">
      <alignment horizontal="left"/>
    </xf>
    <xf numFmtId="0" fontId="2" fillId="4" borderId="6" xfId="0" applyFont="1" applyFill="1" applyBorder="1"/>
    <xf numFmtId="0" fontId="2" fillId="4" borderId="3" xfId="0" applyFont="1" applyFill="1" applyBorder="1"/>
    <xf numFmtId="0" fontId="0" fillId="4" borderId="3" xfId="0" applyFill="1" applyBorder="1"/>
    <xf numFmtId="0" fontId="0" fillId="4" borderId="12" xfId="0" applyFill="1" applyBorder="1"/>
    <xf numFmtId="0" fontId="0" fillId="4" borderId="13" xfId="0" applyFill="1" applyBorder="1"/>
    <xf numFmtId="0" fontId="0" fillId="4" borderId="4" xfId="0" applyFill="1" applyBorder="1"/>
    <xf numFmtId="0" fontId="0" fillId="4" borderId="5" xfId="0" applyFill="1" applyBorder="1"/>
    <xf numFmtId="0" fontId="0" fillId="4" borderId="16" xfId="0" applyFill="1" applyBorder="1"/>
    <xf numFmtId="0" fontId="0" fillId="4" borderId="17" xfId="0" applyFill="1" applyBorder="1"/>
    <xf numFmtId="0" fontId="2" fillId="4" borderId="1" xfId="0" applyFont="1" applyFill="1" applyBorder="1"/>
    <xf numFmtId="164" fontId="0" fillId="3" borderId="6" xfId="1" applyNumberFormat="1" applyFont="1" applyFill="1" applyBorder="1"/>
    <xf numFmtId="0" fontId="2" fillId="4" borderId="3" xfId="0" applyFont="1" applyFill="1" applyBorder="1" applyAlignment="1">
      <alignment wrapText="1"/>
    </xf>
    <xf numFmtId="164" fontId="2" fillId="2" borderId="8" xfId="0" applyNumberFormat="1" applyFont="1" applyFill="1" applyBorder="1"/>
    <xf numFmtId="164" fontId="2" fillId="2" borderId="11" xfId="0" applyNumberFormat="1" applyFont="1" applyFill="1" applyBorder="1"/>
    <xf numFmtId="9" fontId="0" fillId="0" borderId="0" xfId="2" applyFont="1" applyFill="1" applyBorder="1"/>
    <xf numFmtId="164" fontId="0" fillId="0" borderId="0" xfId="0" applyNumberFormat="1"/>
    <xf numFmtId="165" fontId="0" fillId="0" borderId="0" xfId="2" applyNumberFormat="1" applyFont="1"/>
    <xf numFmtId="0" fontId="0" fillId="4" borderId="7" xfId="0" applyFont="1" applyFill="1" applyBorder="1"/>
    <xf numFmtId="164" fontId="0" fillId="2" borderId="0" xfId="0" applyNumberFormat="1" applyFont="1" applyFill="1" applyBorder="1"/>
    <xf numFmtId="164" fontId="2" fillId="2" borderId="8" xfId="0" applyNumberFormat="1" applyFont="1" applyFill="1" applyBorder="1" applyAlignment="1">
      <alignment wrapText="1"/>
    </xf>
    <xf numFmtId="164" fontId="0" fillId="0" borderId="0" xfId="1" applyNumberFormat="1" applyFont="1" applyFill="1" applyBorder="1"/>
    <xf numFmtId="0" fontId="0" fillId="0" borderId="0" xfId="0" applyFill="1"/>
    <xf numFmtId="164" fontId="1" fillId="3" borderId="0" xfId="1" applyNumberFormat="1" applyFont="1" applyFill="1" applyBorder="1"/>
    <xf numFmtId="0" fontId="0" fillId="0" borderId="0" xfId="0" applyFill="1" applyBorder="1"/>
    <xf numFmtId="164" fontId="0" fillId="3" borderId="9" xfId="1" applyNumberFormat="1" applyFont="1" applyFill="1" applyBorder="1"/>
    <xf numFmtId="164" fontId="0" fillId="3" borderId="13" xfId="1" applyNumberFormat="1" applyFont="1" applyFill="1" applyBorder="1"/>
    <xf numFmtId="0" fontId="2" fillId="4" borderId="6" xfId="0" applyFont="1" applyFill="1" applyBorder="1" applyAlignment="1">
      <alignment wrapText="1"/>
    </xf>
    <xf numFmtId="164" fontId="2" fillId="2" borderId="0" xfId="0" applyNumberFormat="1" applyFont="1" applyFill="1"/>
    <xf numFmtId="164" fontId="2" fillId="2" borderId="10" xfId="0" applyNumberFormat="1" applyFont="1" applyFill="1" applyBorder="1"/>
    <xf numFmtId="9" fontId="0" fillId="0" borderId="0" xfId="2" applyFont="1"/>
    <xf numFmtId="9" fontId="0" fillId="5" borderId="8" xfId="2" applyFont="1" applyFill="1" applyBorder="1"/>
    <xf numFmtId="0" fontId="0" fillId="5" borderId="8" xfId="0" applyFill="1" applyBorder="1"/>
    <xf numFmtId="1" fontId="0" fillId="0" borderId="0" xfId="0" applyNumberFormat="1"/>
    <xf numFmtId="1" fontId="0" fillId="0" borderId="0" xfId="1" applyNumberFormat="1" applyFont="1"/>
    <xf numFmtId="164" fontId="0" fillId="3" borderId="7" xfId="1" applyNumberFormat="1" applyFont="1" applyFill="1" applyBorder="1"/>
    <xf numFmtId="164" fontId="0" fillId="3" borderId="16" xfId="1" applyNumberFormat="1" applyFont="1" applyFill="1" applyBorder="1"/>
    <xf numFmtId="166" fontId="0" fillId="5" borderId="8" xfId="0" applyNumberFormat="1" applyFill="1" applyBorder="1"/>
    <xf numFmtId="164" fontId="0" fillId="0" borderId="8" xfId="1" applyNumberFormat="1" applyFont="1" applyBorder="1"/>
    <xf numFmtId="164" fontId="0" fillId="0" borderId="10" xfId="1" applyNumberFormat="1" applyFont="1" applyBorder="1"/>
    <xf numFmtId="164" fontId="0" fillId="0" borderId="11" xfId="1" applyNumberFormat="1" applyFont="1" applyBorder="1"/>
    <xf numFmtId="164" fontId="0" fillId="0" borderId="7" xfId="1" applyNumberFormat="1" applyFont="1" applyBorder="1"/>
    <xf numFmtId="164" fontId="0" fillId="0" borderId="9" xfId="1" applyNumberFormat="1" applyFont="1" applyBorder="1"/>
    <xf numFmtId="0" fontId="0" fillId="0" borderId="9" xfId="0" applyFont="1" applyBorder="1" applyAlignment="1">
      <alignment horizontal="center"/>
    </xf>
    <xf numFmtId="0" fontId="0" fillId="0" borderId="10" xfId="0" applyFont="1" applyBorder="1" applyAlignment="1">
      <alignment horizontal="center"/>
    </xf>
    <xf numFmtId="0" fontId="0" fillId="0" borderId="11" xfId="0" applyFont="1" applyBorder="1" applyAlignment="1">
      <alignment horizontal="center"/>
    </xf>
    <xf numFmtId="0" fontId="4" fillId="6" borderId="20" xfId="0" applyFont="1" applyFill="1" applyBorder="1"/>
    <xf numFmtId="0" fontId="0" fillId="6" borderId="21" xfId="0" applyFill="1" applyBorder="1"/>
    <xf numFmtId="0" fontId="0" fillId="6" borderId="22" xfId="0" applyFill="1" applyBorder="1"/>
    <xf numFmtId="0" fontId="5" fillId="6" borderId="23" xfId="0" applyFont="1" applyFill="1" applyBorder="1"/>
    <xf numFmtId="0" fontId="0" fillId="6" borderId="0" xfId="0" applyFill="1" applyBorder="1"/>
    <xf numFmtId="0" fontId="0" fillId="6" borderId="24" xfId="0" applyFill="1" applyBorder="1"/>
    <xf numFmtId="0" fontId="6" fillId="6" borderId="25" xfId="0" applyFont="1" applyFill="1" applyBorder="1"/>
    <xf numFmtId="0" fontId="0" fillId="6" borderId="26" xfId="0" applyFill="1" applyBorder="1"/>
    <xf numFmtId="0" fontId="0" fillId="6" borderId="27" xfId="0" applyFill="1" applyBorder="1"/>
    <xf numFmtId="0" fontId="2" fillId="0" borderId="2" xfId="0" applyFont="1" applyBorder="1" applyAlignment="1">
      <alignment horizontal="center" wrapText="1"/>
    </xf>
    <xf numFmtId="0" fontId="2" fillId="0" borderId="6" xfId="0" applyFont="1" applyBorder="1" applyAlignment="1">
      <alignment horizontal="center" wrapText="1"/>
    </xf>
    <xf numFmtId="0" fontId="2" fillId="0" borderId="3" xfId="0" applyFont="1" applyBorder="1" applyAlignment="1">
      <alignment horizontal="center" wrapText="1"/>
    </xf>
    <xf numFmtId="0" fontId="2" fillId="4" borderId="12" xfId="0" applyFont="1" applyFill="1" applyBorder="1" applyAlignment="1">
      <alignment horizontal="left" vertical="center"/>
    </xf>
    <xf numFmtId="0" fontId="2" fillId="4" borderId="9" xfId="0" applyFont="1" applyFill="1" applyBorder="1" applyAlignment="1">
      <alignment horizontal="left" vertical="center"/>
    </xf>
    <xf numFmtId="0" fontId="2" fillId="4" borderId="6" xfId="0" applyFont="1" applyFill="1" applyBorder="1" applyAlignment="1">
      <alignment horizontal="center" wrapText="1"/>
    </xf>
    <xf numFmtId="0" fontId="0" fillId="0" borderId="14" xfId="0" applyBorder="1" applyAlignment="1">
      <alignment horizontal="left" vertical="top" wrapText="1"/>
    </xf>
    <xf numFmtId="0" fontId="0" fillId="0" borderId="0" xfId="0" applyBorder="1" applyAlignment="1">
      <alignment horizontal="left" vertical="top" wrapText="1"/>
    </xf>
    <xf numFmtId="0" fontId="2" fillId="4" borderId="1" xfId="0" applyFont="1" applyFill="1" applyBorder="1" applyAlignment="1">
      <alignment horizontal="center"/>
    </xf>
    <xf numFmtId="0" fontId="2" fillId="4" borderId="2" xfId="0" applyFont="1" applyFill="1" applyBorder="1" applyAlignment="1">
      <alignment horizontal="center"/>
    </xf>
    <xf numFmtId="0" fontId="2" fillId="4" borderId="1" xfId="0" applyFont="1" applyFill="1" applyBorder="1" applyAlignment="1">
      <alignment horizontal="center" wrapText="1"/>
    </xf>
    <xf numFmtId="0" fontId="2" fillId="4" borderId="6" xfId="0" applyFont="1" applyFill="1" applyBorder="1" applyAlignment="1">
      <alignment horizontal="center"/>
    </xf>
    <xf numFmtId="0" fontId="2" fillId="4" borderId="3" xfId="0" applyFont="1" applyFill="1" applyBorder="1" applyAlignment="1">
      <alignment horizontal="center"/>
    </xf>
    <xf numFmtId="0" fontId="2" fillId="4" borderId="13" xfId="0" applyFont="1" applyFill="1" applyBorder="1" applyAlignment="1">
      <alignment horizontal="center" wrapText="1"/>
    </xf>
    <xf numFmtId="0" fontId="2" fillId="4" borderId="5" xfId="0" applyFont="1" applyFill="1" applyBorder="1" applyAlignment="1">
      <alignment horizontal="center" wrapText="1"/>
    </xf>
    <xf numFmtId="0" fontId="2" fillId="4" borderId="12" xfId="0" applyFont="1" applyFill="1" applyBorder="1" applyAlignment="1">
      <alignment horizontal="center" wrapText="1"/>
    </xf>
    <xf numFmtId="0" fontId="2" fillId="4" borderId="9" xfId="0" applyFont="1" applyFill="1" applyBorder="1" applyAlignment="1">
      <alignment horizontal="center" wrapText="1"/>
    </xf>
    <xf numFmtId="0" fontId="2" fillId="4" borderId="14" xfId="0" applyFont="1" applyFill="1" applyBorder="1" applyAlignment="1">
      <alignment horizontal="center" wrapText="1"/>
    </xf>
    <xf numFmtId="0" fontId="2" fillId="4" borderId="10" xfId="0" applyFont="1" applyFill="1" applyBorder="1" applyAlignment="1">
      <alignment horizontal="center" wrapText="1"/>
    </xf>
  </cellXfs>
  <cellStyles count="4">
    <cellStyle name="Comma" xfId="1" builtinId="3"/>
    <cellStyle name="Comma 2" xfId="3" xr:uid="{00000000-0005-0000-0000-000001000000}"/>
    <cellStyle name="Normal" xfId="0" builtinId="0"/>
    <cellStyle name="Percent" xfId="2" builtinId="5"/>
  </cellStyles>
  <dxfs count="0"/>
  <tableStyles count="0" defaultTableStyle="TableStyleMedium2" defaultPivotStyle="PivotStyleLight16"/>
  <colors>
    <mruColors>
      <color rgb="FFFF8F8F"/>
      <color rgb="FFFFA3A3"/>
      <color rgb="FFC0E399"/>
      <color rgb="FF78B832"/>
      <color rgb="FFC9E7A7"/>
      <color rgb="FFFFEBAB"/>
      <color rgb="FFC5F0FF"/>
      <color rgb="FFDCC5E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externalLink" Target="externalLinks/externalLink1.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2" Type="http://schemas.microsoft.com/office/2011/relationships/chartColorStyle" Target="colors10.xml"/><Relationship Id="rId1" Type="http://schemas.microsoft.com/office/2011/relationships/chartStyle" Target="style10.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scatterChart>
        <c:scatterStyle val="lineMarker"/>
        <c:varyColors val="0"/>
        <c:ser>
          <c:idx val="2"/>
          <c:order val="0"/>
          <c:tx>
            <c:strRef>
              <c:f>Summary!$E$27</c:f>
              <c:strCache>
                <c:ptCount val="1"/>
                <c:pt idx="0">
                  <c:v>Maximum</c:v>
                </c:pt>
              </c:strCache>
            </c:strRef>
          </c:tx>
          <c:spPr>
            <a:ln w="12700" cap="rnd">
              <a:solidFill>
                <a:schemeClr val="accent2"/>
              </a:solidFill>
              <a:round/>
            </a:ln>
            <a:effectLst/>
          </c:spPr>
          <c:marker>
            <c:symbol val="circle"/>
            <c:size val="5"/>
            <c:spPr>
              <a:solidFill>
                <a:schemeClr val="accent2"/>
              </a:solidFill>
              <a:ln w="9525">
                <a:noFill/>
              </a:ln>
              <a:effectLst/>
            </c:spPr>
          </c:marker>
          <c:yVal>
            <c:numRef>
              <c:f>ER_Maximum!$AE$4:$AE$23</c:f>
              <c:numCache>
                <c:formatCode>_(* #,##0_);_(* \(#,##0\);_(* "-"??_);_(@_)</c:formatCode>
                <c:ptCount val="20"/>
                <c:pt idx="0">
                  <c:v>51772.703910576936</c:v>
                </c:pt>
                <c:pt idx="1">
                  <c:v>104702.3557892308</c:v>
                </c:pt>
                <c:pt idx="2">
                  <c:v>341962.10442666424</c:v>
                </c:pt>
                <c:pt idx="3">
                  <c:v>590437.77775422228</c:v>
                </c:pt>
                <c:pt idx="4">
                  <c:v>842507.09755673027</c:v>
                </c:pt>
                <c:pt idx="5">
                  <c:v>1415516.677407589</c:v>
                </c:pt>
                <c:pt idx="6">
                  <c:v>1934968.4968826044</c:v>
                </c:pt>
                <c:pt idx="7">
                  <c:v>2332744.5582234329</c:v>
                </c:pt>
                <c:pt idx="8">
                  <c:v>2634547.3951184754</c:v>
                </c:pt>
                <c:pt idx="9">
                  <c:v>2893992.5131756305</c:v>
                </c:pt>
                <c:pt idx="10">
                  <c:v>3130700.9054892273</c:v>
                </c:pt>
                <c:pt idx="11">
                  <c:v>3395224.0738476366</c:v>
                </c:pt>
                <c:pt idx="12">
                  <c:v>3735867.9459367553</c:v>
                </c:pt>
                <c:pt idx="13">
                  <c:v>4168088.9472842403</c:v>
                </c:pt>
                <c:pt idx="14">
                  <c:v>4644667.1247470649</c:v>
                </c:pt>
                <c:pt idx="15">
                  <c:v>5140341.175696779</c:v>
                </c:pt>
                <c:pt idx="16">
                  <c:v>5635241.3698202837</c:v>
                </c:pt>
                <c:pt idx="17">
                  <c:v>6129356.1587554868</c:v>
                </c:pt>
                <c:pt idx="18">
                  <c:v>6622673.9692585608</c:v>
                </c:pt>
                <c:pt idx="19">
                  <c:v>7115183.2027792512</c:v>
                </c:pt>
              </c:numCache>
            </c:numRef>
          </c:yVal>
          <c:smooth val="0"/>
          <c:extLst>
            <c:ext xmlns:c16="http://schemas.microsoft.com/office/drawing/2014/chart" uri="{C3380CC4-5D6E-409C-BE32-E72D297353CC}">
              <c16:uniqueId val="{00000002-A43C-4CE9-916C-86854BBDBA76}"/>
            </c:ext>
          </c:extLst>
        </c:ser>
        <c:ser>
          <c:idx val="1"/>
          <c:order val="1"/>
          <c:tx>
            <c:strRef>
              <c:f>Summary!$D$27</c:f>
              <c:strCache>
                <c:ptCount val="1"/>
                <c:pt idx="0">
                  <c:v>Moderate</c:v>
                </c:pt>
              </c:strCache>
            </c:strRef>
          </c:tx>
          <c:spPr>
            <a:ln w="12700" cap="rnd">
              <a:solidFill>
                <a:schemeClr val="accent1">
                  <a:lumMod val="75000"/>
                </a:schemeClr>
              </a:solidFill>
              <a:round/>
            </a:ln>
            <a:effectLst/>
          </c:spPr>
          <c:marker>
            <c:symbol val="circle"/>
            <c:size val="5"/>
            <c:spPr>
              <a:solidFill>
                <a:schemeClr val="tx2"/>
              </a:solidFill>
              <a:ln w="9525">
                <a:noFill/>
              </a:ln>
              <a:effectLst/>
            </c:spPr>
          </c:marker>
          <c:yVal>
            <c:numRef>
              <c:f>ER_Moderate!$AE$4:$AE$23</c:f>
              <c:numCache>
                <c:formatCode>_(* #,##0_);_(* \(#,##0\);_(* "-"??_);_(@_)</c:formatCode>
                <c:ptCount val="20"/>
                <c:pt idx="0">
                  <c:v>27840.48628846155</c:v>
                </c:pt>
                <c:pt idx="1">
                  <c:v>63340.394373173105</c:v>
                </c:pt>
                <c:pt idx="2">
                  <c:v>164108.81485324769</c:v>
                </c:pt>
                <c:pt idx="3">
                  <c:v>286631.19793626526</c:v>
                </c:pt>
                <c:pt idx="4">
                  <c:v>427685.2443292088</c:v>
                </c:pt>
                <c:pt idx="5">
                  <c:v>729090.51727285213</c:v>
                </c:pt>
                <c:pt idx="6">
                  <c:v>1006754.4054974022</c:v>
                </c:pt>
                <c:pt idx="7">
                  <c:v>1211965.1395550915</c:v>
                </c:pt>
                <c:pt idx="8">
                  <c:v>1380479.3923547489</c:v>
                </c:pt>
                <c:pt idx="9">
                  <c:v>1514310.5172460596</c:v>
                </c:pt>
                <c:pt idx="10">
                  <c:v>1627071.7506217652</c:v>
                </c:pt>
                <c:pt idx="11">
                  <c:v>1759044.3012897586</c:v>
                </c:pt>
                <c:pt idx="12">
                  <c:v>1949949.7614743442</c:v>
                </c:pt>
                <c:pt idx="13">
                  <c:v>2214094.677560661</c:v>
                </c:pt>
                <c:pt idx="14">
                  <c:v>2512457.3515508226</c:v>
                </c:pt>
                <c:pt idx="15">
                  <c:v>2825598.3338628509</c:v>
                </c:pt>
                <c:pt idx="16">
                  <c:v>3137905.4475356769</c:v>
                </c:pt>
                <c:pt idx="17">
                  <c:v>3449366.2486434272</c:v>
                </c:pt>
                <c:pt idx="18">
                  <c:v>3759968.2664489374</c:v>
                </c:pt>
                <c:pt idx="19">
                  <c:v>4069699.0029461305</c:v>
                </c:pt>
              </c:numCache>
            </c:numRef>
          </c:yVal>
          <c:smooth val="0"/>
          <c:extLst>
            <c:ext xmlns:c16="http://schemas.microsoft.com/office/drawing/2014/chart" uri="{C3380CC4-5D6E-409C-BE32-E72D297353CC}">
              <c16:uniqueId val="{00000001-A43C-4CE9-916C-86854BBDBA76}"/>
            </c:ext>
          </c:extLst>
        </c:ser>
        <c:ser>
          <c:idx val="0"/>
          <c:order val="2"/>
          <c:tx>
            <c:strRef>
              <c:f>Summary!$C$27</c:f>
              <c:strCache>
                <c:ptCount val="1"/>
                <c:pt idx="0">
                  <c:v>Conservative</c:v>
                </c:pt>
              </c:strCache>
            </c:strRef>
          </c:tx>
          <c:spPr>
            <a:ln w="12700" cap="rnd">
              <a:solidFill>
                <a:srgbClr val="00B050"/>
              </a:solidFill>
              <a:round/>
            </a:ln>
            <a:effectLst/>
          </c:spPr>
          <c:marker>
            <c:symbol val="circle"/>
            <c:size val="5"/>
            <c:spPr>
              <a:solidFill>
                <a:srgbClr val="00B050"/>
              </a:solidFill>
              <a:ln w="9525">
                <a:noFill/>
              </a:ln>
              <a:effectLst/>
            </c:spPr>
          </c:marker>
          <c:xVal>
            <c:numRef>
              <c:f>ER_Conservative!$H$4:$H$23</c:f>
              <c:numCache>
                <c:formatCode>General</c:formatCode>
                <c:ptCount val="20"/>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numCache>
            </c:numRef>
          </c:xVal>
          <c:yVal>
            <c:numRef>
              <c:f>ER_Conservative!$AE$4:$AE$23</c:f>
              <c:numCache>
                <c:formatCode>_(* #,##0_);_(* \(#,##0\);_(* "-"??_);_(@_)</c:formatCode>
                <c:ptCount val="20"/>
                <c:pt idx="0">
                  <c:v>13027.56222115385</c:v>
                </c:pt>
                <c:pt idx="1">
                  <c:v>33871.661775000008</c:v>
                </c:pt>
                <c:pt idx="2">
                  <c:v>64848.309723076898</c:v>
                </c:pt>
                <c:pt idx="3">
                  <c:v>116090.05445961535</c:v>
                </c:pt>
                <c:pt idx="4">
                  <c:v>187596.89598461534</c:v>
                </c:pt>
                <c:pt idx="5">
                  <c:v>296228.6093410576</c:v>
                </c:pt>
                <c:pt idx="6">
                  <c:v>416459.11021690926</c:v>
                </c:pt>
                <c:pt idx="7">
                  <c:v>534658.12651876849</c:v>
                </c:pt>
                <c:pt idx="8">
                  <c:v>664817.48453174671</c:v>
                </c:pt>
                <c:pt idx="9">
                  <c:v>794350.56484550727</c:v>
                </c:pt>
                <c:pt idx="10">
                  <c:v>921662.68196091079</c:v>
                </c:pt>
                <c:pt idx="11">
                  <c:v>1058601.6619018773</c:v>
                </c:pt>
                <c:pt idx="12">
                  <c:v>1216198.9202544487</c:v>
                </c:pt>
                <c:pt idx="13">
                  <c:v>1396555.5533624718</c:v>
                </c:pt>
                <c:pt idx="14">
                  <c:v>1589060.8969443329</c:v>
                </c:pt>
                <c:pt idx="15">
                  <c:v>1786753.8128519007</c:v>
                </c:pt>
                <c:pt idx="16">
                  <c:v>1984446.7287594685</c:v>
                </c:pt>
                <c:pt idx="17">
                  <c:v>2182139.6446670364</c:v>
                </c:pt>
                <c:pt idx="18">
                  <c:v>2379832.5605746042</c:v>
                </c:pt>
                <c:pt idx="19">
                  <c:v>2577525.476482172</c:v>
                </c:pt>
              </c:numCache>
            </c:numRef>
          </c:yVal>
          <c:smooth val="0"/>
          <c:extLst>
            <c:ext xmlns:c16="http://schemas.microsoft.com/office/drawing/2014/chart" uri="{C3380CC4-5D6E-409C-BE32-E72D297353CC}">
              <c16:uniqueId val="{00000000-A43C-4CE9-916C-86854BBDBA76}"/>
            </c:ext>
          </c:extLst>
        </c:ser>
        <c:dLbls>
          <c:showLegendKey val="0"/>
          <c:showVal val="0"/>
          <c:showCatName val="0"/>
          <c:showSerName val="0"/>
          <c:showPercent val="0"/>
          <c:showBubbleSize val="0"/>
        </c:dLbls>
        <c:axId val="-1009749072"/>
        <c:axId val="-1009746640"/>
      </c:scatterChart>
      <c:valAx>
        <c:axId val="-1009749072"/>
        <c:scaling>
          <c:orientation val="minMax"/>
          <c:max val="20"/>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ZA"/>
                  <a:t>Implementation</a:t>
                </a:r>
                <a:r>
                  <a:rPr lang="en-ZA" baseline="0"/>
                  <a:t> Year</a:t>
                </a:r>
                <a:endParaRPr lang="en-ZA"/>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009746640"/>
        <c:crosses val="autoZero"/>
        <c:crossBetween val="midCat"/>
      </c:valAx>
      <c:valAx>
        <c:axId val="-1009746640"/>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ZA"/>
                  <a:t>Cumulative Emissions Reduction (tCO2e)</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 sourceLinked="0"/>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009749072"/>
        <c:crosses val="autoZero"/>
        <c:crossBetween val="midCat"/>
      </c:valAx>
      <c:spPr>
        <a:no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ysClr val="windowText" lastClr="000000"/>
      </a:solidFill>
      <a:round/>
    </a:ln>
    <a:effectLst/>
  </c:spPr>
  <c:txPr>
    <a:bodyPr/>
    <a:lstStyle/>
    <a:p>
      <a:pPr>
        <a:defRPr/>
      </a:pPr>
      <a:endParaRPr lang="en-US"/>
    </a:p>
  </c:txPr>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ZA"/>
              <a:t>Cumulative Emissions Reduction (tCO2e)</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0"/>
          <c:order val="0"/>
          <c:spPr>
            <a:ln w="25400" cap="rnd">
              <a:noFill/>
              <a:round/>
            </a:ln>
            <a:effectLst/>
          </c:spPr>
          <c:marker>
            <c:symbol val="circle"/>
            <c:size val="5"/>
            <c:spPr>
              <a:solidFill>
                <a:schemeClr val="accent1"/>
              </a:solidFill>
              <a:ln w="9525">
                <a:solidFill>
                  <a:schemeClr val="tx1"/>
                </a:solidFill>
              </a:ln>
              <a:effectLst/>
            </c:spPr>
          </c:marker>
          <c:xVal>
            <c:numRef>
              <c:f>ER_Maximum!$H$4:$H$23</c:f>
              <c:numCache>
                <c:formatCode>General</c:formatCode>
                <c:ptCount val="20"/>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numCache>
            </c:numRef>
          </c:xVal>
          <c:yVal>
            <c:numRef>
              <c:f>ER_Maximum!$AE$4:$AE$23</c:f>
              <c:numCache>
                <c:formatCode>_(* #,##0_);_(* \(#,##0\);_(* "-"??_);_(@_)</c:formatCode>
                <c:ptCount val="20"/>
                <c:pt idx="0">
                  <c:v>51772.703910576936</c:v>
                </c:pt>
                <c:pt idx="1">
                  <c:v>104702.3557892308</c:v>
                </c:pt>
                <c:pt idx="2">
                  <c:v>341962.10442666424</c:v>
                </c:pt>
                <c:pt idx="3">
                  <c:v>590437.77775422228</c:v>
                </c:pt>
                <c:pt idx="4">
                  <c:v>842507.09755673027</c:v>
                </c:pt>
                <c:pt idx="5">
                  <c:v>1415516.677407589</c:v>
                </c:pt>
                <c:pt idx="6">
                  <c:v>1934968.4968826044</c:v>
                </c:pt>
                <c:pt idx="7">
                  <c:v>2332744.5582234329</c:v>
                </c:pt>
                <c:pt idx="8">
                  <c:v>2634547.3951184754</c:v>
                </c:pt>
                <c:pt idx="9">
                  <c:v>2893992.5131756305</c:v>
                </c:pt>
                <c:pt idx="10">
                  <c:v>3130700.9054892273</c:v>
                </c:pt>
                <c:pt idx="11">
                  <c:v>3395224.0738476366</c:v>
                </c:pt>
                <c:pt idx="12">
                  <c:v>3735867.9459367553</c:v>
                </c:pt>
                <c:pt idx="13">
                  <c:v>4168088.9472842403</c:v>
                </c:pt>
                <c:pt idx="14">
                  <c:v>4644667.1247470649</c:v>
                </c:pt>
                <c:pt idx="15">
                  <c:v>5140341.175696779</c:v>
                </c:pt>
                <c:pt idx="16">
                  <c:v>5635241.3698202837</c:v>
                </c:pt>
                <c:pt idx="17">
                  <c:v>6129356.1587554868</c:v>
                </c:pt>
                <c:pt idx="18">
                  <c:v>6622673.9692585608</c:v>
                </c:pt>
                <c:pt idx="19">
                  <c:v>7115183.2027792512</c:v>
                </c:pt>
              </c:numCache>
            </c:numRef>
          </c:yVal>
          <c:smooth val="0"/>
          <c:extLst>
            <c:ext xmlns:c16="http://schemas.microsoft.com/office/drawing/2014/chart" uri="{C3380CC4-5D6E-409C-BE32-E72D297353CC}">
              <c16:uniqueId val="{00000000-8FA0-49B6-8A16-36849497358E}"/>
            </c:ext>
          </c:extLst>
        </c:ser>
        <c:dLbls>
          <c:showLegendKey val="0"/>
          <c:showVal val="0"/>
          <c:showCatName val="0"/>
          <c:showSerName val="0"/>
          <c:showPercent val="0"/>
          <c:showBubbleSize val="0"/>
        </c:dLbls>
        <c:axId val="-1009541920"/>
        <c:axId val="-1009539872"/>
      </c:scatterChart>
      <c:valAx>
        <c:axId val="-1009541920"/>
        <c:scaling>
          <c:orientation val="minMax"/>
          <c:max val="20"/>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009539872"/>
        <c:crosses val="autoZero"/>
        <c:crossBetween val="midCat"/>
      </c:valAx>
      <c:valAx>
        <c:axId val="-1009539872"/>
        <c:scaling>
          <c:orientation val="minMax"/>
        </c:scaling>
        <c:delete val="0"/>
        <c:axPos val="l"/>
        <c:majorGridlines>
          <c:spPr>
            <a:ln w="9525" cap="flat" cmpd="sng" algn="ctr">
              <a:solidFill>
                <a:schemeClr val="tx1">
                  <a:lumMod val="15000"/>
                  <a:lumOff val="85000"/>
                </a:schemeClr>
              </a:solidFill>
              <a:round/>
            </a:ln>
            <a:effectLst/>
          </c:spPr>
        </c:majorGridlines>
        <c:numFmt formatCode="_(* #,##0_);_(* \(#,##0\);_(* &quot;-&quot;??_);_(@_)"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009541920"/>
        <c:crosses val="autoZero"/>
        <c:crossBetween val="midCat"/>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ZA"/>
              <a:t>Livestock number</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0"/>
          <c:order val="0"/>
          <c:tx>
            <c:v>No project scenario</c:v>
          </c:tx>
          <c:spPr>
            <a:ln w="19050" cap="rnd">
              <a:noFill/>
              <a:round/>
            </a:ln>
            <a:effectLst/>
          </c:spPr>
          <c:marker>
            <c:symbol val="circle"/>
            <c:size val="5"/>
            <c:spPr>
              <a:solidFill>
                <a:schemeClr val="accent1"/>
              </a:solidFill>
              <a:ln w="9525">
                <a:solidFill>
                  <a:schemeClr val="accent1"/>
                </a:solidFill>
              </a:ln>
              <a:effectLst/>
            </c:spPr>
          </c:marker>
          <c:xVal>
            <c:numRef>
              <c:f>ER_Conservative!$H$4:$H$23</c:f>
              <c:numCache>
                <c:formatCode>General</c:formatCode>
                <c:ptCount val="20"/>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numCache>
            </c:numRef>
          </c:xVal>
          <c:yVal>
            <c:numRef>
              <c:f>ER_Conservative!$I$4:$I$23</c:f>
              <c:numCache>
                <c:formatCode>_(* #,##0_);_(* \(#,##0\);_(* "-"??_);_(@_)</c:formatCode>
                <c:ptCount val="20"/>
                <c:pt idx="0">
                  <c:v>322357</c:v>
                </c:pt>
                <c:pt idx="1">
                  <c:v>322357</c:v>
                </c:pt>
                <c:pt idx="2">
                  <c:v>322357</c:v>
                </c:pt>
                <c:pt idx="3">
                  <c:v>322357</c:v>
                </c:pt>
                <c:pt idx="4">
                  <c:v>322357</c:v>
                </c:pt>
                <c:pt idx="5">
                  <c:v>309361.55000000005</c:v>
                </c:pt>
                <c:pt idx="6">
                  <c:v>285448.83622013591</c:v>
                </c:pt>
                <c:pt idx="7">
                  <c:v>240609.62648891486</c:v>
                </c:pt>
                <c:pt idx="8">
                  <c:v>202984.86125381227</c:v>
                </c:pt>
                <c:pt idx="9">
                  <c:v>188787.74443971069</c:v>
                </c:pt>
                <c:pt idx="10">
                  <c:v>184344.36363031552</c:v>
                </c:pt>
                <c:pt idx="11">
                  <c:v>198283.79014795073</c:v>
                </c:pt>
                <c:pt idx="12">
                  <c:v>228196.39606301207</c:v>
                </c:pt>
                <c:pt idx="13">
                  <c:v>261151.33036918263</c:v>
                </c:pt>
                <c:pt idx="14">
                  <c:v>278742.32132881437</c:v>
                </c:pt>
                <c:pt idx="15">
                  <c:v>286253.78010301548</c:v>
                </c:pt>
                <c:pt idx="16">
                  <c:v>286253.78010301548</c:v>
                </c:pt>
                <c:pt idx="17">
                  <c:v>286253.78010301548</c:v>
                </c:pt>
                <c:pt idx="18">
                  <c:v>286253.78010301548</c:v>
                </c:pt>
                <c:pt idx="19">
                  <c:v>286253.78010301548</c:v>
                </c:pt>
              </c:numCache>
            </c:numRef>
          </c:yVal>
          <c:smooth val="0"/>
          <c:extLst>
            <c:ext xmlns:c16="http://schemas.microsoft.com/office/drawing/2014/chart" uri="{C3380CC4-5D6E-409C-BE32-E72D297353CC}">
              <c16:uniqueId val="{00000000-5323-49F8-85E9-E975F3D8F3AC}"/>
            </c:ext>
          </c:extLst>
        </c:ser>
        <c:ser>
          <c:idx val="1"/>
          <c:order val="1"/>
          <c:tx>
            <c:v>Project scenario</c:v>
          </c:tx>
          <c:spPr>
            <a:ln w="19050" cap="rnd">
              <a:noFill/>
              <a:round/>
            </a:ln>
            <a:effectLst/>
          </c:spPr>
          <c:marker>
            <c:symbol val="circle"/>
            <c:size val="5"/>
            <c:spPr>
              <a:solidFill>
                <a:schemeClr val="accent2"/>
              </a:solidFill>
              <a:ln w="9525">
                <a:solidFill>
                  <a:schemeClr val="accent2"/>
                </a:solidFill>
              </a:ln>
              <a:effectLst/>
            </c:spPr>
          </c:marker>
          <c:xVal>
            <c:numRef>
              <c:f>ER_Conservative!$H$4:$H$23</c:f>
              <c:numCache>
                <c:formatCode>General</c:formatCode>
                <c:ptCount val="20"/>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numCache>
            </c:numRef>
          </c:xVal>
          <c:yVal>
            <c:numRef>
              <c:f>ER_Conservative!$J$4:$J$23</c:f>
              <c:numCache>
                <c:formatCode>_(* #,##0_);_(* \(#,##0\);_(* "-"??_);_(@_)</c:formatCode>
                <c:ptCount val="20"/>
                <c:pt idx="0">
                  <c:v>322357</c:v>
                </c:pt>
                <c:pt idx="1">
                  <c:v>323755.95</c:v>
                </c:pt>
                <c:pt idx="2">
                  <c:v>325772.6467574687</c:v>
                </c:pt>
                <c:pt idx="3">
                  <c:v>323968.51069687447</c:v>
                </c:pt>
                <c:pt idx="4">
                  <c:v>326820.29022680956</c:v>
                </c:pt>
                <c:pt idx="5">
                  <c:v>295828.27191549167</c:v>
                </c:pt>
                <c:pt idx="6">
                  <c:v>292014.78756746429</c:v>
                </c:pt>
                <c:pt idx="7">
                  <c:v>284078.64001343073</c:v>
                </c:pt>
                <c:pt idx="8">
                  <c:v>273058.05963181006</c:v>
                </c:pt>
                <c:pt idx="9">
                  <c:v>271602.79302310385</c:v>
                </c:pt>
                <c:pt idx="10">
                  <c:v>279018.22109414951</c:v>
                </c:pt>
                <c:pt idx="11">
                  <c:v>291883.56661513913</c:v>
                </c:pt>
                <c:pt idx="12">
                  <c:v>305847.1691121388</c:v>
                </c:pt>
                <c:pt idx="13">
                  <c:v>314825.7905260424</c:v>
                </c:pt>
                <c:pt idx="14">
                  <c:v>323376.13326619234</c:v>
                </c:pt>
                <c:pt idx="15">
                  <c:v>326898.40902553528</c:v>
                </c:pt>
                <c:pt idx="16">
                  <c:v>327540.93378990749</c:v>
                </c:pt>
                <c:pt idx="17">
                  <c:v>328193.04703160538</c:v>
                </c:pt>
                <c:pt idx="18">
                  <c:v>328854.76940966077</c:v>
                </c:pt>
                <c:pt idx="19">
                  <c:v>329526.12193571805</c:v>
                </c:pt>
              </c:numCache>
            </c:numRef>
          </c:yVal>
          <c:smooth val="0"/>
          <c:extLst>
            <c:ext xmlns:c16="http://schemas.microsoft.com/office/drawing/2014/chart" uri="{C3380CC4-5D6E-409C-BE32-E72D297353CC}">
              <c16:uniqueId val="{00000001-5323-49F8-85E9-E975F3D8F3AC}"/>
            </c:ext>
          </c:extLst>
        </c:ser>
        <c:dLbls>
          <c:showLegendKey val="0"/>
          <c:showVal val="0"/>
          <c:showCatName val="0"/>
          <c:showSerName val="0"/>
          <c:showPercent val="0"/>
          <c:showBubbleSize val="0"/>
        </c:dLbls>
        <c:axId val="-1009707712"/>
        <c:axId val="-1009705664"/>
      </c:scatterChart>
      <c:valAx>
        <c:axId val="-1009707712"/>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009705664"/>
        <c:crosses val="autoZero"/>
        <c:crossBetween val="midCat"/>
      </c:valAx>
      <c:valAx>
        <c:axId val="-1009705664"/>
        <c:scaling>
          <c:orientation val="minMax"/>
        </c:scaling>
        <c:delete val="0"/>
        <c:axPos val="l"/>
        <c:majorGridlines>
          <c:spPr>
            <a:ln w="9525" cap="flat" cmpd="sng" algn="ctr">
              <a:solidFill>
                <a:schemeClr val="tx1">
                  <a:lumMod val="15000"/>
                  <a:lumOff val="85000"/>
                </a:schemeClr>
              </a:solidFill>
              <a:round/>
            </a:ln>
            <a:effectLst/>
          </c:spPr>
        </c:majorGridlines>
        <c:numFmt formatCode="_(* #,##0_);_(* \(#,##0\);_(* &quot;-&quot;??_);_(@_)"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009707712"/>
        <c:crosses val="autoZero"/>
        <c:crossBetween val="midCat"/>
      </c:valAx>
      <c:spPr>
        <a:no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ZA"/>
              <a:t>Emissions Reduction (tCO2e/year)</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0"/>
          <c:order val="0"/>
          <c:spPr>
            <a:ln w="25400" cap="rnd">
              <a:noFill/>
              <a:round/>
            </a:ln>
            <a:effectLst/>
          </c:spPr>
          <c:marker>
            <c:symbol val="circle"/>
            <c:size val="5"/>
            <c:spPr>
              <a:solidFill>
                <a:schemeClr val="accent1"/>
              </a:solidFill>
              <a:ln w="9525">
                <a:solidFill>
                  <a:schemeClr val="tx1"/>
                </a:solidFill>
              </a:ln>
              <a:effectLst/>
            </c:spPr>
          </c:marker>
          <c:xVal>
            <c:numRef>
              <c:f>ER_Conservative!$H$4:$H$23</c:f>
              <c:numCache>
                <c:formatCode>General</c:formatCode>
                <c:ptCount val="20"/>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numCache>
            </c:numRef>
          </c:xVal>
          <c:yVal>
            <c:numRef>
              <c:f>ER_Conservative!$AD$4:$AD$23</c:f>
              <c:numCache>
                <c:formatCode>_(* #,##0_);_(* \(#,##0\);_(* "-"??_);_(@_)</c:formatCode>
                <c:ptCount val="20"/>
                <c:pt idx="0">
                  <c:v>13027.56222115385</c:v>
                </c:pt>
                <c:pt idx="1">
                  <c:v>20844.099553846158</c:v>
                </c:pt>
                <c:pt idx="2">
                  <c:v>30976.64794807689</c:v>
                </c:pt>
                <c:pt idx="3">
                  <c:v>51241.744736538443</c:v>
                </c:pt>
                <c:pt idx="4">
                  <c:v>71506.841524999996</c:v>
                </c:pt>
                <c:pt idx="5">
                  <c:v>108631.71335644228</c:v>
                </c:pt>
                <c:pt idx="6">
                  <c:v>120230.50087585166</c:v>
                </c:pt>
                <c:pt idx="7">
                  <c:v>118199.01630185923</c:v>
                </c:pt>
                <c:pt idx="8">
                  <c:v>130159.35801297816</c:v>
                </c:pt>
                <c:pt idx="9">
                  <c:v>129533.08031376055</c:v>
                </c:pt>
                <c:pt idx="10">
                  <c:v>127312.11711540347</c:v>
                </c:pt>
                <c:pt idx="11">
                  <c:v>136938.97994096641</c:v>
                </c:pt>
                <c:pt idx="12">
                  <c:v>157597.25835257134</c:v>
                </c:pt>
                <c:pt idx="13">
                  <c:v>180356.63310802309</c:v>
                </c:pt>
                <c:pt idx="14">
                  <c:v>192505.34358186118</c:v>
                </c:pt>
                <c:pt idx="15">
                  <c:v>197692.91590756772</c:v>
                </c:pt>
                <c:pt idx="16">
                  <c:v>197692.91590756772</c:v>
                </c:pt>
                <c:pt idx="17">
                  <c:v>197692.91590756772</c:v>
                </c:pt>
                <c:pt idx="18">
                  <c:v>197692.91590756772</c:v>
                </c:pt>
                <c:pt idx="19">
                  <c:v>197692.91590756772</c:v>
                </c:pt>
              </c:numCache>
            </c:numRef>
          </c:yVal>
          <c:smooth val="0"/>
          <c:extLst>
            <c:ext xmlns:c16="http://schemas.microsoft.com/office/drawing/2014/chart" uri="{C3380CC4-5D6E-409C-BE32-E72D297353CC}">
              <c16:uniqueId val="{00000000-5323-49F8-85E9-E975F3D8F3AC}"/>
            </c:ext>
          </c:extLst>
        </c:ser>
        <c:dLbls>
          <c:showLegendKey val="0"/>
          <c:showVal val="0"/>
          <c:showCatName val="0"/>
          <c:showSerName val="0"/>
          <c:showPercent val="0"/>
          <c:showBubbleSize val="0"/>
        </c:dLbls>
        <c:axId val="-1007635696"/>
        <c:axId val="-1007633648"/>
      </c:scatterChart>
      <c:valAx>
        <c:axId val="-1007635696"/>
        <c:scaling>
          <c:orientation val="minMax"/>
          <c:max val="20"/>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007633648"/>
        <c:crosses val="autoZero"/>
        <c:crossBetween val="midCat"/>
      </c:valAx>
      <c:valAx>
        <c:axId val="-1007633648"/>
        <c:scaling>
          <c:orientation val="minMax"/>
          <c:max val="250000"/>
          <c:min val="0"/>
        </c:scaling>
        <c:delete val="0"/>
        <c:axPos val="l"/>
        <c:majorGridlines>
          <c:spPr>
            <a:ln w="9525" cap="flat" cmpd="sng" algn="ctr">
              <a:solidFill>
                <a:schemeClr val="tx1">
                  <a:lumMod val="15000"/>
                  <a:lumOff val="85000"/>
                </a:schemeClr>
              </a:solidFill>
              <a:round/>
            </a:ln>
            <a:effectLst/>
          </c:spPr>
        </c:majorGridlines>
        <c:numFmt formatCode="_(* #,##0_);_(* \(#,##0\);_(* &quot;-&quot;??_);_(@_)"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007635696"/>
        <c:crosses val="autoZero"/>
        <c:crossBetween val="midCat"/>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ZA"/>
              <a:t>Cumulative Emissions Reduction (tCO2e)</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0"/>
          <c:order val="0"/>
          <c:spPr>
            <a:ln w="25400" cap="rnd">
              <a:noFill/>
              <a:round/>
            </a:ln>
            <a:effectLst/>
          </c:spPr>
          <c:marker>
            <c:symbol val="circle"/>
            <c:size val="5"/>
            <c:spPr>
              <a:solidFill>
                <a:schemeClr val="accent1"/>
              </a:solidFill>
              <a:ln w="9525">
                <a:solidFill>
                  <a:schemeClr val="tx1"/>
                </a:solidFill>
              </a:ln>
              <a:effectLst/>
            </c:spPr>
          </c:marker>
          <c:xVal>
            <c:numRef>
              <c:f>ER_Conservative!$H$4:$H$23</c:f>
              <c:numCache>
                <c:formatCode>General</c:formatCode>
                <c:ptCount val="20"/>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numCache>
            </c:numRef>
          </c:xVal>
          <c:yVal>
            <c:numRef>
              <c:f>ER_Conservative!$AE$4:$AE$23</c:f>
              <c:numCache>
                <c:formatCode>_(* #,##0_);_(* \(#,##0\);_(* "-"??_);_(@_)</c:formatCode>
                <c:ptCount val="20"/>
                <c:pt idx="0">
                  <c:v>13027.56222115385</c:v>
                </c:pt>
                <c:pt idx="1">
                  <c:v>33871.661775000008</c:v>
                </c:pt>
                <c:pt idx="2">
                  <c:v>64848.309723076898</c:v>
                </c:pt>
                <c:pt idx="3">
                  <c:v>116090.05445961535</c:v>
                </c:pt>
                <c:pt idx="4">
                  <c:v>187596.89598461534</c:v>
                </c:pt>
                <c:pt idx="5">
                  <c:v>296228.6093410576</c:v>
                </c:pt>
                <c:pt idx="6">
                  <c:v>416459.11021690926</c:v>
                </c:pt>
                <c:pt idx="7">
                  <c:v>534658.12651876849</c:v>
                </c:pt>
                <c:pt idx="8">
                  <c:v>664817.48453174671</c:v>
                </c:pt>
                <c:pt idx="9">
                  <c:v>794350.56484550727</c:v>
                </c:pt>
                <c:pt idx="10">
                  <c:v>921662.68196091079</c:v>
                </c:pt>
                <c:pt idx="11">
                  <c:v>1058601.6619018773</c:v>
                </c:pt>
                <c:pt idx="12">
                  <c:v>1216198.9202544487</c:v>
                </c:pt>
                <c:pt idx="13">
                  <c:v>1396555.5533624718</c:v>
                </c:pt>
                <c:pt idx="14">
                  <c:v>1589060.8969443329</c:v>
                </c:pt>
                <c:pt idx="15">
                  <c:v>1786753.8128519007</c:v>
                </c:pt>
                <c:pt idx="16">
                  <c:v>1984446.7287594685</c:v>
                </c:pt>
                <c:pt idx="17">
                  <c:v>2182139.6446670364</c:v>
                </c:pt>
                <c:pt idx="18">
                  <c:v>2379832.5605746042</c:v>
                </c:pt>
                <c:pt idx="19">
                  <c:v>2577525.476482172</c:v>
                </c:pt>
              </c:numCache>
            </c:numRef>
          </c:yVal>
          <c:smooth val="0"/>
          <c:extLst>
            <c:ext xmlns:c16="http://schemas.microsoft.com/office/drawing/2014/chart" uri="{C3380CC4-5D6E-409C-BE32-E72D297353CC}">
              <c16:uniqueId val="{00000000-C4D9-4CC7-8BDD-9EE217C310EE}"/>
            </c:ext>
          </c:extLst>
        </c:ser>
        <c:dLbls>
          <c:showLegendKey val="0"/>
          <c:showVal val="0"/>
          <c:showCatName val="0"/>
          <c:showSerName val="0"/>
          <c:showPercent val="0"/>
          <c:showBubbleSize val="0"/>
        </c:dLbls>
        <c:axId val="-1007608816"/>
        <c:axId val="-1007606768"/>
      </c:scatterChart>
      <c:valAx>
        <c:axId val="-1007608816"/>
        <c:scaling>
          <c:orientation val="minMax"/>
          <c:max val="20"/>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007606768"/>
        <c:crosses val="autoZero"/>
        <c:crossBetween val="midCat"/>
      </c:valAx>
      <c:valAx>
        <c:axId val="-1007606768"/>
        <c:scaling>
          <c:orientation val="minMax"/>
          <c:max val="3000000"/>
        </c:scaling>
        <c:delete val="0"/>
        <c:axPos val="l"/>
        <c:majorGridlines>
          <c:spPr>
            <a:ln w="9525" cap="flat" cmpd="sng" algn="ctr">
              <a:solidFill>
                <a:schemeClr val="tx1">
                  <a:lumMod val="15000"/>
                  <a:lumOff val="85000"/>
                </a:schemeClr>
              </a:solidFill>
              <a:round/>
            </a:ln>
            <a:effectLst/>
          </c:spPr>
        </c:majorGridlines>
        <c:numFmt formatCode="_(* #,##0_);_(* \(#,##0\);_(* &quot;-&quot;??_);_(@_)"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007608816"/>
        <c:crosses val="autoZero"/>
        <c:crossBetween val="midCat"/>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ZA"/>
              <a:t>Livestock number</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0"/>
          <c:order val="0"/>
          <c:tx>
            <c:v>No project scenario</c:v>
          </c:tx>
          <c:spPr>
            <a:ln w="19050" cap="rnd">
              <a:noFill/>
              <a:round/>
            </a:ln>
            <a:effectLst/>
          </c:spPr>
          <c:marker>
            <c:symbol val="circle"/>
            <c:size val="5"/>
            <c:spPr>
              <a:solidFill>
                <a:schemeClr val="accent1"/>
              </a:solidFill>
              <a:ln w="9525">
                <a:solidFill>
                  <a:schemeClr val="accent1"/>
                </a:solidFill>
              </a:ln>
              <a:effectLst/>
            </c:spPr>
          </c:marker>
          <c:xVal>
            <c:numRef>
              <c:f>ER_Moderate!$H$4:$H$23</c:f>
              <c:numCache>
                <c:formatCode>General</c:formatCode>
                <c:ptCount val="20"/>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numCache>
            </c:numRef>
          </c:xVal>
          <c:yVal>
            <c:numRef>
              <c:f>ER_Moderate!$I$4:$I$23</c:f>
              <c:numCache>
                <c:formatCode>_(* #,##0_);_(* \(#,##0\);_(* "-"??_);_(@_)</c:formatCode>
                <c:ptCount val="20"/>
                <c:pt idx="0">
                  <c:v>322357</c:v>
                </c:pt>
                <c:pt idx="1">
                  <c:v>322357</c:v>
                </c:pt>
                <c:pt idx="2">
                  <c:v>322357</c:v>
                </c:pt>
                <c:pt idx="3">
                  <c:v>322357</c:v>
                </c:pt>
                <c:pt idx="4">
                  <c:v>322357</c:v>
                </c:pt>
                <c:pt idx="5">
                  <c:v>309361.55000000005</c:v>
                </c:pt>
                <c:pt idx="6">
                  <c:v>285448.83622013591</c:v>
                </c:pt>
                <c:pt idx="7">
                  <c:v>240609.62648891486</c:v>
                </c:pt>
                <c:pt idx="8">
                  <c:v>202984.86125381227</c:v>
                </c:pt>
                <c:pt idx="9">
                  <c:v>188787.74443971069</c:v>
                </c:pt>
                <c:pt idx="10">
                  <c:v>184344.36363031552</c:v>
                </c:pt>
                <c:pt idx="11">
                  <c:v>198283.79014795073</c:v>
                </c:pt>
                <c:pt idx="12">
                  <c:v>228196.39606301207</c:v>
                </c:pt>
                <c:pt idx="13">
                  <c:v>261151.33036918263</c:v>
                </c:pt>
                <c:pt idx="14">
                  <c:v>278742.32132881437</c:v>
                </c:pt>
                <c:pt idx="15">
                  <c:v>286253.78010301548</c:v>
                </c:pt>
                <c:pt idx="16">
                  <c:v>286253.78010301548</c:v>
                </c:pt>
                <c:pt idx="17">
                  <c:v>286253.78010301548</c:v>
                </c:pt>
                <c:pt idx="18">
                  <c:v>286253.78010301548</c:v>
                </c:pt>
                <c:pt idx="19">
                  <c:v>286253.78010301548</c:v>
                </c:pt>
              </c:numCache>
            </c:numRef>
          </c:yVal>
          <c:smooth val="0"/>
          <c:extLst>
            <c:ext xmlns:c16="http://schemas.microsoft.com/office/drawing/2014/chart" uri="{C3380CC4-5D6E-409C-BE32-E72D297353CC}">
              <c16:uniqueId val="{00000000-95CD-4FD5-8FA5-D9E859FF5F29}"/>
            </c:ext>
          </c:extLst>
        </c:ser>
        <c:ser>
          <c:idx val="1"/>
          <c:order val="1"/>
          <c:tx>
            <c:v>Project scenario</c:v>
          </c:tx>
          <c:spPr>
            <a:ln w="19050" cap="rnd">
              <a:noFill/>
              <a:round/>
            </a:ln>
            <a:effectLst/>
          </c:spPr>
          <c:marker>
            <c:symbol val="circle"/>
            <c:size val="5"/>
            <c:spPr>
              <a:solidFill>
                <a:schemeClr val="accent2"/>
              </a:solidFill>
              <a:ln w="9525">
                <a:solidFill>
                  <a:schemeClr val="accent2"/>
                </a:solidFill>
              </a:ln>
              <a:effectLst/>
            </c:spPr>
          </c:marker>
          <c:xVal>
            <c:numRef>
              <c:f>ER_Moderate!$H$4:$H$23</c:f>
              <c:numCache>
                <c:formatCode>General</c:formatCode>
                <c:ptCount val="20"/>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numCache>
            </c:numRef>
          </c:xVal>
          <c:yVal>
            <c:numRef>
              <c:f>ER_Moderate!$J$4:$J$23</c:f>
              <c:numCache>
                <c:formatCode>_(* #,##0_);_(* \(#,##0\);_(* "-"??_);_(@_)</c:formatCode>
                <c:ptCount val="20"/>
                <c:pt idx="0">
                  <c:v>322357</c:v>
                </c:pt>
                <c:pt idx="1">
                  <c:v>323755.95</c:v>
                </c:pt>
                <c:pt idx="2">
                  <c:v>325772.6467574687</c:v>
                </c:pt>
                <c:pt idx="3">
                  <c:v>323968.51069687447</c:v>
                </c:pt>
                <c:pt idx="4">
                  <c:v>326820.29022680956</c:v>
                </c:pt>
                <c:pt idx="5">
                  <c:v>295828.27191549167</c:v>
                </c:pt>
                <c:pt idx="6">
                  <c:v>292014.78756746429</c:v>
                </c:pt>
                <c:pt idx="7">
                  <c:v>284078.64001343073</c:v>
                </c:pt>
                <c:pt idx="8">
                  <c:v>273058.05963181006</c:v>
                </c:pt>
                <c:pt idx="9">
                  <c:v>271602.79302310385</c:v>
                </c:pt>
                <c:pt idx="10">
                  <c:v>279018.22109414951</c:v>
                </c:pt>
                <c:pt idx="11">
                  <c:v>291883.56661513913</c:v>
                </c:pt>
                <c:pt idx="12">
                  <c:v>305847.1691121388</c:v>
                </c:pt>
                <c:pt idx="13">
                  <c:v>314825.7905260424</c:v>
                </c:pt>
                <c:pt idx="14">
                  <c:v>323376.13326619234</c:v>
                </c:pt>
                <c:pt idx="15">
                  <c:v>326898.40902553528</c:v>
                </c:pt>
                <c:pt idx="16">
                  <c:v>327540.93378990749</c:v>
                </c:pt>
                <c:pt idx="17">
                  <c:v>328193.04703160538</c:v>
                </c:pt>
                <c:pt idx="18">
                  <c:v>328854.76940966077</c:v>
                </c:pt>
                <c:pt idx="19">
                  <c:v>329526.12193571805</c:v>
                </c:pt>
              </c:numCache>
            </c:numRef>
          </c:yVal>
          <c:smooth val="0"/>
          <c:extLst>
            <c:ext xmlns:c16="http://schemas.microsoft.com/office/drawing/2014/chart" uri="{C3380CC4-5D6E-409C-BE32-E72D297353CC}">
              <c16:uniqueId val="{00000001-95CD-4FD5-8FA5-D9E859FF5F29}"/>
            </c:ext>
          </c:extLst>
        </c:ser>
        <c:dLbls>
          <c:showLegendKey val="0"/>
          <c:showVal val="0"/>
          <c:showCatName val="0"/>
          <c:showSerName val="0"/>
          <c:showPercent val="0"/>
          <c:showBubbleSize val="0"/>
        </c:dLbls>
        <c:axId val="-1009666912"/>
        <c:axId val="-1009664864"/>
      </c:scatterChart>
      <c:valAx>
        <c:axId val="-1009666912"/>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009664864"/>
        <c:crosses val="autoZero"/>
        <c:crossBetween val="midCat"/>
      </c:valAx>
      <c:valAx>
        <c:axId val="-1009664864"/>
        <c:scaling>
          <c:orientation val="minMax"/>
        </c:scaling>
        <c:delete val="0"/>
        <c:axPos val="l"/>
        <c:majorGridlines>
          <c:spPr>
            <a:ln w="9525" cap="flat" cmpd="sng" algn="ctr">
              <a:solidFill>
                <a:schemeClr val="tx1">
                  <a:lumMod val="15000"/>
                  <a:lumOff val="85000"/>
                </a:schemeClr>
              </a:solidFill>
              <a:round/>
            </a:ln>
            <a:effectLst/>
          </c:spPr>
        </c:majorGridlines>
        <c:numFmt formatCode="_(* #,##0_);_(* \(#,##0\);_(* &quot;-&quot;??_);_(@_)"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009666912"/>
        <c:crosses val="autoZero"/>
        <c:crossBetween val="midCat"/>
      </c:valAx>
      <c:spPr>
        <a:no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ZA"/>
              <a:t>Emissions Reduction (tCO2e/year)</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0"/>
          <c:order val="0"/>
          <c:spPr>
            <a:ln w="25400" cap="rnd">
              <a:noFill/>
              <a:round/>
            </a:ln>
            <a:effectLst/>
          </c:spPr>
          <c:marker>
            <c:symbol val="circle"/>
            <c:size val="5"/>
            <c:spPr>
              <a:solidFill>
                <a:schemeClr val="accent1"/>
              </a:solidFill>
              <a:ln w="9525">
                <a:solidFill>
                  <a:schemeClr val="tx1"/>
                </a:solidFill>
              </a:ln>
              <a:effectLst/>
            </c:spPr>
          </c:marker>
          <c:xVal>
            <c:numRef>
              <c:f>ER_Moderate!$H$4:$H$23</c:f>
              <c:numCache>
                <c:formatCode>General</c:formatCode>
                <c:ptCount val="20"/>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numCache>
            </c:numRef>
          </c:xVal>
          <c:yVal>
            <c:numRef>
              <c:f>ER_Moderate!$AD$4:$AD$23</c:f>
              <c:numCache>
                <c:formatCode>_(* #,##0_);_(* \(#,##0\);_(* "-"??_);_(@_)</c:formatCode>
                <c:ptCount val="20"/>
                <c:pt idx="0">
                  <c:v>27840.48628846155</c:v>
                </c:pt>
                <c:pt idx="1">
                  <c:v>35499.908084711555</c:v>
                </c:pt>
                <c:pt idx="2">
                  <c:v>100768.42048007459</c:v>
                </c:pt>
                <c:pt idx="3">
                  <c:v>122522.38308301757</c:v>
                </c:pt>
                <c:pt idx="4">
                  <c:v>141054.04639294354</c:v>
                </c:pt>
                <c:pt idx="5">
                  <c:v>301405.27294364327</c:v>
                </c:pt>
                <c:pt idx="6">
                  <c:v>277663.88822455012</c:v>
                </c:pt>
                <c:pt idx="7">
                  <c:v>205210.73405768943</c:v>
                </c:pt>
                <c:pt idx="8">
                  <c:v>168514.25279965741</c:v>
                </c:pt>
                <c:pt idx="9">
                  <c:v>133831.12489131058</c:v>
                </c:pt>
                <c:pt idx="10">
                  <c:v>112761.2333757056</c:v>
                </c:pt>
                <c:pt idx="11">
                  <c:v>131972.55066799355</c:v>
                </c:pt>
                <c:pt idx="12">
                  <c:v>190905.46018458548</c:v>
                </c:pt>
                <c:pt idx="13">
                  <c:v>264144.91608631669</c:v>
                </c:pt>
                <c:pt idx="14">
                  <c:v>298362.67399016151</c:v>
                </c:pt>
                <c:pt idx="15">
                  <c:v>313140.9823120283</c:v>
                </c:pt>
                <c:pt idx="16">
                  <c:v>312307.11367282603</c:v>
                </c:pt>
                <c:pt idx="17">
                  <c:v>311460.80110775051</c:v>
                </c:pt>
                <c:pt idx="18">
                  <c:v>310602.0178055102</c:v>
                </c:pt>
                <c:pt idx="19">
                  <c:v>309730.73649719311</c:v>
                </c:pt>
              </c:numCache>
            </c:numRef>
          </c:yVal>
          <c:smooth val="0"/>
          <c:extLst>
            <c:ext xmlns:c16="http://schemas.microsoft.com/office/drawing/2014/chart" uri="{C3380CC4-5D6E-409C-BE32-E72D297353CC}">
              <c16:uniqueId val="{00000000-A038-4421-AB55-3ECA463DD443}"/>
            </c:ext>
          </c:extLst>
        </c:ser>
        <c:dLbls>
          <c:showLegendKey val="0"/>
          <c:showVal val="0"/>
          <c:showCatName val="0"/>
          <c:showSerName val="0"/>
          <c:showPercent val="0"/>
          <c:showBubbleSize val="0"/>
        </c:dLbls>
        <c:axId val="-1009641680"/>
        <c:axId val="-1009639632"/>
      </c:scatterChart>
      <c:valAx>
        <c:axId val="-1009641680"/>
        <c:scaling>
          <c:orientation val="minMax"/>
          <c:max val="20"/>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009639632"/>
        <c:crosses val="autoZero"/>
        <c:crossBetween val="midCat"/>
      </c:valAx>
      <c:valAx>
        <c:axId val="-1009639632"/>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_(* #,##0_);_(* \(#,##0\);_(* &quot;-&quot;??_);_(@_)"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009641680"/>
        <c:crosses val="autoZero"/>
        <c:crossBetween val="midCat"/>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ZA"/>
              <a:t>Cumulative Emissions Reduction (tCO2e)</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0"/>
          <c:order val="0"/>
          <c:spPr>
            <a:ln w="25400" cap="rnd">
              <a:noFill/>
              <a:round/>
            </a:ln>
            <a:effectLst/>
          </c:spPr>
          <c:marker>
            <c:symbol val="circle"/>
            <c:size val="5"/>
            <c:spPr>
              <a:solidFill>
                <a:schemeClr val="accent1"/>
              </a:solidFill>
              <a:ln w="9525">
                <a:solidFill>
                  <a:schemeClr val="tx1"/>
                </a:solidFill>
              </a:ln>
              <a:effectLst/>
            </c:spPr>
          </c:marker>
          <c:xVal>
            <c:numRef>
              <c:f>ER_Moderate!$H$4:$H$23</c:f>
              <c:numCache>
                <c:formatCode>General</c:formatCode>
                <c:ptCount val="20"/>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numCache>
            </c:numRef>
          </c:xVal>
          <c:yVal>
            <c:numRef>
              <c:f>ER_Moderate!$AE$4:$AE$23</c:f>
              <c:numCache>
                <c:formatCode>_(* #,##0_);_(* \(#,##0\);_(* "-"??_);_(@_)</c:formatCode>
                <c:ptCount val="20"/>
                <c:pt idx="0">
                  <c:v>27840.48628846155</c:v>
                </c:pt>
                <c:pt idx="1">
                  <c:v>63340.394373173105</c:v>
                </c:pt>
                <c:pt idx="2">
                  <c:v>164108.81485324769</c:v>
                </c:pt>
                <c:pt idx="3">
                  <c:v>286631.19793626526</c:v>
                </c:pt>
                <c:pt idx="4">
                  <c:v>427685.2443292088</c:v>
                </c:pt>
                <c:pt idx="5">
                  <c:v>729090.51727285213</c:v>
                </c:pt>
                <c:pt idx="6">
                  <c:v>1006754.4054974022</c:v>
                </c:pt>
                <c:pt idx="7">
                  <c:v>1211965.1395550915</c:v>
                </c:pt>
                <c:pt idx="8">
                  <c:v>1380479.3923547489</c:v>
                </c:pt>
                <c:pt idx="9">
                  <c:v>1514310.5172460596</c:v>
                </c:pt>
                <c:pt idx="10">
                  <c:v>1627071.7506217652</c:v>
                </c:pt>
                <c:pt idx="11">
                  <c:v>1759044.3012897586</c:v>
                </c:pt>
                <c:pt idx="12">
                  <c:v>1949949.7614743442</c:v>
                </c:pt>
                <c:pt idx="13">
                  <c:v>2214094.677560661</c:v>
                </c:pt>
                <c:pt idx="14">
                  <c:v>2512457.3515508226</c:v>
                </c:pt>
                <c:pt idx="15">
                  <c:v>2825598.3338628509</c:v>
                </c:pt>
                <c:pt idx="16">
                  <c:v>3137905.4475356769</c:v>
                </c:pt>
                <c:pt idx="17">
                  <c:v>3449366.2486434272</c:v>
                </c:pt>
                <c:pt idx="18">
                  <c:v>3759968.2664489374</c:v>
                </c:pt>
                <c:pt idx="19">
                  <c:v>4069699.0029461305</c:v>
                </c:pt>
              </c:numCache>
            </c:numRef>
          </c:yVal>
          <c:smooth val="0"/>
          <c:extLst>
            <c:ext xmlns:c16="http://schemas.microsoft.com/office/drawing/2014/chart" uri="{C3380CC4-5D6E-409C-BE32-E72D297353CC}">
              <c16:uniqueId val="{00000000-7F52-428D-BD07-CFD4F2897A91}"/>
            </c:ext>
          </c:extLst>
        </c:ser>
        <c:dLbls>
          <c:showLegendKey val="0"/>
          <c:showVal val="0"/>
          <c:showCatName val="0"/>
          <c:showSerName val="0"/>
          <c:showPercent val="0"/>
          <c:showBubbleSize val="0"/>
        </c:dLbls>
        <c:axId val="-1009617536"/>
        <c:axId val="-1009615488"/>
      </c:scatterChart>
      <c:valAx>
        <c:axId val="-1009617536"/>
        <c:scaling>
          <c:orientation val="minMax"/>
          <c:max val="20"/>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009615488"/>
        <c:crosses val="autoZero"/>
        <c:crossBetween val="midCat"/>
      </c:valAx>
      <c:valAx>
        <c:axId val="-1009615488"/>
        <c:scaling>
          <c:orientation val="minMax"/>
        </c:scaling>
        <c:delete val="0"/>
        <c:axPos val="l"/>
        <c:majorGridlines>
          <c:spPr>
            <a:ln w="9525" cap="flat" cmpd="sng" algn="ctr">
              <a:solidFill>
                <a:schemeClr val="tx1">
                  <a:lumMod val="15000"/>
                  <a:lumOff val="85000"/>
                </a:schemeClr>
              </a:solidFill>
              <a:round/>
            </a:ln>
            <a:effectLst/>
          </c:spPr>
        </c:majorGridlines>
        <c:numFmt formatCode="_(* #,##0_);_(* \(#,##0\);_(* &quot;-&quot;??_);_(@_)"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009617536"/>
        <c:crosses val="autoZero"/>
        <c:crossBetween val="midCat"/>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ZA"/>
              <a:t>Livestock number</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0"/>
          <c:order val="0"/>
          <c:tx>
            <c:v>No project scenario</c:v>
          </c:tx>
          <c:spPr>
            <a:ln w="19050" cap="rnd">
              <a:noFill/>
              <a:round/>
            </a:ln>
            <a:effectLst/>
          </c:spPr>
          <c:marker>
            <c:symbol val="circle"/>
            <c:size val="5"/>
            <c:spPr>
              <a:solidFill>
                <a:schemeClr val="accent1"/>
              </a:solidFill>
              <a:ln w="9525">
                <a:solidFill>
                  <a:schemeClr val="accent1"/>
                </a:solidFill>
              </a:ln>
              <a:effectLst/>
            </c:spPr>
          </c:marker>
          <c:xVal>
            <c:numRef>
              <c:f>ER_Moderate!$H$4:$H$23</c:f>
              <c:numCache>
                <c:formatCode>General</c:formatCode>
                <c:ptCount val="20"/>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numCache>
            </c:numRef>
          </c:xVal>
          <c:yVal>
            <c:numRef>
              <c:f>ER_Moderate!$I$4:$I$23</c:f>
              <c:numCache>
                <c:formatCode>_(* #,##0_);_(* \(#,##0\);_(* "-"??_);_(@_)</c:formatCode>
                <c:ptCount val="20"/>
                <c:pt idx="0">
                  <c:v>322357</c:v>
                </c:pt>
                <c:pt idx="1">
                  <c:v>322357</c:v>
                </c:pt>
                <c:pt idx="2">
                  <c:v>322357</c:v>
                </c:pt>
                <c:pt idx="3">
                  <c:v>322357</c:v>
                </c:pt>
                <c:pt idx="4">
                  <c:v>322357</c:v>
                </c:pt>
                <c:pt idx="5">
                  <c:v>309361.55000000005</c:v>
                </c:pt>
                <c:pt idx="6">
                  <c:v>285448.83622013591</c:v>
                </c:pt>
                <c:pt idx="7">
                  <c:v>240609.62648891486</c:v>
                </c:pt>
                <c:pt idx="8">
                  <c:v>202984.86125381227</c:v>
                </c:pt>
                <c:pt idx="9">
                  <c:v>188787.74443971069</c:v>
                </c:pt>
                <c:pt idx="10">
                  <c:v>184344.36363031552</c:v>
                </c:pt>
                <c:pt idx="11">
                  <c:v>198283.79014795073</c:v>
                </c:pt>
                <c:pt idx="12">
                  <c:v>228196.39606301207</c:v>
                </c:pt>
                <c:pt idx="13">
                  <c:v>261151.33036918263</c:v>
                </c:pt>
                <c:pt idx="14">
                  <c:v>278742.32132881437</c:v>
                </c:pt>
                <c:pt idx="15">
                  <c:v>286253.78010301548</c:v>
                </c:pt>
                <c:pt idx="16">
                  <c:v>286253.78010301548</c:v>
                </c:pt>
                <c:pt idx="17">
                  <c:v>286253.78010301548</c:v>
                </c:pt>
                <c:pt idx="18">
                  <c:v>286253.78010301548</c:v>
                </c:pt>
                <c:pt idx="19">
                  <c:v>286253.78010301548</c:v>
                </c:pt>
              </c:numCache>
            </c:numRef>
          </c:yVal>
          <c:smooth val="0"/>
          <c:extLst>
            <c:ext xmlns:c16="http://schemas.microsoft.com/office/drawing/2014/chart" uri="{C3380CC4-5D6E-409C-BE32-E72D297353CC}">
              <c16:uniqueId val="{00000000-B3A8-4322-9AE4-0C7B7B74E207}"/>
            </c:ext>
          </c:extLst>
        </c:ser>
        <c:ser>
          <c:idx val="1"/>
          <c:order val="1"/>
          <c:tx>
            <c:v>Project scenario</c:v>
          </c:tx>
          <c:spPr>
            <a:ln w="19050" cap="rnd">
              <a:noFill/>
              <a:round/>
            </a:ln>
            <a:effectLst/>
          </c:spPr>
          <c:marker>
            <c:symbol val="circle"/>
            <c:size val="5"/>
            <c:spPr>
              <a:solidFill>
                <a:schemeClr val="accent2"/>
              </a:solidFill>
              <a:ln w="9525">
                <a:solidFill>
                  <a:schemeClr val="accent2"/>
                </a:solidFill>
              </a:ln>
              <a:effectLst/>
            </c:spPr>
          </c:marker>
          <c:xVal>
            <c:numRef>
              <c:f>ER_Maximum!$H$4:$H$23</c:f>
              <c:numCache>
                <c:formatCode>General</c:formatCode>
                <c:ptCount val="20"/>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numCache>
            </c:numRef>
          </c:xVal>
          <c:yVal>
            <c:numRef>
              <c:f>ER_Maximum!$J$4:$J$23</c:f>
              <c:numCache>
                <c:formatCode>_(* #,##0_);_(* \(#,##0\);_(* "-"??_);_(@_)</c:formatCode>
                <c:ptCount val="20"/>
                <c:pt idx="0">
                  <c:v>322357</c:v>
                </c:pt>
                <c:pt idx="1">
                  <c:v>323755.95</c:v>
                </c:pt>
                <c:pt idx="2">
                  <c:v>325772.6467574687</c:v>
                </c:pt>
                <c:pt idx="3">
                  <c:v>323968.51069687447</c:v>
                </c:pt>
                <c:pt idx="4">
                  <c:v>326820.29022680956</c:v>
                </c:pt>
                <c:pt idx="5">
                  <c:v>295828.27191549167</c:v>
                </c:pt>
                <c:pt idx="6">
                  <c:v>292014.78756746429</c:v>
                </c:pt>
                <c:pt idx="7">
                  <c:v>284078.64001343073</c:v>
                </c:pt>
                <c:pt idx="8">
                  <c:v>273058.05963181006</c:v>
                </c:pt>
                <c:pt idx="9">
                  <c:v>271602.79302310385</c:v>
                </c:pt>
                <c:pt idx="10">
                  <c:v>279018.22109414951</c:v>
                </c:pt>
                <c:pt idx="11">
                  <c:v>291883.56661513913</c:v>
                </c:pt>
                <c:pt idx="12">
                  <c:v>305847.1691121388</c:v>
                </c:pt>
                <c:pt idx="13">
                  <c:v>314825.7905260424</c:v>
                </c:pt>
                <c:pt idx="14">
                  <c:v>323376.13326619234</c:v>
                </c:pt>
                <c:pt idx="15">
                  <c:v>326898.40902553528</c:v>
                </c:pt>
                <c:pt idx="16">
                  <c:v>327540.93378990749</c:v>
                </c:pt>
                <c:pt idx="17">
                  <c:v>328193.04703160538</c:v>
                </c:pt>
                <c:pt idx="18">
                  <c:v>328854.76940966077</c:v>
                </c:pt>
                <c:pt idx="19">
                  <c:v>329526.12193571805</c:v>
                </c:pt>
              </c:numCache>
            </c:numRef>
          </c:yVal>
          <c:smooth val="0"/>
          <c:extLst>
            <c:ext xmlns:c16="http://schemas.microsoft.com/office/drawing/2014/chart" uri="{C3380CC4-5D6E-409C-BE32-E72D297353CC}">
              <c16:uniqueId val="{00000001-B3A8-4322-9AE4-0C7B7B74E207}"/>
            </c:ext>
          </c:extLst>
        </c:ser>
        <c:dLbls>
          <c:showLegendKey val="0"/>
          <c:showVal val="0"/>
          <c:showCatName val="0"/>
          <c:showSerName val="0"/>
          <c:showPercent val="0"/>
          <c:showBubbleSize val="0"/>
        </c:dLbls>
        <c:axId val="-1009588896"/>
        <c:axId val="-1009586848"/>
      </c:scatterChart>
      <c:valAx>
        <c:axId val="-1009588896"/>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009586848"/>
        <c:crosses val="autoZero"/>
        <c:crossBetween val="midCat"/>
      </c:valAx>
      <c:valAx>
        <c:axId val="-1009586848"/>
        <c:scaling>
          <c:orientation val="minMax"/>
        </c:scaling>
        <c:delete val="0"/>
        <c:axPos val="l"/>
        <c:majorGridlines>
          <c:spPr>
            <a:ln w="9525" cap="flat" cmpd="sng" algn="ctr">
              <a:solidFill>
                <a:schemeClr val="tx1">
                  <a:lumMod val="15000"/>
                  <a:lumOff val="85000"/>
                </a:schemeClr>
              </a:solidFill>
              <a:round/>
            </a:ln>
            <a:effectLst/>
          </c:spPr>
        </c:majorGridlines>
        <c:numFmt formatCode="_(* #,##0_);_(* \(#,##0\);_(* &quot;-&quot;??_);_(@_)"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009588896"/>
        <c:crosses val="autoZero"/>
        <c:crossBetween val="midCat"/>
      </c:valAx>
      <c:spPr>
        <a:no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ZA"/>
              <a:t>Emissions Reduction (tCO2e/year)</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0"/>
          <c:order val="0"/>
          <c:spPr>
            <a:ln w="25400" cap="rnd">
              <a:noFill/>
              <a:round/>
            </a:ln>
            <a:effectLst/>
          </c:spPr>
          <c:marker>
            <c:symbol val="circle"/>
            <c:size val="5"/>
            <c:spPr>
              <a:solidFill>
                <a:schemeClr val="accent1"/>
              </a:solidFill>
              <a:ln w="9525">
                <a:solidFill>
                  <a:schemeClr val="tx1"/>
                </a:solidFill>
              </a:ln>
              <a:effectLst/>
            </c:spPr>
          </c:marker>
          <c:xVal>
            <c:numRef>
              <c:f>ER_Maximum!$H$4:$H$23</c:f>
              <c:numCache>
                <c:formatCode>General</c:formatCode>
                <c:ptCount val="20"/>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numCache>
            </c:numRef>
          </c:xVal>
          <c:yVal>
            <c:numRef>
              <c:f>ER_Maximum!$AD$4:$AD$23</c:f>
              <c:numCache>
                <c:formatCode>_(* #,##0_);_(* \(#,##0\);_(* "-"??_);_(@_)</c:formatCode>
                <c:ptCount val="20"/>
                <c:pt idx="0">
                  <c:v>51772.703910576936</c:v>
                </c:pt>
                <c:pt idx="1">
                  <c:v>52929.651878653865</c:v>
                </c:pt>
                <c:pt idx="2">
                  <c:v>237259.74863743345</c:v>
                </c:pt>
                <c:pt idx="3">
                  <c:v>248475.67332755803</c:v>
                </c:pt>
                <c:pt idx="4">
                  <c:v>252069.31980250796</c:v>
                </c:pt>
                <c:pt idx="5">
                  <c:v>573009.57985085878</c:v>
                </c:pt>
                <c:pt idx="6">
                  <c:v>519451.81947501551</c:v>
                </c:pt>
                <c:pt idx="7">
                  <c:v>397776.06134082843</c:v>
                </c:pt>
                <c:pt idx="8">
                  <c:v>301802.83689504274</c:v>
                </c:pt>
                <c:pt idx="9">
                  <c:v>259445.11805715493</c:v>
                </c:pt>
                <c:pt idx="10">
                  <c:v>236708.39231359673</c:v>
                </c:pt>
                <c:pt idx="11">
                  <c:v>264523.16835840943</c:v>
                </c:pt>
                <c:pt idx="12">
                  <c:v>340643.8720891187</c:v>
                </c:pt>
                <c:pt idx="13">
                  <c:v>432221.00134748506</c:v>
                </c:pt>
                <c:pt idx="14">
                  <c:v>476578.17746282427</c:v>
                </c:pt>
                <c:pt idx="15">
                  <c:v>495674.0509497145</c:v>
                </c:pt>
                <c:pt idx="16">
                  <c:v>494900.19412350457</c:v>
                </c:pt>
                <c:pt idx="17">
                  <c:v>494114.78893520357</c:v>
                </c:pt>
                <c:pt idx="18">
                  <c:v>493317.81050307374</c:v>
                </c:pt>
                <c:pt idx="19">
                  <c:v>492509.23352069035</c:v>
                </c:pt>
              </c:numCache>
            </c:numRef>
          </c:yVal>
          <c:smooth val="0"/>
          <c:extLst>
            <c:ext xmlns:c16="http://schemas.microsoft.com/office/drawing/2014/chart" uri="{C3380CC4-5D6E-409C-BE32-E72D297353CC}">
              <c16:uniqueId val="{00000000-A870-4283-8269-FCDB7E6FE702}"/>
            </c:ext>
          </c:extLst>
        </c:ser>
        <c:dLbls>
          <c:showLegendKey val="0"/>
          <c:showVal val="0"/>
          <c:showCatName val="0"/>
          <c:showSerName val="0"/>
          <c:showPercent val="0"/>
          <c:showBubbleSize val="0"/>
        </c:dLbls>
        <c:axId val="-1009562240"/>
        <c:axId val="-1009560192"/>
      </c:scatterChart>
      <c:valAx>
        <c:axId val="-1009562240"/>
        <c:scaling>
          <c:orientation val="minMax"/>
          <c:max val="20"/>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009560192"/>
        <c:crosses val="autoZero"/>
        <c:crossBetween val="midCat"/>
      </c:valAx>
      <c:valAx>
        <c:axId val="-1009560192"/>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_(* #,##0_);_(* \(#,##0\);_(* &quot;-&quot;??_);_(@_)"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009562240"/>
        <c:crosses val="autoZero"/>
        <c:crossBetween val="midCat"/>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3" Type="http://schemas.openxmlformats.org/officeDocument/2006/relationships/chart" Target="../charts/chart4.xml"/><Relationship Id="rId2" Type="http://schemas.openxmlformats.org/officeDocument/2006/relationships/chart" Target="../charts/chart3.xml"/><Relationship Id="rId1" Type="http://schemas.openxmlformats.org/officeDocument/2006/relationships/chart" Target="../charts/chart2.xml"/></Relationships>
</file>

<file path=xl/drawings/_rels/drawing3.xml.rels><?xml version="1.0" encoding="UTF-8" standalone="yes"?>
<Relationships xmlns="http://schemas.openxmlformats.org/package/2006/relationships"><Relationship Id="rId3" Type="http://schemas.openxmlformats.org/officeDocument/2006/relationships/chart" Target="../charts/chart7.xml"/><Relationship Id="rId2" Type="http://schemas.openxmlformats.org/officeDocument/2006/relationships/chart" Target="../charts/chart6.xml"/><Relationship Id="rId1" Type="http://schemas.openxmlformats.org/officeDocument/2006/relationships/chart" Target="../charts/chart5.xml"/></Relationships>
</file>

<file path=xl/drawings/_rels/drawing4.xml.rels><?xml version="1.0" encoding="UTF-8" standalone="yes"?>
<Relationships xmlns="http://schemas.openxmlformats.org/package/2006/relationships"><Relationship Id="rId3" Type="http://schemas.openxmlformats.org/officeDocument/2006/relationships/chart" Target="../charts/chart10.xml"/><Relationship Id="rId2" Type="http://schemas.openxmlformats.org/officeDocument/2006/relationships/chart" Target="../charts/chart9.xml"/><Relationship Id="rId1" Type="http://schemas.openxmlformats.org/officeDocument/2006/relationships/chart" Target="../charts/chart8.xml"/></Relationships>
</file>

<file path=xl/drawings/drawing1.xml><?xml version="1.0" encoding="utf-8"?>
<xdr:wsDr xmlns:xdr="http://schemas.openxmlformats.org/drawingml/2006/spreadsheetDrawing" xmlns:a="http://schemas.openxmlformats.org/drawingml/2006/main">
  <xdr:twoCellAnchor>
    <xdr:from>
      <xdr:col>1</xdr:col>
      <xdr:colOff>0</xdr:colOff>
      <xdr:row>3</xdr:row>
      <xdr:rowOff>66675</xdr:rowOff>
    </xdr:from>
    <xdr:to>
      <xdr:col>7</xdr:col>
      <xdr:colOff>885824</xdr:colOff>
      <xdr:row>24</xdr:row>
      <xdr:rowOff>172811</xdr:rowOff>
    </xdr:to>
    <xdr:graphicFrame macro="">
      <xdr:nvGraphicFramePr>
        <xdr:cNvPr id="3" name="Chart 2">
          <a:extLst>
            <a:ext uri="{FF2B5EF4-FFF2-40B4-BE49-F238E27FC236}">
              <a16:creationId xmlns:a16="http://schemas.microsoft.com/office/drawing/2014/main" id="{14B9694B-15A3-4876-8281-BF093AB458B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8</xdr:col>
      <xdr:colOff>6801</xdr:colOff>
      <xdr:row>39</xdr:row>
      <xdr:rowOff>84364</xdr:rowOff>
    </xdr:from>
    <xdr:to>
      <xdr:col>16</xdr:col>
      <xdr:colOff>312964</xdr:colOff>
      <xdr:row>57</xdr:row>
      <xdr:rowOff>95250</xdr:rowOff>
    </xdr:to>
    <xdr:graphicFrame macro="">
      <xdr:nvGraphicFramePr>
        <xdr:cNvPr id="2" name="Chart 1">
          <a:extLst>
            <a:ext uri="{FF2B5EF4-FFF2-40B4-BE49-F238E27FC236}">
              <a16:creationId xmlns:a16="http://schemas.microsoft.com/office/drawing/2014/main" id="{0A4A207C-2769-45FA-8A0B-BDBE0141761E}"/>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8</xdr:col>
      <xdr:colOff>5337</xdr:colOff>
      <xdr:row>25</xdr:row>
      <xdr:rowOff>5442</xdr:rowOff>
    </xdr:from>
    <xdr:to>
      <xdr:col>12</xdr:col>
      <xdr:colOff>250587</xdr:colOff>
      <xdr:row>39</xdr:row>
      <xdr:rowOff>81642</xdr:rowOff>
    </xdr:to>
    <xdr:graphicFrame macro="">
      <xdr:nvGraphicFramePr>
        <xdr:cNvPr id="3" name="Chart 2">
          <a:extLst>
            <a:ext uri="{FF2B5EF4-FFF2-40B4-BE49-F238E27FC236}">
              <a16:creationId xmlns:a16="http://schemas.microsoft.com/office/drawing/2014/main" id="{05D453F4-A822-4F52-9346-DBF6D8B30C29}"/>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12</xdr:col>
      <xdr:colOff>231322</xdr:colOff>
      <xdr:row>25</xdr:row>
      <xdr:rowOff>7328</xdr:rowOff>
    </xdr:from>
    <xdr:to>
      <xdr:col>16</xdr:col>
      <xdr:colOff>313286</xdr:colOff>
      <xdr:row>39</xdr:row>
      <xdr:rowOff>83528</xdr:rowOff>
    </xdr:to>
    <xdr:graphicFrame macro="">
      <xdr:nvGraphicFramePr>
        <xdr:cNvPr id="4" name="Chart 3">
          <a:extLst>
            <a:ext uri="{FF2B5EF4-FFF2-40B4-BE49-F238E27FC236}">
              <a16:creationId xmlns:a16="http://schemas.microsoft.com/office/drawing/2014/main" id="{6F990CE4-9DC3-414D-88B3-8613423EE9B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8</xdr:col>
      <xdr:colOff>1463</xdr:colOff>
      <xdr:row>39</xdr:row>
      <xdr:rowOff>78922</xdr:rowOff>
    </xdr:from>
    <xdr:to>
      <xdr:col>16</xdr:col>
      <xdr:colOff>443698</xdr:colOff>
      <xdr:row>57</xdr:row>
      <xdr:rowOff>89808</xdr:rowOff>
    </xdr:to>
    <xdr:graphicFrame macro="">
      <xdr:nvGraphicFramePr>
        <xdr:cNvPr id="2" name="Chart 1">
          <a:extLst>
            <a:ext uri="{FF2B5EF4-FFF2-40B4-BE49-F238E27FC236}">
              <a16:creationId xmlns:a16="http://schemas.microsoft.com/office/drawing/2014/main" id="{AFA3D806-3083-483D-8584-35CF15FA44B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8</xdr:col>
      <xdr:colOff>-1</xdr:colOff>
      <xdr:row>25</xdr:row>
      <xdr:rowOff>0</xdr:rowOff>
    </xdr:from>
    <xdr:to>
      <xdr:col>12</xdr:col>
      <xdr:colOff>381321</xdr:colOff>
      <xdr:row>39</xdr:row>
      <xdr:rowOff>76200</xdr:rowOff>
    </xdr:to>
    <xdr:graphicFrame macro="">
      <xdr:nvGraphicFramePr>
        <xdr:cNvPr id="3" name="Chart 2">
          <a:extLst>
            <a:ext uri="{FF2B5EF4-FFF2-40B4-BE49-F238E27FC236}">
              <a16:creationId xmlns:a16="http://schemas.microsoft.com/office/drawing/2014/main" id="{F09A9CEA-2210-4C1E-8F5C-A288C6844FF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12</xdr:col>
      <xdr:colOff>362056</xdr:colOff>
      <xdr:row>25</xdr:row>
      <xdr:rowOff>1886</xdr:rowOff>
    </xdr:from>
    <xdr:to>
      <xdr:col>16</xdr:col>
      <xdr:colOff>444020</xdr:colOff>
      <xdr:row>39</xdr:row>
      <xdr:rowOff>78086</xdr:rowOff>
    </xdr:to>
    <xdr:graphicFrame macro="">
      <xdr:nvGraphicFramePr>
        <xdr:cNvPr id="4" name="Chart 3">
          <a:extLst>
            <a:ext uri="{FF2B5EF4-FFF2-40B4-BE49-F238E27FC236}">
              <a16:creationId xmlns:a16="http://schemas.microsoft.com/office/drawing/2014/main" id="{854B6A41-7EFE-43CA-8E00-6075910E007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8</xdr:col>
      <xdr:colOff>1464</xdr:colOff>
      <xdr:row>39</xdr:row>
      <xdr:rowOff>78922</xdr:rowOff>
    </xdr:from>
    <xdr:to>
      <xdr:col>16</xdr:col>
      <xdr:colOff>443699</xdr:colOff>
      <xdr:row>57</xdr:row>
      <xdr:rowOff>89808</xdr:rowOff>
    </xdr:to>
    <xdr:graphicFrame macro="">
      <xdr:nvGraphicFramePr>
        <xdr:cNvPr id="2" name="Chart 1">
          <a:extLst>
            <a:ext uri="{FF2B5EF4-FFF2-40B4-BE49-F238E27FC236}">
              <a16:creationId xmlns:a16="http://schemas.microsoft.com/office/drawing/2014/main" id="{F8980F2C-B2C7-42B2-8524-9B6D991747A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8</xdr:col>
      <xdr:colOff>0</xdr:colOff>
      <xdr:row>25</xdr:row>
      <xdr:rowOff>0</xdr:rowOff>
    </xdr:from>
    <xdr:to>
      <xdr:col>12</xdr:col>
      <xdr:colOff>381322</xdr:colOff>
      <xdr:row>39</xdr:row>
      <xdr:rowOff>76200</xdr:rowOff>
    </xdr:to>
    <xdr:graphicFrame macro="">
      <xdr:nvGraphicFramePr>
        <xdr:cNvPr id="3" name="Chart 2">
          <a:extLst>
            <a:ext uri="{FF2B5EF4-FFF2-40B4-BE49-F238E27FC236}">
              <a16:creationId xmlns:a16="http://schemas.microsoft.com/office/drawing/2014/main" id="{ED7A98FA-792B-4B76-AC46-E97C5B9C8F3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12</xdr:col>
      <xdr:colOff>362057</xdr:colOff>
      <xdr:row>25</xdr:row>
      <xdr:rowOff>1886</xdr:rowOff>
    </xdr:from>
    <xdr:to>
      <xdr:col>16</xdr:col>
      <xdr:colOff>444021</xdr:colOff>
      <xdr:row>39</xdr:row>
      <xdr:rowOff>78086</xdr:rowOff>
    </xdr:to>
    <xdr:graphicFrame macro="">
      <xdr:nvGraphicFramePr>
        <xdr:cNvPr id="4" name="Chart 3">
          <a:extLst>
            <a:ext uri="{FF2B5EF4-FFF2-40B4-BE49-F238E27FC236}">
              <a16:creationId xmlns:a16="http://schemas.microsoft.com/office/drawing/2014/main" id="{4E7F9462-487D-44A2-B21F-B9B0AADD9B3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G:/Ruan/Projects/Botswana%20CI/Botswana%20CI_EX-ACT-v8.5.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Start"/>
      <sheetName val="1.Description"/>
      <sheetName val="2.LUC"/>
      <sheetName val="3.Cropland"/>
      <sheetName val="Agroforestry"/>
      <sheetName val="A-R"/>
      <sheetName val="Deforestation"/>
      <sheetName val="Annual"/>
      <sheetName val="Perennial"/>
      <sheetName val="Irrigated Rice"/>
      <sheetName val="Matrix"/>
      <sheetName val="Grass"/>
      <sheetName val="non Forest LUC"/>
      <sheetName val="4.Grassland"/>
      <sheetName val="Forest Degradation"/>
      <sheetName val="Organic Soils NEW"/>
      <sheetName val="Organic Soils"/>
      <sheetName val="Livestock"/>
      <sheetName val="5. Management"/>
      <sheetName val="Inputs"/>
      <sheetName val="Other investments"/>
      <sheetName val="6. Coastal"/>
      <sheetName val="Wetlands"/>
      <sheetName val="7. Inputs"/>
      <sheetName val="8. Fish"/>
      <sheetName val="Fishery"/>
      <sheetName val="9. Results"/>
      <sheetName val="Gross Results"/>
      <sheetName val="BALANCE"/>
      <sheetName val="Help"/>
      <sheetName val="Yield"/>
      <sheetName val="Calculations"/>
      <sheetName val="Stats_yield"/>
      <sheetName val="List_Yield"/>
      <sheetName val="List"/>
      <sheetName val=" IPCC"/>
      <sheetName val="Elec_EF"/>
      <sheetName val="translations"/>
      <sheetName val="Name translation"/>
      <sheetName val="Other Translations"/>
      <sheetName val="Other translations2"/>
    </sheetNames>
    <sheetDataSet>
      <sheetData sheetId="0"/>
      <sheetData sheetId="1">
        <row r="15">
          <cell r="C15" t="str">
            <v>Sandy Soils</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row r="92">
          <cell r="L92" t="str">
            <v>Warm Temperate Dry</v>
          </cell>
        </row>
      </sheetData>
      <sheetData sheetId="30"/>
      <sheetData sheetId="31"/>
      <sheetData sheetId="32"/>
      <sheetData sheetId="33"/>
      <sheetData sheetId="34">
        <row r="20">
          <cell r="A20" t="str">
            <v>Please select</v>
          </cell>
        </row>
        <row r="21">
          <cell r="A21" t="str">
            <v>HAC Soils</v>
          </cell>
        </row>
        <row r="22">
          <cell r="A22" t="str">
            <v>LAC Soils</v>
          </cell>
        </row>
        <row r="23">
          <cell r="A23" t="str">
            <v>Sandy Soils</v>
          </cell>
        </row>
        <row r="24">
          <cell r="A24" t="str">
            <v>Spodic Soils</v>
          </cell>
        </row>
        <row r="25">
          <cell r="A25" t="str">
            <v>Volcanic Soils</v>
          </cell>
        </row>
        <row r="26">
          <cell r="A26" t="str">
            <v>Wetland Soils</v>
          </cell>
        </row>
      </sheetData>
      <sheetData sheetId="35"/>
      <sheetData sheetId="36"/>
      <sheetData sheetId="37"/>
      <sheetData sheetId="38"/>
      <sheetData sheetId="39"/>
      <sheetData sheetId="40"/>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31"/>
  <sheetViews>
    <sheetView tabSelected="1" workbookViewId="0">
      <selection activeCell="K9" sqref="K9"/>
    </sheetView>
  </sheetViews>
  <sheetFormatPr baseColWidth="10" defaultColWidth="8.83203125" defaultRowHeight="15" x14ac:dyDescent="0.2"/>
  <cols>
    <col min="2" max="2" width="30.5" bestFit="1" customWidth="1"/>
    <col min="3" max="8" width="14.33203125" customWidth="1"/>
  </cols>
  <sheetData>
    <row r="1" spans="1:7" ht="20" x14ac:dyDescent="0.2">
      <c r="A1" s="91" t="s">
        <v>83</v>
      </c>
      <c r="B1" s="92"/>
      <c r="C1" s="92"/>
      <c r="D1" s="92"/>
      <c r="E1" s="92"/>
      <c r="F1" s="92"/>
      <c r="G1" s="93"/>
    </row>
    <row r="2" spans="1:7" ht="18" x14ac:dyDescent="0.2">
      <c r="A2" s="94" t="s">
        <v>84</v>
      </c>
      <c r="B2" s="95"/>
      <c r="C2" s="95"/>
      <c r="D2" s="95"/>
      <c r="E2" s="95"/>
      <c r="F2" s="95"/>
      <c r="G2" s="96"/>
    </row>
    <row r="3" spans="1:7" ht="19" thickBot="1" x14ac:dyDescent="0.25">
      <c r="A3" s="97" t="s">
        <v>88</v>
      </c>
      <c r="B3" s="98"/>
      <c r="C3" s="98"/>
      <c r="D3" s="98"/>
      <c r="E3" s="98"/>
      <c r="F3" s="98"/>
      <c r="G3" s="99"/>
    </row>
    <row r="26" spans="2:8" x14ac:dyDescent="0.2">
      <c r="B26" s="103" t="s">
        <v>32</v>
      </c>
      <c r="C26" s="100" t="s">
        <v>78</v>
      </c>
      <c r="D26" s="101"/>
      <c r="E26" s="102"/>
      <c r="F26" s="101" t="s">
        <v>79</v>
      </c>
      <c r="G26" s="101"/>
      <c r="H26" s="102"/>
    </row>
    <row r="27" spans="2:8" x14ac:dyDescent="0.2">
      <c r="B27" s="104"/>
      <c r="C27" s="88" t="s">
        <v>80</v>
      </c>
      <c r="D27" s="89" t="s">
        <v>81</v>
      </c>
      <c r="E27" s="90" t="s">
        <v>82</v>
      </c>
      <c r="F27" s="88" t="s">
        <v>80</v>
      </c>
      <c r="G27" s="89" t="s">
        <v>81</v>
      </c>
      <c r="H27" s="90" t="s">
        <v>82</v>
      </c>
    </row>
    <row r="28" spans="2:8" x14ac:dyDescent="0.2">
      <c r="B28" s="63" t="s">
        <v>39</v>
      </c>
      <c r="C28" s="86">
        <f>ER_Conservative!E3</f>
        <v>116090.05445961535</v>
      </c>
      <c r="D28" s="4">
        <f>ER_Moderate!E3</f>
        <v>286631.19793626526</v>
      </c>
      <c r="E28" s="83">
        <f>ER_Maximum!E3</f>
        <v>590437.77775422228</v>
      </c>
      <c r="F28" s="4">
        <f>ER_Conservative!F3</f>
        <v>29022.513614903837</v>
      </c>
      <c r="G28" s="4">
        <f>ER_Moderate!F3</f>
        <v>71657.799484066316</v>
      </c>
      <c r="H28" s="83">
        <f>ER_Maximum!F3</f>
        <v>147609.44443855557</v>
      </c>
    </row>
    <row r="29" spans="2:8" x14ac:dyDescent="0.2">
      <c r="B29" s="40" t="s">
        <v>38</v>
      </c>
      <c r="C29" s="86">
        <f>ER_Conservative!E4</f>
        <v>534658.12651876849</v>
      </c>
      <c r="D29" s="4">
        <f>ER_Moderate!E4</f>
        <v>1211965.1395550915</v>
      </c>
      <c r="E29" s="83">
        <f>ER_Maximum!E4</f>
        <v>2332744.5582234329</v>
      </c>
      <c r="F29" s="4">
        <f>ER_Conservative!F4</f>
        <v>66832.265814846061</v>
      </c>
      <c r="G29" s="4">
        <f>ER_Moderate!F4</f>
        <v>151495.64244438644</v>
      </c>
      <c r="H29" s="83">
        <f>ER_Maximum!F4</f>
        <v>291593.06977792911</v>
      </c>
    </row>
    <row r="30" spans="2:8" x14ac:dyDescent="0.2">
      <c r="B30" s="40" t="s">
        <v>27</v>
      </c>
      <c r="C30" s="86">
        <f>ER_Conservative!E5</f>
        <v>794350.56484550727</v>
      </c>
      <c r="D30" s="4">
        <f>ER_Moderate!E5</f>
        <v>1514310.5172460596</v>
      </c>
      <c r="E30" s="83">
        <f>ER_Maximum!E5</f>
        <v>2893992.5131756305</v>
      </c>
      <c r="F30" s="4">
        <f>ER_Conservative!F5</f>
        <v>79435.056484550732</v>
      </c>
      <c r="G30" s="4">
        <f>ER_Moderate!F5</f>
        <v>151431.05172460596</v>
      </c>
      <c r="H30" s="83">
        <f>ER_Maximum!F5</f>
        <v>289399.25131756306</v>
      </c>
    </row>
    <row r="31" spans="2:8" x14ac:dyDescent="0.2">
      <c r="B31" s="41" t="s">
        <v>28</v>
      </c>
      <c r="C31" s="87">
        <f>ER_Conservative!E6</f>
        <v>2577525.476482172</v>
      </c>
      <c r="D31" s="84">
        <f>ER_Moderate!E6</f>
        <v>4069699.0029461305</v>
      </c>
      <c r="E31" s="85">
        <f>ER_Maximum!E6</f>
        <v>7115183.2027792512</v>
      </c>
      <c r="F31" s="84">
        <f>ER_Conservative!F6</f>
        <v>128876.2738241086</v>
      </c>
      <c r="G31" s="84">
        <f>ER_Moderate!F6</f>
        <v>203484.95014730652</v>
      </c>
      <c r="H31" s="85">
        <f>ER_Maximum!F6</f>
        <v>355759.16013896256</v>
      </c>
    </row>
  </sheetData>
  <mergeCells count="3">
    <mergeCell ref="C26:E26"/>
    <mergeCell ref="F26:H26"/>
    <mergeCell ref="B26:B27"/>
  </mergeCells>
  <pageMargins left="0.7" right="0.7" top="0.75" bottom="0.75" header="0.3" footer="0.3"/>
  <pageSetup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2:AM64"/>
  <sheetViews>
    <sheetView zoomScale="70" zoomScaleNormal="70" workbookViewId="0"/>
  </sheetViews>
  <sheetFormatPr baseColWidth="10" defaultColWidth="11.5" defaultRowHeight="15" x14ac:dyDescent="0.2"/>
  <cols>
    <col min="1" max="1" width="3" customWidth="1"/>
    <col min="2" max="2" width="54.1640625" bestFit="1" customWidth="1"/>
    <col min="3" max="4" width="13.83203125" customWidth="1"/>
    <col min="5" max="5" width="22.5" bestFit="1" customWidth="1"/>
    <col min="6" max="6" width="16.5" customWidth="1"/>
    <col min="7" max="7" width="13.83203125" customWidth="1"/>
    <col min="8" max="8" width="6" customWidth="1"/>
    <col min="9" max="9" width="14.6640625" customWidth="1"/>
    <col min="10" max="10" width="14.5" customWidth="1"/>
    <col min="11" max="11" width="12.83203125" customWidth="1"/>
    <col min="12" max="12" width="13.6640625" customWidth="1"/>
    <col min="13" max="13" width="12.83203125" customWidth="1"/>
    <col min="14" max="14" width="17.5" bestFit="1" customWidth="1"/>
    <col min="15" max="15" width="16.5" customWidth="1"/>
    <col min="18" max="18" width="12" bestFit="1" customWidth="1"/>
    <col min="19" max="19" width="15.1640625" bestFit="1" customWidth="1"/>
    <col min="20" max="26" width="15.1640625" customWidth="1"/>
    <col min="27" max="27" width="14.33203125" bestFit="1" customWidth="1"/>
    <col min="28" max="28" width="14.33203125" customWidth="1"/>
    <col min="30" max="30" width="14" bestFit="1" customWidth="1"/>
    <col min="31" max="31" width="14" customWidth="1"/>
    <col min="32" max="32" width="11" bestFit="1" customWidth="1"/>
    <col min="33" max="33" width="15.6640625" bestFit="1" customWidth="1"/>
    <col min="34" max="34" width="15.1640625" bestFit="1" customWidth="1"/>
    <col min="35" max="35" width="10.5" customWidth="1"/>
    <col min="36" max="36" width="12.5" bestFit="1" customWidth="1"/>
  </cols>
  <sheetData>
    <row r="2" spans="1:36" ht="43.5" customHeight="1" x14ac:dyDescent="0.2">
      <c r="B2" s="43" t="s">
        <v>32</v>
      </c>
      <c r="C2" s="46" t="s">
        <v>3</v>
      </c>
      <c r="D2" s="46" t="s">
        <v>15</v>
      </c>
      <c r="E2" s="72" t="s">
        <v>49</v>
      </c>
      <c r="F2" s="57" t="s">
        <v>50</v>
      </c>
      <c r="H2" s="109" t="s">
        <v>2</v>
      </c>
      <c r="I2" s="110" t="s">
        <v>73</v>
      </c>
      <c r="J2" s="110" t="s">
        <v>74</v>
      </c>
      <c r="K2" s="110" t="s">
        <v>75</v>
      </c>
      <c r="L2" s="110" t="s">
        <v>76</v>
      </c>
      <c r="M2" s="110" t="s">
        <v>33</v>
      </c>
      <c r="N2" s="111" t="s">
        <v>4</v>
      </c>
      <c r="O2" s="108" t="s">
        <v>16</v>
      </c>
      <c r="P2" s="108"/>
      <c r="Q2" s="108"/>
      <c r="R2" s="112" t="s">
        <v>17</v>
      </c>
      <c r="S2" s="108"/>
      <c r="T2" s="109"/>
      <c r="U2" s="108" t="s">
        <v>18</v>
      </c>
      <c r="V2" s="108"/>
      <c r="W2" s="108"/>
      <c r="X2" s="112" t="s">
        <v>20</v>
      </c>
      <c r="Y2" s="108"/>
      <c r="Z2" s="109"/>
      <c r="AA2" s="108" t="s">
        <v>21</v>
      </c>
      <c r="AB2" s="105" t="s">
        <v>85</v>
      </c>
      <c r="AC2" s="105" t="s">
        <v>86</v>
      </c>
      <c r="AD2" s="105" t="s">
        <v>50</v>
      </c>
      <c r="AE2" s="105" t="s">
        <v>77</v>
      </c>
      <c r="AF2" s="110" t="s">
        <v>53</v>
      </c>
    </row>
    <row r="3" spans="1:36" x14ac:dyDescent="0.2">
      <c r="B3" s="63" t="s">
        <v>39</v>
      </c>
      <c r="C3" s="64">
        <f>AA7</f>
        <v>44</v>
      </c>
      <c r="D3" s="64">
        <f>AF7</f>
        <v>137063.60067944688</v>
      </c>
      <c r="E3" s="73">
        <f>SUM(AD4:AD7)</f>
        <v>116090.05445961535</v>
      </c>
      <c r="F3" s="65">
        <f>E3/4</f>
        <v>29022.513614903837</v>
      </c>
      <c r="H3" s="109"/>
      <c r="I3" s="110"/>
      <c r="J3" s="110"/>
      <c r="K3" s="110"/>
      <c r="L3" s="110"/>
      <c r="M3" s="110"/>
      <c r="N3" s="111"/>
      <c r="O3" s="55" t="s">
        <v>0</v>
      </c>
      <c r="P3" s="55" t="s">
        <v>22</v>
      </c>
      <c r="Q3" s="55" t="s">
        <v>40</v>
      </c>
      <c r="R3" s="47" t="s">
        <v>0</v>
      </c>
      <c r="S3" s="55" t="s">
        <v>22</v>
      </c>
      <c r="T3" s="55" t="s">
        <v>40</v>
      </c>
      <c r="U3" s="55" t="s">
        <v>0</v>
      </c>
      <c r="V3" s="55" t="s">
        <v>22</v>
      </c>
      <c r="W3" s="55" t="s">
        <v>40</v>
      </c>
      <c r="X3" s="47" t="s">
        <v>0</v>
      </c>
      <c r="Y3" s="55" t="s">
        <v>22</v>
      </c>
      <c r="Z3" s="55" t="s">
        <v>40</v>
      </c>
      <c r="AA3" s="108"/>
      <c r="AB3" s="105"/>
      <c r="AC3" s="105"/>
      <c r="AD3" s="105"/>
      <c r="AE3" s="105"/>
      <c r="AF3" s="110"/>
    </row>
    <row r="4" spans="1:36" x14ac:dyDescent="0.2">
      <c r="B4" s="40" t="s">
        <v>38</v>
      </c>
      <c r="C4" s="26">
        <f>AA11</f>
        <v>83</v>
      </c>
      <c r="D4" s="26">
        <f>AF11</f>
        <v>226716.6069337957</v>
      </c>
      <c r="E4" s="73">
        <f>SUM(AD4:AD11)</f>
        <v>534658.12651876849</v>
      </c>
      <c r="F4" s="58">
        <f>E4/8</f>
        <v>66832.265814846061</v>
      </c>
      <c r="H4" s="49">
        <v>1</v>
      </c>
      <c r="I4" s="71">
        <v>322357</v>
      </c>
      <c r="J4" s="71">
        <v>322357</v>
      </c>
      <c r="K4" s="10">
        <f t="shared" ref="K4:L23" si="0">I4/$C$17</f>
        <v>3099.5865384615386</v>
      </c>
      <c r="L4" s="10">
        <f t="shared" si="0"/>
        <v>3099.5865384615386</v>
      </c>
      <c r="M4" s="50">
        <v>1</v>
      </c>
      <c r="N4" s="37">
        <v>2</v>
      </c>
      <c r="O4" s="7">
        <f t="shared" ref="O4:O23" si="1">IF(N4="Post",O$11,VLOOKUP($N4,$B$35:$E$39,2,FALSE))</f>
        <v>9</v>
      </c>
      <c r="P4" s="12">
        <f t="shared" ref="P4:P23" si="2">IF(O4=0,0,IF(O3=0,$C$12,IF(O2=0,$C$13,IF(O1=0,$C$14,IF(O4&gt;0,$C$15,"ERROR")))))</f>
        <v>0.5</v>
      </c>
      <c r="Q4" s="8">
        <f t="shared" ref="Q4:Q23" si="3">O4*$K4*($C$22+($C$20-$C$22)*(1-P4))</f>
        <v>44020.328019230765</v>
      </c>
      <c r="R4" s="9">
        <f t="shared" ref="R4:R23" si="4">IF($N4="Post",R$11,VLOOKUP($N4,$B$35:$E$39,3,FALSE))</f>
        <v>0</v>
      </c>
      <c r="S4" s="12">
        <f t="shared" ref="S4:S23" si="5">IF(R4=0,0,IF(R3=0,$C$12,IF(R2=0,$C$13,IF(R1=0,$C$14,IF(R4&gt;0,$C$15,"ERROR")))))</f>
        <v>0</v>
      </c>
      <c r="T4" s="8">
        <f t="shared" ref="T4:T23" si="6">R4*$K4*($C$22+($C$20-$C$22)*(1-S4))</f>
        <v>0</v>
      </c>
      <c r="U4" s="10">
        <f t="shared" ref="U4:U23" si="7">IF($N4="Post",U$11,VLOOKUP($N4,$B$35:$E$39,4,FALSE))</f>
        <v>0</v>
      </c>
      <c r="V4" s="12">
        <f t="shared" ref="V4:V23" si="8">IF(U4=0,0,IF(U3=0,$C$12,IF(U2=0,$C$13,IF(U1=0,$C$14,IF(U4&gt;0,$C$15,"ERROR")))))</f>
        <v>0</v>
      </c>
      <c r="W4" s="8">
        <f t="shared" ref="W4:W23" si="9">U4*$K4*($C$22+($C$20-$C$22)*(1-V4))</f>
        <v>0</v>
      </c>
      <c r="X4" s="14">
        <f t="shared" ref="X4:X23" si="10">IF(AA3 &lt; $C$17, IF($N4="Post",IF(AA3+$C$11&gt;$C$17, $C$17-AA3+X3, X3+$C$11),0),  $C$17-(O4+R4+U4+X3)+X3)</f>
        <v>0</v>
      </c>
      <c r="Y4" s="12">
        <f t="shared" ref="Y4:Y23" si="11">IF(M4&gt;8,$C$18,IF(X4=0,0,IF(X3=0,$C$12,IF(X2=0,$C$13,IF(X1=0,$C$14,IF(X4&gt;0,$C$18,"ERROR"))))))</f>
        <v>0</v>
      </c>
      <c r="Z4" s="8">
        <f t="shared" ref="Z4:Z23" si="12">X4*$K4*($C$22+($C$20-$C$22)*(1-Y4))</f>
        <v>0</v>
      </c>
      <c r="AA4" s="11">
        <f>SUM(O4,R4,U4,X4)</f>
        <v>9</v>
      </c>
      <c r="AB4" s="9">
        <f t="shared" ref="AB4:AB23" si="13">K4*AA4*$C$21</f>
        <v>57047.890240384615</v>
      </c>
      <c r="AC4" s="9">
        <f>SUM(Q4,T4,W4,Z4)</f>
        <v>44020.328019230765</v>
      </c>
      <c r="AD4" s="9">
        <f t="shared" ref="AD4:AD23" si="14">AB4-AC4</f>
        <v>13027.56222115385</v>
      </c>
      <c r="AE4" s="9">
        <f>AD4</f>
        <v>13027.56222115385</v>
      </c>
      <c r="AF4" s="11">
        <f>AA4*L4</f>
        <v>27896.278846153848</v>
      </c>
      <c r="AI4" s="1"/>
    </row>
    <row r="5" spans="1:36" x14ac:dyDescent="0.2">
      <c r="B5" s="40" t="s">
        <v>27</v>
      </c>
      <c r="C5" s="26">
        <f>AA13</f>
        <v>103</v>
      </c>
      <c r="D5" s="26">
        <f>AF13</f>
        <v>268991.22770557401</v>
      </c>
      <c r="E5" s="73">
        <f>SUM(AD4:AD13)</f>
        <v>794350.56484550727</v>
      </c>
      <c r="F5" s="58">
        <f>E5/10</f>
        <v>79435.056484550732</v>
      </c>
      <c r="H5" s="40">
        <v>2</v>
      </c>
      <c r="I5" s="80">
        <v>322357</v>
      </c>
      <c r="J5" s="80">
        <v>323755.95</v>
      </c>
      <c r="K5" s="7">
        <f t="shared" si="0"/>
        <v>3099.5865384615386</v>
      </c>
      <c r="L5" s="7">
        <f t="shared" si="0"/>
        <v>3113.0379807692307</v>
      </c>
      <c r="M5" s="51">
        <v>2</v>
      </c>
      <c r="N5" s="38">
        <v>2</v>
      </c>
      <c r="O5" s="7">
        <f t="shared" si="1"/>
        <v>9</v>
      </c>
      <c r="P5" s="12">
        <f t="shared" si="2"/>
        <v>0.8</v>
      </c>
      <c r="Q5" s="13">
        <f t="shared" si="3"/>
        <v>36203.790686538458</v>
      </c>
      <c r="R5" s="14">
        <f t="shared" si="4"/>
        <v>0</v>
      </c>
      <c r="S5" s="12">
        <f t="shared" si="5"/>
        <v>0</v>
      </c>
      <c r="T5" s="14">
        <f t="shared" si="6"/>
        <v>0</v>
      </c>
      <c r="U5" s="7">
        <f t="shared" si="7"/>
        <v>0</v>
      </c>
      <c r="V5" s="12">
        <f t="shared" si="8"/>
        <v>0</v>
      </c>
      <c r="W5" s="13">
        <f t="shared" si="9"/>
        <v>0</v>
      </c>
      <c r="X5" s="14">
        <f t="shared" si="10"/>
        <v>0</v>
      </c>
      <c r="Y5" s="12">
        <f t="shared" si="11"/>
        <v>0</v>
      </c>
      <c r="Z5" s="14">
        <f t="shared" si="12"/>
        <v>0</v>
      </c>
      <c r="AA5" s="15">
        <f t="shared" ref="AA5:AA23" si="15">SUM(O5,R5,U5,X5)</f>
        <v>9</v>
      </c>
      <c r="AB5" s="14">
        <f t="shared" si="13"/>
        <v>57047.890240384615</v>
      </c>
      <c r="AC5" s="14">
        <f t="shared" ref="AC5:AC23" si="16">SUM(Q5,T5,W5,Z5)</f>
        <v>36203.790686538458</v>
      </c>
      <c r="AD5" s="14">
        <f t="shared" si="14"/>
        <v>20844.099553846158</v>
      </c>
      <c r="AE5" s="14">
        <f>AD5+AE4</f>
        <v>33871.661775000008</v>
      </c>
      <c r="AF5" s="15">
        <f t="shared" ref="AF5:AF23" si="17">AA5*L5</f>
        <v>28017.341826923075</v>
      </c>
      <c r="AI5" s="1"/>
      <c r="AJ5" s="61"/>
    </row>
    <row r="6" spans="1:36" x14ac:dyDescent="0.2">
      <c r="B6" s="41" t="s">
        <v>28</v>
      </c>
      <c r="C6" s="27">
        <f>AA23</f>
        <v>104</v>
      </c>
      <c r="D6" s="27">
        <f>AF23</f>
        <v>329526.12193571805</v>
      </c>
      <c r="E6" s="74">
        <f>SUM(AD4:AD23)</f>
        <v>2577525.476482172</v>
      </c>
      <c r="F6" s="59">
        <f>E6/20</f>
        <v>128876.2738241086</v>
      </c>
      <c r="H6" s="40">
        <v>3</v>
      </c>
      <c r="I6" s="80">
        <v>322357</v>
      </c>
      <c r="J6" s="80">
        <v>325772.6467574687</v>
      </c>
      <c r="K6" s="7">
        <f t="shared" si="0"/>
        <v>3099.5865384615386</v>
      </c>
      <c r="L6" s="7">
        <f t="shared" si="0"/>
        <v>3132.4292957448915</v>
      </c>
      <c r="M6" s="51">
        <v>3</v>
      </c>
      <c r="N6" s="38">
        <v>3</v>
      </c>
      <c r="O6" s="7">
        <f t="shared" si="1"/>
        <v>9</v>
      </c>
      <c r="P6" s="12">
        <f t="shared" si="2"/>
        <v>0.8</v>
      </c>
      <c r="Q6" s="13">
        <f t="shared" si="3"/>
        <v>36203.790686538458</v>
      </c>
      <c r="R6" s="14">
        <f t="shared" si="4"/>
        <v>35</v>
      </c>
      <c r="S6" s="12">
        <f t="shared" si="5"/>
        <v>0.1</v>
      </c>
      <c r="T6" s="14">
        <f t="shared" si="6"/>
        <v>211720.35809615385</v>
      </c>
      <c r="U6" s="7">
        <f t="shared" si="7"/>
        <v>0</v>
      </c>
      <c r="V6" s="12">
        <f t="shared" si="8"/>
        <v>0</v>
      </c>
      <c r="W6" s="13">
        <f t="shared" si="9"/>
        <v>0</v>
      </c>
      <c r="X6" s="14">
        <f t="shared" si="10"/>
        <v>0</v>
      </c>
      <c r="Y6" s="12">
        <f t="shared" si="11"/>
        <v>0</v>
      </c>
      <c r="Z6" s="14">
        <f t="shared" si="12"/>
        <v>0</v>
      </c>
      <c r="AA6" s="15">
        <f t="shared" si="15"/>
        <v>44</v>
      </c>
      <c r="AB6" s="14">
        <f t="shared" si="13"/>
        <v>278900.79673076922</v>
      </c>
      <c r="AC6" s="14">
        <f t="shared" si="16"/>
        <v>247924.14878269233</v>
      </c>
      <c r="AD6" s="14">
        <f t="shared" si="14"/>
        <v>30976.64794807689</v>
      </c>
      <c r="AE6" s="14">
        <f t="shared" ref="AE6:AE23" si="18">AD6+AE5</f>
        <v>64848.309723076898</v>
      </c>
      <c r="AF6" s="15">
        <f t="shared" si="17"/>
        <v>137826.88901277524</v>
      </c>
      <c r="AI6" s="1"/>
      <c r="AJ6" s="61"/>
    </row>
    <row r="7" spans="1:36" x14ac:dyDescent="0.2">
      <c r="H7" s="40">
        <v>4</v>
      </c>
      <c r="I7" s="80">
        <v>322357</v>
      </c>
      <c r="J7" s="80">
        <v>323968.51069687447</v>
      </c>
      <c r="K7" s="7">
        <f t="shared" si="0"/>
        <v>3099.5865384615386</v>
      </c>
      <c r="L7" s="7">
        <f t="shared" si="0"/>
        <v>3115.081833623793</v>
      </c>
      <c r="M7" s="51">
        <v>4</v>
      </c>
      <c r="N7" s="38">
        <v>3</v>
      </c>
      <c r="O7" s="7">
        <f t="shared" si="1"/>
        <v>9</v>
      </c>
      <c r="P7" s="12">
        <f t="shared" si="2"/>
        <v>0.8</v>
      </c>
      <c r="Q7" s="13">
        <f t="shared" si="3"/>
        <v>36203.790686538458</v>
      </c>
      <c r="R7" s="14">
        <f t="shared" si="4"/>
        <v>35</v>
      </c>
      <c r="S7" s="12">
        <f t="shared" si="5"/>
        <v>0.3</v>
      </c>
      <c r="T7" s="14">
        <f t="shared" si="6"/>
        <v>191455.2613076923</v>
      </c>
      <c r="U7" s="7">
        <f t="shared" si="7"/>
        <v>0</v>
      </c>
      <c r="V7" s="12">
        <f t="shared" si="8"/>
        <v>0</v>
      </c>
      <c r="W7" s="13">
        <f t="shared" si="9"/>
        <v>0</v>
      </c>
      <c r="X7" s="14">
        <f t="shared" si="10"/>
        <v>0</v>
      </c>
      <c r="Y7" s="12">
        <f t="shared" si="11"/>
        <v>0</v>
      </c>
      <c r="Z7" s="14">
        <f t="shared" si="12"/>
        <v>0</v>
      </c>
      <c r="AA7" s="15">
        <f t="shared" si="15"/>
        <v>44</v>
      </c>
      <c r="AB7" s="14">
        <f t="shared" si="13"/>
        <v>278900.79673076922</v>
      </c>
      <c r="AC7" s="14">
        <f t="shared" si="16"/>
        <v>227659.05199423077</v>
      </c>
      <c r="AD7" s="14">
        <f t="shared" si="14"/>
        <v>51241.744736538443</v>
      </c>
      <c r="AE7" s="14">
        <f t="shared" si="18"/>
        <v>116090.05445961535</v>
      </c>
      <c r="AF7" s="15">
        <f t="shared" si="17"/>
        <v>137063.60067944688</v>
      </c>
      <c r="AI7" s="1"/>
      <c r="AJ7" s="61"/>
    </row>
    <row r="8" spans="1:36" x14ac:dyDescent="0.2">
      <c r="H8" s="40">
        <v>5</v>
      </c>
      <c r="I8" s="80">
        <v>322357</v>
      </c>
      <c r="J8" s="80">
        <v>326820.29022680956</v>
      </c>
      <c r="K8" s="7">
        <f t="shared" si="0"/>
        <v>3099.5865384615386</v>
      </c>
      <c r="L8" s="7">
        <f t="shared" si="0"/>
        <v>3142.5027906423998</v>
      </c>
      <c r="M8" s="51">
        <v>5</v>
      </c>
      <c r="N8" s="38">
        <v>3</v>
      </c>
      <c r="O8" s="7">
        <f t="shared" si="1"/>
        <v>9</v>
      </c>
      <c r="P8" s="12">
        <f t="shared" si="2"/>
        <v>0.8</v>
      </c>
      <c r="Q8" s="13">
        <f t="shared" si="3"/>
        <v>36203.790686538458</v>
      </c>
      <c r="R8" s="14">
        <f t="shared" si="4"/>
        <v>35</v>
      </c>
      <c r="S8" s="12">
        <f t="shared" si="5"/>
        <v>0.5</v>
      </c>
      <c r="T8" s="14">
        <f t="shared" si="6"/>
        <v>171190.16451923075</v>
      </c>
      <c r="U8" s="7">
        <f t="shared" si="7"/>
        <v>0</v>
      </c>
      <c r="V8" s="12">
        <f t="shared" si="8"/>
        <v>0</v>
      </c>
      <c r="W8" s="13">
        <f t="shared" si="9"/>
        <v>0</v>
      </c>
      <c r="X8" s="14">
        <f t="shared" si="10"/>
        <v>0</v>
      </c>
      <c r="Y8" s="12">
        <f t="shared" si="11"/>
        <v>0</v>
      </c>
      <c r="Z8" s="14">
        <f t="shared" si="12"/>
        <v>0</v>
      </c>
      <c r="AA8" s="15">
        <f t="shared" si="15"/>
        <v>44</v>
      </c>
      <c r="AB8" s="14">
        <f t="shared" si="13"/>
        <v>278900.79673076922</v>
      </c>
      <c r="AC8" s="14">
        <f t="shared" si="16"/>
        <v>207393.95520576922</v>
      </c>
      <c r="AD8" s="14">
        <f t="shared" si="14"/>
        <v>71506.841524999996</v>
      </c>
      <c r="AE8" s="14">
        <f t="shared" si="18"/>
        <v>187596.89598461534</v>
      </c>
      <c r="AF8" s="15">
        <f t="shared" si="17"/>
        <v>138270.12278826558</v>
      </c>
      <c r="AI8" s="1"/>
      <c r="AJ8" s="61"/>
    </row>
    <row r="9" spans="1:36" x14ac:dyDescent="0.2">
      <c r="B9" s="43" t="s">
        <v>1</v>
      </c>
      <c r="C9" s="48"/>
      <c r="D9" s="3"/>
      <c r="H9" s="40">
        <v>6</v>
      </c>
      <c r="I9" s="80">
        <v>309361.55000000005</v>
      </c>
      <c r="J9" s="80">
        <v>295828.27191549167</v>
      </c>
      <c r="K9" s="7">
        <f t="shared" si="0"/>
        <v>2974.6302884615388</v>
      </c>
      <c r="L9" s="7">
        <f t="shared" si="0"/>
        <v>2844.5026145720353</v>
      </c>
      <c r="M9" s="51">
        <v>6</v>
      </c>
      <c r="N9" s="38">
        <v>4</v>
      </c>
      <c r="O9" s="7">
        <f t="shared" si="1"/>
        <v>9</v>
      </c>
      <c r="P9" s="12">
        <f t="shared" si="2"/>
        <v>0.8</v>
      </c>
      <c r="Q9" s="13">
        <f t="shared" si="3"/>
        <v>34744.276695288463</v>
      </c>
      <c r="R9" s="14">
        <f t="shared" si="4"/>
        <v>35</v>
      </c>
      <c r="S9" s="12">
        <f t="shared" si="5"/>
        <v>0.8</v>
      </c>
      <c r="T9" s="14">
        <f t="shared" si="6"/>
        <v>135116.63159278847</v>
      </c>
      <c r="U9" s="7">
        <f t="shared" si="7"/>
        <v>39</v>
      </c>
      <c r="V9" s="12">
        <f t="shared" si="8"/>
        <v>0.1</v>
      </c>
      <c r="W9" s="13">
        <f t="shared" si="9"/>
        <v>226406.25036750003</v>
      </c>
      <c r="X9" s="14">
        <f t="shared" si="10"/>
        <v>0</v>
      </c>
      <c r="Y9" s="12">
        <f t="shared" si="11"/>
        <v>0</v>
      </c>
      <c r="Z9" s="14">
        <f t="shared" si="12"/>
        <v>0</v>
      </c>
      <c r="AA9" s="15">
        <f t="shared" si="15"/>
        <v>83</v>
      </c>
      <c r="AB9" s="14">
        <f t="shared" si="13"/>
        <v>504898.87201201927</v>
      </c>
      <c r="AC9" s="14">
        <f t="shared" si="16"/>
        <v>396267.15865557699</v>
      </c>
      <c r="AD9" s="14">
        <f t="shared" si="14"/>
        <v>108631.71335644228</v>
      </c>
      <c r="AE9" s="14">
        <f t="shared" si="18"/>
        <v>296228.6093410576</v>
      </c>
      <c r="AF9" s="15">
        <f t="shared" si="17"/>
        <v>236093.71700947892</v>
      </c>
      <c r="AI9" s="61"/>
      <c r="AJ9" s="61"/>
    </row>
    <row r="10" spans="1:36" x14ac:dyDescent="0.2">
      <c r="A10" t="s">
        <v>54</v>
      </c>
      <c r="B10" s="40" t="s">
        <v>30</v>
      </c>
      <c r="C10" s="28">
        <v>1</v>
      </c>
      <c r="D10" s="2" t="s">
        <v>34</v>
      </c>
      <c r="H10" s="40">
        <v>7</v>
      </c>
      <c r="I10" s="80">
        <v>285448.83622013591</v>
      </c>
      <c r="J10" s="80">
        <v>292014.78756746429</v>
      </c>
      <c r="K10" s="7">
        <f t="shared" si="0"/>
        <v>2744.7003482705377</v>
      </c>
      <c r="L10" s="7">
        <f t="shared" si="0"/>
        <v>2807.8344958410025</v>
      </c>
      <c r="M10" s="51">
        <v>7</v>
      </c>
      <c r="N10" s="38">
        <v>4</v>
      </c>
      <c r="O10" s="7">
        <f t="shared" si="1"/>
        <v>9</v>
      </c>
      <c r="P10" s="12">
        <f t="shared" si="2"/>
        <v>0.8</v>
      </c>
      <c r="Q10" s="13">
        <f t="shared" si="3"/>
        <v>32058.649007869528</v>
      </c>
      <c r="R10" s="14">
        <f t="shared" si="4"/>
        <v>35</v>
      </c>
      <c r="S10" s="12">
        <f t="shared" si="5"/>
        <v>0.8</v>
      </c>
      <c r="T10" s="14">
        <f t="shared" si="6"/>
        <v>124672.52391949263</v>
      </c>
      <c r="U10" s="7">
        <f t="shared" si="7"/>
        <v>39</v>
      </c>
      <c r="V10" s="12">
        <f t="shared" si="8"/>
        <v>0.3</v>
      </c>
      <c r="W10" s="13">
        <f t="shared" si="9"/>
        <v>188910.03981048593</v>
      </c>
      <c r="X10" s="14">
        <f t="shared" si="10"/>
        <v>0</v>
      </c>
      <c r="Y10" s="12">
        <f t="shared" si="11"/>
        <v>0</v>
      </c>
      <c r="Z10" s="14">
        <f t="shared" si="12"/>
        <v>0</v>
      </c>
      <c r="AA10" s="15">
        <f t="shared" si="15"/>
        <v>83</v>
      </c>
      <c r="AB10" s="14">
        <f t="shared" si="13"/>
        <v>465871.71361369971</v>
      </c>
      <c r="AC10" s="14">
        <f t="shared" si="16"/>
        <v>345641.21273784805</v>
      </c>
      <c r="AD10" s="14">
        <f t="shared" si="14"/>
        <v>120230.50087585166</v>
      </c>
      <c r="AE10" s="14">
        <f t="shared" si="18"/>
        <v>416459.11021690926</v>
      </c>
      <c r="AF10" s="15">
        <f t="shared" si="17"/>
        <v>233050.26315480322</v>
      </c>
      <c r="AI10" s="61"/>
      <c r="AJ10" s="61"/>
    </row>
    <row r="11" spans="1:36" x14ac:dyDescent="0.2">
      <c r="A11" t="s">
        <v>58</v>
      </c>
      <c r="B11" s="40" t="s">
        <v>31</v>
      </c>
      <c r="C11" s="29">
        <v>10</v>
      </c>
      <c r="D11" s="3" t="s">
        <v>34</v>
      </c>
      <c r="H11" s="41">
        <v>8</v>
      </c>
      <c r="I11" s="70">
        <v>240609.62648891486</v>
      </c>
      <c r="J11" s="70">
        <v>284078.64001343073</v>
      </c>
      <c r="K11" s="16">
        <f t="shared" si="0"/>
        <v>2313.5541008549508</v>
      </c>
      <c r="L11" s="16">
        <f t="shared" si="0"/>
        <v>2731.5253847445265</v>
      </c>
      <c r="M11" s="52">
        <v>8</v>
      </c>
      <c r="N11" s="39">
        <v>4</v>
      </c>
      <c r="O11" s="16">
        <f t="shared" si="1"/>
        <v>9</v>
      </c>
      <c r="P11" s="17">
        <f t="shared" si="2"/>
        <v>0.8</v>
      </c>
      <c r="Q11" s="18">
        <f t="shared" si="3"/>
        <v>27022.774608805994</v>
      </c>
      <c r="R11" s="19">
        <f t="shared" si="4"/>
        <v>35</v>
      </c>
      <c r="S11" s="17">
        <f t="shared" si="5"/>
        <v>0.8</v>
      </c>
      <c r="T11" s="19">
        <f t="shared" si="6"/>
        <v>105088.56792313443</v>
      </c>
      <c r="U11" s="16">
        <f t="shared" si="7"/>
        <v>39</v>
      </c>
      <c r="V11" s="17">
        <f t="shared" si="8"/>
        <v>0.5</v>
      </c>
      <c r="W11" s="18">
        <f t="shared" si="9"/>
        <v>142380.74647481536</v>
      </c>
      <c r="X11" s="19">
        <f t="shared" si="10"/>
        <v>0</v>
      </c>
      <c r="Y11" s="17">
        <f t="shared" si="11"/>
        <v>0</v>
      </c>
      <c r="Z11" s="19">
        <f t="shared" si="12"/>
        <v>0</v>
      </c>
      <c r="AA11" s="20">
        <f t="shared" si="15"/>
        <v>83</v>
      </c>
      <c r="AB11" s="19">
        <f t="shared" si="13"/>
        <v>392691.10530861502</v>
      </c>
      <c r="AC11" s="19">
        <f t="shared" si="16"/>
        <v>274492.08900675579</v>
      </c>
      <c r="AD11" s="19">
        <f t="shared" si="14"/>
        <v>118199.01630185923</v>
      </c>
      <c r="AE11" s="19">
        <f t="shared" si="18"/>
        <v>534658.12651876849</v>
      </c>
      <c r="AF11" s="20">
        <f t="shared" si="17"/>
        <v>226716.6069337957</v>
      </c>
      <c r="AI11" s="61"/>
      <c r="AJ11" s="61"/>
    </row>
    <row r="12" spans="1:36" x14ac:dyDescent="0.2">
      <c r="A12" t="s">
        <v>59</v>
      </c>
      <c r="B12" s="40" t="s">
        <v>23</v>
      </c>
      <c r="C12" s="28">
        <v>0.1</v>
      </c>
      <c r="D12" s="2" t="s">
        <v>34</v>
      </c>
      <c r="H12" s="40">
        <v>9</v>
      </c>
      <c r="I12" s="80">
        <v>202984.86125381227</v>
      </c>
      <c r="J12" s="80">
        <v>273058.05963181006</v>
      </c>
      <c r="K12" s="7">
        <f t="shared" si="0"/>
        <v>1951.7775120558872</v>
      </c>
      <c r="L12" s="7">
        <f t="shared" si="0"/>
        <v>2625.5582656904812</v>
      </c>
      <c r="M12" s="51">
        <v>9</v>
      </c>
      <c r="N12" s="34" t="s">
        <v>14</v>
      </c>
      <c r="O12" s="7">
        <f t="shared" si="1"/>
        <v>9</v>
      </c>
      <c r="P12" s="12">
        <f t="shared" si="2"/>
        <v>0.8</v>
      </c>
      <c r="Q12" s="13">
        <f t="shared" si="3"/>
        <v>22797.15169631517</v>
      </c>
      <c r="R12" s="14">
        <f t="shared" si="4"/>
        <v>35</v>
      </c>
      <c r="S12" s="12">
        <f t="shared" si="5"/>
        <v>0.8</v>
      </c>
      <c r="T12" s="14">
        <f t="shared" si="6"/>
        <v>88655.589930114569</v>
      </c>
      <c r="U12" s="7">
        <f t="shared" si="7"/>
        <v>39</v>
      </c>
      <c r="V12" s="12">
        <f t="shared" si="8"/>
        <v>0.8</v>
      </c>
      <c r="W12" s="13">
        <f t="shared" si="9"/>
        <v>98787.657350699083</v>
      </c>
      <c r="X12" s="14">
        <f t="shared" si="10"/>
        <v>10</v>
      </c>
      <c r="Y12" s="12">
        <f t="shared" si="11"/>
        <v>0.5</v>
      </c>
      <c r="Z12" s="14">
        <f t="shared" si="12"/>
        <v>30799.049140241896</v>
      </c>
      <c r="AA12" s="15">
        <f>SUM(O12,R12,U12,X12)</f>
        <v>93</v>
      </c>
      <c r="AB12" s="14">
        <f t="shared" si="13"/>
        <v>371198.80613034888</v>
      </c>
      <c r="AC12" s="14">
        <f t="shared" si="16"/>
        <v>241039.44811737072</v>
      </c>
      <c r="AD12" s="14">
        <f t="shared" si="14"/>
        <v>130159.35801297816</v>
      </c>
      <c r="AE12" s="14">
        <f t="shared" si="18"/>
        <v>664817.48453174671</v>
      </c>
      <c r="AF12" s="15">
        <f t="shared" si="17"/>
        <v>244176.91870921475</v>
      </c>
      <c r="AI12" s="61"/>
      <c r="AJ12" s="61"/>
    </row>
    <row r="13" spans="1:36" x14ac:dyDescent="0.2">
      <c r="A13" t="s">
        <v>61</v>
      </c>
      <c r="B13" s="40" t="s">
        <v>24</v>
      </c>
      <c r="C13" s="28">
        <v>0.3</v>
      </c>
      <c r="D13" s="2" t="s">
        <v>34</v>
      </c>
      <c r="E13" s="2"/>
      <c r="H13" s="53">
        <v>10</v>
      </c>
      <c r="I13" s="81">
        <v>188787.74443971069</v>
      </c>
      <c r="J13" s="81">
        <v>271602.79302310385</v>
      </c>
      <c r="K13" s="21">
        <f t="shared" si="0"/>
        <v>1815.2667734587567</v>
      </c>
      <c r="L13" s="21">
        <f t="shared" si="0"/>
        <v>2611.5653175298448</v>
      </c>
      <c r="M13" s="54">
        <v>10</v>
      </c>
      <c r="N13" s="35" t="s">
        <v>14</v>
      </c>
      <c r="O13" s="21">
        <f t="shared" si="1"/>
        <v>9</v>
      </c>
      <c r="P13" s="22">
        <f t="shared" si="2"/>
        <v>0.8</v>
      </c>
      <c r="Q13" s="23">
        <f t="shared" si="3"/>
        <v>21202.678967352967</v>
      </c>
      <c r="R13" s="24">
        <f t="shared" si="4"/>
        <v>35</v>
      </c>
      <c r="S13" s="22">
        <f t="shared" si="5"/>
        <v>0.8</v>
      </c>
      <c r="T13" s="24">
        <f t="shared" si="6"/>
        <v>82454.8626508171</v>
      </c>
      <c r="U13" s="21">
        <f t="shared" si="7"/>
        <v>39</v>
      </c>
      <c r="V13" s="22">
        <f t="shared" si="8"/>
        <v>0.8</v>
      </c>
      <c r="W13" s="23">
        <f t="shared" si="9"/>
        <v>91878.275525196193</v>
      </c>
      <c r="X13" s="24">
        <f t="shared" si="10"/>
        <v>20</v>
      </c>
      <c r="Y13" s="22">
        <f t="shared" si="11"/>
        <v>0.5</v>
      </c>
      <c r="Z13" s="24">
        <f t="shared" si="12"/>
        <v>57289.819370358353</v>
      </c>
      <c r="AA13" s="25">
        <f t="shared" si="15"/>
        <v>103</v>
      </c>
      <c r="AB13" s="24">
        <f t="shared" si="13"/>
        <v>382358.71682748519</v>
      </c>
      <c r="AC13" s="24">
        <f t="shared" si="16"/>
        <v>252825.63651372463</v>
      </c>
      <c r="AD13" s="24">
        <f t="shared" si="14"/>
        <v>129533.08031376055</v>
      </c>
      <c r="AE13" s="24">
        <f t="shared" si="18"/>
        <v>794350.56484550727</v>
      </c>
      <c r="AF13" s="25">
        <f t="shared" si="17"/>
        <v>268991.22770557401</v>
      </c>
      <c r="AI13" s="61"/>
      <c r="AJ13" s="61"/>
    </row>
    <row r="14" spans="1:36" x14ac:dyDescent="0.2">
      <c r="A14" t="s">
        <v>57</v>
      </c>
      <c r="B14" s="40" t="s">
        <v>36</v>
      </c>
      <c r="C14" s="28">
        <v>0.5</v>
      </c>
      <c r="D14" s="2" t="s">
        <v>34</v>
      </c>
      <c r="E14" s="2"/>
      <c r="H14" s="40">
        <v>11</v>
      </c>
      <c r="I14" s="80">
        <v>184344.36363031552</v>
      </c>
      <c r="J14" s="80">
        <v>279018.22109414951</v>
      </c>
      <c r="K14" s="7">
        <f t="shared" si="0"/>
        <v>1772.5419579838031</v>
      </c>
      <c r="L14" s="7">
        <f t="shared" si="0"/>
        <v>2682.8675105206685</v>
      </c>
      <c r="M14" s="51">
        <v>11</v>
      </c>
      <c r="N14" s="34" t="s">
        <v>14</v>
      </c>
      <c r="O14" s="7">
        <f t="shared" si="1"/>
        <v>9</v>
      </c>
      <c r="P14" s="12">
        <f t="shared" si="2"/>
        <v>0.8</v>
      </c>
      <c r="Q14" s="13">
        <f t="shared" si="3"/>
        <v>20703.644577642415</v>
      </c>
      <c r="R14" s="14">
        <f t="shared" si="4"/>
        <v>35</v>
      </c>
      <c r="S14" s="12">
        <f t="shared" si="5"/>
        <v>0.8</v>
      </c>
      <c r="T14" s="14">
        <f t="shared" si="6"/>
        <v>80514.173357498279</v>
      </c>
      <c r="U14" s="7">
        <f t="shared" si="7"/>
        <v>39</v>
      </c>
      <c r="V14" s="12">
        <f t="shared" si="8"/>
        <v>0.8</v>
      </c>
      <c r="W14" s="13">
        <f t="shared" si="9"/>
        <v>89715.793169783792</v>
      </c>
      <c r="X14" s="14">
        <f t="shared" si="10"/>
        <v>21</v>
      </c>
      <c r="Y14" s="12">
        <f t="shared" si="11"/>
        <v>0.5</v>
      </c>
      <c r="Z14" s="14">
        <f t="shared" si="12"/>
        <v>58738.495403667257</v>
      </c>
      <c r="AA14" s="15">
        <f t="shared" si="15"/>
        <v>104</v>
      </c>
      <c r="AB14" s="14">
        <f t="shared" si="13"/>
        <v>376984.2236239952</v>
      </c>
      <c r="AC14" s="14">
        <f t="shared" si="16"/>
        <v>249672.10650859174</v>
      </c>
      <c r="AD14" s="14">
        <f t="shared" si="14"/>
        <v>127312.11711540347</v>
      </c>
      <c r="AE14" s="14">
        <f t="shared" si="18"/>
        <v>921662.68196091079</v>
      </c>
      <c r="AF14" s="15">
        <f t="shared" si="17"/>
        <v>279018.22109414951</v>
      </c>
      <c r="AI14" s="61"/>
      <c r="AJ14" s="61"/>
    </row>
    <row r="15" spans="1:36" x14ac:dyDescent="0.2">
      <c r="A15" t="s">
        <v>55</v>
      </c>
      <c r="B15" s="40" t="s">
        <v>37</v>
      </c>
      <c r="C15" s="28">
        <v>0.8</v>
      </c>
      <c r="D15" s="2" t="s">
        <v>34</v>
      </c>
      <c r="E15" s="2"/>
      <c r="H15" s="40">
        <v>12</v>
      </c>
      <c r="I15" s="80">
        <v>198283.79014795073</v>
      </c>
      <c r="J15" s="80">
        <v>291883.56661513913</v>
      </c>
      <c r="K15" s="7">
        <f t="shared" si="0"/>
        <v>1906.574905268757</v>
      </c>
      <c r="L15" s="7">
        <f t="shared" si="0"/>
        <v>2806.5727559147995</v>
      </c>
      <c r="M15" s="51">
        <v>12</v>
      </c>
      <c r="N15" s="34" t="s">
        <v>14</v>
      </c>
      <c r="O15" s="7">
        <f t="shared" si="1"/>
        <v>9</v>
      </c>
      <c r="P15" s="12">
        <f t="shared" si="2"/>
        <v>0.8</v>
      </c>
      <c r="Q15" s="13">
        <f t="shared" si="3"/>
        <v>22269.176208520134</v>
      </c>
      <c r="R15" s="14">
        <f t="shared" si="4"/>
        <v>35</v>
      </c>
      <c r="S15" s="12">
        <f t="shared" si="5"/>
        <v>0.8</v>
      </c>
      <c r="T15" s="14">
        <f t="shared" si="6"/>
        <v>86602.351922022732</v>
      </c>
      <c r="U15" s="7">
        <f t="shared" si="7"/>
        <v>39</v>
      </c>
      <c r="V15" s="12">
        <f t="shared" si="8"/>
        <v>0.8</v>
      </c>
      <c r="W15" s="13">
        <f t="shared" si="9"/>
        <v>96499.763570253897</v>
      </c>
      <c r="X15" s="14">
        <f t="shared" si="10"/>
        <v>21</v>
      </c>
      <c r="Y15" s="12">
        <f t="shared" si="11"/>
        <v>0.5</v>
      </c>
      <c r="Z15" s="14">
        <f t="shared" si="12"/>
        <v>63180.079210796066</v>
      </c>
      <c r="AA15" s="15">
        <f t="shared" si="15"/>
        <v>104</v>
      </c>
      <c r="AB15" s="14">
        <f t="shared" si="13"/>
        <v>405490.3508525592</v>
      </c>
      <c r="AC15" s="14">
        <f t="shared" si="16"/>
        <v>268551.37091159279</v>
      </c>
      <c r="AD15" s="14">
        <f t="shared" si="14"/>
        <v>136938.97994096641</v>
      </c>
      <c r="AE15" s="14">
        <f t="shared" si="18"/>
        <v>1058601.6619018773</v>
      </c>
      <c r="AF15" s="15">
        <f t="shared" si="17"/>
        <v>291883.56661513913</v>
      </c>
      <c r="AI15" s="61"/>
      <c r="AJ15" s="61"/>
    </row>
    <row r="16" spans="1:36" x14ac:dyDescent="0.2">
      <c r="A16" t="s">
        <v>62</v>
      </c>
      <c r="B16" s="40" t="s">
        <v>42</v>
      </c>
      <c r="C16" s="30">
        <v>322353</v>
      </c>
      <c r="D16" s="2" t="s">
        <v>44</v>
      </c>
      <c r="E16" s="2"/>
      <c r="H16" s="40">
        <v>13</v>
      </c>
      <c r="I16" s="80">
        <v>228196.39606301207</v>
      </c>
      <c r="J16" s="80">
        <v>305847.1691121388</v>
      </c>
      <c r="K16" s="7">
        <f t="shared" si="0"/>
        <v>2194.1961159905009</v>
      </c>
      <c r="L16" s="7">
        <f t="shared" si="0"/>
        <v>2940.8381645397963</v>
      </c>
      <c r="M16" s="51">
        <v>13</v>
      </c>
      <c r="N16" s="34" t="s">
        <v>14</v>
      </c>
      <c r="O16" s="7">
        <f t="shared" si="1"/>
        <v>9</v>
      </c>
      <c r="P16" s="12">
        <f t="shared" si="2"/>
        <v>0.8</v>
      </c>
      <c r="Q16" s="13">
        <f t="shared" si="3"/>
        <v>25628.649473992245</v>
      </c>
      <c r="R16" s="14">
        <f t="shared" si="4"/>
        <v>35</v>
      </c>
      <c r="S16" s="12">
        <f t="shared" si="5"/>
        <v>0.8</v>
      </c>
      <c r="T16" s="14">
        <f t="shared" si="6"/>
        <v>99666.970176636503</v>
      </c>
      <c r="U16" s="7">
        <f t="shared" si="7"/>
        <v>39</v>
      </c>
      <c r="V16" s="12">
        <f t="shared" si="8"/>
        <v>0.8</v>
      </c>
      <c r="W16" s="13">
        <f t="shared" si="9"/>
        <v>111057.48105396639</v>
      </c>
      <c r="X16" s="14">
        <f t="shared" si="10"/>
        <v>21</v>
      </c>
      <c r="Y16" s="12">
        <f t="shared" si="11"/>
        <v>0.5</v>
      </c>
      <c r="Z16" s="14">
        <f t="shared" si="12"/>
        <v>72711.270891693217</v>
      </c>
      <c r="AA16" s="15">
        <f t="shared" si="15"/>
        <v>104</v>
      </c>
      <c r="AB16" s="14">
        <f t="shared" si="13"/>
        <v>466661.62994885974</v>
      </c>
      <c r="AC16" s="14">
        <f t="shared" si="16"/>
        <v>309064.3715962884</v>
      </c>
      <c r="AD16" s="14">
        <f t="shared" si="14"/>
        <v>157597.25835257134</v>
      </c>
      <c r="AE16" s="14">
        <f t="shared" si="18"/>
        <v>1216198.9202544487</v>
      </c>
      <c r="AF16" s="15">
        <f t="shared" si="17"/>
        <v>305847.1691121388</v>
      </c>
      <c r="AI16" s="61"/>
      <c r="AJ16" s="61"/>
    </row>
    <row r="17" spans="1:39" x14ac:dyDescent="0.2">
      <c r="A17" t="s">
        <v>63</v>
      </c>
      <c r="B17" s="40" t="s">
        <v>43</v>
      </c>
      <c r="C17" s="30">
        <v>104</v>
      </c>
      <c r="D17" s="2" t="s">
        <v>45</v>
      </c>
      <c r="E17" s="2"/>
      <c r="H17" s="40">
        <v>14</v>
      </c>
      <c r="I17" s="80">
        <v>261151.33036918263</v>
      </c>
      <c r="J17" s="80">
        <v>314825.7905260424</v>
      </c>
      <c r="K17" s="7">
        <f t="shared" si="0"/>
        <v>2511.0704843190638</v>
      </c>
      <c r="L17" s="7">
        <f t="shared" si="0"/>
        <v>3027.1710627504076</v>
      </c>
      <c r="M17" s="51">
        <v>14</v>
      </c>
      <c r="N17" s="34" t="s">
        <v>14</v>
      </c>
      <c r="O17" s="7">
        <f t="shared" si="1"/>
        <v>9</v>
      </c>
      <c r="P17" s="12">
        <f t="shared" si="2"/>
        <v>0.8</v>
      </c>
      <c r="Q17" s="13">
        <f t="shared" si="3"/>
        <v>29329.805470943527</v>
      </c>
      <c r="R17" s="14">
        <f t="shared" si="4"/>
        <v>35</v>
      </c>
      <c r="S17" s="12">
        <f t="shared" si="5"/>
        <v>0.8</v>
      </c>
      <c r="T17" s="14">
        <f t="shared" si="6"/>
        <v>114060.35460922481</v>
      </c>
      <c r="U17" s="7">
        <f t="shared" si="7"/>
        <v>39</v>
      </c>
      <c r="V17" s="12">
        <f t="shared" si="8"/>
        <v>0.8</v>
      </c>
      <c r="W17" s="13">
        <f t="shared" si="9"/>
        <v>127095.82370742194</v>
      </c>
      <c r="X17" s="14">
        <f t="shared" si="10"/>
        <v>21</v>
      </c>
      <c r="Y17" s="12">
        <f t="shared" si="11"/>
        <v>0.5</v>
      </c>
      <c r="Z17" s="14">
        <f t="shared" si="12"/>
        <v>83211.853709365139</v>
      </c>
      <c r="AA17" s="15">
        <f t="shared" si="15"/>
        <v>104</v>
      </c>
      <c r="AB17" s="14">
        <f t="shared" si="13"/>
        <v>534054.4706049785</v>
      </c>
      <c r="AC17" s="14">
        <f t="shared" si="16"/>
        <v>353697.83749695541</v>
      </c>
      <c r="AD17" s="14">
        <f t="shared" si="14"/>
        <v>180356.63310802309</v>
      </c>
      <c r="AE17" s="14">
        <f t="shared" si="18"/>
        <v>1396555.5533624718</v>
      </c>
      <c r="AF17" s="15">
        <f t="shared" si="17"/>
        <v>314825.7905260424</v>
      </c>
      <c r="AI17" s="61"/>
      <c r="AJ17" s="61"/>
    </row>
    <row r="18" spans="1:39" x14ac:dyDescent="0.2">
      <c r="A18" t="s">
        <v>64</v>
      </c>
      <c r="B18" s="40" t="s">
        <v>25</v>
      </c>
      <c r="C18" s="28">
        <v>0.5</v>
      </c>
      <c r="D18" s="2" t="s">
        <v>34</v>
      </c>
      <c r="E18" s="2"/>
      <c r="H18" s="40">
        <v>15</v>
      </c>
      <c r="I18" s="80">
        <v>278742.32132881437</v>
      </c>
      <c r="J18" s="80">
        <v>323376.13326619234</v>
      </c>
      <c r="K18" s="7">
        <f t="shared" si="0"/>
        <v>2680.2146281616765</v>
      </c>
      <c r="L18" s="7">
        <f t="shared" si="0"/>
        <v>3109.3858967903111</v>
      </c>
      <c r="M18" s="51">
        <v>15</v>
      </c>
      <c r="N18" s="34" t="s">
        <v>14</v>
      </c>
      <c r="O18" s="7">
        <f t="shared" si="1"/>
        <v>9</v>
      </c>
      <c r="P18" s="12">
        <f t="shared" si="2"/>
        <v>0.8</v>
      </c>
      <c r="Q18" s="13">
        <f t="shared" si="3"/>
        <v>31305.44289985401</v>
      </c>
      <c r="R18" s="14">
        <f t="shared" si="4"/>
        <v>35</v>
      </c>
      <c r="S18" s="12">
        <f t="shared" si="5"/>
        <v>0.8</v>
      </c>
      <c r="T18" s="14">
        <f t="shared" si="6"/>
        <v>121743.38905498783</v>
      </c>
      <c r="U18" s="7">
        <f t="shared" si="7"/>
        <v>39</v>
      </c>
      <c r="V18" s="12">
        <f t="shared" si="8"/>
        <v>0.8</v>
      </c>
      <c r="W18" s="13">
        <f t="shared" si="9"/>
        <v>135656.91923270072</v>
      </c>
      <c r="X18" s="14">
        <f t="shared" si="10"/>
        <v>21</v>
      </c>
      <c r="Y18" s="12">
        <f t="shared" si="11"/>
        <v>0.5</v>
      </c>
      <c r="Z18" s="14">
        <f t="shared" si="12"/>
        <v>88816.95234802163</v>
      </c>
      <c r="AA18" s="15">
        <f t="shared" si="15"/>
        <v>104</v>
      </c>
      <c r="AB18" s="14">
        <f t="shared" si="13"/>
        <v>570028.04711742536</v>
      </c>
      <c r="AC18" s="14">
        <f t="shared" si="16"/>
        <v>377522.70353556419</v>
      </c>
      <c r="AD18" s="14">
        <f t="shared" si="14"/>
        <v>192505.34358186118</v>
      </c>
      <c r="AE18" s="14">
        <f t="shared" si="18"/>
        <v>1589060.8969443329</v>
      </c>
      <c r="AF18" s="15">
        <f t="shared" si="17"/>
        <v>323376.13326619234</v>
      </c>
      <c r="AI18" s="61"/>
      <c r="AJ18" s="61"/>
    </row>
    <row r="19" spans="1:39" x14ac:dyDescent="0.2">
      <c r="A19" t="s">
        <v>65</v>
      </c>
      <c r="B19" s="40" t="s">
        <v>41</v>
      </c>
      <c r="C19" s="30">
        <f>C16/C17</f>
        <v>3099.5480769230771</v>
      </c>
      <c r="D19" s="2" t="s">
        <v>68</v>
      </c>
      <c r="E19" s="4"/>
      <c r="H19" s="40">
        <v>16</v>
      </c>
      <c r="I19" s="80">
        <v>286253.78010301548</v>
      </c>
      <c r="J19" s="80">
        <v>326898.40902553528</v>
      </c>
      <c r="K19" s="7">
        <f t="shared" si="0"/>
        <v>2752.4401932982259</v>
      </c>
      <c r="L19" s="7">
        <f t="shared" si="0"/>
        <v>3143.2539329378392</v>
      </c>
      <c r="M19" s="51">
        <v>16</v>
      </c>
      <c r="N19" s="34" t="s">
        <v>14</v>
      </c>
      <c r="O19" s="7">
        <f t="shared" si="1"/>
        <v>9</v>
      </c>
      <c r="P19" s="12">
        <f t="shared" si="2"/>
        <v>0.8</v>
      </c>
      <c r="Q19" s="13">
        <f t="shared" si="3"/>
        <v>32149.051945761934</v>
      </c>
      <c r="R19" s="14">
        <f t="shared" si="4"/>
        <v>35</v>
      </c>
      <c r="S19" s="12">
        <f t="shared" si="5"/>
        <v>0.8</v>
      </c>
      <c r="T19" s="14">
        <f t="shared" si="6"/>
        <v>125024.0909001853</v>
      </c>
      <c r="U19" s="7">
        <f t="shared" si="7"/>
        <v>39</v>
      </c>
      <c r="V19" s="12">
        <f t="shared" si="8"/>
        <v>0.8</v>
      </c>
      <c r="W19" s="13">
        <f t="shared" si="9"/>
        <v>139312.55843163503</v>
      </c>
      <c r="X19" s="14">
        <f t="shared" si="10"/>
        <v>21</v>
      </c>
      <c r="Y19" s="12">
        <f t="shared" si="11"/>
        <v>0.5</v>
      </c>
      <c r="Z19" s="14">
        <f t="shared" si="12"/>
        <v>91210.363125516611</v>
      </c>
      <c r="AA19" s="15">
        <f t="shared" si="15"/>
        <v>104</v>
      </c>
      <c r="AB19" s="14">
        <f t="shared" si="13"/>
        <v>585388.98031066661</v>
      </c>
      <c r="AC19" s="14">
        <f t="shared" si="16"/>
        <v>387696.06440309889</v>
      </c>
      <c r="AD19" s="14">
        <f t="shared" si="14"/>
        <v>197692.91590756772</v>
      </c>
      <c r="AE19" s="14">
        <f t="shared" si="18"/>
        <v>1786753.8128519007</v>
      </c>
      <c r="AF19" s="15">
        <f t="shared" si="17"/>
        <v>326898.40902553528</v>
      </c>
      <c r="AI19" s="61"/>
      <c r="AJ19" s="61"/>
    </row>
    <row r="20" spans="1:39" x14ac:dyDescent="0.2">
      <c r="A20" t="s">
        <v>66</v>
      </c>
      <c r="B20" s="40" t="s">
        <v>46</v>
      </c>
      <c r="C20" s="29">
        <v>2.0449999999999999</v>
      </c>
      <c r="D20" s="60" t="s">
        <v>35</v>
      </c>
      <c r="E20" s="3"/>
      <c r="H20" s="40">
        <v>17</v>
      </c>
      <c r="I20" s="80">
        <v>286253.78010301548</v>
      </c>
      <c r="J20" s="80">
        <v>327540.93378990749</v>
      </c>
      <c r="K20" s="7">
        <f t="shared" si="0"/>
        <v>2752.4401932982259</v>
      </c>
      <c r="L20" s="7">
        <f t="shared" si="0"/>
        <v>3149.4320556721873</v>
      </c>
      <c r="M20" s="51">
        <v>17</v>
      </c>
      <c r="N20" s="34" t="s">
        <v>14</v>
      </c>
      <c r="O20" s="7">
        <f t="shared" si="1"/>
        <v>9</v>
      </c>
      <c r="P20" s="12">
        <f t="shared" si="2"/>
        <v>0.8</v>
      </c>
      <c r="Q20" s="13">
        <f t="shared" si="3"/>
        <v>32149.051945761934</v>
      </c>
      <c r="R20" s="14">
        <f t="shared" si="4"/>
        <v>35</v>
      </c>
      <c r="S20" s="12">
        <f t="shared" si="5"/>
        <v>0.8</v>
      </c>
      <c r="T20" s="14">
        <f t="shared" si="6"/>
        <v>125024.0909001853</v>
      </c>
      <c r="U20" s="7">
        <f t="shared" si="7"/>
        <v>39</v>
      </c>
      <c r="V20" s="12">
        <f t="shared" si="8"/>
        <v>0.8</v>
      </c>
      <c r="W20" s="13">
        <f t="shared" si="9"/>
        <v>139312.55843163503</v>
      </c>
      <c r="X20" s="14">
        <f t="shared" si="10"/>
        <v>21</v>
      </c>
      <c r="Y20" s="12">
        <f t="shared" si="11"/>
        <v>0.5</v>
      </c>
      <c r="Z20" s="14">
        <f t="shared" si="12"/>
        <v>91210.363125516611</v>
      </c>
      <c r="AA20" s="15">
        <f t="shared" si="15"/>
        <v>104</v>
      </c>
      <c r="AB20" s="14">
        <f t="shared" si="13"/>
        <v>585388.98031066661</v>
      </c>
      <c r="AC20" s="14">
        <f t="shared" si="16"/>
        <v>387696.06440309889</v>
      </c>
      <c r="AD20" s="14">
        <f t="shared" si="14"/>
        <v>197692.91590756772</v>
      </c>
      <c r="AE20" s="14">
        <f t="shared" si="18"/>
        <v>1984446.7287594685</v>
      </c>
      <c r="AF20" s="15">
        <f t="shared" si="17"/>
        <v>327540.93378990749</v>
      </c>
      <c r="AI20" s="61"/>
      <c r="AJ20" s="61"/>
    </row>
    <row r="21" spans="1:39" x14ac:dyDescent="0.2">
      <c r="A21" t="s">
        <v>60</v>
      </c>
      <c r="B21" s="40" t="s">
        <v>51</v>
      </c>
      <c r="C21" s="29">
        <f>C20</f>
        <v>2.0449999999999999</v>
      </c>
      <c r="D21" s="60" t="s">
        <v>34</v>
      </c>
      <c r="E21" s="3"/>
      <c r="H21" s="40">
        <v>18</v>
      </c>
      <c r="I21" s="80">
        <v>286253.78010301548</v>
      </c>
      <c r="J21" s="80">
        <v>328193.04703160538</v>
      </c>
      <c r="K21" s="7">
        <f t="shared" si="0"/>
        <v>2752.4401932982259</v>
      </c>
      <c r="L21" s="7">
        <f t="shared" si="0"/>
        <v>3155.702375303898</v>
      </c>
      <c r="M21" s="51">
        <v>18</v>
      </c>
      <c r="N21" s="34" t="s">
        <v>14</v>
      </c>
      <c r="O21" s="7">
        <f t="shared" si="1"/>
        <v>9</v>
      </c>
      <c r="P21" s="12">
        <f t="shared" si="2"/>
        <v>0.8</v>
      </c>
      <c r="Q21" s="13">
        <f t="shared" si="3"/>
        <v>32149.051945761934</v>
      </c>
      <c r="R21" s="14">
        <f t="shared" si="4"/>
        <v>35</v>
      </c>
      <c r="S21" s="12">
        <f t="shared" si="5"/>
        <v>0.8</v>
      </c>
      <c r="T21" s="14">
        <f t="shared" si="6"/>
        <v>125024.0909001853</v>
      </c>
      <c r="U21" s="7">
        <f t="shared" si="7"/>
        <v>39</v>
      </c>
      <c r="V21" s="12">
        <f t="shared" si="8"/>
        <v>0.8</v>
      </c>
      <c r="W21" s="13">
        <f t="shared" si="9"/>
        <v>139312.55843163503</v>
      </c>
      <c r="X21" s="14">
        <f t="shared" si="10"/>
        <v>21</v>
      </c>
      <c r="Y21" s="12">
        <f t="shared" si="11"/>
        <v>0.5</v>
      </c>
      <c r="Z21" s="14">
        <f t="shared" si="12"/>
        <v>91210.363125516611</v>
      </c>
      <c r="AA21" s="15">
        <f t="shared" si="15"/>
        <v>104</v>
      </c>
      <c r="AB21" s="14">
        <f t="shared" si="13"/>
        <v>585388.98031066661</v>
      </c>
      <c r="AC21" s="14">
        <f t="shared" si="16"/>
        <v>387696.06440309889</v>
      </c>
      <c r="AD21" s="14">
        <f t="shared" si="14"/>
        <v>197692.91590756772</v>
      </c>
      <c r="AE21" s="14">
        <f t="shared" si="18"/>
        <v>2182139.6446670364</v>
      </c>
      <c r="AF21" s="15">
        <f t="shared" si="17"/>
        <v>328193.04703160538</v>
      </c>
      <c r="AI21" s="61"/>
      <c r="AJ21" s="61"/>
    </row>
    <row r="22" spans="1:39" x14ac:dyDescent="0.2">
      <c r="A22" t="s">
        <v>56</v>
      </c>
      <c r="B22" s="40" t="s">
        <v>47</v>
      </c>
      <c r="C22" s="29">
        <v>1.111</v>
      </c>
      <c r="D22" s="60" t="s">
        <v>35</v>
      </c>
      <c r="E22" s="3"/>
      <c r="H22" s="40">
        <v>19</v>
      </c>
      <c r="I22" s="80">
        <v>286253.78010301548</v>
      </c>
      <c r="J22" s="80">
        <v>328854.76940966077</v>
      </c>
      <c r="K22" s="7">
        <f t="shared" si="0"/>
        <v>2752.4401932982259</v>
      </c>
      <c r="L22" s="7">
        <f t="shared" si="0"/>
        <v>3162.0650904775075</v>
      </c>
      <c r="M22" s="51">
        <v>19</v>
      </c>
      <c r="N22" s="34" t="s">
        <v>14</v>
      </c>
      <c r="O22" s="7">
        <f t="shared" si="1"/>
        <v>9</v>
      </c>
      <c r="P22" s="12">
        <f t="shared" si="2"/>
        <v>0.8</v>
      </c>
      <c r="Q22" s="13">
        <f t="shared" si="3"/>
        <v>32149.051945761934</v>
      </c>
      <c r="R22" s="14">
        <f t="shared" si="4"/>
        <v>35</v>
      </c>
      <c r="S22" s="12">
        <f t="shared" si="5"/>
        <v>0.8</v>
      </c>
      <c r="T22" s="14">
        <f t="shared" si="6"/>
        <v>125024.0909001853</v>
      </c>
      <c r="U22" s="7">
        <f t="shared" si="7"/>
        <v>39</v>
      </c>
      <c r="V22" s="12">
        <f t="shared" si="8"/>
        <v>0.8</v>
      </c>
      <c r="W22" s="13">
        <f t="shared" si="9"/>
        <v>139312.55843163503</v>
      </c>
      <c r="X22" s="14">
        <f t="shared" si="10"/>
        <v>21</v>
      </c>
      <c r="Y22" s="12">
        <f t="shared" si="11"/>
        <v>0.5</v>
      </c>
      <c r="Z22" s="14">
        <f t="shared" si="12"/>
        <v>91210.363125516611</v>
      </c>
      <c r="AA22" s="15">
        <f t="shared" si="15"/>
        <v>104</v>
      </c>
      <c r="AB22" s="14">
        <f t="shared" si="13"/>
        <v>585388.98031066661</v>
      </c>
      <c r="AC22" s="14">
        <f t="shared" si="16"/>
        <v>387696.06440309889</v>
      </c>
      <c r="AD22" s="14">
        <f t="shared" si="14"/>
        <v>197692.91590756772</v>
      </c>
      <c r="AE22" s="14">
        <f t="shared" si="18"/>
        <v>2379832.5605746042</v>
      </c>
      <c r="AF22" s="15">
        <f t="shared" si="17"/>
        <v>328854.76940966077</v>
      </c>
      <c r="AI22" s="61"/>
      <c r="AJ22" s="61"/>
    </row>
    <row r="23" spans="1:39" x14ac:dyDescent="0.2">
      <c r="A23" t="s">
        <v>67</v>
      </c>
      <c r="B23" s="41" t="s">
        <v>29</v>
      </c>
      <c r="C23" s="31"/>
      <c r="D23" s="60" t="s">
        <v>48</v>
      </c>
      <c r="E23" s="3"/>
      <c r="H23" s="41">
        <v>20</v>
      </c>
      <c r="I23" s="70">
        <v>286253.78010301548</v>
      </c>
      <c r="J23" s="70">
        <v>329526.12193571805</v>
      </c>
      <c r="K23" s="16">
        <f t="shared" si="0"/>
        <v>2752.4401932982259</v>
      </c>
      <c r="L23" s="16">
        <f t="shared" si="0"/>
        <v>3168.5204032280581</v>
      </c>
      <c r="M23" s="52">
        <v>20</v>
      </c>
      <c r="N23" s="36" t="s">
        <v>14</v>
      </c>
      <c r="O23" s="16">
        <f t="shared" si="1"/>
        <v>9</v>
      </c>
      <c r="P23" s="17">
        <f t="shared" si="2"/>
        <v>0.8</v>
      </c>
      <c r="Q23" s="18">
        <f t="shared" si="3"/>
        <v>32149.051945761934</v>
      </c>
      <c r="R23" s="19">
        <f t="shared" si="4"/>
        <v>35</v>
      </c>
      <c r="S23" s="17">
        <f t="shared" si="5"/>
        <v>0.8</v>
      </c>
      <c r="T23" s="19">
        <f t="shared" si="6"/>
        <v>125024.0909001853</v>
      </c>
      <c r="U23" s="16">
        <f t="shared" si="7"/>
        <v>39</v>
      </c>
      <c r="V23" s="17">
        <f t="shared" si="8"/>
        <v>0.8</v>
      </c>
      <c r="W23" s="18">
        <f t="shared" si="9"/>
        <v>139312.55843163503</v>
      </c>
      <c r="X23" s="16">
        <f t="shared" si="10"/>
        <v>21</v>
      </c>
      <c r="Y23" s="17">
        <f t="shared" si="11"/>
        <v>0.5</v>
      </c>
      <c r="Z23" s="19">
        <f t="shared" si="12"/>
        <v>91210.363125516611</v>
      </c>
      <c r="AA23" s="20">
        <f t="shared" si="15"/>
        <v>104</v>
      </c>
      <c r="AB23" s="19">
        <f t="shared" si="13"/>
        <v>585388.98031066661</v>
      </c>
      <c r="AC23" s="19">
        <f t="shared" si="16"/>
        <v>387696.06440309889</v>
      </c>
      <c r="AD23" s="19">
        <f t="shared" si="14"/>
        <v>197692.91590756772</v>
      </c>
      <c r="AE23" s="19">
        <f t="shared" si="18"/>
        <v>2577525.476482172</v>
      </c>
      <c r="AF23" s="20">
        <f t="shared" si="17"/>
        <v>329526.12193571805</v>
      </c>
      <c r="AI23" s="61"/>
      <c r="AJ23" s="61"/>
    </row>
    <row r="24" spans="1:39" ht="14.5" customHeight="1" x14ac:dyDescent="0.2">
      <c r="AB24" s="106" t="s">
        <v>87</v>
      </c>
      <c r="AC24" s="106"/>
      <c r="AD24" s="106"/>
      <c r="AE24" s="106"/>
      <c r="AF24" s="106"/>
      <c r="AK24" s="61"/>
      <c r="AL24" s="61"/>
    </row>
    <row r="25" spans="1:39" x14ac:dyDescent="0.2">
      <c r="AB25" s="107"/>
      <c r="AC25" s="107"/>
      <c r="AD25" s="107"/>
      <c r="AE25" s="107"/>
      <c r="AF25" s="107"/>
      <c r="AL25" s="61"/>
      <c r="AM25" s="61"/>
    </row>
    <row r="26" spans="1:39" x14ac:dyDescent="0.2">
      <c r="B26" s="43" t="s">
        <v>69</v>
      </c>
      <c r="C26" s="46" t="s">
        <v>7</v>
      </c>
      <c r="D26" s="46" t="s">
        <v>8</v>
      </c>
      <c r="E26" s="46" t="s">
        <v>9</v>
      </c>
      <c r="F26" s="46" t="s">
        <v>12</v>
      </c>
      <c r="G26" s="47" t="s">
        <v>19</v>
      </c>
      <c r="AB26" s="107"/>
      <c r="AC26" s="107"/>
      <c r="AD26" s="107"/>
      <c r="AE26" s="107"/>
      <c r="AF26" s="107"/>
      <c r="AL26" s="61"/>
      <c r="AM26" s="61"/>
    </row>
    <row r="27" spans="1:39" x14ac:dyDescent="0.2">
      <c r="B27" s="40" t="s">
        <v>6</v>
      </c>
      <c r="C27" s="32">
        <v>0</v>
      </c>
      <c r="D27" s="32">
        <v>0</v>
      </c>
      <c r="E27" s="32">
        <v>0</v>
      </c>
      <c r="F27" s="14">
        <f>SUM(C27:E27)</f>
        <v>0</v>
      </c>
      <c r="G27" s="13">
        <f>F27</f>
        <v>0</v>
      </c>
      <c r="H27" s="5"/>
      <c r="W27" s="61"/>
      <c r="X27" s="61"/>
      <c r="Y27" s="61"/>
      <c r="Z27" s="61"/>
      <c r="AA27" s="1"/>
      <c r="AB27" s="107"/>
      <c r="AC27" s="107"/>
      <c r="AD27" s="107"/>
      <c r="AE27" s="107"/>
      <c r="AF27" s="107"/>
      <c r="AG27" s="61"/>
      <c r="AL27" s="61"/>
      <c r="AM27" s="61"/>
    </row>
    <row r="28" spans="1:39" x14ac:dyDescent="0.2">
      <c r="B28" s="40" t="s">
        <v>5</v>
      </c>
      <c r="C28" s="68">
        <v>4</v>
      </c>
      <c r="D28" s="68">
        <v>3</v>
      </c>
      <c r="E28" s="68">
        <v>2</v>
      </c>
      <c r="F28" s="14">
        <f t="shared" ref="F28:F33" si="19">SUM(C28:E28)</f>
        <v>9</v>
      </c>
      <c r="G28" s="13">
        <f>F28+G27</f>
        <v>9</v>
      </c>
      <c r="H28" s="4"/>
      <c r="N28" s="1"/>
      <c r="W28" s="61"/>
      <c r="X28" s="61"/>
      <c r="Y28" s="61"/>
      <c r="Z28" s="61"/>
      <c r="AA28" s="1"/>
      <c r="AB28" s="107"/>
      <c r="AC28" s="107"/>
      <c r="AD28" s="107"/>
      <c r="AE28" s="107"/>
      <c r="AF28" s="107"/>
      <c r="AG28" s="61"/>
      <c r="AL28" s="61"/>
      <c r="AM28" s="61"/>
    </row>
    <row r="29" spans="1:39" x14ac:dyDescent="0.2">
      <c r="A29" s="3"/>
      <c r="B29" s="40" t="s">
        <v>10</v>
      </c>
      <c r="C29" s="32">
        <v>15</v>
      </c>
      <c r="D29" s="32">
        <v>12</v>
      </c>
      <c r="E29" s="32">
        <v>8</v>
      </c>
      <c r="F29" s="14">
        <f t="shared" si="19"/>
        <v>35</v>
      </c>
      <c r="G29" s="13">
        <f>F29+G28</f>
        <v>44</v>
      </c>
      <c r="H29" s="4"/>
      <c r="W29" s="61"/>
      <c r="X29" s="61"/>
      <c r="Y29" s="61"/>
      <c r="Z29" s="61"/>
      <c r="AA29" s="1"/>
      <c r="AB29" s="1"/>
      <c r="AC29" s="1"/>
      <c r="AD29" s="1"/>
      <c r="AE29" s="1"/>
      <c r="AF29" s="1"/>
      <c r="AG29" s="61"/>
      <c r="AL29" s="61"/>
      <c r="AM29" s="61"/>
    </row>
    <row r="30" spans="1:39" x14ac:dyDescent="0.2">
      <c r="A30" s="69"/>
      <c r="B30" s="40" t="s">
        <v>13</v>
      </c>
      <c r="C30" s="32">
        <f>IF($C$10*SUM(C$27:C$29)&gt;C32-C29-C28-C27,C32-C29-C28-C27, $C$10*SUM(C$27:C$29))</f>
        <v>19</v>
      </c>
      <c r="D30" s="32">
        <f>IF($C$10*SUM(D$27:D$29)&gt;D32-D29-D28-D27,D32-D29-D28-D27, $C$10*SUM(D$27:D$29))</f>
        <v>15</v>
      </c>
      <c r="E30" s="32">
        <f>IF($C$10*SUM(E$27:E$29)&gt;E32-E29-E28-E27,E32-E29-E28-E27, $C$10*SUM(E$27:E$29))</f>
        <v>5</v>
      </c>
      <c r="F30" s="14">
        <f t="shared" si="19"/>
        <v>39</v>
      </c>
      <c r="G30" s="13">
        <f>F30+G29</f>
        <v>83</v>
      </c>
      <c r="H30" s="4"/>
      <c r="W30" s="61"/>
      <c r="X30" s="61"/>
      <c r="Y30" s="61"/>
      <c r="Z30" s="61"/>
      <c r="AA30" s="1"/>
      <c r="AB30" s="1"/>
      <c r="AC30" s="1"/>
      <c r="AD30" s="1"/>
      <c r="AE30" s="1"/>
      <c r="AF30" s="1"/>
      <c r="AG30" s="61"/>
      <c r="AL30" s="61"/>
      <c r="AM30" s="61"/>
    </row>
    <row r="31" spans="1:39" s="67" customFormat="1" x14ac:dyDescent="0.2">
      <c r="A31"/>
      <c r="B31" s="40" t="s">
        <v>11</v>
      </c>
      <c r="C31" s="14">
        <f>C32-SUM(C27:C30)</f>
        <v>17</v>
      </c>
      <c r="D31" s="14">
        <f>D32-SUM(D27:D30)</f>
        <v>4</v>
      </c>
      <c r="E31" s="14">
        <f>E32-SUM(E27:E30)</f>
        <v>0</v>
      </c>
      <c r="F31" s="14">
        <f t="shared" si="19"/>
        <v>21</v>
      </c>
      <c r="G31" s="13">
        <f>F31+G30</f>
        <v>104</v>
      </c>
      <c r="H31" s="4"/>
      <c r="V31"/>
      <c r="W31" s="61"/>
      <c r="X31" s="61"/>
      <c r="Y31" s="61"/>
      <c r="Z31" s="61"/>
      <c r="AA31" s="1"/>
      <c r="AB31" s="1"/>
      <c r="AC31" s="1"/>
      <c r="AD31" s="1"/>
      <c r="AE31" s="1"/>
      <c r="AF31" s="1"/>
      <c r="AG31" s="61"/>
      <c r="AK31"/>
      <c r="AL31" s="61"/>
      <c r="AM31" s="61"/>
    </row>
    <row r="32" spans="1:39" x14ac:dyDescent="0.2">
      <c r="B32" s="42" t="s">
        <v>12</v>
      </c>
      <c r="C32" s="56">
        <v>55</v>
      </c>
      <c r="D32" s="56">
        <v>34</v>
      </c>
      <c r="E32" s="56">
        <v>15</v>
      </c>
      <c r="F32" s="33">
        <f t="shared" si="19"/>
        <v>104</v>
      </c>
      <c r="G32" s="6"/>
      <c r="H32" s="66"/>
      <c r="N32" s="1"/>
      <c r="O32" s="1"/>
      <c r="P32" s="1"/>
      <c r="Q32" s="1"/>
      <c r="W32" s="61"/>
      <c r="X32" s="61"/>
      <c r="Y32" s="61"/>
      <c r="Z32" s="61"/>
      <c r="AA32" s="1"/>
      <c r="AB32" s="1"/>
      <c r="AC32" s="1"/>
      <c r="AD32" s="1"/>
      <c r="AE32" s="1"/>
      <c r="AF32" s="1"/>
      <c r="AG32" s="61"/>
      <c r="AL32" s="61"/>
      <c r="AM32" s="61"/>
    </row>
    <row r="33" spans="2:39" x14ac:dyDescent="0.2">
      <c r="B33" s="69"/>
      <c r="C33" s="66"/>
      <c r="D33" s="67"/>
      <c r="E33" s="66"/>
      <c r="F33" s="14">
        <f t="shared" si="19"/>
        <v>0</v>
      </c>
      <c r="H33" s="4"/>
      <c r="N33" s="61"/>
      <c r="O33" s="61"/>
      <c r="P33" s="61"/>
      <c r="Q33" s="61"/>
      <c r="W33" s="61"/>
      <c r="X33" s="61"/>
      <c r="Y33" s="61"/>
      <c r="Z33" s="61"/>
      <c r="AA33" s="1"/>
      <c r="AB33" s="1"/>
      <c r="AC33" s="1"/>
      <c r="AD33" s="1"/>
      <c r="AE33" s="1"/>
      <c r="AF33" s="1"/>
      <c r="AG33" s="61"/>
      <c r="AL33" s="61"/>
      <c r="AM33" s="61"/>
    </row>
    <row r="34" spans="2:39" x14ac:dyDescent="0.2">
      <c r="B34" s="69"/>
      <c r="C34" s="66"/>
      <c r="D34" s="67"/>
      <c r="E34" s="66"/>
      <c r="F34" s="66"/>
      <c r="G34" s="67"/>
      <c r="H34" s="4"/>
      <c r="N34" s="61"/>
      <c r="O34" s="61"/>
      <c r="P34" s="61"/>
      <c r="Q34" s="61"/>
      <c r="W34" s="61"/>
      <c r="X34" s="61"/>
      <c r="Y34" s="61"/>
      <c r="Z34" s="61"/>
      <c r="AA34" s="1"/>
      <c r="AB34" s="1"/>
      <c r="AC34" s="1"/>
      <c r="AD34" s="1"/>
      <c r="AE34" s="1"/>
      <c r="AF34" s="1"/>
      <c r="AG34" s="61"/>
    </row>
    <row r="35" spans="2:39" x14ac:dyDescent="0.2">
      <c r="B35" s="43" t="s">
        <v>4</v>
      </c>
      <c r="C35" s="46" t="s">
        <v>5</v>
      </c>
      <c r="D35" s="46" t="s">
        <v>10</v>
      </c>
      <c r="E35" s="47" t="s">
        <v>13</v>
      </c>
      <c r="N35" s="62"/>
      <c r="O35" s="62"/>
      <c r="P35" s="62"/>
      <c r="Q35" s="62"/>
      <c r="W35" s="61"/>
      <c r="X35" s="61"/>
      <c r="Y35" s="61"/>
      <c r="Z35" s="61"/>
      <c r="AA35" s="1"/>
      <c r="AB35" s="1"/>
      <c r="AC35" s="1"/>
      <c r="AD35" s="1"/>
      <c r="AE35" s="1"/>
      <c r="AF35" s="1"/>
      <c r="AG35" s="61"/>
    </row>
    <row r="36" spans="2:39" x14ac:dyDescent="0.2">
      <c r="B36" s="44">
        <v>1</v>
      </c>
      <c r="C36" s="14">
        <v>0</v>
      </c>
      <c r="D36" s="14">
        <v>0</v>
      </c>
      <c r="E36" s="13">
        <v>0</v>
      </c>
      <c r="F36" s="61">
        <f>SUM(C36:E36)</f>
        <v>0</v>
      </c>
      <c r="W36" s="61"/>
      <c r="X36" s="61"/>
      <c r="Y36" s="61"/>
      <c r="Z36" s="61"/>
      <c r="AA36" s="1"/>
      <c r="AB36" s="1"/>
      <c r="AC36" s="1"/>
      <c r="AD36" s="1"/>
      <c r="AE36" s="1"/>
      <c r="AF36" s="1"/>
      <c r="AG36" s="61"/>
    </row>
    <row r="37" spans="2:39" x14ac:dyDescent="0.2">
      <c r="B37" s="44">
        <v>2</v>
      </c>
      <c r="C37" s="14">
        <f>G$28</f>
        <v>9</v>
      </c>
      <c r="D37" s="14">
        <v>0</v>
      </c>
      <c r="E37" s="13">
        <v>0</v>
      </c>
      <c r="F37" s="61">
        <f t="shared" ref="F37:F39" si="20">SUM(C37:E37)</f>
        <v>9</v>
      </c>
      <c r="W37" s="61"/>
      <c r="X37" s="61"/>
      <c r="Y37" s="61"/>
      <c r="Z37" s="61"/>
      <c r="AA37" s="1"/>
      <c r="AB37" s="1"/>
      <c r="AC37" s="1"/>
      <c r="AD37" s="1"/>
      <c r="AE37" s="1"/>
      <c r="AF37" s="1"/>
      <c r="AG37" s="61"/>
    </row>
    <row r="38" spans="2:39" x14ac:dyDescent="0.2">
      <c r="B38" s="44">
        <v>3</v>
      </c>
      <c r="C38" s="14">
        <f>G$28</f>
        <v>9</v>
      </c>
      <c r="D38" s="14">
        <f>F$29</f>
        <v>35</v>
      </c>
      <c r="E38" s="13">
        <v>0</v>
      </c>
      <c r="F38" s="61">
        <f t="shared" si="20"/>
        <v>44</v>
      </c>
      <c r="G38" s="1"/>
      <c r="H38" s="61"/>
      <c r="W38" s="61"/>
      <c r="X38" s="61"/>
      <c r="Y38" s="61"/>
      <c r="Z38" s="61"/>
      <c r="AA38" s="1"/>
      <c r="AB38" s="1"/>
      <c r="AC38" s="1"/>
      <c r="AD38" s="1"/>
      <c r="AE38" s="1"/>
      <c r="AF38" s="1"/>
      <c r="AG38" s="61"/>
    </row>
    <row r="39" spans="2:39" x14ac:dyDescent="0.2">
      <c r="B39" s="45">
        <v>4</v>
      </c>
      <c r="C39" s="19">
        <f>G$28</f>
        <v>9</v>
      </c>
      <c r="D39" s="19">
        <f>F$29</f>
        <v>35</v>
      </c>
      <c r="E39" s="18">
        <f>F30</f>
        <v>39</v>
      </c>
      <c r="F39" s="61">
        <f t="shared" si="20"/>
        <v>83</v>
      </c>
      <c r="G39" s="1"/>
      <c r="H39" s="61"/>
      <c r="W39" s="61"/>
      <c r="X39" s="61"/>
      <c r="Y39" s="61"/>
      <c r="Z39" s="61"/>
      <c r="AA39" s="1"/>
      <c r="AB39" s="1"/>
      <c r="AC39" s="1"/>
      <c r="AD39" s="1"/>
      <c r="AE39" s="1"/>
      <c r="AF39" s="1"/>
      <c r="AG39" s="61"/>
    </row>
    <row r="40" spans="2:39" x14ac:dyDescent="0.2">
      <c r="W40" s="61"/>
      <c r="X40" s="61"/>
      <c r="Y40" s="61"/>
      <c r="Z40" s="61"/>
      <c r="AA40" s="1"/>
      <c r="AB40" s="1"/>
      <c r="AC40" s="1"/>
      <c r="AD40" s="1"/>
      <c r="AE40" s="1"/>
      <c r="AF40" s="1"/>
      <c r="AG40" s="61"/>
    </row>
    <row r="41" spans="2:39" x14ac:dyDescent="0.2">
      <c r="W41" s="61"/>
      <c r="X41" s="61"/>
      <c r="Y41" s="61"/>
      <c r="Z41" s="61"/>
      <c r="AA41" s="1"/>
      <c r="AB41" s="1"/>
      <c r="AC41" s="1"/>
      <c r="AD41" s="1"/>
      <c r="AE41" s="1"/>
      <c r="AF41" s="1"/>
      <c r="AG41" s="61"/>
    </row>
    <row r="42" spans="2:39" x14ac:dyDescent="0.2">
      <c r="W42" s="61"/>
      <c r="X42" s="61"/>
      <c r="Y42" s="61"/>
      <c r="Z42" s="61"/>
      <c r="AA42" s="1"/>
      <c r="AB42" s="1"/>
      <c r="AC42" s="1"/>
      <c r="AD42" s="1"/>
      <c r="AE42" s="1"/>
      <c r="AF42" s="1"/>
      <c r="AG42" s="61"/>
    </row>
    <row r="43" spans="2:39" x14ac:dyDescent="0.2">
      <c r="W43" s="61"/>
      <c r="X43" s="61"/>
      <c r="Y43" s="61"/>
      <c r="Z43" s="61"/>
      <c r="AA43" s="1"/>
      <c r="AB43" s="1"/>
      <c r="AC43" s="1"/>
      <c r="AD43" s="1"/>
      <c r="AE43" s="1"/>
      <c r="AF43" s="1"/>
      <c r="AG43" s="61"/>
    </row>
    <row r="44" spans="2:39" x14ac:dyDescent="0.2">
      <c r="W44" s="61"/>
      <c r="X44" s="61"/>
      <c r="Y44" s="61"/>
      <c r="Z44" s="61"/>
      <c r="AA44" s="1"/>
      <c r="AB44" s="1"/>
      <c r="AC44" s="1"/>
      <c r="AD44" s="1"/>
      <c r="AE44" s="1"/>
      <c r="AF44" s="1"/>
      <c r="AG44" s="61"/>
    </row>
    <row r="45" spans="2:39" x14ac:dyDescent="0.2">
      <c r="W45" s="61"/>
      <c r="X45" s="61"/>
      <c r="Y45" s="61"/>
      <c r="Z45" s="61"/>
      <c r="AA45" s="1"/>
      <c r="AB45" s="1"/>
      <c r="AC45" s="1"/>
      <c r="AD45" s="1"/>
      <c r="AE45" s="1"/>
      <c r="AF45" s="1"/>
      <c r="AG45" s="61"/>
    </row>
    <row r="46" spans="2:39" x14ac:dyDescent="0.2">
      <c r="W46" s="61"/>
      <c r="X46" s="61"/>
      <c r="Y46" s="61"/>
      <c r="Z46" s="61"/>
      <c r="AA46" s="1"/>
      <c r="AB46" s="1"/>
      <c r="AC46" s="1"/>
      <c r="AD46" s="1"/>
      <c r="AE46" s="1"/>
      <c r="AF46" s="1"/>
      <c r="AG46" s="61"/>
    </row>
    <row r="52" spans="3:4" x14ac:dyDescent="0.2">
      <c r="D52" s="75"/>
    </row>
    <row r="53" spans="3:4" x14ac:dyDescent="0.2">
      <c r="D53" s="75"/>
    </row>
    <row r="54" spans="3:4" x14ac:dyDescent="0.2">
      <c r="D54" s="75"/>
    </row>
    <row r="55" spans="3:4" x14ac:dyDescent="0.2">
      <c r="D55" s="75"/>
    </row>
    <row r="56" spans="3:4" x14ac:dyDescent="0.2">
      <c r="D56" s="75"/>
    </row>
    <row r="57" spans="3:4" x14ac:dyDescent="0.2">
      <c r="D57" s="75"/>
    </row>
    <row r="58" spans="3:4" x14ac:dyDescent="0.2">
      <c r="D58" s="75"/>
    </row>
    <row r="60" spans="3:4" x14ac:dyDescent="0.2">
      <c r="C60" s="1"/>
      <c r="D60" s="1"/>
    </row>
    <row r="61" spans="3:4" x14ac:dyDescent="0.2">
      <c r="C61" s="4"/>
      <c r="D61" s="1"/>
    </row>
    <row r="62" spans="3:4" x14ac:dyDescent="0.2">
      <c r="C62" s="4"/>
      <c r="D62" s="1"/>
    </row>
    <row r="63" spans="3:4" x14ac:dyDescent="0.2">
      <c r="C63" s="4"/>
      <c r="D63" s="1"/>
    </row>
    <row r="64" spans="3:4" x14ac:dyDescent="0.2">
      <c r="C64" s="4"/>
      <c r="D64" s="1"/>
    </row>
  </sheetData>
  <mergeCells count="18">
    <mergeCell ref="X2:Z2"/>
    <mergeCell ref="AA2:AA3"/>
    <mergeCell ref="AC2:AC3"/>
    <mergeCell ref="AB2:AB3"/>
    <mergeCell ref="AB24:AF28"/>
    <mergeCell ref="O2:Q2"/>
    <mergeCell ref="H2:H3"/>
    <mergeCell ref="I2:I3"/>
    <mergeCell ref="K2:K3"/>
    <mergeCell ref="M2:M3"/>
    <mergeCell ref="N2:N3"/>
    <mergeCell ref="J2:J3"/>
    <mergeCell ref="L2:L3"/>
    <mergeCell ref="AD2:AD3"/>
    <mergeCell ref="AF2:AF3"/>
    <mergeCell ref="AE2:AE3"/>
    <mergeCell ref="R2:T2"/>
    <mergeCell ref="U2:W2"/>
  </mergeCells>
  <phoneticPr fontId="3" type="noConversion"/>
  <pageMargins left="0.7" right="0.7" top="0.75" bottom="0.75" header="0.3" footer="0.3"/>
  <pageSetup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2:AM64"/>
  <sheetViews>
    <sheetView zoomScale="70" zoomScaleNormal="70" workbookViewId="0"/>
  </sheetViews>
  <sheetFormatPr baseColWidth="10" defaultColWidth="11.5" defaultRowHeight="15" x14ac:dyDescent="0.2"/>
  <cols>
    <col min="1" max="1" width="3" customWidth="1"/>
    <col min="2" max="2" width="54.1640625" bestFit="1" customWidth="1"/>
    <col min="3" max="4" width="13.83203125" customWidth="1"/>
    <col min="5" max="5" width="22.5" bestFit="1" customWidth="1"/>
    <col min="6" max="6" width="16.5" bestFit="1" customWidth="1"/>
    <col min="7" max="7" width="13.83203125" customWidth="1"/>
    <col min="8" max="8" width="6" customWidth="1"/>
    <col min="9" max="9" width="14.1640625" customWidth="1"/>
    <col min="10" max="10" width="13.83203125" customWidth="1"/>
    <col min="11" max="13" width="12.83203125" customWidth="1"/>
    <col min="14" max="14" width="17.5" bestFit="1" customWidth="1"/>
    <col min="15" max="15" width="16.5" customWidth="1"/>
    <col min="18" max="18" width="12" bestFit="1" customWidth="1"/>
    <col min="19" max="19" width="15.1640625" bestFit="1" customWidth="1"/>
    <col min="20" max="26" width="15.1640625" customWidth="1"/>
    <col min="27" max="27" width="14.33203125" bestFit="1" customWidth="1"/>
    <col min="29" max="29" width="13.6640625" bestFit="1" customWidth="1"/>
    <col min="30" max="31" width="14.5" customWidth="1"/>
    <col min="32" max="32" width="12" customWidth="1"/>
    <col min="33" max="33" width="15.1640625" bestFit="1" customWidth="1"/>
    <col min="34" max="34" width="10.5" customWidth="1"/>
    <col min="35" max="35" width="12.5" bestFit="1" customWidth="1"/>
  </cols>
  <sheetData>
    <row r="2" spans="1:37" ht="44.25" customHeight="1" x14ac:dyDescent="0.2">
      <c r="B2" s="43" t="s">
        <v>32</v>
      </c>
      <c r="C2" s="46" t="s">
        <v>3</v>
      </c>
      <c r="D2" s="46" t="s">
        <v>15</v>
      </c>
      <c r="E2" s="72" t="s">
        <v>49</v>
      </c>
      <c r="F2" s="57" t="s">
        <v>50</v>
      </c>
      <c r="H2" s="109" t="s">
        <v>2</v>
      </c>
      <c r="I2" s="110" t="s">
        <v>73</v>
      </c>
      <c r="J2" s="110" t="s">
        <v>74</v>
      </c>
      <c r="K2" s="110" t="s">
        <v>75</v>
      </c>
      <c r="L2" s="110" t="s">
        <v>76</v>
      </c>
      <c r="M2" s="110" t="s">
        <v>33</v>
      </c>
      <c r="N2" s="111" t="s">
        <v>4</v>
      </c>
      <c r="O2" s="108" t="s">
        <v>16</v>
      </c>
      <c r="P2" s="108"/>
      <c r="Q2" s="108"/>
      <c r="R2" s="112" t="s">
        <v>17</v>
      </c>
      <c r="S2" s="108"/>
      <c r="T2" s="109"/>
      <c r="U2" s="108" t="s">
        <v>18</v>
      </c>
      <c r="V2" s="108"/>
      <c r="W2" s="108"/>
      <c r="X2" s="112" t="s">
        <v>20</v>
      </c>
      <c r="Y2" s="108"/>
      <c r="Z2" s="109"/>
      <c r="AA2" s="108" t="s">
        <v>21</v>
      </c>
      <c r="AB2" s="115" t="s">
        <v>86</v>
      </c>
      <c r="AC2" s="117" t="s">
        <v>85</v>
      </c>
      <c r="AD2" s="105" t="s">
        <v>26</v>
      </c>
      <c r="AE2" s="105" t="s">
        <v>77</v>
      </c>
      <c r="AF2" s="113" t="s">
        <v>52</v>
      </c>
    </row>
    <row r="3" spans="1:37" x14ac:dyDescent="0.2">
      <c r="B3" s="63" t="s">
        <v>39</v>
      </c>
      <c r="C3" s="64">
        <f>AA7</f>
        <v>44</v>
      </c>
      <c r="D3" s="64">
        <f>AF7</f>
        <v>137063.60067944688</v>
      </c>
      <c r="E3" s="73">
        <f>SUM(AD4:AD7)</f>
        <v>286631.19793626526</v>
      </c>
      <c r="F3" s="65">
        <f>E3/4</f>
        <v>71657.799484066316</v>
      </c>
      <c r="H3" s="109"/>
      <c r="I3" s="110"/>
      <c r="J3" s="110"/>
      <c r="K3" s="110"/>
      <c r="L3" s="110"/>
      <c r="M3" s="110"/>
      <c r="N3" s="111"/>
      <c r="O3" s="55" t="s">
        <v>0</v>
      </c>
      <c r="P3" s="55" t="s">
        <v>22</v>
      </c>
      <c r="Q3" s="55" t="s">
        <v>40</v>
      </c>
      <c r="R3" s="47" t="s">
        <v>0</v>
      </c>
      <c r="S3" s="55" t="s">
        <v>22</v>
      </c>
      <c r="T3" s="55" t="s">
        <v>40</v>
      </c>
      <c r="U3" s="55" t="s">
        <v>0</v>
      </c>
      <c r="V3" s="55" t="s">
        <v>22</v>
      </c>
      <c r="W3" s="55" t="s">
        <v>40</v>
      </c>
      <c r="X3" s="47" t="s">
        <v>0</v>
      </c>
      <c r="Y3" s="55" t="s">
        <v>22</v>
      </c>
      <c r="Z3" s="55" t="s">
        <v>40</v>
      </c>
      <c r="AA3" s="108"/>
      <c r="AB3" s="116"/>
      <c r="AC3" s="118"/>
      <c r="AD3" s="105"/>
      <c r="AE3" s="105"/>
      <c r="AF3" s="114"/>
    </row>
    <row r="4" spans="1:37" x14ac:dyDescent="0.2">
      <c r="B4" s="40" t="s">
        <v>38</v>
      </c>
      <c r="C4" s="26">
        <f>AA11</f>
        <v>104</v>
      </c>
      <c r="D4" s="26">
        <f>AF11</f>
        <v>284078.64001343073</v>
      </c>
      <c r="E4" s="73">
        <f>SUM(AD4:AD11)</f>
        <v>1211965.1395550915</v>
      </c>
      <c r="F4" s="58">
        <f>E4/8</f>
        <v>151495.64244438644</v>
      </c>
      <c r="H4" s="49">
        <v>1</v>
      </c>
      <c r="I4" s="71">
        <v>322357</v>
      </c>
      <c r="J4" s="71">
        <v>322357</v>
      </c>
      <c r="K4" s="10">
        <f t="shared" ref="K4:K23" si="0">I4/$C$17</f>
        <v>3099.5865384615386</v>
      </c>
      <c r="L4" s="10">
        <f t="shared" ref="L4:L23" si="1">J4/$C$17</f>
        <v>3099.5865384615386</v>
      </c>
      <c r="M4" s="50">
        <v>1</v>
      </c>
      <c r="N4" s="37">
        <v>2</v>
      </c>
      <c r="O4" s="7">
        <f t="shared" ref="O4:O23" si="2">IF(N4="Post",O$11,VLOOKUP($N4,$B$35:$E$39,2,FALSE))</f>
        <v>9</v>
      </c>
      <c r="P4" s="12">
        <f t="shared" ref="P4:P23" si="3">IF(O4=0,0,IF(O3=0,$C$12,IF(O2=0,$C$13,IF(O1=0,$C$14,IF(O4&gt;0,$C$15,"ERROR")))))</f>
        <v>0.5</v>
      </c>
      <c r="Q4" s="8">
        <f t="shared" ref="Q4:Q23" si="4">O4*$L4*($C$22+($C$20-$C$22)*(1-P4))</f>
        <v>44020.328019230765</v>
      </c>
      <c r="R4" s="9">
        <f t="shared" ref="R4:R23" si="5">IF($N4="Post",R$11,VLOOKUP($N4,$B$35:$E$39,3,FALSE))</f>
        <v>0</v>
      </c>
      <c r="S4" s="12">
        <f t="shared" ref="S4:S23" si="6">IF(R4=0,0,IF(R3=0,$C$12,IF(R2=0,$C$13,IF(R1=0,$C$14,IF(R4&gt;0,$C$15,"ERROR")))))</f>
        <v>0</v>
      </c>
      <c r="T4" s="8">
        <f t="shared" ref="T4:T23" si="7">R4*$L4*($C$22+($C$20-$C$22)*(1-S4))</f>
        <v>0</v>
      </c>
      <c r="U4" s="10">
        <f t="shared" ref="U4:U23" si="8">IF($N4="Post",U$11,VLOOKUP($N4,$B$35:$E$39,4,FALSE))</f>
        <v>0</v>
      </c>
      <c r="V4" s="12">
        <f t="shared" ref="V4:V23" si="9">IF(U4=0,0,IF(U3=0,$C$12,IF(U2=0,$C$13,IF(U1=0,$C$14,IF(U4&gt;0,$C$15,"ERROR")))))</f>
        <v>0</v>
      </c>
      <c r="W4" s="8">
        <f t="shared" ref="W4:W23" si="10">U4*$L4*($C$22+($C$20-$C$22)*(1-V4))</f>
        <v>0</v>
      </c>
      <c r="X4" s="14">
        <f t="shared" ref="X4:X23" si="11">IF(AA3 &lt; $C$17, IF($N4="Post",IF(AA3+$C$11&gt;$C$17, $C$17-AA3+X3, X3+$C$11),0),  $C$17-(O4+R4+U4+X3)+X3)</f>
        <v>0</v>
      </c>
      <c r="Y4" s="12">
        <f t="shared" ref="Y4:Y23" si="12">IF(M4&gt;8,$C$18,IF(X4=0,0,IF(X3=0,$C$12,IF(X2=0,$C$13,IF(X1=0,$C$14,IF(X4&gt;0,$C$18,"ERROR"))))))</f>
        <v>0</v>
      </c>
      <c r="Z4" s="8">
        <f t="shared" ref="Z4:Z23" si="13">X4*$L4*($C$22+($C$20-$C$22)*(1-Y4))</f>
        <v>0</v>
      </c>
      <c r="AA4" s="11">
        <f>SUM(O4,R4,U4,X4)</f>
        <v>9</v>
      </c>
      <c r="AB4" s="9">
        <f>SUM(Q4,T4,W4,Z4)</f>
        <v>44020.328019230765</v>
      </c>
      <c r="AC4" s="9">
        <f t="shared" ref="AC4:AC23" si="14">K4*AA4*$C$21</f>
        <v>71860.814307692315</v>
      </c>
      <c r="AD4" s="9">
        <f>AC4-AB4</f>
        <v>27840.48628846155</v>
      </c>
      <c r="AE4" s="9">
        <f>AD4</f>
        <v>27840.48628846155</v>
      </c>
      <c r="AF4" s="11">
        <f>AA4*L4</f>
        <v>27896.278846153848</v>
      </c>
      <c r="AJ4" s="1"/>
    </row>
    <row r="5" spans="1:37" x14ac:dyDescent="0.2">
      <c r="B5" s="40" t="s">
        <v>27</v>
      </c>
      <c r="C5" s="26">
        <f>AA13</f>
        <v>104</v>
      </c>
      <c r="D5" s="26">
        <f>AF13</f>
        <v>271602.79302310385</v>
      </c>
      <c r="E5" s="73">
        <f>SUM(AD4:AD13)</f>
        <v>1514310.5172460596</v>
      </c>
      <c r="F5" s="58">
        <f>E5/10</f>
        <v>151431.05172460596</v>
      </c>
      <c r="H5" s="40">
        <v>2</v>
      </c>
      <c r="I5" s="80">
        <v>322357</v>
      </c>
      <c r="J5" s="80">
        <v>323755.95</v>
      </c>
      <c r="K5" s="7">
        <f t="shared" si="0"/>
        <v>3099.5865384615386</v>
      </c>
      <c r="L5" s="7">
        <f t="shared" si="1"/>
        <v>3113.0379807692307</v>
      </c>
      <c r="M5" s="51">
        <v>2</v>
      </c>
      <c r="N5" s="38">
        <v>2</v>
      </c>
      <c r="O5" s="7">
        <f t="shared" si="2"/>
        <v>9</v>
      </c>
      <c r="P5" s="12">
        <f t="shared" si="3"/>
        <v>0.8</v>
      </c>
      <c r="Q5" s="13">
        <f t="shared" si="4"/>
        <v>36360.906222980761</v>
      </c>
      <c r="R5" s="14">
        <f t="shared" si="5"/>
        <v>0</v>
      </c>
      <c r="S5" s="12">
        <f t="shared" si="6"/>
        <v>0</v>
      </c>
      <c r="T5" s="14">
        <f t="shared" si="7"/>
        <v>0</v>
      </c>
      <c r="U5" s="7">
        <f t="shared" si="8"/>
        <v>0</v>
      </c>
      <c r="V5" s="12">
        <f t="shared" si="9"/>
        <v>0</v>
      </c>
      <c r="W5" s="13">
        <f t="shared" si="10"/>
        <v>0</v>
      </c>
      <c r="X5" s="14">
        <f t="shared" si="11"/>
        <v>0</v>
      </c>
      <c r="Y5" s="12">
        <f t="shared" si="12"/>
        <v>0</v>
      </c>
      <c r="Z5" s="14">
        <f t="shared" si="13"/>
        <v>0</v>
      </c>
      <c r="AA5" s="15">
        <f t="shared" ref="AA5:AA23" si="15">SUM(O5,R5,U5,X5)</f>
        <v>9</v>
      </c>
      <c r="AB5" s="14">
        <f>SUM(Q5,T5,W5,Z5)</f>
        <v>36360.906222980761</v>
      </c>
      <c r="AC5" s="14">
        <f t="shared" si="14"/>
        <v>71860.814307692315</v>
      </c>
      <c r="AD5" s="14">
        <f>AC5-AB5</f>
        <v>35499.908084711555</v>
      </c>
      <c r="AE5" s="14">
        <f>AD5+AE4</f>
        <v>63340.394373173105</v>
      </c>
      <c r="AF5" s="15">
        <f t="shared" ref="AF5:AF23" si="16">AA5*L5</f>
        <v>28017.341826923075</v>
      </c>
      <c r="AJ5" s="1"/>
      <c r="AK5" s="61"/>
    </row>
    <row r="6" spans="1:37" x14ac:dyDescent="0.2">
      <c r="B6" s="41" t="s">
        <v>28</v>
      </c>
      <c r="C6" s="27">
        <f>AA23</f>
        <v>104</v>
      </c>
      <c r="D6" s="27">
        <f>AF23</f>
        <v>329526.12193571805</v>
      </c>
      <c r="E6" s="74">
        <f>SUM(AD4:AD23)</f>
        <v>4069699.0029461305</v>
      </c>
      <c r="F6" s="59">
        <f>E6/20</f>
        <v>203484.95014730652</v>
      </c>
      <c r="H6" s="40">
        <v>3</v>
      </c>
      <c r="I6" s="80">
        <v>322357</v>
      </c>
      <c r="J6" s="80">
        <v>325772.6467574687</v>
      </c>
      <c r="K6" s="7">
        <f t="shared" si="0"/>
        <v>3099.5865384615386</v>
      </c>
      <c r="L6" s="7">
        <f t="shared" si="1"/>
        <v>3132.4292957448915</v>
      </c>
      <c r="M6" s="51">
        <v>3</v>
      </c>
      <c r="N6" s="38">
        <v>3</v>
      </c>
      <c r="O6" s="7">
        <f t="shared" si="2"/>
        <v>9</v>
      </c>
      <c r="P6" s="12">
        <f t="shared" si="3"/>
        <v>0.8</v>
      </c>
      <c r="Q6" s="13">
        <f t="shared" si="4"/>
        <v>36587.400660159481</v>
      </c>
      <c r="R6" s="14">
        <f t="shared" si="5"/>
        <v>35</v>
      </c>
      <c r="S6" s="12">
        <f t="shared" si="6"/>
        <v>0.1</v>
      </c>
      <c r="T6" s="14">
        <f t="shared" si="7"/>
        <v>213963.71547515056</v>
      </c>
      <c r="U6" s="7">
        <f t="shared" si="8"/>
        <v>0</v>
      </c>
      <c r="V6" s="12">
        <f t="shared" si="9"/>
        <v>0</v>
      </c>
      <c r="W6" s="13">
        <f t="shared" si="10"/>
        <v>0</v>
      </c>
      <c r="X6" s="14">
        <f t="shared" si="11"/>
        <v>0</v>
      </c>
      <c r="Y6" s="12">
        <f t="shared" si="12"/>
        <v>0</v>
      </c>
      <c r="Z6" s="14">
        <f t="shared" si="13"/>
        <v>0</v>
      </c>
      <c r="AA6" s="15">
        <f t="shared" si="15"/>
        <v>44</v>
      </c>
      <c r="AB6" s="14">
        <f t="shared" ref="AB6:AB23" si="17">SUM(Q6,T6,W6,Z6)</f>
        <v>250551.11613531003</v>
      </c>
      <c r="AC6" s="14">
        <f t="shared" si="14"/>
        <v>351319.53661538463</v>
      </c>
      <c r="AD6" s="14">
        <f t="shared" ref="AD6:AD22" si="18">AC6-AB6</f>
        <v>100768.42048007459</v>
      </c>
      <c r="AE6" s="14">
        <f t="shared" ref="AE6:AE23" si="19">AD6+AE5</f>
        <v>164108.81485324769</v>
      </c>
      <c r="AF6" s="15">
        <f t="shared" si="16"/>
        <v>137826.88901277524</v>
      </c>
      <c r="AJ6" s="1"/>
      <c r="AK6" s="61"/>
    </row>
    <row r="7" spans="1:37" x14ac:dyDescent="0.2">
      <c r="H7" s="40">
        <v>4</v>
      </c>
      <c r="I7" s="80">
        <v>322357</v>
      </c>
      <c r="J7" s="80">
        <v>323968.51069687447</v>
      </c>
      <c r="K7" s="7">
        <f t="shared" si="0"/>
        <v>3099.5865384615386</v>
      </c>
      <c r="L7" s="7">
        <f t="shared" si="1"/>
        <v>3115.081833623793</v>
      </c>
      <c r="M7" s="51">
        <v>4</v>
      </c>
      <c r="N7" s="38">
        <v>3</v>
      </c>
      <c r="O7" s="7">
        <f t="shared" si="2"/>
        <v>9</v>
      </c>
      <c r="P7" s="12">
        <f t="shared" si="3"/>
        <v>0.8</v>
      </c>
      <c r="Q7" s="13">
        <f t="shared" si="4"/>
        <v>36384.778833092627</v>
      </c>
      <c r="R7" s="14">
        <f t="shared" si="5"/>
        <v>35</v>
      </c>
      <c r="S7" s="12">
        <f t="shared" si="6"/>
        <v>0.3</v>
      </c>
      <c r="T7" s="14">
        <f t="shared" si="7"/>
        <v>192412.37469927443</v>
      </c>
      <c r="U7" s="7">
        <f t="shared" si="8"/>
        <v>0</v>
      </c>
      <c r="V7" s="12">
        <f t="shared" si="9"/>
        <v>0</v>
      </c>
      <c r="W7" s="13">
        <f t="shared" si="10"/>
        <v>0</v>
      </c>
      <c r="X7" s="14">
        <f t="shared" si="11"/>
        <v>0</v>
      </c>
      <c r="Y7" s="12">
        <f t="shared" si="12"/>
        <v>0</v>
      </c>
      <c r="Z7" s="14">
        <f t="shared" si="13"/>
        <v>0</v>
      </c>
      <c r="AA7" s="15">
        <f t="shared" si="15"/>
        <v>44</v>
      </c>
      <c r="AB7" s="14">
        <f t="shared" si="17"/>
        <v>228797.15353236705</v>
      </c>
      <c r="AC7" s="14">
        <f t="shared" si="14"/>
        <v>351319.53661538463</v>
      </c>
      <c r="AD7" s="14">
        <f t="shared" si="18"/>
        <v>122522.38308301757</v>
      </c>
      <c r="AE7" s="14">
        <f t="shared" si="19"/>
        <v>286631.19793626526</v>
      </c>
      <c r="AF7" s="15">
        <f t="shared" si="16"/>
        <v>137063.60067944688</v>
      </c>
      <c r="AJ7" s="1"/>
      <c r="AK7" s="61"/>
    </row>
    <row r="8" spans="1:37" x14ac:dyDescent="0.2">
      <c r="H8" s="40">
        <v>5</v>
      </c>
      <c r="I8" s="80">
        <v>322357</v>
      </c>
      <c r="J8" s="80">
        <v>326820.29022680956</v>
      </c>
      <c r="K8" s="7">
        <f t="shared" si="0"/>
        <v>3099.5865384615386</v>
      </c>
      <c r="L8" s="7">
        <f t="shared" si="1"/>
        <v>3142.5027906423998</v>
      </c>
      <c r="M8" s="51">
        <v>5</v>
      </c>
      <c r="N8" s="38">
        <v>3</v>
      </c>
      <c r="O8" s="7">
        <f t="shared" si="2"/>
        <v>9</v>
      </c>
      <c r="P8" s="12">
        <f t="shared" si="3"/>
        <v>0.8</v>
      </c>
      <c r="Q8" s="13">
        <f t="shared" si="4"/>
        <v>36705.061095261357</v>
      </c>
      <c r="R8" s="14">
        <f t="shared" si="5"/>
        <v>35</v>
      </c>
      <c r="S8" s="12">
        <f t="shared" si="6"/>
        <v>0.5</v>
      </c>
      <c r="T8" s="14">
        <f t="shared" si="7"/>
        <v>173560.42912717973</v>
      </c>
      <c r="U8" s="7">
        <f t="shared" si="8"/>
        <v>0</v>
      </c>
      <c r="V8" s="12">
        <f t="shared" si="9"/>
        <v>0</v>
      </c>
      <c r="W8" s="13">
        <f t="shared" si="10"/>
        <v>0</v>
      </c>
      <c r="X8" s="14">
        <f t="shared" si="11"/>
        <v>0</v>
      </c>
      <c r="Y8" s="12">
        <f t="shared" si="12"/>
        <v>0</v>
      </c>
      <c r="Z8" s="14">
        <f t="shared" si="13"/>
        <v>0</v>
      </c>
      <c r="AA8" s="15">
        <f t="shared" si="15"/>
        <v>44</v>
      </c>
      <c r="AB8" s="14">
        <f t="shared" si="17"/>
        <v>210265.49022244109</v>
      </c>
      <c r="AC8" s="14">
        <f t="shared" si="14"/>
        <v>351319.53661538463</v>
      </c>
      <c r="AD8" s="14">
        <f t="shared" si="18"/>
        <v>141054.04639294354</v>
      </c>
      <c r="AE8" s="14">
        <f t="shared" si="19"/>
        <v>427685.2443292088</v>
      </c>
      <c r="AF8" s="15">
        <f t="shared" si="16"/>
        <v>138270.12278826558</v>
      </c>
      <c r="AJ8" s="1"/>
      <c r="AK8" s="61"/>
    </row>
    <row r="9" spans="1:37" x14ac:dyDescent="0.2">
      <c r="B9" s="43" t="s">
        <v>1</v>
      </c>
      <c r="C9" s="48"/>
      <c r="D9" s="3"/>
      <c r="H9" s="40">
        <v>6</v>
      </c>
      <c r="I9" s="80">
        <v>309361.55000000005</v>
      </c>
      <c r="J9" s="80">
        <v>295828.27191549167</v>
      </c>
      <c r="K9" s="7">
        <f t="shared" si="0"/>
        <v>2974.6302884615388</v>
      </c>
      <c r="L9" s="7">
        <f t="shared" si="1"/>
        <v>2844.5026145720353</v>
      </c>
      <c r="M9" s="51">
        <v>6</v>
      </c>
      <c r="N9" s="38">
        <v>4</v>
      </c>
      <c r="O9" s="7">
        <f t="shared" si="2"/>
        <v>9</v>
      </c>
      <c r="P9" s="12">
        <f t="shared" si="3"/>
        <v>0.8</v>
      </c>
      <c r="Q9" s="13">
        <f t="shared" si="4"/>
        <v>33224.359438724285</v>
      </c>
      <c r="R9" s="14">
        <f t="shared" si="5"/>
        <v>35</v>
      </c>
      <c r="S9" s="12">
        <f t="shared" si="6"/>
        <v>0.8</v>
      </c>
      <c r="T9" s="14">
        <f t="shared" si="7"/>
        <v>129205.84226170553</v>
      </c>
      <c r="U9" s="7">
        <f t="shared" si="8"/>
        <v>60</v>
      </c>
      <c r="V9" s="12">
        <f t="shared" si="9"/>
        <v>0.1</v>
      </c>
      <c r="W9" s="13">
        <f t="shared" si="10"/>
        <v>333079.87815592706</v>
      </c>
      <c r="X9" s="14">
        <f t="shared" si="11"/>
        <v>0</v>
      </c>
      <c r="Y9" s="12">
        <f t="shared" si="12"/>
        <v>0</v>
      </c>
      <c r="Z9" s="14">
        <f t="shared" si="13"/>
        <v>0</v>
      </c>
      <c r="AA9" s="15">
        <f t="shared" si="15"/>
        <v>104</v>
      </c>
      <c r="AB9" s="14">
        <f t="shared" si="17"/>
        <v>495510.07985635684</v>
      </c>
      <c r="AC9" s="14">
        <f t="shared" si="14"/>
        <v>796915.35280000011</v>
      </c>
      <c r="AD9" s="14">
        <f t="shared" si="18"/>
        <v>301405.27294364327</v>
      </c>
      <c r="AE9" s="14">
        <f t="shared" si="19"/>
        <v>729090.51727285213</v>
      </c>
      <c r="AF9" s="15">
        <f t="shared" si="16"/>
        <v>295828.27191549167</v>
      </c>
      <c r="AJ9" s="61"/>
      <c r="AK9" s="61"/>
    </row>
    <row r="10" spans="1:37" x14ac:dyDescent="0.2">
      <c r="A10" t="s">
        <v>54</v>
      </c>
      <c r="B10" s="40" t="s">
        <v>30</v>
      </c>
      <c r="C10" s="76">
        <v>2</v>
      </c>
      <c r="D10" s="60" t="s">
        <v>71</v>
      </c>
      <c r="H10" s="40">
        <v>7</v>
      </c>
      <c r="I10" s="80">
        <v>285448.83622013591</v>
      </c>
      <c r="J10" s="80">
        <v>292014.78756746429</v>
      </c>
      <c r="K10" s="7">
        <f t="shared" si="0"/>
        <v>2744.7003482705377</v>
      </c>
      <c r="L10" s="7">
        <f t="shared" si="1"/>
        <v>2807.8344958410025</v>
      </c>
      <c r="M10" s="51">
        <v>7</v>
      </c>
      <c r="N10" s="38">
        <v>4</v>
      </c>
      <c r="O10" s="7">
        <f t="shared" si="2"/>
        <v>9</v>
      </c>
      <c r="P10" s="12">
        <f t="shared" si="3"/>
        <v>0.8</v>
      </c>
      <c r="Q10" s="13">
        <f t="shared" si="4"/>
        <v>32796.068478322071</v>
      </c>
      <c r="R10" s="14">
        <f t="shared" si="5"/>
        <v>35</v>
      </c>
      <c r="S10" s="12">
        <f t="shared" si="6"/>
        <v>0.8</v>
      </c>
      <c r="T10" s="14">
        <f t="shared" si="7"/>
        <v>127540.26630458584</v>
      </c>
      <c r="U10" s="7">
        <f t="shared" si="8"/>
        <v>60</v>
      </c>
      <c r="V10" s="12">
        <f t="shared" si="9"/>
        <v>0.3</v>
      </c>
      <c r="W10" s="13">
        <f t="shared" si="10"/>
        <v>297315.97909561207</v>
      </c>
      <c r="X10" s="14">
        <f t="shared" si="11"/>
        <v>0</v>
      </c>
      <c r="Y10" s="12">
        <f t="shared" si="12"/>
        <v>0</v>
      </c>
      <c r="Z10" s="14">
        <f t="shared" si="13"/>
        <v>0</v>
      </c>
      <c r="AA10" s="15">
        <f t="shared" si="15"/>
        <v>104</v>
      </c>
      <c r="AB10" s="14">
        <f t="shared" si="17"/>
        <v>457652.31387851998</v>
      </c>
      <c r="AC10" s="14">
        <f t="shared" si="14"/>
        <v>735316.2021030701</v>
      </c>
      <c r="AD10" s="14">
        <f t="shared" si="18"/>
        <v>277663.88822455012</v>
      </c>
      <c r="AE10" s="14">
        <f t="shared" si="19"/>
        <v>1006754.4054974022</v>
      </c>
      <c r="AF10" s="15">
        <f t="shared" si="16"/>
        <v>292014.78756746429</v>
      </c>
      <c r="AJ10" s="61"/>
      <c r="AK10" s="61"/>
    </row>
    <row r="11" spans="1:37" x14ac:dyDescent="0.2">
      <c r="A11" t="s">
        <v>58</v>
      </c>
      <c r="B11" s="40" t="s">
        <v>31</v>
      </c>
      <c r="C11" s="29">
        <v>10</v>
      </c>
      <c r="D11" s="3" t="s">
        <v>34</v>
      </c>
      <c r="H11" s="41">
        <v>8</v>
      </c>
      <c r="I11" s="70">
        <v>240609.62648891486</v>
      </c>
      <c r="J11" s="70">
        <v>284078.64001343073</v>
      </c>
      <c r="K11" s="16">
        <f t="shared" si="0"/>
        <v>2313.5541008549508</v>
      </c>
      <c r="L11" s="16">
        <f t="shared" si="1"/>
        <v>2731.5253847445265</v>
      </c>
      <c r="M11" s="52">
        <v>8</v>
      </c>
      <c r="N11" s="39">
        <v>4</v>
      </c>
      <c r="O11" s="16">
        <f t="shared" si="2"/>
        <v>9</v>
      </c>
      <c r="P11" s="17">
        <f t="shared" si="3"/>
        <v>0.8</v>
      </c>
      <c r="Q11" s="18">
        <f t="shared" si="4"/>
        <v>31904.762798893014</v>
      </c>
      <c r="R11" s="19">
        <f t="shared" si="5"/>
        <v>35</v>
      </c>
      <c r="S11" s="17">
        <f t="shared" si="6"/>
        <v>0.8</v>
      </c>
      <c r="T11" s="19">
        <f t="shared" si="7"/>
        <v>124074.07755125062</v>
      </c>
      <c r="U11" s="16">
        <f t="shared" si="8"/>
        <v>60</v>
      </c>
      <c r="V11" s="17">
        <f t="shared" si="9"/>
        <v>0.5</v>
      </c>
      <c r="W11" s="18">
        <f t="shared" si="10"/>
        <v>258620.82342761173</v>
      </c>
      <c r="X11" s="19">
        <f t="shared" si="11"/>
        <v>0</v>
      </c>
      <c r="Y11" s="17">
        <f t="shared" si="12"/>
        <v>0</v>
      </c>
      <c r="Z11" s="19">
        <f t="shared" si="13"/>
        <v>0</v>
      </c>
      <c r="AA11" s="20">
        <f t="shared" si="15"/>
        <v>104</v>
      </c>
      <c r="AB11" s="19">
        <f t="shared" si="17"/>
        <v>414599.66377775534</v>
      </c>
      <c r="AC11" s="19">
        <f t="shared" si="14"/>
        <v>619810.39783544478</v>
      </c>
      <c r="AD11" s="19">
        <f t="shared" si="18"/>
        <v>205210.73405768943</v>
      </c>
      <c r="AE11" s="19">
        <f t="shared" si="19"/>
        <v>1211965.1395550915</v>
      </c>
      <c r="AF11" s="20">
        <f t="shared" si="16"/>
        <v>284078.64001343073</v>
      </c>
      <c r="AJ11" s="61"/>
      <c r="AK11" s="61"/>
    </row>
    <row r="12" spans="1:37" x14ac:dyDescent="0.2">
      <c r="A12" t="s">
        <v>59</v>
      </c>
      <c r="B12" s="40" t="s">
        <v>23</v>
      </c>
      <c r="C12" s="28">
        <v>0.1</v>
      </c>
      <c r="D12" s="2" t="s">
        <v>34</v>
      </c>
      <c r="H12" s="40">
        <v>9</v>
      </c>
      <c r="I12" s="80">
        <v>202984.86125381227</v>
      </c>
      <c r="J12" s="80">
        <v>273058.05963181006</v>
      </c>
      <c r="K12" s="7">
        <f t="shared" si="0"/>
        <v>1951.7775120558872</v>
      </c>
      <c r="L12" s="7">
        <f t="shared" si="1"/>
        <v>2625.5582656904812</v>
      </c>
      <c r="M12" s="51">
        <v>9</v>
      </c>
      <c r="N12" s="34" t="s">
        <v>14</v>
      </c>
      <c r="O12" s="7">
        <f t="shared" si="2"/>
        <v>9</v>
      </c>
      <c r="P12" s="12">
        <f t="shared" si="3"/>
        <v>0.8</v>
      </c>
      <c r="Q12" s="13">
        <f t="shared" si="4"/>
        <v>30667.045654917954</v>
      </c>
      <c r="R12" s="14">
        <f t="shared" si="5"/>
        <v>35</v>
      </c>
      <c r="S12" s="12">
        <f t="shared" si="6"/>
        <v>0.8</v>
      </c>
      <c r="T12" s="14">
        <f t="shared" si="7"/>
        <v>119260.73310245872</v>
      </c>
      <c r="U12" s="7">
        <f t="shared" si="8"/>
        <v>60</v>
      </c>
      <c r="V12" s="12">
        <f t="shared" si="9"/>
        <v>0.8</v>
      </c>
      <c r="W12" s="13">
        <f t="shared" si="10"/>
        <v>204446.97103278636</v>
      </c>
      <c r="X12" s="14">
        <f t="shared" si="11"/>
        <v>0</v>
      </c>
      <c r="Y12" s="12">
        <f t="shared" si="12"/>
        <v>0.5</v>
      </c>
      <c r="Z12" s="14">
        <f t="shared" si="13"/>
        <v>0</v>
      </c>
      <c r="AA12" s="15">
        <f>SUM(O12,R12,U12,X12)</f>
        <v>104</v>
      </c>
      <c r="AB12" s="14">
        <f t="shared" si="17"/>
        <v>354374.74979016301</v>
      </c>
      <c r="AC12" s="14">
        <f t="shared" si="14"/>
        <v>522889.00258982042</v>
      </c>
      <c r="AD12" s="14">
        <f t="shared" si="18"/>
        <v>168514.25279965741</v>
      </c>
      <c r="AE12" s="14">
        <f t="shared" si="19"/>
        <v>1380479.3923547489</v>
      </c>
      <c r="AF12" s="15">
        <f t="shared" si="16"/>
        <v>273058.05963181006</v>
      </c>
      <c r="AJ12" s="61"/>
      <c r="AK12" s="61"/>
    </row>
    <row r="13" spans="1:37" x14ac:dyDescent="0.2">
      <c r="A13" t="s">
        <v>61</v>
      </c>
      <c r="B13" s="40" t="s">
        <v>24</v>
      </c>
      <c r="C13" s="28">
        <v>0.3</v>
      </c>
      <c r="D13" s="2" t="s">
        <v>34</v>
      </c>
      <c r="E13" s="2"/>
      <c r="H13" s="53">
        <v>10</v>
      </c>
      <c r="I13" s="81">
        <v>188787.74443971069</v>
      </c>
      <c r="J13" s="81">
        <v>271602.79302310385</v>
      </c>
      <c r="K13" s="21">
        <f t="shared" si="0"/>
        <v>1815.2667734587567</v>
      </c>
      <c r="L13" s="21">
        <f t="shared" si="1"/>
        <v>2611.5653175298448</v>
      </c>
      <c r="M13" s="54">
        <v>10</v>
      </c>
      <c r="N13" s="35" t="s">
        <v>14</v>
      </c>
      <c r="O13" s="21">
        <f t="shared" si="2"/>
        <v>9</v>
      </c>
      <c r="P13" s="22">
        <f t="shared" si="3"/>
        <v>0.8</v>
      </c>
      <c r="Q13" s="23">
        <f t="shared" si="4"/>
        <v>30503.605221812086</v>
      </c>
      <c r="R13" s="24">
        <f t="shared" si="5"/>
        <v>35</v>
      </c>
      <c r="S13" s="22">
        <f t="shared" si="6"/>
        <v>0.8</v>
      </c>
      <c r="T13" s="24">
        <f t="shared" si="7"/>
        <v>118625.13141815813</v>
      </c>
      <c r="U13" s="21">
        <f t="shared" si="8"/>
        <v>60</v>
      </c>
      <c r="V13" s="22">
        <f t="shared" si="9"/>
        <v>0.8</v>
      </c>
      <c r="W13" s="23">
        <f t="shared" si="10"/>
        <v>203357.36814541393</v>
      </c>
      <c r="X13" s="24">
        <f t="shared" si="11"/>
        <v>0</v>
      </c>
      <c r="Y13" s="22">
        <f t="shared" si="12"/>
        <v>0.5</v>
      </c>
      <c r="Z13" s="24">
        <f t="shared" si="13"/>
        <v>0</v>
      </c>
      <c r="AA13" s="25">
        <f t="shared" si="15"/>
        <v>104</v>
      </c>
      <c r="AB13" s="24">
        <f t="shared" si="17"/>
        <v>352486.10478538414</v>
      </c>
      <c r="AC13" s="24">
        <f t="shared" si="14"/>
        <v>486317.22967669473</v>
      </c>
      <c r="AD13" s="24">
        <f t="shared" si="18"/>
        <v>133831.12489131058</v>
      </c>
      <c r="AE13" s="24">
        <f t="shared" si="19"/>
        <v>1514310.5172460596</v>
      </c>
      <c r="AF13" s="25">
        <f t="shared" si="16"/>
        <v>271602.79302310385</v>
      </c>
      <c r="AJ13" s="61"/>
      <c r="AK13" s="61"/>
    </row>
    <row r="14" spans="1:37" x14ac:dyDescent="0.2">
      <c r="A14" t="s">
        <v>57</v>
      </c>
      <c r="B14" s="40" t="s">
        <v>36</v>
      </c>
      <c r="C14" s="28">
        <v>0.5</v>
      </c>
      <c r="D14" s="2" t="s">
        <v>34</v>
      </c>
      <c r="E14" s="2"/>
      <c r="H14" s="40">
        <v>11</v>
      </c>
      <c r="I14" s="80">
        <v>184344.36363031552</v>
      </c>
      <c r="J14" s="80">
        <v>279018.22109414951</v>
      </c>
      <c r="K14" s="7">
        <f t="shared" si="0"/>
        <v>1772.5419579838031</v>
      </c>
      <c r="L14" s="7">
        <f t="shared" si="1"/>
        <v>2682.8675105206685</v>
      </c>
      <c r="M14" s="51">
        <v>11</v>
      </c>
      <c r="N14" s="34" t="s">
        <v>14</v>
      </c>
      <c r="O14" s="7">
        <f t="shared" si="2"/>
        <v>9</v>
      </c>
      <c r="P14" s="12">
        <f t="shared" si="3"/>
        <v>0.8</v>
      </c>
      <c r="Q14" s="13">
        <f t="shared" si="4"/>
        <v>31336.429096383508</v>
      </c>
      <c r="R14" s="14">
        <f t="shared" si="5"/>
        <v>35</v>
      </c>
      <c r="S14" s="12">
        <f t="shared" si="6"/>
        <v>0.8</v>
      </c>
      <c r="T14" s="14">
        <f t="shared" si="7"/>
        <v>121863.89093038031</v>
      </c>
      <c r="U14" s="7">
        <f t="shared" si="8"/>
        <v>60</v>
      </c>
      <c r="V14" s="12">
        <f t="shared" si="9"/>
        <v>0.8</v>
      </c>
      <c r="W14" s="13">
        <f t="shared" si="10"/>
        <v>208909.52730922337</v>
      </c>
      <c r="X14" s="14">
        <f t="shared" si="11"/>
        <v>0</v>
      </c>
      <c r="Y14" s="12">
        <f t="shared" si="12"/>
        <v>0.5</v>
      </c>
      <c r="Z14" s="14">
        <f t="shared" si="13"/>
        <v>0</v>
      </c>
      <c r="AA14" s="15">
        <f t="shared" si="15"/>
        <v>104</v>
      </c>
      <c r="AB14" s="14">
        <f t="shared" si="17"/>
        <v>362109.8473359872</v>
      </c>
      <c r="AC14" s="14">
        <f t="shared" si="14"/>
        <v>474871.0807116928</v>
      </c>
      <c r="AD14" s="14">
        <f t="shared" si="18"/>
        <v>112761.2333757056</v>
      </c>
      <c r="AE14" s="14">
        <f t="shared" si="19"/>
        <v>1627071.7506217652</v>
      </c>
      <c r="AF14" s="15">
        <f t="shared" si="16"/>
        <v>279018.22109414951</v>
      </c>
      <c r="AJ14" s="61"/>
      <c r="AK14" s="61"/>
    </row>
    <row r="15" spans="1:37" x14ac:dyDescent="0.2">
      <c r="A15" t="s">
        <v>55</v>
      </c>
      <c r="B15" s="40" t="s">
        <v>37</v>
      </c>
      <c r="C15" s="28">
        <v>0.8</v>
      </c>
      <c r="D15" s="2" t="s">
        <v>34</v>
      </c>
      <c r="E15" s="2"/>
      <c r="H15" s="40">
        <v>12</v>
      </c>
      <c r="I15" s="80">
        <v>198283.79014795073</v>
      </c>
      <c r="J15" s="80">
        <v>291883.56661513913</v>
      </c>
      <c r="K15" s="7">
        <f t="shared" si="0"/>
        <v>1906.574905268757</v>
      </c>
      <c r="L15" s="7">
        <f t="shared" si="1"/>
        <v>2806.5727559147995</v>
      </c>
      <c r="M15" s="51">
        <v>12</v>
      </c>
      <c r="N15" s="34" t="s">
        <v>14</v>
      </c>
      <c r="O15" s="7">
        <f t="shared" si="2"/>
        <v>9</v>
      </c>
      <c r="P15" s="12">
        <f t="shared" si="3"/>
        <v>0.8</v>
      </c>
      <c r="Q15" s="13">
        <f t="shared" si="4"/>
        <v>32781.331103636039</v>
      </c>
      <c r="R15" s="14">
        <f t="shared" si="5"/>
        <v>35</v>
      </c>
      <c r="S15" s="12">
        <f t="shared" si="6"/>
        <v>0.8</v>
      </c>
      <c r="T15" s="14">
        <f t="shared" si="7"/>
        <v>127482.95429191791</v>
      </c>
      <c r="U15" s="7">
        <f t="shared" si="8"/>
        <v>60</v>
      </c>
      <c r="V15" s="12">
        <f t="shared" si="9"/>
        <v>0.8</v>
      </c>
      <c r="W15" s="13">
        <f t="shared" si="10"/>
        <v>218542.20735757358</v>
      </c>
      <c r="X15" s="14">
        <f t="shared" si="11"/>
        <v>0</v>
      </c>
      <c r="Y15" s="12">
        <f t="shared" si="12"/>
        <v>0.5</v>
      </c>
      <c r="Z15" s="14">
        <f t="shared" si="13"/>
        <v>0</v>
      </c>
      <c r="AA15" s="15">
        <f t="shared" si="15"/>
        <v>104</v>
      </c>
      <c r="AB15" s="14">
        <f t="shared" si="17"/>
        <v>378806.49275312753</v>
      </c>
      <c r="AC15" s="14">
        <f t="shared" si="14"/>
        <v>510779.04342112108</v>
      </c>
      <c r="AD15" s="14">
        <f t="shared" si="18"/>
        <v>131972.55066799355</v>
      </c>
      <c r="AE15" s="14">
        <f t="shared" si="19"/>
        <v>1759044.3012897586</v>
      </c>
      <c r="AF15" s="15">
        <f t="shared" si="16"/>
        <v>291883.56661513913</v>
      </c>
      <c r="AJ15" s="61"/>
      <c r="AK15" s="61"/>
    </row>
    <row r="16" spans="1:37" x14ac:dyDescent="0.2">
      <c r="A16" t="s">
        <v>62</v>
      </c>
      <c r="B16" s="40" t="s">
        <v>42</v>
      </c>
      <c r="C16" s="30">
        <v>322357</v>
      </c>
      <c r="D16" s="2" t="s">
        <v>44</v>
      </c>
      <c r="E16" s="2"/>
      <c r="H16" s="40">
        <v>13</v>
      </c>
      <c r="I16" s="80">
        <v>228196.39606301207</v>
      </c>
      <c r="J16" s="80">
        <v>305847.1691121388</v>
      </c>
      <c r="K16" s="7">
        <f t="shared" si="0"/>
        <v>2194.1961159905009</v>
      </c>
      <c r="L16" s="7">
        <f t="shared" si="1"/>
        <v>2940.8381645397963</v>
      </c>
      <c r="M16" s="51">
        <v>13</v>
      </c>
      <c r="N16" s="34" t="s">
        <v>14</v>
      </c>
      <c r="O16" s="7">
        <f t="shared" si="2"/>
        <v>9</v>
      </c>
      <c r="P16" s="12">
        <f t="shared" si="3"/>
        <v>0.8</v>
      </c>
      <c r="Q16" s="13">
        <f t="shared" si="4"/>
        <v>34349.577929457722</v>
      </c>
      <c r="R16" s="14">
        <f t="shared" si="5"/>
        <v>35</v>
      </c>
      <c r="S16" s="12">
        <f t="shared" si="6"/>
        <v>0.8</v>
      </c>
      <c r="T16" s="14">
        <f t="shared" si="7"/>
        <v>133581.69194789114</v>
      </c>
      <c r="U16" s="7">
        <f t="shared" si="8"/>
        <v>60</v>
      </c>
      <c r="V16" s="12">
        <f t="shared" si="9"/>
        <v>0.8</v>
      </c>
      <c r="W16" s="13">
        <f t="shared" si="10"/>
        <v>228997.18619638484</v>
      </c>
      <c r="X16" s="14">
        <f t="shared" si="11"/>
        <v>0</v>
      </c>
      <c r="Y16" s="12">
        <f t="shared" si="12"/>
        <v>0.5</v>
      </c>
      <c r="Z16" s="14">
        <f t="shared" si="13"/>
        <v>0</v>
      </c>
      <c r="AA16" s="15">
        <f t="shared" si="15"/>
        <v>104</v>
      </c>
      <c r="AB16" s="14">
        <f t="shared" si="17"/>
        <v>396928.45607373369</v>
      </c>
      <c r="AC16" s="14">
        <f t="shared" si="14"/>
        <v>587833.91625831916</v>
      </c>
      <c r="AD16" s="14">
        <f t="shared" si="18"/>
        <v>190905.46018458548</v>
      </c>
      <c r="AE16" s="14">
        <f t="shared" si="19"/>
        <v>1949949.7614743442</v>
      </c>
      <c r="AF16" s="15">
        <f t="shared" si="16"/>
        <v>305847.1691121388</v>
      </c>
      <c r="AJ16" s="61"/>
      <c r="AK16" s="61"/>
    </row>
    <row r="17" spans="1:39" x14ac:dyDescent="0.2">
      <c r="A17" t="s">
        <v>63</v>
      </c>
      <c r="B17" s="40" t="s">
        <v>43</v>
      </c>
      <c r="C17" s="30">
        <v>104</v>
      </c>
      <c r="D17" s="2" t="s">
        <v>45</v>
      </c>
      <c r="E17" s="2"/>
      <c r="H17" s="40">
        <v>14</v>
      </c>
      <c r="I17" s="80">
        <v>261151.33036918263</v>
      </c>
      <c r="J17" s="80">
        <v>314825.7905260424</v>
      </c>
      <c r="K17" s="7">
        <f t="shared" si="0"/>
        <v>2511.0704843190638</v>
      </c>
      <c r="L17" s="7">
        <f t="shared" si="1"/>
        <v>3027.1710627504076</v>
      </c>
      <c r="M17" s="51">
        <v>14</v>
      </c>
      <c r="N17" s="34" t="s">
        <v>14</v>
      </c>
      <c r="O17" s="7">
        <f t="shared" si="2"/>
        <v>9</v>
      </c>
      <c r="P17" s="12">
        <f t="shared" si="3"/>
        <v>0.8</v>
      </c>
      <c r="Q17" s="13">
        <f t="shared" si="4"/>
        <v>35357.963447137307</v>
      </c>
      <c r="R17" s="14">
        <f t="shared" si="5"/>
        <v>35</v>
      </c>
      <c r="S17" s="12">
        <f t="shared" si="6"/>
        <v>0.8</v>
      </c>
      <c r="T17" s="14">
        <f t="shared" si="7"/>
        <v>137503.19118331175</v>
      </c>
      <c r="U17" s="7">
        <f t="shared" si="8"/>
        <v>60</v>
      </c>
      <c r="V17" s="12">
        <f t="shared" si="9"/>
        <v>0.8</v>
      </c>
      <c r="W17" s="13">
        <f t="shared" si="10"/>
        <v>235719.75631424872</v>
      </c>
      <c r="X17" s="14">
        <f t="shared" si="11"/>
        <v>0</v>
      </c>
      <c r="Y17" s="12">
        <f t="shared" si="12"/>
        <v>0.5</v>
      </c>
      <c r="Z17" s="14">
        <f t="shared" si="13"/>
        <v>0</v>
      </c>
      <c r="AA17" s="15">
        <f t="shared" si="15"/>
        <v>104</v>
      </c>
      <c r="AB17" s="14">
        <f t="shared" si="17"/>
        <v>408580.9109446978</v>
      </c>
      <c r="AC17" s="14">
        <f t="shared" si="14"/>
        <v>672725.82703101449</v>
      </c>
      <c r="AD17" s="14">
        <f t="shared" si="18"/>
        <v>264144.91608631669</v>
      </c>
      <c r="AE17" s="14">
        <f t="shared" si="19"/>
        <v>2214094.677560661</v>
      </c>
      <c r="AF17" s="15">
        <f t="shared" si="16"/>
        <v>314825.7905260424</v>
      </c>
      <c r="AJ17" s="61"/>
      <c r="AK17" s="61"/>
    </row>
    <row r="18" spans="1:39" x14ac:dyDescent="0.2">
      <c r="A18" t="s">
        <v>64</v>
      </c>
      <c r="B18" s="40" t="s">
        <v>25</v>
      </c>
      <c r="C18" s="28">
        <v>0.5</v>
      </c>
      <c r="D18" s="2" t="s">
        <v>34</v>
      </c>
      <c r="E18" s="2"/>
      <c r="H18" s="40">
        <v>15</v>
      </c>
      <c r="I18" s="80">
        <v>278742.32132881437</v>
      </c>
      <c r="J18" s="80">
        <v>323376.13326619234</v>
      </c>
      <c r="K18" s="7">
        <f t="shared" si="0"/>
        <v>2680.2146281616765</v>
      </c>
      <c r="L18" s="7">
        <f t="shared" si="1"/>
        <v>3109.3858967903111</v>
      </c>
      <c r="M18" s="51">
        <v>15</v>
      </c>
      <c r="N18" s="34" t="s">
        <v>14</v>
      </c>
      <c r="O18" s="7">
        <f t="shared" si="2"/>
        <v>9</v>
      </c>
      <c r="P18" s="12">
        <f t="shared" si="3"/>
        <v>0.8</v>
      </c>
      <c r="Q18" s="13">
        <f t="shared" si="4"/>
        <v>36318.249151690186</v>
      </c>
      <c r="R18" s="14">
        <f t="shared" si="5"/>
        <v>35</v>
      </c>
      <c r="S18" s="12">
        <f t="shared" si="6"/>
        <v>0.8</v>
      </c>
      <c r="T18" s="14">
        <f t="shared" si="7"/>
        <v>141237.63558990628</v>
      </c>
      <c r="U18" s="7">
        <f t="shared" si="8"/>
        <v>60</v>
      </c>
      <c r="V18" s="12">
        <f t="shared" si="9"/>
        <v>0.8</v>
      </c>
      <c r="W18" s="13">
        <f t="shared" si="10"/>
        <v>242121.66101126789</v>
      </c>
      <c r="X18" s="14">
        <f t="shared" si="11"/>
        <v>0</v>
      </c>
      <c r="Y18" s="12">
        <f t="shared" si="12"/>
        <v>0.5</v>
      </c>
      <c r="Z18" s="14">
        <f t="shared" si="13"/>
        <v>0</v>
      </c>
      <c r="AA18" s="15">
        <f t="shared" si="15"/>
        <v>104</v>
      </c>
      <c r="AB18" s="14">
        <f t="shared" si="17"/>
        <v>419677.54575286433</v>
      </c>
      <c r="AC18" s="14">
        <f t="shared" si="14"/>
        <v>718040.21974302584</v>
      </c>
      <c r="AD18" s="14">
        <f t="shared" si="18"/>
        <v>298362.67399016151</v>
      </c>
      <c r="AE18" s="14">
        <f t="shared" si="19"/>
        <v>2512457.3515508226</v>
      </c>
      <c r="AF18" s="15">
        <f t="shared" si="16"/>
        <v>323376.13326619234</v>
      </c>
      <c r="AJ18" s="61"/>
      <c r="AK18" s="61"/>
    </row>
    <row r="19" spans="1:39" x14ac:dyDescent="0.2">
      <c r="A19" t="s">
        <v>65</v>
      </c>
      <c r="B19" s="40" t="s">
        <v>41</v>
      </c>
      <c r="C19" s="30">
        <f>C16/C17</f>
        <v>3099.5865384615386</v>
      </c>
      <c r="D19" s="2" t="s">
        <v>68</v>
      </c>
      <c r="E19" s="4"/>
      <c r="H19" s="40">
        <v>16</v>
      </c>
      <c r="I19" s="80">
        <v>286253.78010301548</v>
      </c>
      <c r="J19" s="80">
        <v>326898.40902553528</v>
      </c>
      <c r="K19" s="7">
        <f t="shared" si="0"/>
        <v>2752.4401932982259</v>
      </c>
      <c r="L19" s="7">
        <f t="shared" si="1"/>
        <v>3143.2539329378392</v>
      </c>
      <c r="M19" s="51">
        <v>16</v>
      </c>
      <c r="N19" s="34" t="s">
        <v>14</v>
      </c>
      <c r="O19" s="7">
        <f t="shared" si="2"/>
        <v>9</v>
      </c>
      <c r="P19" s="12">
        <f t="shared" si="3"/>
        <v>0.8</v>
      </c>
      <c r="Q19" s="13">
        <f t="shared" si="4"/>
        <v>36713.83458750054</v>
      </c>
      <c r="R19" s="14">
        <f t="shared" si="5"/>
        <v>35</v>
      </c>
      <c r="S19" s="12">
        <f t="shared" si="6"/>
        <v>0.8</v>
      </c>
      <c r="T19" s="14">
        <f t="shared" si="7"/>
        <v>142776.02339583545</v>
      </c>
      <c r="U19" s="7">
        <f t="shared" si="8"/>
        <v>60</v>
      </c>
      <c r="V19" s="12">
        <f t="shared" si="9"/>
        <v>0.8</v>
      </c>
      <c r="W19" s="13">
        <f t="shared" si="10"/>
        <v>244758.89725000362</v>
      </c>
      <c r="X19" s="14">
        <f t="shared" si="11"/>
        <v>0</v>
      </c>
      <c r="Y19" s="12">
        <f t="shared" si="12"/>
        <v>0.5</v>
      </c>
      <c r="Z19" s="14">
        <f t="shared" si="13"/>
        <v>0</v>
      </c>
      <c r="AA19" s="15">
        <f t="shared" si="15"/>
        <v>104</v>
      </c>
      <c r="AB19" s="14">
        <f t="shared" si="17"/>
        <v>424248.75523333962</v>
      </c>
      <c r="AC19" s="14">
        <f t="shared" si="14"/>
        <v>737389.73754536791</v>
      </c>
      <c r="AD19" s="14">
        <f t="shared" si="18"/>
        <v>313140.9823120283</v>
      </c>
      <c r="AE19" s="14">
        <f t="shared" si="19"/>
        <v>2825598.3338628509</v>
      </c>
      <c r="AF19" s="15">
        <f t="shared" si="16"/>
        <v>326898.40902553528</v>
      </c>
      <c r="AJ19" s="61"/>
      <c r="AK19" s="61"/>
    </row>
    <row r="20" spans="1:39" x14ac:dyDescent="0.2">
      <c r="A20" t="s">
        <v>66</v>
      </c>
      <c r="B20" s="40" t="s">
        <v>46</v>
      </c>
      <c r="C20" s="29">
        <v>2.0449999999999999</v>
      </c>
      <c r="D20" s="60" t="s">
        <v>35</v>
      </c>
      <c r="E20" s="3"/>
      <c r="H20" s="40">
        <v>17</v>
      </c>
      <c r="I20" s="80">
        <v>286253.78010301548</v>
      </c>
      <c r="J20" s="80">
        <v>327540.93378990749</v>
      </c>
      <c r="K20" s="7">
        <f t="shared" si="0"/>
        <v>2752.4401932982259</v>
      </c>
      <c r="L20" s="7">
        <f t="shared" si="1"/>
        <v>3149.4320556721873</v>
      </c>
      <c r="M20" s="51">
        <v>17</v>
      </c>
      <c r="N20" s="34" t="s">
        <v>14</v>
      </c>
      <c r="O20" s="7">
        <f t="shared" si="2"/>
        <v>9</v>
      </c>
      <c r="P20" s="12">
        <f t="shared" si="3"/>
        <v>0.8</v>
      </c>
      <c r="Q20" s="13">
        <f t="shared" si="4"/>
        <v>36785.996296662277</v>
      </c>
      <c r="R20" s="14">
        <f t="shared" si="5"/>
        <v>35</v>
      </c>
      <c r="S20" s="12">
        <f t="shared" si="6"/>
        <v>0.8</v>
      </c>
      <c r="T20" s="14">
        <f t="shared" si="7"/>
        <v>143056.65226479774</v>
      </c>
      <c r="U20" s="7">
        <f t="shared" si="8"/>
        <v>60</v>
      </c>
      <c r="V20" s="12">
        <f t="shared" si="9"/>
        <v>0.8</v>
      </c>
      <c r="W20" s="13">
        <f t="shared" si="10"/>
        <v>245239.97531108186</v>
      </c>
      <c r="X20" s="14">
        <f t="shared" si="11"/>
        <v>0</v>
      </c>
      <c r="Y20" s="12">
        <f t="shared" si="12"/>
        <v>0.5</v>
      </c>
      <c r="Z20" s="14">
        <f t="shared" si="13"/>
        <v>0</v>
      </c>
      <c r="AA20" s="15">
        <f t="shared" si="15"/>
        <v>104</v>
      </c>
      <c r="AB20" s="14">
        <f t="shared" si="17"/>
        <v>425082.62387254188</v>
      </c>
      <c r="AC20" s="14">
        <f t="shared" si="14"/>
        <v>737389.73754536791</v>
      </c>
      <c r="AD20" s="14">
        <f t="shared" si="18"/>
        <v>312307.11367282603</v>
      </c>
      <c r="AE20" s="14">
        <f t="shared" si="19"/>
        <v>3137905.4475356769</v>
      </c>
      <c r="AF20" s="15">
        <f t="shared" si="16"/>
        <v>327540.93378990749</v>
      </c>
      <c r="AJ20" s="61"/>
      <c r="AK20" s="61"/>
    </row>
    <row r="21" spans="1:39" x14ac:dyDescent="0.2">
      <c r="A21" t="s">
        <v>60</v>
      </c>
      <c r="B21" s="40" t="s">
        <v>51</v>
      </c>
      <c r="C21" s="82">
        <f>C20+(ER_Maximum!C21-C20)/2</f>
        <v>2.5760000000000001</v>
      </c>
      <c r="D21" s="60" t="s">
        <v>71</v>
      </c>
      <c r="E21" s="3"/>
      <c r="H21" s="40">
        <v>18</v>
      </c>
      <c r="I21" s="80">
        <v>286253.78010301548</v>
      </c>
      <c r="J21" s="80">
        <v>328193.04703160538</v>
      </c>
      <c r="K21" s="7">
        <f t="shared" si="0"/>
        <v>2752.4401932982259</v>
      </c>
      <c r="L21" s="7">
        <f t="shared" si="1"/>
        <v>3155.702375303898</v>
      </c>
      <c r="M21" s="51">
        <v>18</v>
      </c>
      <c r="N21" s="34" t="s">
        <v>14</v>
      </c>
      <c r="O21" s="7">
        <f t="shared" si="2"/>
        <v>9</v>
      </c>
      <c r="P21" s="12">
        <f t="shared" si="3"/>
        <v>0.8</v>
      </c>
      <c r="Q21" s="13">
        <f t="shared" si="4"/>
        <v>36859.234884024583</v>
      </c>
      <c r="R21" s="14">
        <f t="shared" si="5"/>
        <v>35</v>
      </c>
      <c r="S21" s="12">
        <f t="shared" si="6"/>
        <v>0.8</v>
      </c>
      <c r="T21" s="14">
        <f t="shared" si="7"/>
        <v>143341.46899342892</v>
      </c>
      <c r="U21" s="7">
        <f t="shared" si="8"/>
        <v>60</v>
      </c>
      <c r="V21" s="12">
        <f t="shared" si="9"/>
        <v>0.8</v>
      </c>
      <c r="W21" s="13">
        <f t="shared" si="10"/>
        <v>245728.23256016392</v>
      </c>
      <c r="X21" s="14">
        <f t="shared" si="11"/>
        <v>0</v>
      </c>
      <c r="Y21" s="12">
        <f t="shared" si="12"/>
        <v>0.5</v>
      </c>
      <c r="Z21" s="14">
        <f t="shared" si="13"/>
        <v>0</v>
      </c>
      <c r="AA21" s="15">
        <f t="shared" si="15"/>
        <v>104</v>
      </c>
      <c r="AB21" s="14">
        <f t="shared" si="17"/>
        <v>425928.93643761741</v>
      </c>
      <c r="AC21" s="14">
        <f t="shared" si="14"/>
        <v>737389.73754536791</v>
      </c>
      <c r="AD21" s="14">
        <f t="shared" si="18"/>
        <v>311460.80110775051</v>
      </c>
      <c r="AE21" s="14">
        <f t="shared" si="19"/>
        <v>3449366.2486434272</v>
      </c>
      <c r="AF21" s="15">
        <f t="shared" si="16"/>
        <v>328193.04703160538</v>
      </c>
      <c r="AJ21" s="61"/>
      <c r="AK21" s="61"/>
    </row>
    <row r="22" spans="1:39" x14ac:dyDescent="0.2">
      <c r="A22" t="s">
        <v>56</v>
      </c>
      <c r="B22" s="40" t="s">
        <v>47</v>
      </c>
      <c r="C22" s="29">
        <v>1.111</v>
      </c>
      <c r="D22" s="60" t="s">
        <v>35</v>
      </c>
      <c r="E22" s="3"/>
      <c r="H22" s="40">
        <v>19</v>
      </c>
      <c r="I22" s="80">
        <v>286253.78010301548</v>
      </c>
      <c r="J22" s="80">
        <v>328854.76940966077</v>
      </c>
      <c r="K22" s="7">
        <f t="shared" si="0"/>
        <v>2752.4401932982259</v>
      </c>
      <c r="L22" s="7">
        <f t="shared" si="1"/>
        <v>3162.0650904775075</v>
      </c>
      <c r="M22" s="51">
        <v>19</v>
      </c>
      <c r="N22" s="34" t="s">
        <v>14</v>
      </c>
      <c r="O22" s="7">
        <f t="shared" si="2"/>
        <v>9</v>
      </c>
      <c r="P22" s="12">
        <f t="shared" si="3"/>
        <v>0.8</v>
      </c>
      <c r="Q22" s="13">
        <f t="shared" si="4"/>
        <v>36933.552669795376</v>
      </c>
      <c r="R22" s="14">
        <f t="shared" si="5"/>
        <v>35</v>
      </c>
      <c r="S22" s="12">
        <f t="shared" si="6"/>
        <v>0.8</v>
      </c>
      <c r="T22" s="14">
        <f t="shared" si="7"/>
        <v>143630.4826047598</v>
      </c>
      <c r="U22" s="7">
        <f t="shared" si="8"/>
        <v>60</v>
      </c>
      <c r="V22" s="12">
        <f t="shared" si="9"/>
        <v>0.8</v>
      </c>
      <c r="W22" s="13">
        <f t="shared" si="10"/>
        <v>246223.6844653025</v>
      </c>
      <c r="X22" s="14">
        <f t="shared" si="11"/>
        <v>0</v>
      </c>
      <c r="Y22" s="12">
        <f t="shared" si="12"/>
        <v>0.5</v>
      </c>
      <c r="Z22" s="14">
        <f t="shared" si="13"/>
        <v>0</v>
      </c>
      <c r="AA22" s="15">
        <f t="shared" si="15"/>
        <v>104</v>
      </c>
      <c r="AB22" s="14">
        <f t="shared" si="17"/>
        <v>426787.71973985771</v>
      </c>
      <c r="AC22" s="14">
        <f t="shared" si="14"/>
        <v>737389.73754536791</v>
      </c>
      <c r="AD22" s="14">
        <f t="shared" si="18"/>
        <v>310602.0178055102</v>
      </c>
      <c r="AE22" s="14">
        <f t="shared" si="19"/>
        <v>3759968.2664489374</v>
      </c>
      <c r="AF22" s="15">
        <f t="shared" si="16"/>
        <v>328854.76940966077</v>
      </c>
      <c r="AJ22" s="61"/>
      <c r="AK22" s="61"/>
    </row>
    <row r="23" spans="1:39" x14ac:dyDescent="0.2">
      <c r="A23" t="s">
        <v>67</v>
      </c>
      <c r="B23" s="41" t="s">
        <v>29</v>
      </c>
      <c r="C23" s="31"/>
      <c r="D23" s="60" t="s">
        <v>48</v>
      </c>
      <c r="E23" s="3"/>
      <c r="H23" s="41">
        <v>20</v>
      </c>
      <c r="I23" s="70">
        <v>286253.78010301548</v>
      </c>
      <c r="J23" s="70">
        <v>329526.12193571805</v>
      </c>
      <c r="K23" s="16">
        <f t="shared" si="0"/>
        <v>2752.4401932982259</v>
      </c>
      <c r="L23" s="16">
        <f t="shared" si="1"/>
        <v>3168.5204032280581</v>
      </c>
      <c r="M23" s="52">
        <v>20</v>
      </c>
      <c r="N23" s="36" t="s">
        <v>14</v>
      </c>
      <c r="O23" s="16">
        <f t="shared" si="2"/>
        <v>9</v>
      </c>
      <c r="P23" s="17">
        <f t="shared" si="3"/>
        <v>0.8</v>
      </c>
      <c r="Q23" s="18">
        <f t="shared" si="4"/>
        <v>37008.952013784365</v>
      </c>
      <c r="R23" s="19">
        <f t="shared" si="5"/>
        <v>35</v>
      </c>
      <c r="S23" s="17">
        <f t="shared" si="6"/>
        <v>0.8</v>
      </c>
      <c r="T23" s="19">
        <f t="shared" si="7"/>
        <v>143923.70227582808</v>
      </c>
      <c r="U23" s="16">
        <f t="shared" si="8"/>
        <v>60</v>
      </c>
      <c r="V23" s="17">
        <f t="shared" si="9"/>
        <v>0.8</v>
      </c>
      <c r="W23" s="18">
        <f t="shared" si="10"/>
        <v>246726.34675856237</v>
      </c>
      <c r="X23" s="16">
        <f t="shared" si="11"/>
        <v>0</v>
      </c>
      <c r="Y23" s="17">
        <f t="shared" si="12"/>
        <v>0.5</v>
      </c>
      <c r="Z23" s="19">
        <f t="shared" si="13"/>
        <v>0</v>
      </c>
      <c r="AA23" s="20">
        <f t="shared" si="15"/>
        <v>104</v>
      </c>
      <c r="AB23" s="19">
        <f t="shared" si="17"/>
        <v>427659.0010481748</v>
      </c>
      <c r="AC23" s="19">
        <f t="shared" si="14"/>
        <v>737389.73754536791</v>
      </c>
      <c r="AD23" s="19">
        <f>AC23-AB23</f>
        <v>309730.73649719311</v>
      </c>
      <c r="AE23" s="19">
        <f t="shared" si="19"/>
        <v>4069699.0029461305</v>
      </c>
      <c r="AF23" s="20">
        <f t="shared" si="16"/>
        <v>329526.12193571805</v>
      </c>
      <c r="AJ23" s="61"/>
      <c r="AK23" s="61"/>
    </row>
    <row r="24" spans="1:39" x14ac:dyDescent="0.2">
      <c r="AB24" s="106" t="s">
        <v>87</v>
      </c>
      <c r="AC24" s="106"/>
      <c r="AD24" s="106"/>
      <c r="AE24" s="106"/>
      <c r="AF24" s="106"/>
      <c r="AL24" s="61"/>
      <c r="AM24" s="61"/>
    </row>
    <row r="25" spans="1:39" x14ac:dyDescent="0.2">
      <c r="AB25" s="107"/>
      <c r="AC25" s="107"/>
      <c r="AD25" s="107"/>
      <c r="AE25" s="107"/>
      <c r="AF25" s="107"/>
      <c r="AL25" s="61"/>
      <c r="AM25" s="61"/>
    </row>
    <row r="26" spans="1:39" x14ac:dyDescent="0.2">
      <c r="B26" s="43" t="s">
        <v>69</v>
      </c>
      <c r="C26" s="46" t="s">
        <v>7</v>
      </c>
      <c r="D26" s="46" t="s">
        <v>8</v>
      </c>
      <c r="E26" s="46" t="s">
        <v>9</v>
      </c>
      <c r="F26" s="46" t="s">
        <v>12</v>
      </c>
      <c r="G26" s="47" t="s">
        <v>19</v>
      </c>
      <c r="AB26" s="107"/>
      <c r="AC26" s="107"/>
      <c r="AD26" s="107"/>
      <c r="AE26" s="107"/>
      <c r="AF26" s="107"/>
      <c r="AK26" s="61"/>
      <c r="AL26" s="61"/>
    </row>
    <row r="27" spans="1:39" x14ac:dyDescent="0.2">
      <c r="B27" s="40" t="s">
        <v>6</v>
      </c>
      <c r="C27" s="32">
        <v>0</v>
      </c>
      <c r="D27" s="32">
        <v>0</v>
      </c>
      <c r="E27" s="32">
        <v>0</v>
      </c>
      <c r="F27" s="14">
        <f>SUM(C27:E27)</f>
        <v>0</v>
      </c>
      <c r="G27" s="13">
        <f>F27</f>
        <v>0</v>
      </c>
      <c r="W27" s="61"/>
      <c r="X27" s="61"/>
      <c r="Y27" s="61"/>
      <c r="Z27" s="61"/>
      <c r="AA27" s="1"/>
      <c r="AB27" s="107"/>
      <c r="AC27" s="107"/>
      <c r="AD27" s="107"/>
      <c r="AE27" s="107"/>
      <c r="AF27" s="107"/>
      <c r="AK27" s="61"/>
      <c r="AL27" s="61"/>
    </row>
    <row r="28" spans="1:39" x14ac:dyDescent="0.2">
      <c r="B28" s="40" t="s">
        <v>5</v>
      </c>
      <c r="C28" s="68">
        <v>4</v>
      </c>
      <c r="D28" s="68">
        <v>3</v>
      </c>
      <c r="E28" s="68">
        <v>2</v>
      </c>
      <c r="F28" s="14">
        <f t="shared" ref="F28:F33" si="20">SUM(C28:E28)</f>
        <v>9</v>
      </c>
      <c r="G28" s="13">
        <f>F28+G27</f>
        <v>9</v>
      </c>
      <c r="H28" s="5"/>
      <c r="N28" s="1"/>
      <c r="W28" s="61"/>
      <c r="X28" s="61"/>
      <c r="Y28" s="61"/>
      <c r="Z28" s="61"/>
      <c r="AA28" s="1"/>
      <c r="AB28" s="107"/>
      <c r="AC28" s="107"/>
      <c r="AD28" s="107"/>
      <c r="AE28" s="107"/>
      <c r="AF28" s="107"/>
      <c r="AK28" s="61"/>
      <c r="AL28" s="61"/>
    </row>
    <row r="29" spans="1:39" x14ac:dyDescent="0.2">
      <c r="B29" s="40" t="s">
        <v>10</v>
      </c>
      <c r="C29" s="32">
        <v>15</v>
      </c>
      <c r="D29" s="32">
        <v>12</v>
      </c>
      <c r="E29" s="32">
        <v>8</v>
      </c>
      <c r="F29" s="14">
        <f t="shared" si="20"/>
        <v>35</v>
      </c>
      <c r="G29" s="13">
        <f>F29+G28</f>
        <v>44</v>
      </c>
      <c r="H29" s="4"/>
      <c r="W29" s="61"/>
      <c r="X29" s="61"/>
      <c r="Y29" s="61"/>
      <c r="Z29" s="61"/>
      <c r="AA29" s="1"/>
      <c r="AB29" s="1"/>
      <c r="AC29" s="1"/>
      <c r="AD29" s="1"/>
      <c r="AE29" s="1"/>
      <c r="AF29" s="1"/>
      <c r="AK29" s="61"/>
      <c r="AL29" s="61"/>
    </row>
    <row r="30" spans="1:39" x14ac:dyDescent="0.2">
      <c r="A30" s="3"/>
      <c r="B30" s="40" t="s">
        <v>13</v>
      </c>
      <c r="C30" s="32">
        <f>IF($C$10*SUM(C$27:C$29)&gt;C32-C29-C28-C27,C32-C29-C28-C27, $C$10*SUM(C$27:C$29))</f>
        <v>36</v>
      </c>
      <c r="D30" s="32">
        <f>IF($C$10*SUM(D$27:D$29)&gt;D32-D29-D28-D27,D32-D29-D28-D27, $C$10*SUM(D$27:D$29))</f>
        <v>19</v>
      </c>
      <c r="E30" s="32">
        <f>IF($C$10*SUM(E$27:E$29)&gt;E32-E29-E28-E27,E32-E29-E28-E27, $C$10*SUM(E$27:E$29))</f>
        <v>5</v>
      </c>
      <c r="F30" s="14">
        <f t="shared" si="20"/>
        <v>60</v>
      </c>
      <c r="G30" s="13">
        <f>F30+G29</f>
        <v>104</v>
      </c>
      <c r="H30" s="4"/>
      <c r="W30" s="61"/>
      <c r="X30" s="61"/>
      <c r="Y30" s="61"/>
      <c r="Z30" s="61"/>
      <c r="AA30" s="1"/>
      <c r="AB30" s="1"/>
      <c r="AC30" s="1"/>
      <c r="AD30" s="1"/>
      <c r="AE30" s="1"/>
      <c r="AF30" s="1"/>
      <c r="AK30" s="61"/>
      <c r="AL30" s="61"/>
    </row>
    <row r="31" spans="1:39" s="67" customFormat="1" x14ac:dyDescent="0.2">
      <c r="A31" s="69"/>
      <c r="B31" s="40" t="s">
        <v>11</v>
      </c>
      <c r="C31" s="14">
        <f>C32-SUM(C27:C30)</f>
        <v>0</v>
      </c>
      <c r="D31" s="14">
        <f>D32-SUM(D27:D30)</f>
        <v>0</v>
      </c>
      <c r="E31" s="14">
        <f>E32-SUM(E27:E30)</f>
        <v>0</v>
      </c>
      <c r="F31" s="14">
        <f t="shared" si="20"/>
        <v>0</v>
      </c>
      <c r="G31" s="13">
        <f>F31+G30</f>
        <v>104</v>
      </c>
      <c r="H31" s="4"/>
      <c r="I31" s="78"/>
      <c r="K31" s="78"/>
      <c r="V31"/>
      <c r="W31" s="61"/>
      <c r="X31" s="61"/>
      <c r="Y31" s="61"/>
      <c r="Z31" s="61"/>
      <c r="AA31" s="1"/>
      <c r="AB31" s="1"/>
      <c r="AC31" s="1"/>
      <c r="AD31" s="1"/>
      <c r="AE31" s="1"/>
      <c r="AF31" s="1"/>
      <c r="AJ31"/>
      <c r="AK31" s="61"/>
      <c r="AL31" s="61"/>
    </row>
    <row r="32" spans="1:39" x14ac:dyDescent="0.2">
      <c r="B32" s="42" t="s">
        <v>12</v>
      </c>
      <c r="C32" s="56">
        <v>55</v>
      </c>
      <c r="D32" s="56">
        <v>34</v>
      </c>
      <c r="E32" s="56">
        <v>15</v>
      </c>
      <c r="F32" s="33">
        <f t="shared" si="20"/>
        <v>104</v>
      </c>
      <c r="G32" s="6"/>
      <c r="H32" s="4"/>
      <c r="I32" s="78"/>
      <c r="K32" s="78"/>
      <c r="N32" s="1"/>
      <c r="O32" s="1"/>
      <c r="P32" s="1"/>
      <c r="Q32" s="1"/>
      <c r="W32" s="61"/>
      <c r="X32" s="61"/>
      <c r="Y32" s="61"/>
      <c r="Z32" s="61"/>
      <c r="AA32" s="1"/>
      <c r="AB32" s="1"/>
      <c r="AC32" s="1"/>
      <c r="AD32" s="1"/>
      <c r="AE32" s="1"/>
      <c r="AF32" s="1"/>
      <c r="AK32" s="61"/>
      <c r="AL32" s="61"/>
    </row>
    <row r="33" spans="2:38" x14ac:dyDescent="0.2">
      <c r="B33" s="69"/>
      <c r="C33" s="66"/>
      <c r="D33" s="67"/>
      <c r="E33" s="66"/>
      <c r="F33" s="14">
        <f t="shared" si="20"/>
        <v>0</v>
      </c>
      <c r="H33" s="66"/>
      <c r="I33" s="78"/>
      <c r="K33" s="78"/>
      <c r="N33" s="61"/>
      <c r="O33" s="61"/>
      <c r="P33" s="61"/>
      <c r="Q33" s="61"/>
      <c r="W33" s="61"/>
      <c r="X33" s="61"/>
      <c r="Y33" s="61"/>
      <c r="Z33" s="61"/>
      <c r="AA33" s="1"/>
      <c r="AB33" s="1"/>
      <c r="AC33" s="1"/>
      <c r="AD33" s="1"/>
      <c r="AE33" s="1"/>
      <c r="AF33" s="1"/>
      <c r="AK33" s="61"/>
      <c r="AL33" s="61"/>
    </row>
    <row r="34" spans="2:38" x14ac:dyDescent="0.2">
      <c r="B34" s="69"/>
      <c r="C34" s="66"/>
      <c r="D34" s="67"/>
      <c r="E34" s="66"/>
      <c r="F34" s="66"/>
      <c r="G34" s="67"/>
      <c r="H34" s="4"/>
      <c r="I34" s="78"/>
      <c r="K34" s="78"/>
      <c r="N34" s="61"/>
      <c r="O34" s="61"/>
      <c r="P34" s="61"/>
      <c r="Q34" s="61"/>
      <c r="W34" s="61"/>
      <c r="X34" s="61"/>
      <c r="Y34" s="61"/>
      <c r="Z34" s="61"/>
      <c r="AA34" s="1"/>
      <c r="AB34" s="1"/>
      <c r="AC34" s="1"/>
      <c r="AD34" s="1"/>
      <c r="AE34" s="1"/>
      <c r="AF34" s="1"/>
    </row>
    <row r="35" spans="2:38" x14ac:dyDescent="0.2">
      <c r="B35" s="43" t="s">
        <v>4</v>
      </c>
      <c r="C35" s="46" t="s">
        <v>5</v>
      </c>
      <c r="D35" s="46" t="s">
        <v>10</v>
      </c>
      <c r="E35" s="47" t="s">
        <v>13</v>
      </c>
      <c r="H35" s="4"/>
      <c r="I35" s="78"/>
      <c r="K35" s="78"/>
      <c r="N35" s="62"/>
      <c r="O35" s="62"/>
      <c r="P35" s="62"/>
      <c r="Q35" s="62"/>
      <c r="W35" s="61"/>
      <c r="X35" s="61"/>
      <c r="Y35" s="61"/>
      <c r="Z35" s="61"/>
      <c r="AA35" s="1"/>
      <c r="AB35" s="1"/>
      <c r="AC35" s="1"/>
      <c r="AD35" s="1"/>
      <c r="AE35" s="1"/>
      <c r="AF35" s="1"/>
    </row>
    <row r="36" spans="2:38" x14ac:dyDescent="0.2">
      <c r="B36" s="44">
        <v>1</v>
      </c>
      <c r="C36" s="14">
        <v>0</v>
      </c>
      <c r="D36" s="14">
        <v>0</v>
      </c>
      <c r="E36" s="13">
        <v>0</v>
      </c>
      <c r="F36" s="61">
        <f>SUM(C36:E36)</f>
        <v>0</v>
      </c>
      <c r="I36" s="78"/>
      <c r="K36" s="78"/>
      <c r="W36" s="61"/>
      <c r="X36" s="61"/>
      <c r="Y36" s="61"/>
      <c r="Z36" s="61"/>
      <c r="AA36" s="1"/>
      <c r="AB36" s="1"/>
      <c r="AC36" s="1"/>
      <c r="AD36" s="1"/>
      <c r="AE36" s="1"/>
      <c r="AF36" s="1"/>
    </row>
    <row r="37" spans="2:38" x14ac:dyDescent="0.2">
      <c r="B37" s="44">
        <v>2</v>
      </c>
      <c r="C37" s="14">
        <f>G$28</f>
        <v>9</v>
      </c>
      <c r="D37" s="14">
        <v>0</v>
      </c>
      <c r="E37" s="13">
        <v>0</v>
      </c>
      <c r="F37" s="61">
        <f t="shared" ref="F37:F39" si="21">SUM(C37:E37)</f>
        <v>9</v>
      </c>
      <c r="I37" s="78"/>
      <c r="K37" s="78"/>
      <c r="W37" s="61"/>
      <c r="X37" s="61"/>
      <c r="Y37" s="61"/>
      <c r="Z37" s="61"/>
      <c r="AA37" s="1"/>
      <c r="AB37" s="1"/>
      <c r="AC37" s="1"/>
      <c r="AD37" s="1"/>
      <c r="AE37" s="1"/>
      <c r="AF37" s="1"/>
    </row>
    <row r="38" spans="2:38" x14ac:dyDescent="0.2">
      <c r="B38" s="44">
        <v>3</v>
      </c>
      <c r="C38" s="14">
        <f>G$28</f>
        <v>9</v>
      </c>
      <c r="D38" s="14">
        <f>F$29</f>
        <v>35</v>
      </c>
      <c r="E38" s="13">
        <v>0</v>
      </c>
      <c r="F38" s="61">
        <f t="shared" si="21"/>
        <v>44</v>
      </c>
      <c r="G38" s="1"/>
      <c r="I38" s="78"/>
      <c r="K38" s="78"/>
      <c r="W38" s="61"/>
      <c r="X38" s="61"/>
      <c r="Y38" s="61"/>
      <c r="Z38" s="61"/>
      <c r="AA38" s="1"/>
      <c r="AB38" s="1"/>
      <c r="AC38" s="1"/>
      <c r="AD38" s="1"/>
      <c r="AE38" s="1"/>
      <c r="AF38" s="1"/>
    </row>
    <row r="39" spans="2:38" x14ac:dyDescent="0.2">
      <c r="B39" s="45">
        <v>4</v>
      </c>
      <c r="C39" s="19">
        <f>G$28</f>
        <v>9</v>
      </c>
      <c r="D39" s="19">
        <f>F$29</f>
        <v>35</v>
      </c>
      <c r="E39" s="18">
        <f>F30</f>
        <v>60</v>
      </c>
      <c r="F39" s="61">
        <f t="shared" si="21"/>
        <v>104</v>
      </c>
      <c r="G39" s="1"/>
      <c r="H39" s="61"/>
      <c r="I39" s="78"/>
      <c r="K39" s="78"/>
      <c r="W39" s="61"/>
      <c r="X39" s="61"/>
      <c r="Y39" s="61"/>
      <c r="Z39" s="61"/>
      <c r="AA39" s="1"/>
      <c r="AB39" s="1"/>
      <c r="AC39" s="1"/>
      <c r="AD39" s="1"/>
      <c r="AE39" s="1"/>
      <c r="AF39" s="1"/>
    </row>
    <row r="40" spans="2:38" x14ac:dyDescent="0.2">
      <c r="H40" s="61"/>
      <c r="I40" s="78"/>
      <c r="K40" s="78"/>
      <c r="W40" s="61"/>
      <c r="X40" s="61"/>
      <c r="Y40" s="61"/>
      <c r="Z40" s="61"/>
      <c r="AA40" s="1"/>
      <c r="AB40" s="1"/>
      <c r="AC40" s="1"/>
      <c r="AD40" s="1"/>
      <c r="AE40" s="1"/>
      <c r="AF40" s="1"/>
    </row>
    <row r="41" spans="2:38" x14ac:dyDescent="0.2">
      <c r="I41" s="78"/>
      <c r="K41" s="78"/>
      <c r="W41" s="61"/>
      <c r="X41" s="61"/>
      <c r="Y41" s="61"/>
      <c r="Z41" s="61"/>
      <c r="AA41" s="1"/>
      <c r="AB41" s="1"/>
      <c r="AC41" s="1"/>
      <c r="AD41" s="1"/>
      <c r="AE41" s="1"/>
      <c r="AF41" s="1"/>
    </row>
    <row r="42" spans="2:38" x14ac:dyDescent="0.2">
      <c r="I42" s="78"/>
      <c r="K42" s="78"/>
      <c r="W42" s="61"/>
      <c r="X42" s="61"/>
      <c r="Y42" s="61"/>
      <c r="Z42" s="61"/>
      <c r="AA42" s="1"/>
      <c r="AB42" s="1"/>
      <c r="AC42" s="1"/>
      <c r="AD42" s="1"/>
      <c r="AE42" s="1"/>
      <c r="AF42" s="1"/>
    </row>
    <row r="43" spans="2:38" x14ac:dyDescent="0.2">
      <c r="I43" s="78"/>
      <c r="K43" s="78"/>
      <c r="W43" s="61"/>
      <c r="X43" s="61"/>
      <c r="Y43" s="61"/>
      <c r="Z43" s="61"/>
      <c r="AA43" s="1"/>
      <c r="AB43" s="1"/>
      <c r="AC43" s="1"/>
      <c r="AD43" s="1"/>
      <c r="AE43" s="1"/>
      <c r="AF43" s="1"/>
    </row>
    <row r="44" spans="2:38" x14ac:dyDescent="0.2">
      <c r="I44" s="78"/>
      <c r="K44" s="78"/>
      <c r="W44" s="61"/>
      <c r="X44" s="61"/>
      <c r="Y44" s="61"/>
      <c r="Z44" s="61"/>
      <c r="AA44" s="1"/>
      <c r="AB44" s="1"/>
      <c r="AC44" s="1"/>
      <c r="AD44" s="1"/>
      <c r="AE44" s="1"/>
      <c r="AF44" s="1"/>
    </row>
    <row r="45" spans="2:38" x14ac:dyDescent="0.2">
      <c r="I45" s="78"/>
      <c r="K45" s="78"/>
      <c r="W45" s="61"/>
      <c r="X45" s="61"/>
      <c r="Y45" s="61"/>
      <c r="Z45" s="61"/>
      <c r="AA45" s="1"/>
      <c r="AB45" s="1"/>
      <c r="AC45" s="1"/>
      <c r="AD45" s="1"/>
      <c r="AE45" s="1"/>
      <c r="AF45" s="1"/>
    </row>
    <row r="46" spans="2:38" x14ac:dyDescent="0.2">
      <c r="I46" s="78"/>
      <c r="K46" s="78"/>
      <c r="W46" s="61"/>
      <c r="X46" s="61"/>
      <c r="Y46" s="61"/>
      <c r="Z46" s="61"/>
      <c r="AA46" s="1"/>
      <c r="AB46" s="1"/>
      <c r="AC46" s="1"/>
      <c r="AD46" s="1"/>
      <c r="AE46" s="1"/>
      <c r="AF46" s="1"/>
    </row>
    <row r="47" spans="2:38" x14ac:dyDescent="0.2">
      <c r="I47" s="78"/>
      <c r="K47" s="78"/>
    </row>
    <row r="48" spans="2:38" x14ac:dyDescent="0.2">
      <c r="I48" s="78"/>
      <c r="K48" s="79"/>
    </row>
    <row r="49" spans="3:11" x14ac:dyDescent="0.2">
      <c r="I49" s="79"/>
      <c r="K49" s="79"/>
    </row>
    <row r="50" spans="3:11" x14ac:dyDescent="0.2">
      <c r="I50" s="79"/>
      <c r="K50" s="79"/>
    </row>
    <row r="52" spans="3:11" x14ac:dyDescent="0.2">
      <c r="D52" s="75"/>
    </row>
    <row r="53" spans="3:11" x14ac:dyDescent="0.2">
      <c r="D53" s="75"/>
    </row>
    <row r="54" spans="3:11" x14ac:dyDescent="0.2">
      <c r="D54" s="75"/>
    </row>
    <row r="55" spans="3:11" x14ac:dyDescent="0.2">
      <c r="D55" s="75"/>
    </row>
    <row r="56" spans="3:11" x14ac:dyDescent="0.2">
      <c r="D56" s="75"/>
    </row>
    <row r="57" spans="3:11" x14ac:dyDescent="0.2">
      <c r="D57" s="75"/>
    </row>
    <row r="58" spans="3:11" x14ac:dyDescent="0.2">
      <c r="D58" s="75"/>
    </row>
    <row r="60" spans="3:11" x14ac:dyDescent="0.2">
      <c r="C60" s="1"/>
      <c r="D60" s="1"/>
    </row>
    <row r="61" spans="3:11" x14ac:dyDescent="0.2">
      <c r="C61" s="4"/>
      <c r="D61" s="1"/>
    </row>
    <row r="62" spans="3:11" x14ac:dyDescent="0.2">
      <c r="C62" s="4"/>
      <c r="D62" s="1"/>
    </row>
    <row r="63" spans="3:11" x14ac:dyDescent="0.2">
      <c r="C63" s="4"/>
      <c r="D63" s="1"/>
    </row>
    <row r="64" spans="3:11" x14ac:dyDescent="0.2">
      <c r="C64" s="4"/>
      <c r="D64" s="1"/>
    </row>
  </sheetData>
  <mergeCells count="18">
    <mergeCell ref="AC2:AC3"/>
    <mergeCell ref="AD2:AD3"/>
    <mergeCell ref="AF2:AF3"/>
    <mergeCell ref="AE2:AE3"/>
    <mergeCell ref="AB24:AF28"/>
    <mergeCell ref="AA2:AA3"/>
    <mergeCell ref="H2:H3"/>
    <mergeCell ref="I2:I3"/>
    <mergeCell ref="J2:J3"/>
    <mergeCell ref="K2:K3"/>
    <mergeCell ref="L2:L3"/>
    <mergeCell ref="M2:M3"/>
    <mergeCell ref="N2:N3"/>
    <mergeCell ref="O2:Q2"/>
    <mergeCell ref="R2:T2"/>
    <mergeCell ref="U2:W2"/>
    <mergeCell ref="X2:Z2"/>
    <mergeCell ref="AB2:AB3"/>
  </mergeCells>
  <pageMargins left="0.7" right="0.7" top="0.75" bottom="0.75" header="0.3" footer="0.3"/>
  <pageSetup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2:AM64"/>
  <sheetViews>
    <sheetView zoomScale="70" zoomScaleNormal="70" workbookViewId="0"/>
  </sheetViews>
  <sheetFormatPr baseColWidth="10" defaultColWidth="11.5" defaultRowHeight="15" x14ac:dyDescent="0.2"/>
  <cols>
    <col min="1" max="1" width="3" customWidth="1"/>
    <col min="2" max="2" width="54.1640625" bestFit="1" customWidth="1"/>
    <col min="3" max="4" width="13.83203125" customWidth="1"/>
    <col min="5" max="5" width="22.5" bestFit="1" customWidth="1"/>
    <col min="6" max="6" width="16.5" bestFit="1" customWidth="1"/>
    <col min="7" max="7" width="13.83203125" customWidth="1"/>
    <col min="8" max="8" width="6" customWidth="1"/>
    <col min="9" max="9" width="14.1640625" customWidth="1"/>
    <col min="10" max="10" width="13.83203125" customWidth="1"/>
    <col min="11" max="13" width="12.83203125" customWidth="1"/>
    <col min="14" max="14" width="17.5" bestFit="1" customWidth="1"/>
    <col min="15" max="15" width="16.5" customWidth="1"/>
    <col min="18" max="18" width="12" bestFit="1" customWidth="1"/>
    <col min="19" max="19" width="15.1640625" bestFit="1" customWidth="1"/>
    <col min="20" max="26" width="15.1640625" customWidth="1"/>
    <col min="27" max="27" width="14.33203125" bestFit="1" customWidth="1"/>
    <col min="29" max="29" width="13.6640625" bestFit="1" customWidth="1"/>
    <col min="30" max="31" width="14.5" customWidth="1"/>
    <col min="32" max="32" width="12" customWidth="1"/>
    <col min="33" max="33" width="15.1640625" bestFit="1" customWidth="1"/>
    <col min="34" max="34" width="10.5" customWidth="1"/>
    <col min="35" max="35" width="12.5" bestFit="1" customWidth="1"/>
  </cols>
  <sheetData>
    <row r="2" spans="1:37" ht="44.25" customHeight="1" x14ac:dyDescent="0.2">
      <c r="B2" s="43" t="s">
        <v>32</v>
      </c>
      <c r="C2" s="46" t="s">
        <v>3</v>
      </c>
      <c r="D2" s="46" t="s">
        <v>15</v>
      </c>
      <c r="E2" s="72" t="s">
        <v>49</v>
      </c>
      <c r="F2" s="57" t="s">
        <v>50</v>
      </c>
      <c r="H2" s="109" t="s">
        <v>2</v>
      </c>
      <c r="I2" s="110" t="s">
        <v>73</v>
      </c>
      <c r="J2" s="110" t="s">
        <v>74</v>
      </c>
      <c r="K2" s="110" t="s">
        <v>75</v>
      </c>
      <c r="L2" s="110" t="s">
        <v>76</v>
      </c>
      <c r="M2" s="110" t="s">
        <v>33</v>
      </c>
      <c r="N2" s="111" t="s">
        <v>4</v>
      </c>
      <c r="O2" s="108" t="s">
        <v>16</v>
      </c>
      <c r="P2" s="108"/>
      <c r="Q2" s="108"/>
      <c r="R2" s="112" t="s">
        <v>17</v>
      </c>
      <c r="S2" s="108"/>
      <c r="T2" s="109"/>
      <c r="U2" s="108" t="s">
        <v>18</v>
      </c>
      <c r="V2" s="108"/>
      <c r="W2" s="108"/>
      <c r="X2" s="112" t="s">
        <v>20</v>
      </c>
      <c r="Y2" s="108"/>
      <c r="Z2" s="109"/>
      <c r="AA2" s="108" t="s">
        <v>21</v>
      </c>
      <c r="AB2" s="115" t="s">
        <v>86</v>
      </c>
      <c r="AC2" s="117" t="s">
        <v>85</v>
      </c>
      <c r="AD2" s="105" t="s">
        <v>26</v>
      </c>
      <c r="AE2" s="105" t="s">
        <v>77</v>
      </c>
      <c r="AF2" s="113" t="s">
        <v>52</v>
      </c>
    </row>
    <row r="3" spans="1:37" x14ac:dyDescent="0.2">
      <c r="B3" s="63" t="s">
        <v>39</v>
      </c>
      <c r="C3" s="64">
        <f>AA7</f>
        <v>44</v>
      </c>
      <c r="D3" s="64">
        <f>AF7</f>
        <v>137063.60067944688</v>
      </c>
      <c r="E3" s="73">
        <f>SUM(AD4:AD7)</f>
        <v>590437.77775422228</v>
      </c>
      <c r="F3" s="65">
        <f>E3/4</f>
        <v>147609.44443855557</v>
      </c>
      <c r="H3" s="109"/>
      <c r="I3" s="110"/>
      <c r="J3" s="110"/>
      <c r="K3" s="110"/>
      <c r="L3" s="110"/>
      <c r="M3" s="110"/>
      <c r="N3" s="111"/>
      <c r="O3" s="55" t="s">
        <v>0</v>
      </c>
      <c r="P3" s="55" t="s">
        <v>22</v>
      </c>
      <c r="Q3" s="55" t="s">
        <v>40</v>
      </c>
      <c r="R3" s="47" t="s">
        <v>0</v>
      </c>
      <c r="S3" s="55" t="s">
        <v>22</v>
      </c>
      <c r="T3" s="55" t="s">
        <v>40</v>
      </c>
      <c r="U3" s="55" t="s">
        <v>0</v>
      </c>
      <c r="V3" s="55" t="s">
        <v>22</v>
      </c>
      <c r="W3" s="55" t="s">
        <v>40</v>
      </c>
      <c r="X3" s="47" t="s">
        <v>0</v>
      </c>
      <c r="Y3" s="55" t="s">
        <v>22</v>
      </c>
      <c r="Z3" s="55" t="s">
        <v>40</v>
      </c>
      <c r="AA3" s="108"/>
      <c r="AB3" s="116"/>
      <c r="AC3" s="118"/>
      <c r="AD3" s="105"/>
      <c r="AE3" s="105"/>
      <c r="AF3" s="114"/>
    </row>
    <row r="4" spans="1:37" x14ac:dyDescent="0.2">
      <c r="B4" s="40" t="s">
        <v>38</v>
      </c>
      <c r="C4" s="26">
        <f>AA11</f>
        <v>104</v>
      </c>
      <c r="D4" s="26">
        <f>AF11</f>
        <v>284078.64001343073</v>
      </c>
      <c r="E4" s="73">
        <f>SUM(AD4:AD11)</f>
        <v>2332744.5582234329</v>
      </c>
      <c r="F4" s="58">
        <f>E4/8</f>
        <v>291593.06977792911</v>
      </c>
      <c r="H4" s="49">
        <v>1</v>
      </c>
      <c r="I4" s="71">
        <v>322357</v>
      </c>
      <c r="J4" s="71">
        <v>322357</v>
      </c>
      <c r="K4" s="10">
        <f t="shared" ref="K4:K23" si="0">I4/$C$17</f>
        <v>3099.5865384615386</v>
      </c>
      <c r="L4" s="10">
        <f t="shared" ref="L4:L23" si="1">J4/$C$17</f>
        <v>3099.5865384615386</v>
      </c>
      <c r="M4" s="50">
        <v>1</v>
      </c>
      <c r="N4" s="37">
        <v>2</v>
      </c>
      <c r="O4" s="7">
        <f t="shared" ref="O4:O23" si="2">IF(N4="Post",O$11,VLOOKUP($N4,$B$35:$E$39,2,FALSE))</f>
        <v>9</v>
      </c>
      <c r="P4" s="12">
        <f t="shared" ref="P4:P23" si="3">IF(O4=0,0,IF(O3=0,$C$12,IF(O2=0,$C$13,IF(O1=0,$C$14,IF(O4&gt;0,$C$15,"ERROR")))))</f>
        <v>0.85</v>
      </c>
      <c r="Q4" s="8">
        <f t="shared" ref="Q4:Q23" si="4">O4*$L4*($C$22+($C$20-$C$22)*(1-P4))</f>
        <v>34901.034464423079</v>
      </c>
      <c r="R4" s="9">
        <f t="shared" ref="R4:R23" si="5">IF($N4="Post",R$11,VLOOKUP($N4,$B$35:$E$39,3,FALSE))</f>
        <v>0</v>
      </c>
      <c r="S4" s="12">
        <f t="shared" ref="S4:S23" si="6">IF(R4=0,0,IF(R3=0,$C$12,IF(R2=0,$C$13,IF(R1=0,$C$14,IF(R4&gt;0,$C$15,"ERROR")))))</f>
        <v>0</v>
      </c>
      <c r="T4" s="8">
        <f t="shared" ref="T4:T23" si="7">R4*$L4*($C$22+($C$20-$C$22)*(1-S4))</f>
        <v>0</v>
      </c>
      <c r="U4" s="10">
        <f t="shared" ref="U4:U23" si="8">IF($N4="Post",U$11,VLOOKUP($N4,$B$35:$E$39,4,FALSE))</f>
        <v>0</v>
      </c>
      <c r="V4" s="12">
        <f t="shared" ref="V4:V23" si="9">IF(U4=0,0,IF(U3=0,$C$12,IF(U2=0,$C$13,IF(U1=0,$C$14,IF(U4&gt;0,$C$15,"ERROR")))))</f>
        <v>0</v>
      </c>
      <c r="W4" s="8">
        <f t="shared" ref="W4:W23" si="10">U4*$L4*($C$22+($C$20-$C$22)*(1-V4))</f>
        <v>0</v>
      </c>
      <c r="X4" s="14">
        <f t="shared" ref="X4:X23" si="11">IF(AA3 &lt; $C$17, IF($N4="Post",IF(AA3+$C$11&gt;$C$17, $C$17-AA3+X3, X3+$C$11),0),  $C$17-(O4+R4+U4+X3)+X3)</f>
        <v>0</v>
      </c>
      <c r="Y4" s="12">
        <f t="shared" ref="Y4:Y23" si="12">IF(M4&gt;8,$C$18,IF(X4=0,0,IF(X3=0,$C$12,IF(X2=0,$C$13,IF(X1=0,$C$14,IF(X4&gt;0,$C$18,"ERROR"))))))</f>
        <v>0</v>
      </c>
      <c r="Z4" s="8">
        <f t="shared" ref="Z4:Z23" si="13">X4*$L4*($C$22+($C$20-$C$22)*(1-Y4))</f>
        <v>0</v>
      </c>
      <c r="AA4" s="11">
        <f>SUM(O4,R4,U4,X4)</f>
        <v>9</v>
      </c>
      <c r="AB4" s="9">
        <f>SUM(Q4,T4,W4,Z4)</f>
        <v>34901.034464423079</v>
      </c>
      <c r="AC4" s="9">
        <f t="shared" ref="AC4:AC23" si="14">K4*AA4*$C$21</f>
        <v>86673.738375000015</v>
      </c>
      <c r="AD4" s="9">
        <f>AC4-AB4</f>
        <v>51772.703910576936</v>
      </c>
      <c r="AE4" s="9">
        <f>AD4</f>
        <v>51772.703910576936</v>
      </c>
      <c r="AF4" s="11">
        <f>AA4*L4</f>
        <v>27896.278846153848</v>
      </c>
      <c r="AJ4" s="1"/>
    </row>
    <row r="5" spans="1:37" x14ac:dyDescent="0.2">
      <c r="B5" s="40" t="s">
        <v>27</v>
      </c>
      <c r="C5" s="26">
        <f>AA13</f>
        <v>104</v>
      </c>
      <c r="D5" s="26">
        <f>AF13</f>
        <v>271602.79302310385</v>
      </c>
      <c r="E5" s="73">
        <f>SUM(AD4:AD13)</f>
        <v>2893992.5131756305</v>
      </c>
      <c r="F5" s="58">
        <f>E5/10</f>
        <v>289399.25131756306</v>
      </c>
      <c r="H5" s="40">
        <v>2</v>
      </c>
      <c r="I5" s="80">
        <v>322357</v>
      </c>
      <c r="J5" s="80">
        <v>323755.95</v>
      </c>
      <c r="K5" s="7">
        <f t="shared" si="0"/>
        <v>3099.5865384615386</v>
      </c>
      <c r="L5" s="7">
        <f t="shared" si="1"/>
        <v>3113.0379807692307</v>
      </c>
      <c r="M5" s="51">
        <v>2</v>
      </c>
      <c r="N5" s="38">
        <v>2</v>
      </c>
      <c r="O5" s="7">
        <f t="shared" si="2"/>
        <v>9</v>
      </c>
      <c r="P5" s="12">
        <f t="shared" si="3"/>
        <v>0.9</v>
      </c>
      <c r="Q5" s="13">
        <f t="shared" si="4"/>
        <v>33744.08649634615</v>
      </c>
      <c r="R5" s="14">
        <f t="shared" si="5"/>
        <v>0</v>
      </c>
      <c r="S5" s="12">
        <f t="shared" si="6"/>
        <v>0</v>
      </c>
      <c r="T5" s="14">
        <f t="shared" si="7"/>
        <v>0</v>
      </c>
      <c r="U5" s="7">
        <f t="shared" si="8"/>
        <v>0</v>
      </c>
      <c r="V5" s="12">
        <f t="shared" si="9"/>
        <v>0</v>
      </c>
      <c r="W5" s="13">
        <f t="shared" si="10"/>
        <v>0</v>
      </c>
      <c r="X5" s="14">
        <f t="shared" si="11"/>
        <v>0</v>
      </c>
      <c r="Y5" s="12">
        <f t="shared" si="12"/>
        <v>0</v>
      </c>
      <c r="Z5" s="14">
        <f t="shared" si="13"/>
        <v>0</v>
      </c>
      <c r="AA5" s="15">
        <f t="shared" ref="AA5:AA23" si="15">SUM(O5,R5,U5,X5)</f>
        <v>9</v>
      </c>
      <c r="AB5" s="14">
        <f>SUM(Q5,T5,W5,Z5)</f>
        <v>33744.08649634615</v>
      </c>
      <c r="AC5" s="14">
        <f t="shared" si="14"/>
        <v>86673.738375000015</v>
      </c>
      <c r="AD5" s="14">
        <f>AC5-AB5</f>
        <v>52929.651878653865</v>
      </c>
      <c r="AE5" s="14">
        <f>AD5+AE4</f>
        <v>104702.3557892308</v>
      </c>
      <c r="AF5" s="15">
        <f t="shared" ref="AF5:AF23" si="16">AA5*L5</f>
        <v>28017.341826923075</v>
      </c>
      <c r="AJ5" s="1"/>
      <c r="AK5" s="61"/>
    </row>
    <row r="6" spans="1:37" x14ac:dyDescent="0.2">
      <c r="B6" s="41" t="s">
        <v>28</v>
      </c>
      <c r="C6" s="27">
        <f>AA23</f>
        <v>104</v>
      </c>
      <c r="D6" s="27">
        <f>AF23</f>
        <v>329526.12193571805</v>
      </c>
      <c r="E6" s="74">
        <f>SUM(AD4:AD23)</f>
        <v>7115183.2027792512</v>
      </c>
      <c r="F6" s="59">
        <f>E6/20</f>
        <v>355759.16013896256</v>
      </c>
      <c r="H6" s="40">
        <v>3</v>
      </c>
      <c r="I6" s="80">
        <v>322357</v>
      </c>
      <c r="J6" s="80">
        <v>325772.6467574687</v>
      </c>
      <c r="K6" s="7">
        <f t="shared" si="0"/>
        <v>3099.5865384615386</v>
      </c>
      <c r="L6" s="7">
        <f t="shared" si="1"/>
        <v>3132.4292957448915</v>
      </c>
      <c r="M6" s="51">
        <v>3</v>
      </c>
      <c r="N6" s="38">
        <v>3</v>
      </c>
      <c r="O6" s="7">
        <f t="shared" si="2"/>
        <v>9</v>
      </c>
      <c r="P6" s="12">
        <f t="shared" si="3"/>
        <v>0.9</v>
      </c>
      <c r="Q6" s="13">
        <f t="shared" si="4"/>
        <v>33954.280594156327</v>
      </c>
      <c r="R6" s="14">
        <f t="shared" si="5"/>
        <v>35</v>
      </c>
      <c r="S6" s="12">
        <f t="shared" si="6"/>
        <v>0.7</v>
      </c>
      <c r="T6" s="14">
        <f t="shared" si="7"/>
        <v>152524.24726841025</v>
      </c>
      <c r="U6" s="7">
        <f t="shared" si="8"/>
        <v>0</v>
      </c>
      <c r="V6" s="12">
        <f t="shared" si="9"/>
        <v>0</v>
      </c>
      <c r="W6" s="13">
        <f t="shared" si="10"/>
        <v>0</v>
      </c>
      <c r="X6" s="14">
        <f t="shared" si="11"/>
        <v>0</v>
      </c>
      <c r="Y6" s="12">
        <f t="shared" si="12"/>
        <v>0</v>
      </c>
      <c r="Z6" s="14">
        <f t="shared" si="13"/>
        <v>0</v>
      </c>
      <c r="AA6" s="15">
        <f t="shared" si="15"/>
        <v>44</v>
      </c>
      <c r="AB6" s="14">
        <f t="shared" ref="AB6:AB23" si="17">SUM(Q6,T6,W6,Z6)</f>
        <v>186478.52786256658</v>
      </c>
      <c r="AC6" s="14">
        <f t="shared" si="14"/>
        <v>423738.27650000004</v>
      </c>
      <c r="AD6" s="14">
        <f t="shared" ref="AD6:AD22" si="18">AC6-AB6</f>
        <v>237259.74863743345</v>
      </c>
      <c r="AE6" s="14">
        <f t="shared" ref="AE6:AE23" si="19">AD6+AE5</f>
        <v>341962.10442666424</v>
      </c>
      <c r="AF6" s="15">
        <f t="shared" si="16"/>
        <v>137826.88901277524</v>
      </c>
      <c r="AJ6" s="1"/>
      <c r="AK6" s="61"/>
    </row>
    <row r="7" spans="1:37" x14ac:dyDescent="0.2">
      <c r="H7" s="40">
        <v>4</v>
      </c>
      <c r="I7" s="80">
        <v>322357</v>
      </c>
      <c r="J7" s="80">
        <v>323968.51069687447</v>
      </c>
      <c r="K7" s="7">
        <f t="shared" si="0"/>
        <v>3099.5865384615386</v>
      </c>
      <c r="L7" s="7">
        <f t="shared" si="1"/>
        <v>3115.081833623793</v>
      </c>
      <c r="M7" s="51">
        <v>4</v>
      </c>
      <c r="N7" s="38">
        <v>3</v>
      </c>
      <c r="O7" s="7">
        <f t="shared" si="2"/>
        <v>9</v>
      </c>
      <c r="P7" s="12">
        <f t="shared" si="3"/>
        <v>0.9</v>
      </c>
      <c r="Q7" s="13">
        <f t="shared" si="4"/>
        <v>33766.241043748465</v>
      </c>
      <c r="R7" s="14">
        <f t="shared" si="5"/>
        <v>35</v>
      </c>
      <c r="S7" s="12">
        <f t="shared" si="6"/>
        <v>0.8</v>
      </c>
      <c r="T7" s="14">
        <f t="shared" si="7"/>
        <v>141496.36212869352</v>
      </c>
      <c r="U7" s="7">
        <f t="shared" si="8"/>
        <v>0</v>
      </c>
      <c r="V7" s="12">
        <f t="shared" si="9"/>
        <v>0</v>
      </c>
      <c r="W7" s="13">
        <f t="shared" si="10"/>
        <v>0</v>
      </c>
      <c r="X7" s="14">
        <f t="shared" si="11"/>
        <v>0</v>
      </c>
      <c r="Y7" s="12">
        <f t="shared" si="12"/>
        <v>0</v>
      </c>
      <c r="Z7" s="14">
        <f t="shared" si="13"/>
        <v>0</v>
      </c>
      <c r="AA7" s="15">
        <f t="shared" si="15"/>
        <v>44</v>
      </c>
      <c r="AB7" s="14">
        <f t="shared" si="17"/>
        <v>175262.603172442</v>
      </c>
      <c r="AC7" s="14">
        <f t="shared" si="14"/>
        <v>423738.27650000004</v>
      </c>
      <c r="AD7" s="14">
        <f t="shared" si="18"/>
        <v>248475.67332755803</v>
      </c>
      <c r="AE7" s="14">
        <f t="shared" si="19"/>
        <v>590437.77775422228</v>
      </c>
      <c r="AF7" s="15">
        <f t="shared" si="16"/>
        <v>137063.60067944688</v>
      </c>
      <c r="AJ7" s="1"/>
      <c r="AK7" s="61"/>
    </row>
    <row r="8" spans="1:37" x14ac:dyDescent="0.2">
      <c r="H8" s="40">
        <v>5</v>
      </c>
      <c r="I8" s="80">
        <v>322357</v>
      </c>
      <c r="J8" s="80">
        <v>326820.29022680956</v>
      </c>
      <c r="K8" s="7">
        <f t="shared" si="0"/>
        <v>3099.5865384615386</v>
      </c>
      <c r="L8" s="7">
        <f t="shared" si="1"/>
        <v>3142.5027906423998</v>
      </c>
      <c r="M8" s="51">
        <v>5</v>
      </c>
      <c r="N8" s="38">
        <v>3</v>
      </c>
      <c r="O8" s="7">
        <f t="shared" si="2"/>
        <v>9</v>
      </c>
      <c r="P8" s="12">
        <f t="shared" si="3"/>
        <v>0.9</v>
      </c>
      <c r="Q8" s="13">
        <f t="shared" si="4"/>
        <v>34063.473249447357</v>
      </c>
      <c r="R8" s="14">
        <f t="shared" si="5"/>
        <v>35</v>
      </c>
      <c r="S8" s="12">
        <f t="shared" si="6"/>
        <v>0.85</v>
      </c>
      <c r="T8" s="14">
        <f t="shared" si="7"/>
        <v>137605.48344804472</v>
      </c>
      <c r="U8" s="7">
        <f t="shared" si="8"/>
        <v>0</v>
      </c>
      <c r="V8" s="12">
        <f t="shared" si="9"/>
        <v>0</v>
      </c>
      <c r="W8" s="13">
        <f t="shared" si="10"/>
        <v>0</v>
      </c>
      <c r="X8" s="14">
        <f t="shared" si="11"/>
        <v>0</v>
      </c>
      <c r="Y8" s="12">
        <f t="shared" si="12"/>
        <v>0</v>
      </c>
      <c r="Z8" s="14">
        <f t="shared" si="13"/>
        <v>0</v>
      </c>
      <c r="AA8" s="15">
        <f t="shared" si="15"/>
        <v>44</v>
      </c>
      <c r="AB8" s="14">
        <f t="shared" si="17"/>
        <v>171668.95669749207</v>
      </c>
      <c r="AC8" s="14">
        <f t="shared" si="14"/>
        <v>423738.27650000004</v>
      </c>
      <c r="AD8" s="14">
        <f t="shared" si="18"/>
        <v>252069.31980250796</v>
      </c>
      <c r="AE8" s="14">
        <f t="shared" si="19"/>
        <v>842507.09755673027</v>
      </c>
      <c r="AF8" s="15">
        <f t="shared" si="16"/>
        <v>138270.12278826558</v>
      </c>
      <c r="AJ8" s="1"/>
      <c r="AK8" s="61"/>
    </row>
    <row r="9" spans="1:37" x14ac:dyDescent="0.2">
      <c r="B9" s="43" t="s">
        <v>1</v>
      </c>
      <c r="C9" s="48"/>
      <c r="D9" s="3"/>
      <c r="H9" s="40">
        <v>6</v>
      </c>
      <c r="I9" s="80">
        <v>309361.55000000005</v>
      </c>
      <c r="J9" s="80">
        <v>295828.27191549167</v>
      </c>
      <c r="K9" s="7">
        <f t="shared" si="0"/>
        <v>2974.6302884615388</v>
      </c>
      <c r="L9" s="7">
        <f t="shared" si="1"/>
        <v>2844.5026145720353</v>
      </c>
      <c r="M9" s="51">
        <v>6</v>
      </c>
      <c r="N9" s="38">
        <v>4</v>
      </c>
      <c r="O9" s="7">
        <f t="shared" si="2"/>
        <v>9</v>
      </c>
      <c r="P9" s="12">
        <f t="shared" si="3"/>
        <v>0.9</v>
      </c>
      <c r="Q9" s="13">
        <f t="shared" si="4"/>
        <v>30833.270540915033</v>
      </c>
      <c r="R9" s="14">
        <f t="shared" si="5"/>
        <v>35</v>
      </c>
      <c r="S9" s="12">
        <f t="shared" si="6"/>
        <v>0.9</v>
      </c>
      <c r="T9" s="14">
        <f t="shared" si="7"/>
        <v>119907.16321466956</v>
      </c>
      <c r="U9" s="7">
        <f t="shared" si="8"/>
        <v>60</v>
      </c>
      <c r="V9" s="12">
        <f t="shared" si="9"/>
        <v>0.7</v>
      </c>
      <c r="W9" s="13">
        <f t="shared" si="10"/>
        <v>237436.32224355693</v>
      </c>
      <c r="X9" s="14">
        <f t="shared" si="11"/>
        <v>0</v>
      </c>
      <c r="Y9" s="12">
        <f t="shared" si="12"/>
        <v>0</v>
      </c>
      <c r="Z9" s="14">
        <f t="shared" si="13"/>
        <v>0</v>
      </c>
      <c r="AA9" s="15">
        <f t="shared" si="15"/>
        <v>104</v>
      </c>
      <c r="AB9" s="14">
        <f t="shared" si="17"/>
        <v>388176.75599914149</v>
      </c>
      <c r="AC9" s="14">
        <f t="shared" si="14"/>
        <v>961186.33585000027</v>
      </c>
      <c r="AD9" s="14">
        <f t="shared" si="18"/>
        <v>573009.57985085878</v>
      </c>
      <c r="AE9" s="14">
        <f t="shared" si="19"/>
        <v>1415516.677407589</v>
      </c>
      <c r="AF9" s="15">
        <f t="shared" si="16"/>
        <v>295828.27191549167</v>
      </c>
      <c r="AJ9" s="61"/>
      <c r="AK9" s="61"/>
    </row>
    <row r="10" spans="1:37" x14ac:dyDescent="0.2">
      <c r="A10" t="s">
        <v>54</v>
      </c>
      <c r="B10" s="40" t="s">
        <v>30</v>
      </c>
      <c r="C10" s="76">
        <v>2</v>
      </c>
      <c r="D10" s="60" t="s">
        <v>71</v>
      </c>
      <c r="H10" s="40">
        <v>7</v>
      </c>
      <c r="I10" s="80">
        <v>285448.83622013591</v>
      </c>
      <c r="J10" s="80">
        <v>292014.78756746429</v>
      </c>
      <c r="K10" s="7">
        <f t="shared" si="0"/>
        <v>2744.7003482705377</v>
      </c>
      <c r="L10" s="7">
        <f t="shared" si="1"/>
        <v>2807.8344958410025</v>
      </c>
      <c r="M10" s="51">
        <v>7</v>
      </c>
      <c r="N10" s="38">
        <v>4</v>
      </c>
      <c r="O10" s="7">
        <f t="shared" si="2"/>
        <v>9</v>
      </c>
      <c r="P10" s="12">
        <f t="shared" si="3"/>
        <v>0.9</v>
      </c>
      <c r="Q10" s="13">
        <f t="shared" si="4"/>
        <v>30435.802801118127</v>
      </c>
      <c r="R10" s="14">
        <f t="shared" si="5"/>
        <v>35</v>
      </c>
      <c r="S10" s="12">
        <f t="shared" si="6"/>
        <v>0.9</v>
      </c>
      <c r="T10" s="14">
        <f t="shared" si="7"/>
        <v>118361.4553376816</v>
      </c>
      <c r="U10" s="7">
        <f t="shared" si="8"/>
        <v>60</v>
      </c>
      <c r="V10" s="12">
        <f t="shared" si="9"/>
        <v>0.8</v>
      </c>
      <c r="W10" s="13">
        <f t="shared" si="10"/>
        <v>218640.45652214717</v>
      </c>
      <c r="X10" s="14">
        <f t="shared" si="11"/>
        <v>0</v>
      </c>
      <c r="Y10" s="12">
        <f t="shared" si="12"/>
        <v>0</v>
      </c>
      <c r="Z10" s="14">
        <f t="shared" si="13"/>
        <v>0</v>
      </c>
      <c r="AA10" s="15">
        <f t="shared" si="15"/>
        <v>104</v>
      </c>
      <c r="AB10" s="14">
        <f t="shared" si="17"/>
        <v>367437.71466094686</v>
      </c>
      <c r="AC10" s="14">
        <f t="shared" si="14"/>
        <v>886889.53413596237</v>
      </c>
      <c r="AD10" s="14">
        <f t="shared" si="18"/>
        <v>519451.81947501551</v>
      </c>
      <c r="AE10" s="14">
        <f t="shared" si="19"/>
        <v>1934968.4968826044</v>
      </c>
      <c r="AF10" s="15">
        <f t="shared" si="16"/>
        <v>292014.78756746429</v>
      </c>
      <c r="AJ10" s="61"/>
      <c r="AK10" s="61"/>
    </row>
    <row r="11" spans="1:37" x14ac:dyDescent="0.2">
      <c r="A11" t="s">
        <v>58</v>
      </c>
      <c r="B11" s="40" t="s">
        <v>31</v>
      </c>
      <c r="C11" s="29">
        <v>10</v>
      </c>
      <c r="D11" s="3" t="s">
        <v>34</v>
      </c>
      <c r="H11" s="41">
        <v>8</v>
      </c>
      <c r="I11" s="70">
        <v>240609.62648891486</v>
      </c>
      <c r="J11" s="70">
        <v>284078.64001343073</v>
      </c>
      <c r="K11" s="16">
        <f t="shared" si="0"/>
        <v>2313.5541008549508</v>
      </c>
      <c r="L11" s="16">
        <f t="shared" si="1"/>
        <v>2731.5253847445265</v>
      </c>
      <c r="M11" s="52">
        <v>8</v>
      </c>
      <c r="N11" s="39">
        <v>4</v>
      </c>
      <c r="O11" s="16">
        <f t="shared" si="2"/>
        <v>9</v>
      </c>
      <c r="P11" s="17">
        <f t="shared" si="3"/>
        <v>0.9</v>
      </c>
      <c r="Q11" s="18">
        <f t="shared" si="4"/>
        <v>29608.642560476768</v>
      </c>
      <c r="R11" s="19">
        <f t="shared" si="5"/>
        <v>35</v>
      </c>
      <c r="S11" s="17">
        <f t="shared" si="6"/>
        <v>0.9</v>
      </c>
      <c r="T11" s="19">
        <f t="shared" si="7"/>
        <v>115144.72106852077</v>
      </c>
      <c r="U11" s="16">
        <f t="shared" si="8"/>
        <v>60</v>
      </c>
      <c r="V11" s="17">
        <f t="shared" si="9"/>
        <v>0.85</v>
      </c>
      <c r="W11" s="18">
        <f t="shared" si="10"/>
        <v>205044.68453123263</v>
      </c>
      <c r="X11" s="19">
        <f t="shared" si="11"/>
        <v>0</v>
      </c>
      <c r="Y11" s="17">
        <f t="shared" si="12"/>
        <v>0</v>
      </c>
      <c r="Z11" s="19">
        <f t="shared" si="13"/>
        <v>0</v>
      </c>
      <c r="AA11" s="20">
        <f t="shared" si="15"/>
        <v>104</v>
      </c>
      <c r="AB11" s="19">
        <f t="shared" si="17"/>
        <v>349798.04816023016</v>
      </c>
      <c r="AC11" s="19">
        <f t="shared" si="14"/>
        <v>747574.10950105859</v>
      </c>
      <c r="AD11" s="19">
        <f t="shared" si="18"/>
        <v>397776.06134082843</v>
      </c>
      <c r="AE11" s="19">
        <f t="shared" si="19"/>
        <v>2332744.5582234329</v>
      </c>
      <c r="AF11" s="20">
        <f t="shared" si="16"/>
        <v>284078.64001343073</v>
      </c>
      <c r="AJ11" s="61"/>
      <c r="AK11" s="61"/>
    </row>
    <row r="12" spans="1:37" x14ac:dyDescent="0.2">
      <c r="A12" t="s">
        <v>59</v>
      </c>
      <c r="B12" s="40" t="s">
        <v>23</v>
      </c>
      <c r="C12" s="76">
        <v>0.7</v>
      </c>
      <c r="D12" s="2" t="s">
        <v>70</v>
      </c>
      <c r="H12" s="40">
        <v>9</v>
      </c>
      <c r="I12" s="80">
        <v>202984.86125381227</v>
      </c>
      <c r="J12" s="80">
        <v>273058.05963181006</v>
      </c>
      <c r="K12" s="7">
        <f t="shared" si="0"/>
        <v>1951.7775120558872</v>
      </c>
      <c r="L12" s="7">
        <f t="shared" si="1"/>
        <v>2625.5582656904812</v>
      </c>
      <c r="M12" s="51">
        <v>9</v>
      </c>
      <c r="N12" s="34" t="s">
        <v>14</v>
      </c>
      <c r="O12" s="7">
        <f t="shared" si="2"/>
        <v>9</v>
      </c>
      <c r="P12" s="12">
        <f t="shared" si="3"/>
        <v>0.9</v>
      </c>
      <c r="Q12" s="13">
        <f t="shared" si="4"/>
        <v>28460.001376778539</v>
      </c>
      <c r="R12" s="14">
        <f t="shared" si="5"/>
        <v>35</v>
      </c>
      <c r="S12" s="12">
        <f t="shared" si="6"/>
        <v>0.9</v>
      </c>
      <c r="T12" s="14">
        <f t="shared" si="7"/>
        <v>110677.78313191654</v>
      </c>
      <c r="U12" s="7">
        <f t="shared" si="8"/>
        <v>60</v>
      </c>
      <c r="V12" s="12">
        <f t="shared" si="9"/>
        <v>0.9</v>
      </c>
      <c r="W12" s="13">
        <f t="shared" si="10"/>
        <v>189733.34251185693</v>
      </c>
      <c r="X12" s="14">
        <f t="shared" si="11"/>
        <v>0</v>
      </c>
      <c r="Y12" s="12">
        <f t="shared" si="12"/>
        <v>0.5</v>
      </c>
      <c r="Z12" s="14">
        <f t="shared" si="13"/>
        <v>0</v>
      </c>
      <c r="AA12" s="15">
        <f>SUM(O12,R12,U12,X12)</f>
        <v>104</v>
      </c>
      <c r="AB12" s="14">
        <f t="shared" si="17"/>
        <v>328871.127020552</v>
      </c>
      <c r="AC12" s="14">
        <f t="shared" si="14"/>
        <v>630673.96391559474</v>
      </c>
      <c r="AD12" s="14">
        <f t="shared" si="18"/>
        <v>301802.83689504274</v>
      </c>
      <c r="AE12" s="14">
        <f t="shared" si="19"/>
        <v>2634547.3951184754</v>
      </c>
      <c r="AF12" s="15">
        <f t="shared" si="16"/>
        <v>273058.05963181006</v>
      </c>
      <c r="AJ12" s="61"/>
      <c r="AK12" s="61"/>
    </row>
    <row r="13" spans="1:37" x14ac:dyDescent="0.2">
      <c r="A13" t="s">
        <v>61</v>
      </c>
      <c r="B13" s="40" t="s">
        <v>24</v>
      </c>
      <c r="C13" s="76">
        <v>0.8</v>
      </c>
      <c r="D13" s="2" t="s">
        <v>70</v>
      </c>
      <c r="E13" s="2"/>
      <c r="H13" s="53">
        <v>10</v>
      </c>
      <c r="I13" s="81">
        <v>188787.74443971069</v>
      </c>
      <c r="J13" s="81">
        <v>271602.79302310385</v>
      </c>
      <c r="K13" s="21">
        <f t="shared" si="0"/>
        <v>1815.2667734587567</v>
      </c>
      <c r="L13" s="21">
        <f t="shared" si="1"/>
        <v>2611.5653175298448</v>
      </c>
      <c r="M13" s="54">
        <v>10</v>
      </c>
      <c r="N13" s="35" t="s">
        <v>14</v>
      </c>
      <c r="O13" s="21">
        <f t="shared" si="2"/>
        <v>9</v>
      </c>
      <c r="P13" s="22">
        <f t="shared" si="3"/>
        <v>0.9</v>
      </c>
      <c r="Q13" s="23">
        <f t="shared" si="4"/>
        <v>28308.323415896502</v>
      </c>
      <c r="R13" s="24">
        <f t="shared" si="5"/>
        <v>35</v>
      </c>
      <c r="S13" s="22">
        <f t="shared" si="6"/>
        <v>0.9</v>
      </c>
      <c r="T13" s="24">
        <f t="shared" si="7"/>
        <v>110087.92439515308</v>
      </c>
      <c r="U13" s="21">
        <f t="shared" si="8"/>
        <v>60</v>
      </c>
      <c r="V13" s="22">
        <f t="shared" si="9"/>
        <v>0.9</v>
      </c>
      <c r="W13" s="23">
        <f t="shared" si="10"/>
        <v>188722.1561059767</v>
      </c>
      <c r="X13" s="24">
        <f t="shared" si="11"/>
        <v>0</v>
      </c>
      <c r="Y13" s="22">
        <f t="shared" si="12"/>
        <v>0.5</v>
      </c>
      <c r="Z13" s="24">
        <f t="shared" si="13"/>
        <v>0</v>
      </c>
      <c r="AA13" s="25">
        <f t="shared" si="15"/>
        <v>104</v>
      </c>
      <c r="AB13" s="24">
        <f t="shared" si="17"/>
        <v>327118.40391702624</v>
      </c>
      <c r="AC13" s="24">
        <f t="shared" si="14"/>
        <v>586563.52197418117</v>
      </c>
      <c r="AD13" s="24">
        <f t="shared" si="18"/>
        <v>259445.11805715493</v>
      </c>
      <c r="AE13" s="24">
        <f t="shared" si="19"/>
        <v>2893992.5131756305</v>
      </c>
      <c r="AF13" s="25">
        <f t="shared" si="16"/>
        <v>271602.79302310385</v>
      </c>
      <c r="AJ13" s="61"/>
      <c r="AK13" s="61"/>
    </row>
    <row r="14" spans="1:37" x14ac:dyDescent="0.2">
      <c r="A14" t="s">
        <v>57</v>
      </c>
      <c r="B14" s="40" t="s">
        <v>36</v>
      </c>
      <c r="C14" s="76">
        <v>0.85</v>
      </c>
      <c r="D14" s="2" t="s">
        <v>70</v>
      </c>
      <c r="E14" s="2"/>
      <c r="H14" s="40">
        <v>11</v>
      </c>
      <c r="I14" s="80">
        <v>184344.36363031552</v>
      </c>
      <c r="J14" s="80">
        <v>279018.22109414951</v>
      </c>
      <c r="K14" s="7">
        <f t="shared" si="0"/>
        <v>1772.5419579838031</v>
      </c>
      <c r="L14" s="7">
        <f t="shared" si="1"/>
        <v>2682.8675105206685</v>
      </c>
      <c r="M14" s="51">
        <v>11</v>
      </c>
      <c r="N14" s="34" t="s">
        <v>14</v>
      </c>
      <c r="O14" s="7">
        <f t="shared" si="2"/>
        <v>9</v>
      </c>
      <c r="P14" s="12">
        <f t="shared" si="3"/>
        <v>0.9</v>
      </c>
      <c r="Q14" s="13">
        <f t="shared" si="4"/>
        <v>29081.210667039835</v>
      </c>
      <c r="R14" s="14">
        <f t="shared" si="5"/>
        <v>35</v>
      </c>
      <c r="S14" s="12">
        <f t="shared" si="6"/>
        <v>0.9</v>
      </c>
      <c r="T14" s="14">
        <f t="shared" si="7"/>
        <v>113093.59703848825</v>
      </c>
      <c r="U14" s="7">
        <f t="shared" si="8"/>
        <v>60</v>
      </c>
      <c r="V14" s="12">
        <f t="shared" si="9"/>
        <v>0.9</v>
      </c>
      <c r="W14" s="13">
        <f t="shared" si="10"/>
        <v>193874.73778026557</v>
      </c>
      <c r="X14" s="14">
        <f t="shared" si="11"/>
        <v>0</v>
      </c>
      <c r="Y14" s="12">
        <f t="shared" si="12"/>
        <v>0.5</v>
      </c>
      <c r="Z14" s="14">
        <f t="shared" si="13"/>
        <v>0</v>
      </c>
      <c r="AA14" s="15">
        <f t="shared" si="15"/>
        <v>104</v>
      </c>
      <c r="AB14" s="14">
        <f t="shared" si="17"/>
        <v>336049.54548579367</v>
      </c>
      <c r="AC14" s="14">
        <f t="shared" si="14"/>
        <v>572757.93779939041</v>
      </c>
      <c r="AD14" s="14">
        <f t="shared" si="18"/>
        <v>236708.39231359673</v>
      </c>
      <c r="AE14" s="14">
        <f t="shared" si="19"/>
        <v>3130700.9054892273</v>
      </c>
      <c r="AF14" s="15">
        <f t="shared" si="16"/>
        <v>279018.22109414951</v>
      </c>
      <c r="AJ14" s="61"/>
      <c r="AK14" s="61"/>
    </row>
    <row r="15" spans="1:37" x14ac:dyDescent="0.2">
      <c r="A15" t="s">
        <v>55</v>
      </c>
      <c r="B15" s="40" t="s">
        <v>37</v>
      </c>
      <c r="C15" s="76">
        <v>0.9</v>
      </c>
      <c r="D15" s="2" t="s">
        <v>70</v>
      </c>
      <c r="E15" s="2"/>
      <c r="H15" s="40">
        <v>12</v>
      </c>
      <c r="I15" s="80">
        <v>198283.79014795073</v>
      </c>
      <c r="J15" s="80">
        <v>291883.56661513913</v>
      </c>
      <c r="K15" s="7">
        <f t="shared" si="0"/>
        <v>1906.574905268757</v>
      </c>
      <c r="L15" s="7">
        <f t="shared" si="1"/>
        <v>2806.5727559147995</v>
      </c>
      <c r="M15" s="51">
        <v>12</v>
      </c>
      <c r="N15" s="34" t="s">
        <v>14</v>
      </c>
      <c r="O15" s="7">
        <f t="shared" si="2"/>
        <v>9</v>
      </c>
      <c r="P15" s="12">
        <f t="shared" si="3"/>
        <v>0.9</v>
      </c>
      <c r="Q15" s="13">
        <f t="shared" si="4"/>
        <v>30422.126045014058</v>
      </c>
      <c r="R15" s="14">
        <f t="shared" si="5"/>
        <v>35</v>
      </c>
      <c r="S15" s="12">
        <f t="shared" si="6"/>
        <v>0.9</v>
      </c>
      <c r="T15" s="14">
        <f t="shared" si="7"/>
        <v>118308.26795283244</v>
      </c>
      <c r="U15" s="7">
        <f t="shared" si="8"/>
        <v>60</v>
      </c>
      <c r="V15" s="12">
        <f t="shared" si="9"/>
        <v>0.9</v>
      </c>
      <c r="W15" s="13">
        <f t="shared" si="10"/>
        <v>202814.17363342704</v>
      </c>
      <c r="X15" s="14">
        <f t="shared" si="11"/>
        <v>0</v>
      </c>
      <c r="Y15" s="12">
        <f t="shared" si="12"/>
        <v>0.5</v>
      </c>
      <c r="Z15" s="14">
        <f t="shared" si="13"/>
        <v>0</v>
      </c>
      <c r="AA15" s="15">
        <f t="shared" si="15"/>
        <v>104</v>
      </c>
      <c r="AB15" s="14">
        <f t="shared" si="17"/>
        <v>351544.56763127353</v>
      </c>
      <c r="AC15" s="14">
        <f t="shared" si="14"/>
        <v>616067.73598968296</v>
      </c>
      <c r="AD15" s="14">
        <f t="shared" si="18"/>
        <v>264523.16835840943</v>
      </c>
      <c r="AE15" s="14">
        <f t="shared" si="19"/>
        <v>3395224.0738476366</v>
      </c>
      <c r="AF15" s="15">
        <f t="shared" si="16"/>
        <v>291883.56661513913</v>
      </c>
      <c r="AJ15" s="61"/>
      <c r="AK15" s="61"/>
    </row>
    <row r="16" spans="1:37" x14ac:dyDescent="0.2">
      <c r="A16" t="s">
        <v>62</v>
      </c>
      <c r="B16" s="40" t="s">
        <v>42</v>
      </c>
      <c r="C16" s="30">
        <v>322357</v>
      </c>
      <c r="D16" s="2" t="s">
        <v>44</v>
      </c>
      <c r="E16" s="2"/>
      <c r="H16" s="40">
        <v>13</v>
      </c>
      <c r="I16" s="80">
        <v>228196.39606301207</v>
      </c>
      <c r="J16" s="80">
        <v>305847.1691121388</v>
      </c>
      <c r="K16" s="7">
        <f t="shared" si="0"/>
        <v>2194.1961159905009</v>
      </c>
      <c r="L16" s="7">
        <f t="shared" si="1"/>
        <v>2940.8381645397963</v>
      </c>
      <c r="M16" s="51">
        <v>13</v>
      </c>
      <c r="N16" s="34" t="s">
        <v>14</v>
      </c>
      <c r="O16" s="7">
        <f t="shared" si="2"/>
        <v>9</v>
      </c>
      <c r="P16" s="12">
        <f t="shared" si="3"/>
        <v>0.9</v>
      </c>
      <c r="Q16" s="13">
        <f t="shared" si="4"/>
        <v>31877.509368345574</v>
      </c>
      <c r="R16" s="14">
        <f t="shared" si="5"/>
        <v>35</v>
      </c>
      <c r="S16" s="12">
        <f t="shared" si="6"/>
        <v>0.9</v>
      </c>
      <c r="T16" s="14">
        <f t="shared" si="7"/>
        <v>123968.09198801055</v>
      </c>
      <c r="U16" s="7">
        <f t="shared" si="8"/>
        <v>60</v>
      </c>
      <c r="V16" s="12">
        <f t="shared" si="9"/>
        <v>0.9</v>
      </c>
      <c r="W16" s="13">
        <f t="shared" si="10"/>
        <v>212516.72912230383</v>
      </c>
      <c r="X16" s="14">
        <f t="shared" si="11"/>
        <v>0</v>
      </c>
      <c r="Y16" s="12">
        <f t="shared" si="12"/>
        <v>0.5</v>
      </c>
      <c r="Z16" s="14">
        <f t="shared" si="13"/>
        <v>0</v>
      </c>
      <c r="AA16" s="15">
        <f t="shared" si="15"/>
        <v>104</v>
      </c>
      <c r="AB16" s="14">
        <f t="shared" si="17"/>
        <v>368362.33047865995</v>
      </c>
      <c r="AC16" s="14">
        <f t="shared" si="14"/>
        <v>709006.20256777864</v>
      </c>
      <c r="AD16" s="14">
        <f t="shared" si="18"/>
        <v>340643.8720891187</v>
      </c>
      <c r="AE16" s="14">
        <f t="shared" si="19"/>
        <v>3735867.9459367553</v>
      </c>
      <c r="AF16" s="15">
        <f t="shared" si="16"/>
        <v>305847.1691121388</v>
      </c>
      <c r="AJ16" s="61"/>
      <c r="AK16" s="61"/>
    </row>
    <row r="17" spans="1:39" x14ac:dyDescent="0.2">
      <c r="A17" t="s">
        <v>63</v>
      </c>
      <c r="B17" s="40" t="s">
        <v>43</v>
      </c>
      <c r="C17" s="30">
        <v>104</v>
      </c>
      <c r="D17" s="2" t="s">
        <v>45</v>
      </c>
      <c r="E17" s="2"/>
      <c r="H17" s="40">
        <v>14</v>
      </c>
      <c r="I17" s="80">
        <v>261151.33036918263</v>
      </c>
      <c r="J17" s="80">
        <v>314825.7905260424</v>
      </c>
      <c r="K17" s="7">
        <f t="shared" si="0"/>
        <v>2511.0704843190638</v>
      </c>
      <c r="L17" s="7">
        <f t="shared" si="1"/>
        <v>3027.1710627504076</v>
      </c>
      <c r="M17" s="51">
        <v>14</v>
      </c>
      <c r="N17" s="34" t="s">
        <v>14</v>
      </c>
      <c r="O17" s="7">
        <f t="shared" si="2"/>
        <v>9</v>
      </c>
      <c r="P17" s="12">
        <f t="shared" si="3"/>
        <v>0.9</v>
      </c>
      <c r="Q17" s="13">
        <f t="shared" si="4"/>
        <v>32813.323451789314</v>
      </c>
      <c r="R17" s="14">
        <f t="shared" si="5"/>
        <v>35</v>
      </c>
      <c r="S17" s="12">
        <f t="shared" si="6"/>
        <v>0.9</v>
      </c>
      <c r="T17" s="14">
        <f t="shared" si="7"/>
        <v>127607.36897918067</v>
      </c>
      <c r="U17" s="7">
        <f t="shared" si="8"/>
        <v>60</v>
      </c>
      <c r="V17" s="12">
        <f t="shared" si="9"/>
        <v>0.9</v>
      </c>
      <c r="W17" s="13">
        <f t="shared" si="10"/>
        <v>218755.48967859545</v>
      </c>
      <c r="X17" s="14">
        <f t="shared" si="11"/>
        <v>0</v>
      </c>
      <c r="Y17" s="12">
        <f t="shared" si="12"/>
        <v>0.5</v>
      </c>
      <c r="Z17" s="14">
        <f t="shared" si="13"/>
        <v>0</v>
      </c>
      <c r="AA17" s="15">
        <f t="shared" si="15"/>
        <v>104</v>
      </c>
      <c r="AB17" s="14">
        <f t="shared" si="17"/>
        <v>379176.18210956542</v>
      </c>
      <c r="AC17" s="14">
        <f t="shared" si="14"/>
        <v>811397.18345705047</v>
      </c>
      <c r="AD17" s="14">
        <f t="shared" si="18"/>
        <v>432221.00134748506</v>
      </c>
      <c r="AE17" s="14">
        <f t="shared" si="19"/>
        <v>4168088.9472842403</v>
      </c>
      <c r="AF17" s="15">
        <f t="shared" si="16"/>
        <v>314825.7905260424</v>
      </c>
      <c r="AJ17" s="61"/>
      <c r="AK17" s="61"/>
    </row>
    <row r="18" spans="1:39" x14ac:dyDescent="0.2">
      <c r="A18" t="s">
        <v>64</v>
      </c>
      <c r="B18" s="40" t="s">
        <v>25</v>
      </c>
      <c r="C18" s="28">
        <v>0.5</v>
      </c>
      <c r="D18" s="2" t="s">
        <v>34</v>
      </c>
      <c r="E18" s="2"/>
      <c r="H18" s="40">
        <v>15</v>
      </c>
      <c r="I18" s="80">
        <v>278742.32132881437</v>
      </c>
      <c r="J18" s="80">
        <v>323376.13326619234</v>
      </c>
      <c r="K18" s="7">
        <f t="shared" si="0"/>
        <v>2680.2146281616765</v>
      </c>
      <c r="L18" s="7">
        <f t="shared" si="1"/>
        <v>3109.3858967903111</v>
      </c>
      <c r="M18" s="51">
        <v>15</v>
      </c>
      <c r="N18" s="34" t="s">
        <v>14</v>
      </c>
      <c r="O18" s="7">
        <f t="shared" si="2"/>
        <v>9</v>
      </c>
      <c r="P18" s="12">
        <f t="shared" si="3"/>
        <v>0.9</v>
      </c>
      <c r="Q18" s="13">
        <f t="shared" si="4"/>
        <v>33704.499366848257</v>
      </c>
      <c r="R18" s="14">
        <f t="shared" si="5"/>
        <v>35</v>
      </c>
      <c r="S18" s="12">
        <f t="shared" si="6"/>
        <v>0.9</v>
      </c>
      <c r="T18" s="14">
        <f t="shared" si="7"/>
        <v>131073.05309329877</v>
      </c>
      <c r="U18" s="7">
        <f t="shared" si="8"/>
        <v>60</v>
      </c>
      <c r="V18" s="12">
        <f t="shared" si="9"/>
        <v>0.9</v>
      </c>
      <c r="W18" s="13">
        <f t="shared" si="10"/>
        <v>224696.66244565501</v>
      </c>
      <c r="X18" s="14">
        <f t="shared" si="11"/>
        <v>0</v>
      </c>
      <c r="Y18" s="12">
        <f t="shared" si="12"/>
        <v>0.5</v>
      </c>
      <c r="Z18" s="14">
        <f t="shared" si="13"/>
        <v>0</v>
      </c>
      <c r="AA18" s="15">
        <f t="shared" si="15"/>
        <v>104</v>
      </c>
      <c r="AB18" s="14">
        <f t="shared" si="17"/>
        <v>389474.21490580204</v>
      </c>
      <c r="AC18" s="14">
        <f t="shared" si="14"/>
        <v>866052.39236862632</v>
      </c>
      <c r="AD18" s="14">
        <f t="shared" si="18"/>
        <v>476578.17746282427</v>
      </c>
      <c r="AE18" s="14">
        <f t="shared" si="19"/>
        <v>4644667.1247470649</v>
      </c>
      <c r="AF18" s="15">
        <f t="shared" si="16"/>
        <v>323376.13326619234</v>
      </c>
      <c r="AJ18" s="61"/>
      <c r="AK18" s="61"/>
    </row>
    <row r="19" spans="1:39" x14ac:dyDescent="0.2">
      <c r="A19" t="s">
        <v>65</v>
      </c>
      <c r="B19" s="40" t="s">
        <v>41</v>
      </c>
      <c r="C19" s="30">
        <f>C16/C17</f>
        <v>3099.5865384615386</v>
      </c>
      <c r="D19" s="2" t="s">
        <v>68</v>
      </c>
      <c r="E19" s="4"/>
      <c r="H19" s="40">
        <v>16</v>
      </c>
      <c r="I19" s="80">
        <v>286253.78010301548</v>
      </c>
      <c r="J19" s="80">
        <v>326898.40902553528</v>
      </c>
      <c r="K19" s="7">
        <f t="shared" si="0"/>
        <v>2752.4401932982259</v>
      </c>
      <c r="L19" s="7">
        <f t="shared" si="1"/>
        <v>3143.2539329378392</v>
      </c>
      <c r="M19" s="51">
        <v>16</v>
      </c>
      <c r="N19" s="34" t="s">
        <v>14</v>
      </c>
      <c r="O19" s="7">
        <f t="shared" si="2"/>
        <v>9</v>
      </c>
      <c r="P19" s="12">
        <f t="shared" si="3"/>
        <v>0.9</v>
      </c>
      <c r="Q19" s="13">
        <f t="shared" si="4"/>
        <v>34071.615331472996</v>
      </c>
      <c r="R19" s="14">
        <f t="shared" si="5"/>
        <v>35</v>
      </c>
      <c r="S19" s="12">
        <f t="shared" si="6"/>
        <v>0.9</v>
      </c>
      <c r="T19" s="14">
        <f t="shared" si="7"/>
        <v>132500.72628906165</v>
      </c>
      <c r="U19" s="7">
        <f t="shared" si="8"/>
        <v>60</v>
      </c>
      <c r="V19" s="12">
        <f t="shared" si="9"/>
        <v>0.9</v>
      </c>
      <c r="W19" s="13">
        <f t="shared" si="10"/>
        <v>227144.10220981998</v>
      </c>
      <c r="X19" s="14">
        <f t="shared" si="11"/>
        <v>0</v>
      </c>
      <c r="Y19" s="12">
        <f t="shared" si="12"/>
        <v>0.5</v>
      </c>
      <c r="Z19" s="14">
        <f t="shared" si="13"/>
        <v>0</v>
      </c>
      <c r="AA19" s="15">
        <f t="shared" si="15"/>
        <v>104</v>
      </c>
      <c r="AB19" s="14">
        <f t="shared" si="17"/>
        <v>393716.4438303546</v>
      </c>
      <c r="AC19" s="14">
        <f t="shared" si="14"/>
        <v>889390.4947800691</v>
      </c>
      <c r="AD19" s="14">
        <f t="shared" si="18"/>
        <v>495674.0509497145</v>
      </c>
      <c r="AE19" s="14">
        <f t="shared" si="19"/>
        <v>5140341.175696779</v>
      </c>
      <c r="AF19" s="15">
        <f t="shared" si="16"/>
        <v>326898.40902553528</v>
      </c>
      <c r="AJ19" s="61"/>
      <c r="AK19" s="61"/>
    </row>
    <row r="20" spans="1:39" x14ac:dyDescent="0.2">
      <c r="A20" t="s">
        <v>66</v>
      </c>
      <c r="B20" s="40" t="s">
        <v>46</v>
      </c>
      <c r="C20" s="29">
        <v>2.0449999999999999</v>
      </c>
      <c r="D20" s="60" t="s">
        <v>35</v>
      </c>
      <c r="E20" s="3"/>
      <c r="H20" s="40">
        <v>17</v>
      </c>
      <c r="I20" s="80">
        <v>286253.78010301548</v>
      </c>
      <c r="J20" s="80">
        <v>327540.93378990749</v>
      </c>
      <c r="K20" s="7">
        <f t="shared" si="0"/>
        <v>2752.4401932982259</v>
      </c>
      <c r="L20" s="7">
        <f t="shared" si="1"/>
        <v>3149.4320556721873</v>
      </c>
      <c r="M20" s="51">
        <v>17</v>
      </c>
      <c r="N20" s="34" t="s">
        <v>14</v>
      </c>
      <c r="O20" s="7">
        <f t="shared" si="2"/>
        <v>9</v>
      </c>
      <c r="P20" s="12">
        <f t="shared" si="3"/>
        <v>0.9</v>
      </c>
      <c r="Q20" s="13">
        <f t="shared" si="4"/>
        <v>34138.583710664236</v>
      </c>
      <c r="R20" s="14">
        <f t="shared" si="5"/>
        <v>35</v>
      </c>
      <c r="S20" s="12">
        <f t="shared" si="6"/>
        <v>0.9</v>
      </c>
      <c r="T20" s="14">
        <f t="shared" si="7"/>
        <v>132761.15887480538</v>
      </c>
      <c r="U20" s="7">
        <f t="shared" si="8"/>
        <v>60</v>
      </c>
      <c r="V20" s="12">
        <f t="shared" si="9"/>
        <v>0.9</v>
      </c>
      <c r="W20" s="13">
        <f t="shared" si="10"/>
        <v>227590.55807109491</v>
      </c>
      <c r="X20" s="14">
        <f t="shared" si="11"/>
        <v>0</v>
      </c>
      <c r="Y20" s="12">
        <f t="shared" si="12"/>
        <v>0.5</v>
      </c>
      <c r="Z20" s="14">
        <f t="shared" si="13"/>
        <v>0</v>
      </c>
      <c r="AA20" s="15">
        <f t="shared" si="15"/>
        <v>104</v>
      </c>
      <c r="AB20" s="14">
        <f t="shared" si="17"/>
        <v>394490.30065656453</v>
      </c>
      <c r="AC20" s="14">
        <f t="shared" si="14"/>
        <v>889390.4947800691</v>
      </c>
      <c r="AD20" s="14">
        <f t="shared" si="18"/>
        <v>494900.19412350457</v>
      </c>
      <c r="AE20" s="14">
        <f t="shared" si="19"/>
        <v>5635241.3698202837</v>
      </c>
      <c r="AF20" s="15">
        <f t="shared" si="16"/>
        <v>327540.93378990749</v>
      </c>
      <c r="AJ20" s="61"/>
      <c r="AK20" s="61"/>
    </row>
    <row r="21" spans="1:39" x14ac:dyDescent="0.2">
      <c r="A21" t="s">
        <v>60</v>
      </c>
      <c r="B21" s="40" t="s">
        <v>51</v>
      </c>
      <c r="C21" s="77">
        <v>3.1070000000000002</v>
      </c>
      <c r="D21" s="60" t="s">
        <v>72</v>
      </c>
      <c r="E21" s="3"/>
      <c r="H21" s="40">
        <v>18</v>
      </c>
      <c r="I21" s="80">
        <v>286253.78010301548</v>
      </c>
      <c r="J21" s="80">
        <v>328193.04703160538</v>
      </c>
      <c r="K21" s="7">
        <f t="shared" si="0"/>
        <v>2752.4401932982259</v>
      </c>
      <c r="L21" s="7">
        <f t="shared" si="1"/>
        <v>3155.702375303898</v>
      </c>
      <c r="M21" s="51">
        <v>18</v>
      </c>
      <c r="N21" s="34" t="s">
        <v>14</v>
      </c>
      <c r="O21" s="7">
        <f t="shared" si="2"/>
        <v>9</v>
      </c>
      <c r="P21" s="12">
        <f t="shared" si="3"/>
        <v>0.9</v>
      </c>
      <c r="Q21" s="13">
        <f t="shared" si="4"/>
        <v>34206.551467344128</v>
      </c>
      <c r="R21" s="14">
        <f t="shared" si="5"/>
        <v>35</v>
      </c>
      <c r="S21" s="12">
        <f t="shared" si="6"/>
        <v>0.9</v>
      </c>
      <c r="T21" s="14">
        <f t="shared" si="7"/>
        <v>133025.47792856049</v>
      </c>
      <c r="U21" s="7">
        <f t="shared" si="8"/>
        <v>60</v>
      </c>
      <c r="V21" s="12">
        <f t="shared" si="9"/>
        <v>0.9</v>
      </c>
      <c r="W21" s="13">
        <f t="shared" si="10"/>
        <v>228043.67644896088</v>
      </c>
      <c r="X21" s="14">
        <f t="shared" si="11"/>
        <v>0</v>
      </c>
      <c r="Y21" s="12">
        <f t="shared" si="12"/>
        <v>0.5</v>
      </c>
      <c r="Z21" s="14">
        <f t="shared" si="13"/>
        <v>0</v>
      </c>
      <c r="AA21" s="15">
        <f t="shared" si="15"/>
        <v>104</v>
      </c>
      <c r="AB21" s="14">
        <f t="shared" si="17"/>
        <v>395275.70584486553</v>
      </c>
      <c r="AC21" s="14">
        <f t="shared" si="14"/>
        <v>889390.4947800691</v>
      </c>
      <c r="AD21" s="14">
        <f t="shared" si="18"/>
        <v>494114.78893520357</v>
      </c>
      <c r="AE21" s="14">
        <f t="shared" si="19"/>
        <v>6129356.1587554868</v>
      </c>
      <c r="AF21" s="15">
        <f t="shared" si="16"/>
        <v>328193.04703160538</v>
      </c>
      <c r="AJ21" s="61"/>
      <c r="AK21" s="61"/>
    </row>
    <row r="22" spans="1:39" x14ac:dyDescent="0.2">
      <c r="A22" t="s">
        <v>56</v>
      </c>
      <c r="B22" s="40" t="s">
        <v>47</v>
      </c>
      <c r="C22" s="29">
        <v>1.111</v>
      </c>
      <c r="D22" s="60" t="s">
        <v>35</v>
      </c>
      <c r="E22" s="3"/>
      <c r="H22" s="40">
        <v>19</v>
      </c>
      <c r="I22" s="80">
        <v>286253.78010301548</v>
      </c>
      <c r="J22" s="80">
        <v>328854.76940966077</v>
      </c>
      <c r="K22" s="7">
        <f t="shared" si="0"/>
        <v>2752.4401932982259</v>
      </c>
      <c r="L22" s="7">
        <f t="shared" si="1"/>
        <v>3162.0650904775075</v>
      </c>
      <c r="M22" s="51">
        <v>19</v>
      </c>
      <c r="N22" s="34" t="s">
        <v>14</v>
      </c>
      <c r="O22" s="7">
        <f t="shared" si="2"/>
        <v>9</v>
      </c>
      <c r="P22" s="12">
        <f t="shared" si="3"/>
        <v>0.9</v>
      </c>
      <c r="Q22" s="13">
        <f t="shared" si="4"/>
        <v>34275.520754739984</v>
      </c>
      <c r="R22" s="14">
        <f t="shared" si="5"/>
        <v>35</v>
      </c>
      <c r="S22" s="12">
        <f t="shared" si="6"/>
        <v>0.9</v>
      </c>
      <c r="T22" s="14">
        <f t="shared" si="7"/>
        <v>133293.69182398883</v>
      </c>
      <c r="U22" s="7">
        <f t="shared" si="8"/>
        <v>60</v>
      </c>
      <c r="V22" s="12">
        <f t="shared" si="9"/>
        <v>0.9</v>
      </c>
      <c r="W22" s="13">
        <f t="shared" si="10"/>
        <v>228503.47169826657</v>
      </c>
      <c r="X22" s="14">
        <f t="shared" si="11"/>
        <v>0</v>
      </c>
      <c r="Y22" s="12">
        <f t="shared" si="12"/>
        <v>0.5</v>
      </c>
      <c r="Z22" s="14">
        <f t="shared" si="13"/>
        <v>0</v>
      </c>
      <c r="AA22" s="15">
        <f t="shared" si="15"/>
        <v>104</v>
      </c>
      <c r="AB22" s="14">
        <f t="shared" si="17"/>
        <v>396072.68427699537</v>
      </c>
      <c r="AC22" s="14">
        <f t="shared" si="14"/>
        <v>889390.4947800691</v>
      </c>
      <c r="AD22" s="14">
        <f t="shared" si="18"/>
        <v>493317.81050307374</v>
      </c>
      <c r="AE22" s="14">
        <f t="shared" si="19"/>
        <v>6622673.9692585608</v>
      </c>
      <c r="AF22" s="15">
        <f t="shared" si="16"/>
        <v>328854.76940966077</v>
      </c>
      <c r="AJ22" s="61"/>
      <c r="AK22" s="61"/>
    </row>
    <row r="23" spans="1:39" x14ac:dyDescent="0.2">
      <c r="A23" t="s">
        <v>67</v>
      </c>
      <c r="B23" s="41" t="s">
        <v>29</v>
      </c>
      <c r="C23" s="31"/>
      <c r="D23" s="60" t="s">
        <v>48</v>
      </c>
      <c r="E23" s="3"/>
      <c r="H23" s="41">
        <v>20</v>
      </c>
      <c r="I23" s="70">
        <v>286253.78010301548</v>
      </c>
      <c r="J23" s="70">
        <v>329526.12193571805</v>
      </c>
      <c r="K23" s="16">
        <f t="shared" si="0"/>
        <v>2752.4401932982259</v>
      </c>
      <c r="L23" s="16">
        <f t="shared" si="1"/>
        <v>3168.5204032280581</v>
      </c>
      <c r="M23" s="52">
        <v>20</v>
      </c>
      <c r="N23" s="36" t="s">
        <v>14</v>
      </c>
      <c r="O23" s="16">
        <f t="shared" si="2"/>
        <v>9</v>
      </c>
      <c r="P23" s="17">
        <f t="shared" si="3"/>
        <v>0.9</v>
      </c>
      <c r="Q23" s="18">
        <f t="shared" si="4"/>
        <v>34345.493762830854</v>
      </c>
      <c r="R23" s="19">
        <f t="shared" si="5"/>
        <v>35</v>
      </c>
      <c r="S23" s="17">
        <f t="shared" si="6"/>
        <v>0.9</v>
      </c>
      <c r="T23" s="19">
        <f t="shared" si="7"/>
        <v>133565.80907767557</v>
      </c>
      <c r="U23" s="16">
        <f t="shared" si="8"/>
        <v>60</v>
      </c>
      <c r="V23" s="17">
        <f t="shared" si="9"/>
        <v>0.9</v>
      </c>
      <c r="W23" s="18">
        <f t="shared" si="10"/>
        <v>228969.95841887235</v>
      </c>
      <c r="X23" s="16">
        <f t="shared" si="11"/>
        <v>0</v>
      </c>
      <c r="Y23" s="17">
        <f t="shared" si="12"/>
        <v>0.5</v>
      </c>
      <c r="Z23" s="19">
        <f t="shared" si="13"/>
        <v>0</v>
      </c>
      <c r="AA23" s="20">
        <f t="shared" si="15"/>
        <v>104</v>
      </c>
      <c r="AB23" s="19">
        <f t="shared" si="17"/>
        <v>396881.26125937875</v>
      </c>
      <c r="AC23" s="19">
        <f t="shared" si="14"/>
        <v>889390.4947800691</v>
      </c>
      <c r="AD23" s="19">
        <f>AC23-AB23</f>
        <v>492509.23352069035</v>
      </c>
      <c r="AE23" s="19">
        <f t="shared" si="19"/>
        <v>7115183.2027792512</v>
      </c>
      <c r="AF23" s="20">
        <f t="shared" si="16"/>
        <v>329526.12193571805</v>
      </c>
      <c r="AJ23" s="61"/>
      <c r="AK23" s="61"/>
    </row>
    <row r="24" spans="1:39" x14ac:dyDescent="0.2">
      <c r="AB24" s="106" t="s">
        <v>87</v>
      </c>
      <c r="AC24" s="106"/>
      <c r="AD24" s="106"/>
      <c r="AE24" s="106"/>
      <c r="AF24" s="106"/>
      <c r="AL24" s="61"/>
      <c r="AM24" s="61"/>
    </row>
    <row r="25" spans="1:39" x14ac:dyDescent="0.2">
      <c r="AB25" s="107"/>
      <c r="AC25" s="107"/>
      <c r="AD25" s="107"/>
      <c r="AE25" s="107"/>
      <c r="AF25" s="107"/>
      <c r="AL25" s="61"/>
      <c r="AM25" s="61"/>
    </row>
    <row r="26" spans="1:39" x14ac:dyDescent="0.2">
      <c r="B26" s="43" t="s">
        <v>69</v>
      </c>
      <c r="C26" s="46" t="s">
        <v>7</v>
      </c>
      <c r="D26" s="46" t="s">
        <v>8</v>
      </c>
      <c r="E26" s="46" t="s">
        <v>9</v>
      </c>
      <c r="F26" s="46" t="s">
        <v>12</v>
      </c>
      <c r="G26" s="47" t="s">
        <v>19</v>
      </c>
      <c r="AB26" s="107"/>
      <c r="AC26" s="107"/>
      <c r="AD26" s="107"/>
      <c r="AE26" s="107"/>
      <c r="AF26" s="107"/>
      <c r="AK26" s="61"/>
      <c r="AL26" s="61"/>
    </row>
    <row r="27" spans="1:39" x14ac:dyDescent="0.2">
      <c r="B27" s="40" t="s">
        <v>6</v>
      </c>
      <c r="C27" s="32">
        <v>0</v>
      </c>
      <c r="D27" s="32">
        <v>0</v>
      </c>
      <c r="E27" s="32">
        <v>0</v>
      </c>
      <c r="F27" s="14">
        <f>SUM(C27:E27)</f>
        <v>0</v>
      </c>
      <c r="G27" s="13">
        <f>F27</f>
        <v>0</v>
      </c>
      <c r="W27" s="61"/>
      <c r="X27" s="61"/>
      <c r="Y27" s="61"/>
      <c r="Z27" s="61"/>
      <c r="AA27" s="1"/>
      <c r="AB27" s="107"/>
      <c r="AC27" s="107"/>
      <c r="AD27" s="107"/>
      <c r="AE27" s="107"/>
      <c r="AF27" s="107"/>
      <c r="AK27" s="61"/>
      <c r="AL27" s="61"/>
    </row>
    <row r="28" spans="1:39" x14ac:dyDescent="0.2">
      <c r="B28" s="40" t="s">
        <v>5</v>
      </c>
      <c r="C28" s="68">
        <v>4</v>
      </c>
      <c r="D28" s="68">
        <v>3</v>
      </c>
      <c r="E28" s="68">
        <v>2</v>
      </c>
      <c r="F28" s="14">
        <f t="shared" ref="F28:F33" si="20">SUM(C28:E28)</f>
        <v>9</v>
      </c>
      <c r="G28" s="13">
        <f>F28+G27</f>
        <v>9</v>
      </c>
      <c r="H28" s="5"/>
      <c r="N28" s="1"/>
      <c r="W28" s="61"/>
      <c r="X28" s="61"/>
      <c r="Y28" s="61"/>
      <c r="Z28" s="61"/>
      <c r="AA28" s="1"/>
      <c r="AB28" s="107"/>
      <c r="AC28" s="107"/>
      <c r="AD28" s="107"/>
      <c r="AE28" s="107"/>
      <c r="AF28" s="107"/>
      <c r="AK28" s="61"/>
      <c r="AL28" s="61"/>
    </row>
    <row r="29" spans="1:39" x14ac:dyDescent="0.2">
      <c r="B29" s="40" t="s">
        <v>10</v>
      </c>
      <c r="C29" s="32">
        <v>15</v>
      </c>
      <c r="D29" s="32">
        <v>12</v>
      </c>
      <c r="E29" s="32">
        <v>8</v>
      </c>
      <c r="F29" s="14">
        <f t="shared" si="20"/>
        <v>35</v>
      </c>
      <c r="G29" s="13">
        <f>F29+G28</f>
        <v>44</v>
      </c>
      <c r="H29" s="4"/>
      <c r="W29" s="61"/>
      <c r="X29" s="61"/>
      <c r="Y29" s="61"/>
      <c r="Z29" s="61"/>
      <c r="AA29" s="1"/>
      <c r="AB29" s="1"/>
      <c r="AC29" s="1"/>
      <c r="AD29" s="1"/>
      <c r="AE29" s="1"/>
      <c r="AF29" s="1"/>
      <c r="AK29" s="61"/>
      <c r="AL29" s="61"/>
    </row>
    <row r="30" spans="1:39" x14ac:dyDescent="0.2">
      <c r="A30" s="3"/>
      <c r="B30" s="40" t="s">
        <v>13</v>
      </c>
      <c r="C30" s="32">
        <f>IF($C$10*SUM(C$27:C$29)&gt;C32-C29-C28-C27,C32-C29-C28-C27, $C$10*SUM(C$27:C$29))</f>
        <v>36</v>
      </c>
      <c r="D30" s="32">
        <f>IF($C$10*SUM(D$27:D$29)&gt;D32-D29-D28-D27,D32-D29-D28-D27, $C$10*SUM(D$27:D$29))</f>
        <v>19</v>
      </c>
      <c r="E30" s="32">
        <f>IF($C$10*SUM(E$27:E$29)&gt;E32-E29-E28-E27,E32-E29-E28-E27, $C$10*SUM(E$27:E$29))</f>
        <v>5</v>
      </c>
      <c r="F30" s="14">
        <f t="shared" si="20"/>
        <v>60</v>
      </c>
      <c r="G30" s="13">
        <f>F30+G29</f>
        <v>104</v>
      </c>
      <c r="H30" s="4"/>
      <c r="W30" s="61"/>
      <c r="X30" s="61"/>
      <c r="Y30" s="61"/>
      <c r="Z30" s="61"/>
      <c r="AA30" s="1"/>
      <c r="AB30" s="1"/>
      <c r="AC30" s="1"/>
      <c r="AD30" s="1"/>
      <c r="AE30" s="1"/>
      <c r="AF30" s="1"/>
      <c r="AK30" s="61"/>
      <c r="AL30" s="61"/>
    </row>
    <row r="31" spans="1:39" s="67" customFormat="1" x14ac:dyDescent="0.2">
      <c r="A31" s="69"/>
      <c r="B31" s="40" t="s">
        <v>11</v>
      </c>
      <c r="C31" s="14">
        <f>C32-SUM(C27:C30)</f>
        <v>0</v>
      </c>
      <c r="D31" s="14">
        <f>D32-SUM(D27:D30)</f>
        <v>0</v>
      </c>
      <c r="E31" s="14">
        <f>E32-SUM(E27:E30)</f>
        <v>0</v>
      </c>
      <c r="F31" s="14">
        <f t="shared" si="20"/>
        <v>0</v>
      </c>
      <c r="G31" s="13">
        <f>F31+G30</f>
        <v>104</v>
      </c>
      <c r="H31" s="4"/>
      <c r="I31" s="78"/>
      <c r="K31" s="78"/>
      <c r="V31"/>
      <c r="W31" s="61"/>
      <c r="X31" s="61"/>
      <c r="Y31" s="61"/>
      <c r="Z31" s="61"/>
      <c r="AA31" s="1"/>
      <c r="AB31" s="1"/>
      <c r="AC31" s="1"/>
      <c r="AD31" s="1"/>
      <c r="AE31" s="1"/>
      <c r="AF31" s="1"/>
      <c r="AJ31"/>
      <c r="AK31" s="61"/>
      <c r="AL31" s="61"/>
    </row>
    <row r="32" spans="1:39" x14ac:dyDescent="0.2">
      <c r="B32" s="42" t="s">
        <v>12</v>
      </c>
      <c r="C32" s="56">
        <v>55</v>
      </c>
      <c r="D32" s="56">
        <v>34</v>
      </c>
      <c r="E32" s="56">
        <v>15</v>
      </c>
      <c r="F32" s="33">
        <f t="shared" si="20"/>
        <v>104</v>
      </c>
      <c r="G32" s="6"/>
      <c r="H32" s="4"/>
      <c r="I32" s="78"/>
      <c r="K32" s="78"/>
      <c r="N32" s="1"/>
      <c r="O32" s="1"/>
      <c r="P32" s="1"/>
      <c r="Q32" s="1"/>
      <c r="W32" s="61"/>
      <c r="X32" s="61"/>
      <c r="Y32" s="61"/>
      <c r="Z32" s="61"/>
      <c r="AA32" s="1"/>
      <c r="AB32" s="1"/>
      <c r="AC32" s="1"/>
      <c r="AD32" s="1"/>
      <c r="AE32" s="1"/>
      <c r="AF32" s="1"/>
      <c r="AK32" s="61"/>
      <c r="AL32" s="61"/>
    </row>
    <row r="33" spans="2:38" x14ac:dyDescent="0.2">
      <c r="B33" s="69"/>
      <c r="C33" s="66"/>
      <c r="D33" s="67"/>
      <c r="E33" s="66"/>
      <c r="F33" s="14">
        <f t="shared" si="20"/>
        <v>0</v>
      </c>
      <c r="H33" s="66"/>
      <c r="I33" s="78"/>
      <c r="K33" s="78"/>
      <c r="N33" s="61"/>
      <c r="O33" s="61"/>
      <c r="P33" s="61"/>
      <c r="Q33" s="61"/>
      <c r="W33" s="61"/>
      <c r="X33" s="61"/>
      <c r="Y33" s="61"/>
      <c r="Z33" s="61"/>
      <c r="AA33" s="1"/>
      <c r="AB33" s="1"/>
      <c r="AC33" s="1"/>
      <c r="AD33" s="1"/>
      <c r="AE33" s="1"/>
      <c r="AF33" s="1"/>
      <c r="AK33" s="61"/>
      <c r="AL33" s="61"/>
    </row>
    <row r="34" spans="2:38" x14ac:dyDescent="0.2">
      <c r="B34" s="69"/>
      <c r="C34" s="66"/>
      <c r="D34" s="67"/>
      <c r="E34" s="66"/>
      <c r="F34" s="66"/>
      <c r="G34" s="67"/>
      <c r="H34" s="4"/>
      <c r="I34" s="78"/>
      <c r="K34" s="78"/>
      <c r="N34" s="61"/>
      <c r="O34" s="61"/>
      <c r="P34" s="61"/>
      <c r="Q34" s="61"/>
      <c r="W34" s="61"/>
      <c r="X34" s="61"/>
      <c r="Y34" s="61"/>
      <c r="Z34" s="61"/>
      <c r="AA34" s="1"/>
      <c r="AB34" s="1"/>
      <c r="AC34" s="1"/>
      <c r="AD34" s="1"/>
      <c r="AE34" s="1"/>
      <c r="AF34" s="1"/>
    </row>
    <row r="35" spans="2:38" x14ac:dyDescent="0.2">
      <c r="B35" s="43" t="s">
        <v>4</v>
      </c>
      <c r="C35" s="46" t="s">
        <v>5</v>
      </c>
      <c r="D35" s="46" t="s">
        <v>10</v>
      </c>
      <c r="E35" s="47" t="s">
        <v>13</v>
      </c>
      <c r="H35" s="4"/>
      <c r="I35" s="78"/>
      <c r="K35" s="78"/>
      <c r="N35" s="62"/>
      <c r="O35" s="62"/>
      <c r="P35" s="62"/>
      <c r="Q35" s="62"/>
      <c r="W35" s="61"/>
      <c r="X35" s="61"/>
      <c r="Y35" s="61"/>
      <c r="Z35" s="61"/>
      <c r="AA35" s="1"/>
      <c r="AB35" s="1"/>
      <c r="AC35" s="1"/>
      <c r="AD35" s="1"/>
      <c r="AE35" s="1"/>
      <c r="AF35" s="1"/>
    </row>
    <row r="36" spans="2:38" x14ac:dyDescent="0.2">
      <c r="B36" s="44">
        <v>1</v>
      </c>
      <c r="C36" s="14">
        <v>0</v>
      </c>
      <c r="D36" s="14">
        <v>0</v>
      </c>
      <c r="E36" s="13">
        <v>0</v>
      </c>
      <c r="F36" s="61">
        <f>SUM(C36:E36)</f>
        <v>0</v>
      </c>
      <c r="I36" s="78"/>
      <c r="K36" s="78"/>
      <c r="W36" s="61"/>
      <c r="X36" s="61"/>
      <c r="Y36" s="61"/>
      <c r="Z36" s="61"/>
      <c r="AA36" s="1"/>
      <c r="AB36" s="1"/>
      <c r="AC36" s="1"/>
      <c r="AD36" s="1"/>
      <c r="AE36" s="1"/>
      <c r="AF36" s="1"/>
    </row>
    <row r="37" spans="2:38" x14ac:dyDescent="0.2">
      <c r="B37" s="44">
        <v>2</v>
      </c>
      <c r="C37" s="14">
        <f>G$28</f>
        <v>9</v>
      </c>
      <c r="D37" s="14">
        <v>0</v>
      </c>
      <c r="E37" s="13">
        <v>0</v>
      </c>
      <c r="F37" s="61">
        <f t="shared" ref="F37:F39" si="21">SUM(C37:E37)</f>
        <v>9</v>
      </c>
      <c r="I37" s="78"/>
      <c r="K37" s="78"/>
      <c r="W37" s="61"/>
      <c r="X37" s="61"/>
      <c r="Y37" s="61"/>
      <c r="Z37" s="61"/>
      <c r="AA37" s="1"/>
      <c r="AB37" s="1"/>
      <c r="AC37" s="1"/>
      <c r="AD37" s="1"/>
      <c r="AE37" s="1"/>
      <c r="AF37" s="1"/>
    </row>
    <row r="38" spans="2:38" x14ac:dyDescent="0.2">
      <c r="B38" s="44">
        <v>3</v>
      </c>
      <c r="C38" s="14">
        <f>G$28</f>
        <v>9</v>
      </c>
      <c r="D38" s="14">
        <f>F$29</f>
        <v>35</v>
      </c>
      <c r="E38" s="13">
        <v>0</v>
      </c>
      <c r="F38" s="61">
        <f t="shared" si="21"/>
        <v>44</v>
      </c>
      <c r="G38" s="1"/>
      <c r="I38" s="78"/>
      <c r="K38" s="78"/>
      <c r="W38" s="61"/>
      <c r="X38" s="61"/>
      <c r="Y38" s="61"/>
      <c r="Z38" s="61"/>
      <c r="AA38" s="1"/>
      <c r="AB38" s="1"/>
      <c r="AC38" s="1"/>
      <c r="AD38" s="1"/>
      <c r="AE38" s="1"/>
      <c r="AF38" s="1"/>
    </row>
    <row r="39" spans="2:38" x14ac:dyDescent="0.2">
      <c r="B39" s="45">
        <v>4</v>
      </c>
      <c r="C39" s="19">
        <f>G$28</f>
        <v>9</v>
      </c>
      <c r="D39" s="19">
        <f>F$29</f>
        <v>35</v>
      </c>
      <c r="E39" s="18">
        <f>F30</f>
        <v>60</v>
      </c>
      <c r="F39" s="61">
        <f t="shared" si="21"/>
        <v>104</v>
      </c>
      <c r="G39" s="1"/>
      <c r="H39" s="61"/>
      <c r="I39" s="78"/>
      <c r="K39" s="78"/>
      <c r="W39" s="61"/>
      <c r="X39" s="61"/>
      <c r="Y39" s="61"/>
      <c r="Z39" s="61"/>
      <c r="AA39" s="1"/>
      <c r="AB39" s="1"/>
      <c r="AC39" s="1"/>
      <c r="AD39" s="1"/>
      <c r="AE39" s="1"/>
      <c r="AF39" s="1"/>
    </row>
    <row r="40" spans="2:38" x14ac:dyDescent="0.2">
      <c r="H40" s="61"/>
      <c r="I40" s="78"/>
      <c r="K40" s="78"/>
      <c r="W40" s="61"/>
      <c r="X40" s="61"/>
      <c r="Y40" s="61"/>
      <c r="Z40" s="61"/>
      <c r="AA40" s="1"/>
      <c r="AB40" s="1"/>
      <c r="AC40" s="1"/>
      <c r="AD40" s="1"/>
      <c r="AE40" s="1"/>
      <c r="AF40" s="1"/>
    </row>
    <row r="41" spans="2:38" x14ac:dyDescent="0.2">
      <c r="I41" s="78"/>
      <c r="K41" s="78"/>
      <c r="W41" s="61"/>
      <c r="X41" s="61"/>
      <c r="Y41" s="61"/>
      <c r="Z41" s="61"/>
      <c r="AA41" s="1"/>
      <c r="AB41" s="1"/>
      <c r="AC41" s="1"/>
      <c r="AD41" s="1"/>
      <c r="AE41" s="1"/>
      <c r="AF41" s="1"/>
    </row>
    <row r="42" spans="2:38" x14ac:dyDescent="0.2">
      <c r="I42" s="78"/>
      <c r="K42" s="78"/>
      <c r="W42" s="61"/>
      <c r="X42" s="61"/>
      <c r="Y42" s="61"/>
      <c r="Z42" s="61"/>
      <c r="AA42" s="1"/>
      <c r="AB42" s="1"/>
      <c r="AC42" s="1"/>
      <c r="AD42" s="1"/>
      <c r="AE42" s="1"/>
      <c r="AF42" s="1"/>
    </row>
    <row r="43" spans="2:38" x14ac:dyDescent="0.2">
      <c r="I43" s="78"/>
      <c r="K43" s="78"/>
      <c r="W43" s="61"/>
      <c r="X43" s="61"/>
      <c r="Y43" s="61"/>
      <c r="Z43" s="61"/>
      <c r="AA43" s="1"/>
      <c r="AB43" s="1"/>
      <c r="AC43" s="1"/>
      <c r="AD43" s="1"/>
      <c r="AE43" s="1"/>
      <c r="AF43" s="1"/>
    </row>
    <row r="44" spans="2:38" x14ac:dyDescent="0.2">
      <c r="I44" s="78"/>
      <c r="K44" s="78"/>
      <c r="W44" s="61"/>
      <c r="X44" s="61"/>
      <c r="Y44" s="61"/>
      <c r="Z44" s="61"/>
      <c r="AA44" s="1"/>
      <c r="AB44" s="1"/>
      <c r="AC44" s="1"/>
      <c r="AD44" s="1"/>
      <c r="AE44" s="1"/>
      <c r="AF44" s="1"/>
    </row>
    <row r="45" spans="2:38" x14ac:dyDescent="0.2">
      <c r="I45" s="78"/>
      <c r="K45" s="78"/>
      <c r="W45" s="61"/>
      <c r="X45" s="61"/>
      <c r="Y45" s="61"/>
      <c r="Z45" s="61"/>
      <c r="AA45" s="1"/>
      <c r="AB45" s="1"/>
      <c r="AC45" s="1"/>
      <c r="AD45" s="1"/>
      <c r="AE45" s="1"/>
      <c r="AF45" s="1"/>
    </row>
    <row r="46" spans="2:38" x14ac:dyDescent="0.2">
      <c r="I46" s="78"/>
      <c r="K46" s="78"/>
      <c r="W46" s="61"/>
      <c r="X46" s="61"/>
      <c r="Y46" s="61"/>
      <c r="Z46" s="61"/>
      <c r="AA46" s="1"/>
      <c r="AB46" s="1"/>
      <c r="AC46" s="1"/>
      <c r="AD46" s="1"/>
      <c r="AE46" s="1"/>
      <c r="AF46" s="1"/>
    </row>
    <row r="47" spans="2:38" x14ac:dyDescent="0.2">
      <c r="I47" s="78"/>
      <c r="K47" s="78"/>
    </row>
    <row r="48" spans="2:38" x14ac:dyDescent="0.2">
      <c r="I48" s="78"/>
      <c r="K48" s="79"/>
    </row>
    <row r="49" spans="3:11" x14ac:dyDescent="0.2">
      <c r="I49" s="79"/>
      <c r="K49" s="79"/>
    </row>
    <row r="50" spans="3:11" x14ac:dyDescent="0.2">
      <c r="I50" s="79"/>
      <c r="K50" s="79"/>
    </row>
    <row r="52" spans="3:11" x14ac:dyDescent="0.2">
      <c r="D52" s="75"/>
    </row>
    <row r="53" spans="3:11" x14ac:dyDescent="0.2">
      <c r="D53" s="75"/>
    </row>
    <row r="54" spans="3:11" x14ac:dyDescent="0.2">
      <c r="D54" s="75"/>
    </row>
    <row r="55" spans="3:11" x14ac:dyDescent="0.2">
      <c r="D55" s="75"/>
    </row>
    <row r="56" spans="3:11" x14ac:dyDescent="0.2">
      <c r="D56" s="75"/>
    </row>
    <row r="57" spans="3:11" x14ac:dyDescent="0.2">
      <c r="D57" s="75"/>
    </row>
    <row r="58" spans="3:11" x14ac:dyDescent="0.2">
      <c r="D58" s="75"/>
    </row>
    <row r="60" spans="3:11" x14ac:dyDescent="0.2">
      <c r="C60" s="1"/>
      <c r="D60" s="1"/>
    </row>
    <row r="61" spans="3:11" x14ac:dyDescent="0.2">
      <c r="C61" s="4"/>
      <c r="D61" s="1"/>
    </row>
    <row r="62" spans="3:11" x14ac:dyDescent="0.2">
      <c r="C62" s="4"/>
      <c r="D62" s="1"/>
    </row>
    <row r="63" spans="3:11" x14ac:dyDescent="0.2">
      <c r="C63" s="4"/>
      <c r="D63" s="1"/>
    </row>
    <row r="64" spans="3:11" x14ac:dyDescent="0.2">
      <c r="C64" s="4"/>
      <c r="D64" s="1"/>
    </row>
  </sheetData>
  <mergeCells count="18">
    <mergeCell ref="AA2:AA3"/>
    <mergeCell ref="AB2:AB3"/>
    <mergeCell ref="AC2:AC3"/>
    <mergeCell ref="O2:Q2"/>
    <mergeCell ref="AB24:AF28"/>
    <mergeCell ref="H2:H3"/>
    <mergeCell ref="I2:I3"/>
    <mergeCell ref="K2:K3"/>
    <mergeCell ref="M2:M3"/>
    <mergeCell ref="N2:N3"/>
    <mergeCell ref="AF2:AF3"/>
    <mergeCell ref="AE2:AE3"/>
    <mergeCell ref="AD2:AD3"/>
    <mergeCell ref="J2:J3"/>
    <mergeCell ref="L2:L3"/>
    <mergeCell ref="R2:T2"/>
    <mergeCell ref="U2:W2"/>
    <mergeCell ref="X2:Z2"/>
  </mergeCells>
  <pageMargins left="0.7" right="0.7" top="0.75" bottom="0.75" header="0.3" footer="0.3"/>
  <pageSetup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75803A56C1B0D64EB47531D572C02B87" ma:contentTypeVersion="15" ma:contentTypeDescription="Create a new document." ma:contentTypeScope="" ma:versionID="d6b2435f1518236f58d144da07e72cfa">
  <xsd:schema xmlns:xsd="http://www.w3.org/2001/XMLSchema" xmlns:xs="http://www.w3.org/2001/XMLSchema" xmlns:p="http://schemas.microsoft.com/office/2006/metadata/properties" xmlns:ns1="http://schemas.microsoft.com/sharepoint/v3" xmlns:ns2="cd70a8df-fc1c-4d74-973c-c6c37511b536" xmlns:ns3="cd15f4be-4c84-43e0-9533-8b612df0f21c" targetNamespace="http://schemas.microsoft.com/office/2006/metadata/properties" ma:root="true" ma:fieldsID="7557d283e3e7c35548505106e586d323" ns1:_="" ns2:_="" ns3:_="">
    <xsd:import namespace="http://schemas.microsoft.com/sharepoint/v3"/>
    <xsd:import namespace="cd70a8df-fc1c-4d74-973c-c6c37511b536"/>
    <xsd:import namespace="cd15f4be-4c84-43e0-9533-8b612df0f21c"/>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DateTaken" minOccurs="0"/>
                <xsd:element ref="ns3:MediaServiceAutoTags" minOccurs="0"/>
                <xsd:element ref="ns1:_ip_UnifiedCompliancePolicyProperties" minOccurs="0"/>
                <xsd:element ref="ns1:_ip_UnifiedCompliancePolicyUIAction" minOccurs="0"/>
                <xsd:element ref="ns3:MediaServiceOCR" minOccurs="0"/>
                <xsd:element ref="ns3:MediaServiceEventHashCode" minOccurs="0"/>
                <xsd:element ref="ns3:MediaServiceGenerationTime" minOccurs="0"/>
                <xsd:element ref="ns3:MediaServiceLocation" minOccurs="0"/>
                <xsd:element ref="ns3:MediaServiceAutoKeyPoints" minOccurs="0"/>
                <xsd:element ref="ns3: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4" nillable="true" ma:displayName="Unified Compliance Policy Properties" ma:description="" ma:hidden="true" ma:internalName="_ip_UnifiedCompliancePolicyProperties">
      <xsd:simpleType>
        <xsd:restriction base="dms:Note"/>
      </xsd:simpleType>
    </xsd:element>
    <xsd:element name="_ip_UnifiedCompliancePolicyUIAction" ma:index="15" nillable="true" ma:displayName="Unified Compliance Policy UI Action" ma:descrip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cd70a8df-fc1c-4d74-973c-c6c37511b536" elementFormDefault="qualified">
    <xsd:import namespace="http://schemas.microsoft.com/office/2006/documentManagement/types"/>
    <xsd:import namespace="http://schemas.microsoft.com/office/infopath/2007/PartnerControls"/>
    <xsd:element name="SharedWithUsers" ma:index="8" nillable="true" ma:displayName="Shared With"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description=""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cd15f4be-4c84-43e0-9533-8b612df0f21c" elementFormDefault="qualified">
    <xsd:import namespace="http://schemas.microsoft.com/office/2006/documentManagement/types"/>
    <xsd:import namespace="http://schemas.microsoft.com/office/infopath/2007/PartnerControls"/>
    <xsd:element name="MediaServiceMetadata" ma:index="10" nillable="true" ma:displayName="MediaServiceMetadata" ma:description="" ma:hidden="true" ma:internalName="MediaServiceMetadata" ma:readOnly="true">
      <xsd:simpleType>
        <xsd:restriction base="dms:Note"/>
      </xsd:simpleType>
    </xsd:element>
    <xsd:element name="MediaServiceFastMetadata" ma:index="11" nillable="true" ma:displayName="MediaServiceFastMetadata" ma:description="" ma:hidden="true" ma:internalName="MediaServiceFastMetadata" ma:readOnly="true">
      <xsd:simpleType>
        <xsd:restriction base="dms:Note"/>
      </xsd:simpleType>
    </xsd:element>
    <xsd:element name="MediaServiceDateTaken" ma:index="12" nillable="true" ma:displayName="MediaServiceDateTaken" ma:description="" ma:hidden="true" ma:internalName="MediaServiceDateTaken" ma:readOnly="true">
      <xsd:simpleType>
        <xsd:restriction base="dms:Text"/>
      </xsd:simpleType>
    </xsd:element>
    <xsd:element name="MediaServiceAutoTags" ma:index="13" nillable="true" ma:displayName="MediaServiceAutoTags" ma:description="" ma:internalName="MediaServiceAutoTags" ma:readOnly="true">
      <xsd:simpleType>
        <xsd:restriction base="dms:Text"/>
      </xsd:simpleType>
    </xsd:element>
    <xsd:element name="MediaServiceOCR" ma:index="16" nillable="true" ma:displayName="MediaServiceOCR" ma:internalName="MediaServiceOCR" ma:readOnly="true">
      <xsd:simpleType>
        <xsd:restriction base="dms:Note">
          <xsd:maxLength value="255"/>
        </xsd:restriction>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9A649127-0CDD-4732-8E31-697F5769E5E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cd70a8df-fc1c-4d74-973c-c6c37511b536"/>
    <ds:schemaRef ds:uri="cd15f4be-4c84-43e0-9533-8b612df0f21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CC4D05EA-99A6-48EE-BDB8-A44E64999554}">
  <ds:schemaRefs>
    <ds:schemaRef ds:uri="http://purl.org/dc/terms/"/>
    <ds:schemaRef ds:uri="http://schemas.microsoft.com/office/2006/metadata/properties"/>
    <ds:schemaRef ds:uri="http://schemas.microsoft.com/sharepoint/v3"/>
    <ds:schemaRef ds:uri="http://www.w3.org/XML/1998/namespace"/>
    <ds:schemaRef ds:uri="http://schemas.microsoft.com/office/infopath/2007/PartnerControls"/>
    <ds:schemaRef ds:uri="cd15f4be-4c84-43e0-9533-8b612df0f21c"/>
    <ds:schemaRef ds:uri="http://purl.org/dc/elements/1.1/"/>
    <ds:schemaRef ds:uri="cd70a8df-fc1c-4d74-973c-c6c37511b536"/>
    <ds:schemaRef ds:uri="http://schemas.microsoft.com/office/2006/documentManagement/types"/>
    <ds:schemaRef ds:uri="http://purl.org/dc/dcmitype/"/>
    <ds:schemaRef ds:uri="http://schemas.openxmlformats.org/package/2006/metadata/core-properties"/>
  </ds:schemaRefs>
</ds:datastoreItem>
</file>

<file path=customXml/itemProps3.xml><?xml version="1.0" encoding="utf-8"?>
<ds:datastoreItem xmlns:ds="http://schemas.openxmlformats.org/officeDocument/2006/customXml" ds:itemID="{C91C24C9-6130-4081-BE0E-1D7CEE56D3AE}">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4</vt:i4>
      </vt:variant>
    </vt:vector>
  </HeadingPairs>
  <TitlesOfParts>
    <vt:vector size="4" baseType="lpstr">
      <vt:lpstr>Summary</vt:lpstr>
      <vt:lpstr>ER_Conservative</vt:lpstr>
      <vt:lpstr>ER_Moderate</vt:lpstr>
      <vt:lpstr>ER_Maximum</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Sarah Frazee</dc:creator>
  <cp:lastModifiedBy>Robert Merritt</cp:lastModifiedBy>
  <dcterms:created xsi:type="dcterms:W3CDTF">2019-11-19T11:21:48Z</dcterms:created>
  <dcterms:modified xsi:type="dcterms:W3CDTF">2021-02-11T21:26:52Z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0x01010075803A56C1B0D64EB47531D572C02B87</vt:lpwstr>
  </property>
</Properties>
</file>