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docProps/core.xml" ContentType="application/vnd.openxmlformats-package.core-properties+xml"/>
  <Override PartName="/xl/calcChain.xml" ContentType="application/vnd.openxmlformats-officedocument.spreadsheetml.calcChain+xml"/>
  <Override PartName="/xl/externalLinks/externalLink1.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doro\Desktop\ESA C&amp;E\Burundi SAP\Sap Burundi July-August 2020\Delayed documents\"/>
    </mc:Choice>
  </mc:AlternateContent>
  <bookViews>
    <workbookView xWindow="0" yWindow="0" windowWidth="15345" windowHeight="5070" firstSheet="3" activeTab="6"/>
  </bookViews>
  <sheets>
    <sheet name="Financial Budget_FNPV_FIRR" sheetId="7" r:id="rId1"/>
    <sheet name="Economic Budget_ENPV_EIRR _BCR" sheetId="9" r:id="rId2"/>
    <sheet name="Sensitivity Analysis" sheetId="10" r:id="rId3"/>
    <sheet name="Rice Production Model" sheetId="3" r:id="rId4"/>
    <sheet name="Investment Cashflows" sheetId="6" r:id="rId5"/>
    <sheet name="Assumptions" sheetId="1" r:id="rId6"/>
    <sheet name="Detailed Budget Plan" sheetId="5" r:id="rId7"/>
  </sheets>
  <externalReferences>
    <externalReference r:id="rId8"/>
    <externalReference r:id="rId9"/>
  </externalReferences>
  <definedNames>
    <definedName name="_xlnm._FilterDatabase" localSheetId="6" hidden="1">'Detailed Budget Plan'!$E$1:$E$65</definedName>
    <definedName name="Categories">OFFSET('[1]Title Lists'!$F$2,0,0,COUNTA('[1]Title Lists'!$F:$F)-1,1)</definedName>
    <definedName name="Components">OFFSET('[1]Title Lists'!$B$2,0,0,COUNTA('[1]Title Lists'!$B:$B)-1,1)</definedName>
    <definedName name="Funding">OFFSET('[1]Title Lists'!$H$2,0,0,COUNTA('[1]Title Lists'!$H:$H)-1,1)</definedName>
    <definedName name="Outputs">OFFSET('[1]Title Lists'!$D$2,0,0,COUNTA('[1]Title Lists'!$D:$D)-1,1)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57" i="5" l="1"/>
  <c r="J57" i="5"/>
  <c r="P54" i="5"/>
  <c r="P57" i="5" s="1"/>
  <c r="Q53" i="5"/>
  <c r="P52" i="5"/>
  <c r="J52" i="5"/>
  <c r="P50" i="5"/>
  <c r="P53" i="5" s="1"/>
  <c r="J50" i="5"/>
  <c r="Q49" i="5"/>
  <c r="P47" i="5"/>
  <c r="P49" i="5" s="1"/>
  <c r="J47" i="5"/>
  <c r="P46" i="5"/>
  <c r="Q45" i="5"/>
  <c r="Q46" i="5" s="1"/>
  <c r="P44" i="5"/>
  <c r="J44" i="5"/>
  <c r="P43" i="5"/>
  <c r="J43" i="5"/>
  <c r="Q42" i="5"/>
  <c r="P41" i="5"/>
  <c r="J41" i="5"/>
  <c r="P40" i="5"/>
  <c r="J40" i="5"/>
  <c r="P39" i="5"/>
  <c r="P42" i="5" s="1"/>
  <c r="J39" i="5"/>
  <c r="Q38" i="5"/>
  <c r="P37" i="5"/>
  <c r="J37" i="5"/>
  <c r="P36" i="5"/>
  <c r="J36" i="5"/>
  <c r="P35" i="5"/>
  <c r="J35" i="5"/>
  <c r="P34" i="5"/>
  <c r="P38" i="5" s="1"/>
  <c r="J34" i="5"/>
  <c r="Q32" i="5"/>
  <c r="P31" i="5"/>
  <c r="J31" i="5"/>
  <c r="P29" i="5"/>
  <c r="J29" i="5"/>
  <c r="P28" i="5"/>
  <c r="J28" i="5"/>
  <c r="P26" i="5"/>
  <c r="J26" i="5"/>
  <c r="P24" i="5"/>
  <c r="J24" i="5"/>
  <c r="P23" i="5"/>
  <c r="J23" i="5"/>
  <c r="P21" i="5"/>
  <c r="P32" i="5" s="1"/>
  <c r="J21" i="5"/>
  <c r="P20" i="5"/>
  <c r="J20" i="5"/>
  <c r="P16" i="5"/>
  <c r="J16" i="5"/>
  <c r="Q14" i="5"/>
  <c r="Q17" i="5" s="1"/>
  <c r="Q58" i="5" s="1"/>
  <c r="P14" i="5"/>
  <c r="I14" i="5"/>
  <c r="J14" i="5" s="1"/>
  <c r="P13" i="5"/>
  <c r="J13" i="5"/>
  <c r="P12" i="5"/>
  <c r="J12" i="5"/>
  <c r="H12" i="5"/>
  <c r="P10" i="5"/>
  <c r="J10" i="5"/>
  <c r="P8" i="5"/>
  <c r="J8" i="5"/>
  <c r="P7" i="5"/>
  <c r="P17" i="5" s="1"/>
  <c r="J7" i="5"/>
  <c r="D4" i="1"/>
  <c r="D4" i="3" s="1"/>
  <c r="H24" i="6"/>
  <c r="G24" i="6"/>
  <c r="F24" i="6"/>
  <c r="F13" i="3" s="1"/>
  <c r="F6" i="7" s="1"/>
  <c r="F22" i="7" s="1"/>
  <c r="E24" i="6"/>
  <c r="D23" i="6"/>
  <c r="D22" i="6"/>
  <c r="D21" i="6"/>
  <c r="D20" i="6"/>
  <c r="D19" i="6"/>
  <c r="D18" i="6"/>
  <c r="D17" i="6"/>
  <c r="D16" i="6"/>
  <c r="D15" i="6"/>
  <c r="D14" i="6"/>
  <c r="D13" i="6"/>
  <c r="D12" i="6"/>
  <c r="D11" i="6"/>
  <c r="D8" i="6"/>
  <c r="D5" i="6"/>
  <c r="D24" i="6" s="1"/>
  <c r="G24" i="3"/>
  <c r="G27" i="3" s="1"/>
  <c r="F24" i="3"/>
  <c r="F27" i="3" s="1"/>
  <c r="E24" i="3"/>
  <c r="E27" i="3" s="1"/>
  <c r="D24" i="3"/>
  <c r="D27" i="3" s="1"/>
  <c r="C24" i="3"/>
  <c r="C26" i="3" s="1"/>
  <c r="C27" i="3" s="1"/>
  <c r="G18" i="3"/>
  <c r="F18" i="3"/>
  <c r="E18" i="3"/>
  <c r="H13" i="3"/>
  <c r="G13" i="3"/>
  <c r="E13" i="3"/>
  <c r="E6" i="7" s="1"/>
  <c r="D13" i="3"/>
  <c r="D6" i="7" s="1"/>
  <c r="H8" i="3"/>
  <c r="G8" i="3"/>
  <c r="F8" i="3"/>
  <c r="D8" i="3"/>
  <c r="E8" i="3" s="1"/>
  <c r="G7" i="3"/>
  <c r="F7" i="3"/>
  <c r="I4" i="7" s="1"/>
  <c r="H6" i="3"/>
  <c r="G6" i="3"/>
  <c r="F6" i="3"/>
  <c r="E6" i="3"/>
  <c r="H5" i="3"/>
  <c r="G5" i="3"/>
  <c r="F5" i="3"/>
  <c r="E5" i="3"/>
  <c r="E7" i="3" s="1"/>
  <c r="D17" i="7" s="1"/>
  <c r="W30" i="9"/>
  <c r="V30" i="9"/>
  <c r="U30" i="9"/>
  <c r="T30" i="9"/>
  <c r="S30" i="9"/>
  <c r="R30" i="9"/>
  <c r="Q30" i="9"/>
  <c r="P30" i="9"/>
  <c r="O30" i="9"/>
  <c r="N30" i="9"/>
  <c r="M30" i="9"/>
  <c r="L30" i="9"/>
  <c r="K30" i="9"/>
  <c r="J30" i="9"/>
  <c r="I30" i="9"/>
  <c r="H30" i="9"/>
  <c r="G30" i="9"/>
  <c r="F30" i="9"/>
  <c r="E30" i="9"/>
  <c r="D30" i="9"/>
  <c r="W24" i="9"/>
  <c r="V24" i="9"/>
  <c r="U24" i="9"/>
  <c r="T24" i="9"/>
  <c r="S24" i="9"/>
  <c r="R24" i="9"/>
  <c r="Q24" i="9"/>
  <c r="P24" i="9"/>
  <c r="O24" i="9"/>
  <c r="N24" i="9"/>
  <c r="M24" i="9"/>
  <c r="L24" i="9"/>
  <c r="K24" i="9"/>
  <c r="J24" i="9"/>
  <c r="I24" i="9"/>
  <c r="H24" i="9"/>
  <c r="G24" i="9"/>
  <c r="F24" i="9"/>
  <c r="E24" i="9"/>
  <c r="D24" i="9"/>
  <c r="C24" i="9"/>
  <c r="I23" i="9"/>
  <c r="J7" i="9"/>
  <c r="C7" i="9"/>
  <c r="X6" i="9"/>
  <c r="W6" i="9"/>
  <c r="S6" i="9"/>
  <c r="R22" i="9" s="1"/>
  <c r="O6" i="9"/>
  <c r="L6" i="9"/>
  <c r="K6" i="9"/>
  <c r="J22" i="9" s="1"/>
  <c r="D6" i="9"/>
  <c r="C22" i="9" s="1"/>
  <c r="C4" i="9"/>
  <c r="W30" i="7"/>
  <c r="V30" i="7"/>
  <c r="U30" i="7"/>
  <c r="T30" i="7"/>
  <c r="S30" i="7"/>
  <c r="R30" i="7"/>
  <c r="Q30" i="7"/>
  <c r="P30" i="7"/>
  <c r="O30" i="7"/>
  <c r="N30" i="7"/>
  <c r="M30" i="7"/>
  <c r="L30" i="7"/>
  <c r="K30" i="7"/>
  <c r="J30" i="7"/>
  <c r="I30" i="7"/>
  <c r="H30" i="7"/>
  <c r="G30" i="7"/>
  <c r="F30" i="7"/>
  <c r="E30" i="7"/>
  <c r="D30" i="7"/>
  <c r="W24" i="7"/>
  <c r="V24" i="7"/>
  <c r="U24" i="7"/>
  <c r="T24" i="7"/>
  <c r="S24" i="7"/>
  <c r="R24" i="7"/>
  <c r="Q24" i="7"/>
  <c r="P24" i="7"/>
  <c r="O24" i="7"/>
  <c r="N24" i="7"/>
  <c r="M24" i="7"/>
  <c r="L24" i="7"/>
  <c r="K24" i="7"/>
  <c r="J24" i="7"/>
  <c r="I24" i="7"/>
  <c r="H24" i="7"/>
  <c r="G24" i="7"/>
  <c r="F24" i="7"/>
  <c r="E24" i="7"/>
  <c r="D24" i="7"/>
  <c r="C24" i="7"/>
  <c r="I23" i="7"/>
  <c r="W22" i="7"/>
  <c r="V22" i="7"/>
  <c r="R22" i="7"/>
  <c r="Q22" i="7"/>
  <c r="N22" i="7"/>
  <c r="M22" i="7"/>
  <c r="I22" i="7"/>
  <c r="I25" i="7" s="1"/>
  <c r="G22" i="7"/>
  <c r="C22" i="7"/>
  <c r="N17" i="7"/>
  <c r="I9" i="7"/>
  <c r="S7" i="7"/>
  <c r="N7" i="7"/>
  <c r="K7" i="7"/>
  <c r="J7" i="7"/>
  <c r="K7" i="9" s="1"/>
  <c r="J23" i="9" s="1"/>
  <c r="I7" i="7"/>
  <c r="W6" i="7"/>
  <c r="V6" i="7"/>
  <c r="U6" i="7"/>
  <c r="V6" i="9" s="1"/>
  <c r="T6" i="7"/>
  <c r="S6" i="7"/>
  <c r="S22" i="7" s="1"/>
  <c r="R6" i="7"/>
  <c r="Q6" i="7"/>
  <c r="R6" i="9" s="1"/>
  <c r="P6" i="7"/>
  <c r="O6" i="7"/>
  <c r="N6" i="7"/>
  <c r="M6" i="7"/>
  <c r="N6" i="9" s="1"/>
  <c r="L6" i="7"/>
  <c r="K6" i="7"/>
  <c r="K22" i="7" s="1"/>
  <c r="J6" i="7"/>
  <c r="J22" i="7" s="1"/>
  <c r="I6" i="7"/>
  <c r="J6" i="9" s="1"/>
  <c r="H6" i="7"/>
  <c r="G6" i="7"/>
  <c r="N4" i="7"/>
  <c r="O4" i="9" s="1"/>
  <c r="J4" i="7" l="1"/>
  <c r="J4" i="9"/>
  <c r="I11" i="7"/>
  <c r="I17" i="7"/>
  <c r="E22" i="7"/>
  <c r="F6" i="9"/>
  <c r="E17" i="7"/>
  <c r="H22" i="7"/>
  <c r="I6" i="9"/>
  <c r="D5" i="3"/>
  <c r="D7" i="3" s="1"/>
  <c r="C4" i="7" s="1"/>
  <c r="C18" i="3"/>
  <c r="D6" i="3"/>
  <c r="P22" i="7"/>
  <c r="Q6" i="9"/>
  <c r="M6" i="9"/>
  <c r="L22" i="7"/>
  <c r="N25" i="7"/>
  <c r="M22" i="9"/>
  <c r="U22" i="9"/>
  <c r="E6" i="9"/>
  <c r="D22" i="7"/>
  <c r="T9" i="7"/>
  <c r="U6" i="9"/>
  <c r="T7" i="9"/>
  <c r="S23" i="9" s="1"/>
  <c r="S23" i="7"/>
  <c r="S25" i="7" s="1"/>
  <c r="T7" i="7"/>
  <c r="S9" i="7"/>
  <c r="N17" i="9"/>
  <c r="W22" i="9"/>
  <c r="D4" i="7"/>
  <c r="O4" i="7"/>
  <c r="J9" i="7"/>
  <c r="U22" i="7"/>
  <c r="J23" i="7"/>
  <c r="J25" i="7" s="1"/>
  <c r="J25" i="9"/>
  <c r="T22" i="7"/>
  <c r="K22" i="9"/>
  <c r="L7" i="9"/>
  <c r="K23" i="9" s="1"/>
  <c r="K23" i="7"/>
  <c r="K25" i="7" s="1"/>
  <c r="L7" i="7"/>
  <c r="K9" i="7"/>
  <c r="N22" i="9"/>
  <c r="H7" i="3"/>
  <c r="S4" i="7" s="1"/>
  <c r="P6" i="9"/>
  <c r="K9" i="9"/>
  <c r="Q22" i="9"/>
  <c r="I22" i="9"/>
  <c r="I25" i="9" s="1"/>
  <c r="J9" i="9"/>
  <c r="O7" i="9"/>
  <c r="N23" i="9" s="1"/>
  <c r="N23" i="7"/>
  <c r="N9" i="7"/>
  <c r="N11" i="7" s="1"/>
  <c r="O7" i="7"/>
  <c r="O22" i="7"/>
  <c r="G6" i="9"/>
  <c r="T6" i="9"/>
  <c r="P58" i="5"/>
  <c r="H6" i="9"/>
  <c r="J58" i="5"/>
  <c r="V22" i="9"/>
  <c r="D4" i="9" l="1"/>
  <c r="C17" i="7"/>
  <c r="M7" i="9"/>
  <c r="L23" i="9" s="1"/>
  <c r="L23" i="7"/>
  <c r="L25" i="7" s="1"/>
  <c r="M7" i="7"/>
  <c r="L9" i="9"/>
  <c r="G22" i="9"/>
  <c r="H22" i="9"/>
  <c r="D22" i="9"/>
  <c r="M9" i="9"/>
  <c r="L22" i="9"/>
  <c r="L25" i="9" s="1"/>
  <c r="P9" i="9"/>
  <c r="O22" i="9"/>
  <c r="U7" i="9"/>
  <c r="T23" i="9" s="1"/>
  <c r="T23" i="7"/>
  <c r="U7" i="7"/>
  <c r="L9" i="7"/>
  <c r="D18" i="3"/>
  <c r="D7" i="7" s="1"/>
  <c r="C7" i="7"/>
  <c r="O25" i="7"/>
  <c r="P7" i="7"/>
  <c r="O23" i="7"/>
  <c r="P7" i="9"/>
  <c r="O23" i="9" s="1"/>
  <c r="O9" i="7"/>
  <c r="O11" i="7" s="1"/>
  <c r="I19" i="7"/>
  <c r="T25" i="7"/>
  <c r="S22" i="9"/>
  <c r="S25" i="9" s="1"/>
  <c r="T9" i="9"/>
  <c r="O9" i="9"/>
  <c r="O11" i="9" s="1"/>
  <c r="K25" i="9"/>
  <c r="P4" i="9"/>
  <c r="O17" i="7"/>
  <c r="O19" i="7" s="1"/>
  <c r="P4" i="7"/>
  <c r="E22" i="9"/>
  <c r="J17" i="7"/>
  <c r="J11" i="7"/>
  <c r="K4" i="7"/>
  <c r="K4" i="9"/>
  <c r="T4" i="7"/>
  <c r="S17" i="7"/>
  <c r="S19" i="7" s="1"/>
  <c r="S11" i="7"/>
  <c r="T4" i="9"/>
  <c r="N25" i="9"/>
  <c r="F22" i="9"/>
  <c r="E4" i="7"/>
  <c r="E4" i="9"/>
  <c r="T22" i="9"/>
  <c r="T25" i="9" s="1"/>
  <c r="P22" i="9"/>
  <c r="J11" i="9"/>
  <c r="I17" i="9"/>
  <c r="S17" i="9" l="1"/>
  <c r="S19" i="9" s="1"/>
  <c r="T11" i="9"/>
  <c r="D7" i="9"/>
  <c r="C23" i="7"/>
  <c r="C25" i="7" s="1"/>
  <c r="O26" i="7" s="1"/>
  <c r="O28" i="7" s="1"/>
  <c r="O32" i="7" s="1"/>
  <c r="C9" i="7"/>
  <c r="C11" i="7" s="1"/>
  <c r="M23" i="7"/>
  <c r="M25" i="7" s="1"/>
  <c r="N7" i="9"/>
  <c r="M9" i="7"/>
  <c r="I19" i="9"/>
  <c r="F4" i="7"/>
  <c r="F4" i="9"/>
  <c r="U4" i="7"/>
  <c r="T17" i="7"/>
  <c r="T19" i="7" s="1"/>
  <c r="T11" i="7"/>
  <c r="U4" i="9"/>
  <c r="Q4" i="9"/>
  <c r="P17" i="7"/>
  <c r="P19" i="7" s="1"/>
  <c r="Q4" i="7"/>
  <c r="V7" i="9"/>
  <c r="V7" i="7"/>
  <c r="U23" i="7"/>
  <c r="U25" i="7" s="1"/>
  <c r="U26" i="7" s="1"/>
  <c r="U9" i="7"/>
  <c r="D23" i="7"/>
  <c r="D25" i="7" s="1"/>
  <c r="E7" i="7"/>
  <c r="E7" i="9"/>
  <c r="D9" i="7"/>
  <c r="D11" i="7" s="1"/>
  <c r="D17" i="9"/>
  <c r="D19" i="9" s="1"/>
  <c r="J17" i="9"/>
  <c r="J19" i="9" s="1"/>
  <c r="K11" i="9"/>
  <c r="Q7" i="7"/>
  <c r="P23" i="7"/>
  <c r="P25" i="7" s="1"/>
  <c r="P26" i="7" s="1"/>
  <c r="Q7" i="9"/>
  <c r="P9" i="7"/>
  <c r="P11" i="7" s="1"/>
  <c r="L4" i="9"/>
  <c r="K17" i="7"/>
  <c r="K19" i="7" s="1"/>
  <c r="K11" i="7"/>
  <c r="L4" i="7"/>
  <c r="O17" i="9"/>
  <c r="P11" i="9"/>
  <c r="T26" i="7"/>
  <c r="N19" i="7"/>
  <c r="C19" i="7"/>
  <c r="D19" i="7"/>
  <c r="U9" i="9"/>
  <c r="J19" i="7"/>
  <c r="E19" i="7"/>
  <c r="O25" i="9"/>
  <c r="C17" i="9"/>
  <c r="O26" i="9" l="1"/>
  <c r="Q23" i="7"/>
  <c r="Q25" i="7" s="1"/>
  <c r="Q26" i="7" s="1"/>
  <c r="Q9" i="7"/>
  <c r="R7" i="9"/>
  <c r="R7" i="7"/>
  <c r="T28" i="7"/>
  <c r="T32" i="7" s="1"/>
  <c r="L26" i="7"/>
  <c r="D23" i="9"/>
  <c r="D25" i="9" s="1"/>
  <c r="D26" i="9" s="1"/>
  <c r="D28" i="9" s="1"/>
  <c r="E9" i="9"/>
  <c r="E11" i="9" s="1"/>
  <c r="M26" i="7"/>
  <c r="K17" i="9"/>
  <c r="K19" i="9" s="1"/>
  <c r="L11" i="9"/>
  <c r="E23" i="7"/>
  <c r="E25" i="7" s="1"/>
  <c r="E26" i="7" s="1"/>
  <c r="F7" i="7"/>
  <c r="F7" i="9"/>
  <c r="E9" i="7"/>
  <c r="E11" i="7" s="1"/>
  <c r="R4" i="7"/>
  <c r="R4" i="9"/>
  <c r="Q17" i="7"/>
  <c r="Q19" i="7" s="1"/>
  <c r="Q28" i="7" s="1"/>
  <c r="Q32" i="7" s="1"/>
  <c r="Q11" i="7"/>
  <c r="E17" i="9"/>
  <c r="E19" i="9" s="1"/>
  <c r="C28" i="7"/>
  <c r="M4" i="7"/>
  <c r="M4" i="9"/>
  <c r="L17" i="7"/>
  <c r="L19" i="7" s="1"/>
  <c r="L11" i="7"/>
  <c r="W7" i="9"/>
  <c r="V23" i="7"/>
  <c r="V25" i="7" s="1"/>
  <c r="V26" i="7" s="1"/>
  <c r="V9" i="7"/>
  <c r="W7" i="7"/>
  <c r="M23" i="9"/>
  <c r="M25" i="9" s="1"/>
  <c r="N9" i="9"/>
  <c r="E28" i="7"/>
  <c r="E32" i="7" s="1"/>
  <c r="U23" i="9"/>
  <c r="U25" i="9" s="1"/>
  <c r="V9" i="9"/>
  <c r="V4" i="9"/>
  <c r="U17" i="7"/>
  <c r="U19" i="7" s="1"/>
  <c r="U28" i="7" s="1"/>
  <c r="U32" i="7" s="1"/>
  <c r="V4" i="7"/>
  <c r="U11" i="7"/>
  <c r="J28" i="7"/>
  <c r="J32" i="7" s="1"/>
  <c r="D26" i="7"/>
  <c r="D28" i="7" s="1"/>
  <c r="G4" i="9"/>
  <c r="F17" i="7"/>
  <c r="F19" i="7" s="1"/>
  <c r="G4" i="7"/>
  <c r="P28" i="7"/>
  <c r="P32" i="7" s="1"/>
  <c r="I26" i="7"/>
  <c r="I28" i="7" s="1"/>
  <c r="I32" i="7" s="1"/>
  <c r="C26" i="7"/>
  <c r="N26" i="7"/>
  <c r="N28" i="7" s="1"/>
  <c r="N32" i="7" s="1"/>
  <c r="K26" i="7"/>
  <c r="K28" i="7" s="1"/>
  <c r="K32" i="7" s="1"/>
  <c r="S26" i="7"/>
  <c r="S28" i="7" s="1"/>
  <c r="S32" i="7" s="1"/>
  <c r="J26" i="7"/>
  <c r="P17" i="9"/>
  <c r="P19" i="9" s="1"/>
  <c r="D9" i="9"/>
  <c r="D11" i="9" s="1"/>
  <c r="C23" i="9"/>
  <c r="C25" i="9" s="1"/>
  <c r="C19" i="9"/>
  <c r="N19" i="9"/>
  <c r="O19" i="9"/>
  <c r="P23" i="9"/>
  <c r="P25" i="9" s="1"/>
  <c r="Q9" i="9"/>
  <c r="Q11" i="9" s="1"/>
  <c r="T17" i="9"/>
  <c r="T19" i="9" s="1"/>
  <c r="U11" i="9"/>
  <c r="D32" i="7" l="1"/>
  <c r="D32" i="9"/>
  <c r="C28" i="9"/>
  <c r="V23" i="9"/>
  <c r="V25" i="9" s="1"/>
  <c r="V26" i="9" s="1"/>
  <c r="W9" i="9"/>
  <c r="E23" i="9"/>
  <c r="E25" i="9" s="1"/>
  <c r="E26" i="9" s="1"/>
  <c r="F9" i="9"/>
  <c r="F11" i="9" s="1"/>
  <c r="F17" i="9"/>
  <c r="F19" i="9" s="1"/>
  <c r="S7" i="9"/>
  <c r="R9" i="7"/>
  <c r="R23" i="7"/>
  <c r="R25" i="7" s="1"/>
  <c r="R26" i="7" s="1"/>
  <c r="U26" i="9"/>
  <c r="G7" i="9"/>
  <c r="F23" i="7"/>
  <c r="F25" i="7" s="1"/>
  <c r="F26" i="7" s="1"/>
  <c r="F28" i="7" s="1"/>
  <c r="G7" i="7"/>
  <c r="F9" i="7"/>
  <c r="F11" i="7" s="1"/>
  <c r="P28" i="9"/>
  <c r="P32" i="9" s="1"/>
  <c r="L28" i="7"/>
  <c r="L32" i="7" s="1"/>
  <c r="Q17" i="9"/>
  <c r="Q19" i="9" s="1"/>
  <c r="U17" i="9"/>
  <c r="U19" i="9" s="1"/>
  <c r="U28" i="9" s="1"/>
  <c r="U32" i="9" s="1"/>
  <c r="V11" i="9"/>
  <c r="N4" i="9"/>
  <c r="M17" i="7"/>
  <c r="M19" i="7" s="1"/>
  <c r="M28" i="7" s="1"/>
  <c r="M32" i="7" s="1"/>
  <c r="M11" i="7"/>
  <c r="C26" i="9"/>
  <c r="J26" i="9"/>
  <c r="J28" i="9" s="1"/>
  <c r="J32" i="9" s="1"/>
  <c r="I26" i="9"/>
  <c r="I28" i="9" s="1"/>
  <c r="I32" i="9" s="1"/>
  <c r="T26" i="9"/>
  <c r="T28" i="9" s="1"/>
  <c r="T32" i="9" s="1"/>
  <c r="S26" i="9"/>
  <c r="S28" i="9" s="1"/>
  <c r="S32" i="9" s="1"/>
  <c r="N26" i="9"/>
  <c r="N28" i="9" s="1"/>
  <c r="N32" i="9" s="1"/>
  <c r="L26" i="9"/>
  <c r="K26" i="9"/>
  <c r="E28" i="9"/>
  <c r="E32" i="9" s="1"/>
  <c r="P26" i="9"/>
  <c r="M26" i="9"/>
  <c r="K28" i="9"/>
  <c r="K32" i="9" s="1"/>
  <c r="Q23" i="9"/>
  <c r="Q25" i="9" s="1"/>
  <c r="Q26" i="9" s="1"/>
  <c r="R9" i="9"/>
  <c r="R11" i="9" s="1"/>
  <c r="O28" i="9"/>
  <c r="O32" i="9" s="1"/>
  <c r="G17" i="7"/>
  <c r="G19" i="7" s="1"/>
  <c r="H4" i="7"/>
  <c r="H4" i="9"/>
  <c r="W4" i="9"/>
  <c r="V11" i="7"/>
  <c r="V17" i="7"/>
  <c r="V19" i="7" s="1"/>
  <c r="V28" i="7" s="1"/>
  <c r="V32" i="7" s="1"/>
  <c r="W4" i="7"/>
  <c r="X7" i="9"/>
  <c r="W23" i="7"/>
  <c r="W25" i="7" s="1"/>
  <c r="W26" i="7" s="1"/>
  <c r="W9" i="7"/>
  <c r="L17" i="9"/>
  <c r="L19" i="9" s="1"/>
  <c r="L28" i="9" s="1"/>
  <c r="L32" i="9" s="1"/>
  <c r="M11" i="9"/>
  <c r="R17" i="7"/>
  <c r="R19" i="7" s="1"/>
  <c r="R28" i="7" s="1"/>
  <c r="R32" i="7" s="1"/>
  <c r="R11" i="7"/>
  <c r="S4" i="9"/>
  <c r="F32" i="7" l="1"/>
  <c r="W11" i="7"/>
  <c r="X4" i="9"/>
  <c r="W17" i="7"/>
  <c r="W19" i="7" s="1"/>
  <c r="W28" i="7" s="1"/>
  <c r="W32" i="7" s="1"/>
  <c r="V17" i="9"/>
  <c r="V19" i="9" s="1"/>
  <c r="V28" i="9" s="1"/>
  <c r="V32" i="9" s="1"/>
  <c r="W11" i="9"/>
  <c r="R23" i="9"/>
  <c r="R25" i="9" s="1"/>
  <c r="R26" i="9" s="1"/>
  <c r="S9" i="9"/>
  <c r="M17" i="9"/>
  <c r="M19" i="9" s="1"/>
  <c r="M28" i="9" s="1"/>
  <c r="M32" i="9" s="1"/>
  <c r="N11" i="9"/>
  <c r="G23" i="7"/>
  <c r="G25" i="7" s="1"/>
  <c r="G26" i="7" s="1"/>
  <c r="G28" i="7" s="1"/>
  <c r="H7" i="9"/>
  <c r="H7" i="7"/>
  <c r="G9" i="7"/>
  <c r="G11" i="7" s="1"/>
  <c r="G17" i="9"/>
  <c r="G19" i="9" s="1"/>
  <c r="F23" i="9"/>
  <c r="F25" i="9" s="1"/>
  <c r="G9" i="9"/>
  <c r="G11" i="9" s="1"/>
  <c r="I4" i="9"/>
  <c r="H17" i="7"/>
  <c r="H19" i="7" s="1"/>
  <c r="Q28" i="9"/>
  <c r="Q32" i="9" s="1"/>
  <c r="S11" i="9"/>
  <c r="R17" i="9"/>
  <c r="R19" i="9" s="1"/>
  <c r="R28" i="9" s="1"/>
  <c r="R32" i="9" s="1"/>
  <c r="W23" i="9"/>
  <c r="W25" i="9" s="1"/>
  <c r="W26" i="9" s="1"/>
  <c r="X9" i="9"/>
  <c r="G32" i="7" l="1"/>
  <c r="I7" i="9"/>
  <c r="H23" i="7"/>
  <c r="H25" i="7" s="1"/>
  <c r="H26" i="7" s="1"/>
  <c r="H28" i="7" s="1"/>
  <c r="H9" i="7"/>
  <c r="H11" i="7" s="1"/>
  <c r="F26" i="9"/>
  <c r="F28" i="9" s="1"/>
  <c r="H17" i="9"/>
  <c r="H19" i="9" s="1"/>
  <c r="G23" i="9"/>
  <c r="G25" i="9" s="1"/>
  <c r="G26" i="9" s="1"/>
  <c r="H9" i="9"/>
  <c r="H11" i="9" s="1"/>
  <c r="W17" i="9"/>
  <c r="W19" i="9" s="1"/>
  <c r="W28" i="9" s="1"/>
  <c r="W32" i="9" s="1"/>
  <c r="X11" i="9"/>
  <c r="G28" i="9"/>
  <c r="G32" i="9" s="1"/>
  <c r="H32" i="7" l="1"/>
  <c r="C35" i="7"/>
  <c r="C36" i="7"/>
  <c r="H23" i="9"/>
  <c r="H25" i="9" s="1"/>
  <c r="I9" i="9"/>
  <c r="I11" i="9" s="1"/>
  <c r="F32" i="9"/>
  <c r="C37" i="7"/>
  <c r="H26" i="9" l="1"/>
  <c r="H28" i="9" s="1"/>
  <c r="X25" i="9"/>
  <c r="Y25" i="9" s="1"/>
  <c r="H32" i="9" l="1"/>
  <c r="C37" i="9" s="1"/>
  <c r="C35" i="9"/>
  <c r="C36" i="9"/>
</calcChain>
</file>

<file path=xl/sharedStrings.xml><?xml version="1.0" encoding="utf-8"?>
<sst xmlns="http://schemas.openxmlformats.org/spreadsheetml/2006/main" count="365" uniqueCount="205">
  <si>
    <t>Project Name:</t>
  </si>
  <si>
    <t>Budget:</t>
  </si>
  <si>
    <t>Detailed Budget</t>
  </si>
  <si>
    <t>Annual Budget</t>
  </si>
  <si>
    <t>**Budget Notes</t>
  </si>
  <si>
    <t>Component</t>
  </si>
  <si>
    <t>Output</t>
  </si>
  <si>
    <t>Activity</t>
  </si>
  <si>
    <t>Funding Source</t>
  </si>
  <si>
    <t>Budget Categories</t>
  </si>
  <si>
    <t>Unit</t>
  </si>
  <si>
    <t># of Unit</t>
  </si>
  <si>
    <t>Unit Cost</t>
  </si>
  <si>
    <t xml:space="preserve">Total Cost </t>
  </si>
  <si>
    <t>Year 1</t>
  </si>
  <si>
    <t>Year 2</t>
  </si>
  <si>
    <t>Year 3</t>
  </si>
  <si>
    <t>Year 4</t>
  </si>
  <si>
    <t>Year 5</t>
  </si>
  <si>
    <t>GCF Total Budget</t>
  </si>
  <si>
    <t>IFAD Cofinancing</t>
  </si>
  <si>
    <t>Component 1: Improved soil and water management in the Imbo and Mosso basins</t>
  </si>
  <si>
    <t xml:space="preserve">Output 1.1 Increased adoption of sustainable soil and water management practices
</t>
  </si>
  <si>
    <t>Research to generate localized knowledge on best agro-ecosystem management practices</t>
  </si>
  <si>
    <t>GCF</t>
  </si>
  <si>
    <t>Consultant - Individual - International</t>
  </si>
  <si>
    <t>Days</t>
  </si>
  <si>
    <t>A1</t>
  </si>
  <si>
    <t>Co-creation workshops to develop catchment management plans</t>
  </si>
  <si>
    <t>Consultant - Individual - Local</t>
  </si>
  <si>
    <t>A2</t>
  </si>
  <si>
    <t>Training workshop on the implementation of the plans</t>
  </si>
  <si>
    <t>A3</t>
  </si>
  <si>
    <t>Establishment of demonstration farms</t>
  </si>
  <si>
    <t>Extension Officers</t>
  </si>
  <si>
    <t xml:space="preserve">Days </t>
  </si>
  <si>
    <t>A4</t>
  </si>
  <si>
    <t>Establishment of tree nurseries</t>
  </si>
  <si>
    <t>Materials &amp; Goods</t>
  </si>
  <si>
    <t xml:space="preserve">Number of tree nurseries established </t>
  </si>
  <si>
    <t>A5</t>
  </si>
  <si>
    <t>Development of farm level soil and water conservation structures</t>
  </si>
  <si>
    <t>Works</t>
  </si>
  <si>
    <t>Ha</t>
  </si>
  <si>
    <t>A6</t>
  </si>
  <si>
    <t>Tree planting campaigns</t>
  </si>
  <si>
    <t>Labour</t>
  </si>
  <si>
    <t>Man days</t>
  </si>
  <si>
    <t>A7</t>
  </si>
  <si>
    <t xml:space="preserve">Sub-total </t>
  </si>
  <si>
    <t>Output 1.3 Increased incentives for the development of “green” Micro, Small and Medium Enterprises that spur water and soil conservation action</t>
  </si>
  <si>
    <t>Innovation challenge award scheme on SLM practices and produce thereof established</t>
  </si>
  <si>
    <t>Professional Services – Companies/Firm/Individual Experts</t>
  </si>
  <si>
    <t>A8</t>
  </si>
  <si>
    <t>Travel</t>
  </si>
  <si>
    <t>Return tickets</t>
  </si>
  <si>
    <t xml:space="preserve">Business incubations </t>
  </si>
  <si>
    <t>A9</t>
  </si>
  <si>
    <t>Building the capacity of farmers on “on-farm” value addition</t>
  </si>
  <si>
    <t>A10</t>
  </si>
  <si>
    <t>Support farmers acquire better on-farm handling and storage facilities</t>
  </si>
  <si>
    <t>Small scale solar dryers</t>
  </si>
  <si>
    <t>A11</t>
  </si>
  <si>
    <t>Hermatic bags</t>
  </si>
  <si>
    <t>Supporting farmer cooperatives get better markets for the farmer produce.</t>
  </si>
  <si>
    <t>A12</t>
  </si>
  <si>
    <t>Output 1.2 Increased on-farm rainwater harvesting at household level</t>
  </si>
  <si>
    <t>Support famers acquire on-farm rain water harvesting facilities</t>
  </si>
  <si>
    <t>Tanks</t>
  </si>
  <si>
    <t>A13</t>
  </si>
  <si>
    <t>Gutters</t>
  </si>
  <si>
    <t>Capacity building of local artisans on the management and repair of farm level water harvesting facilities</t>
  </si>
  <si>
    <t>A14</t>
  </si>
  <si>
    <t xml:space="preserve">Workshop/Training </t>
  </si>
  <si>
    <t>Workshops</t>
  </si>
  <si>
    <t>Component 3: Enhanced capacity of actors on best agro-ecosystem practices for improved soil and water conservations.</t>
  </si>
  <si>
    <t xml:space="preserve">Output 2.1 Establishment and operationalisation of FFS </t>
  </si>
  <si>
    <t>Generation of evidence at local level on the benefits of SLM</t>
  </si>
  <si>
    <t>A15</t>
  </si>
  <si>
    <t>-</t>
  </si>
  <si>
    <t>Local benefits of SLM documented and shared widely</t>
  </si>
  <si>
    <t>A16</t>
  </si>
  <si>
    <t xml:space="preserve">Component 2: Policies and regulatory framework for water and soil conservation adopted </t>
  </si>
  <si>
    <t>Output 3.1 Enabling policy and legislative framework for soil and water conservation established</t>
  </si>
  <si>
    <t>Review of policies and regulations governing soil and water conservation</t>
  </si>
  <si>
    <t>A17</t>
  </si>
  <si>
    <t>Drafting of draft policy and by-laws for soil and water conservation</t>
  </si>
  <si>
    <t>A18</t>
  </si>
  <si>
    <t>Output 2.2 Building capacity of actors in improved agro-ecosystem management for enhanced soil and water conservation</t>
  </si>
  <si>
    <t>Training of district level agricultural extension officers</t>
  </si>
  <si>
    <t>A19</t>
  </si>
  <si>
    <t>Training of lead farmers on soil and water conservation</t>
  </si>
  <si>
    <t>A20</t>
  </si>
  <si>
    <t>Training of farmers through farmer field schools</t>
  </si>
  <si>
    <t>A21</t>
  </si>
  <si>
    <t>Project Management Cost</t>
  </si>
  <si>
    <t>PMC</t>
  </si>
  <si>
    <t xml:space="preserve">Project coordination , M&amp;E and reporting </t>
  </si>
  <si>
    <t>Staff costs</t>
  </si>
  <si>
    <t>Month</t>
  </si>
  <si>
    <t>PMU1</t>
  </si>
  <si>
    <t>Co-financing PMC</t>
  </si>
  <si>
    <t xml:space="preserve">SUB-TOTAL </t>
  </si>
  <si>
    <t>TOTAL</t>
  </si>
  <si>
    <t>**Please provide the assumptions and basis of how unit cost and quantities are arrived. Please insert an appropriate reference as illustrated and enter the detailed comments in the "Detailed budget Notes" Sheet</t>
  </si>
  <si>
    <t>Project Economic Life (based on project document) in years</t>
  </si>
  <si>
    <t>Assumptions</t>
  </si>
  <si>
    <t>#</t>
  </si>
  <si>
    <t xml:space="preserve">Description </t>
  </si>
  <si>
    <t>Comment</t>
  </si>
  <si>
    <t>Value</t>
  </si>
  <si>
    <t>Obtained from various publications on food commodity prices in Burundi</t>
  </si>
  <si>
    <t>Obtained from the prevailing T-Bill rate provided by the Bank of Burundi</t>
  </si>
  <si>
    <t>Based on the expected economic life of the intervention as described in the project document.</t>
  </si>
  <si>
    <t>These are sunk costs and therefore eliminated from the project cashflows</t>
  </si>
  <si>
    <t>Research costs (US$)</t>
  </si>
  <si>
    <t>Item</t>
  </si>
  <si>
    <t xml:space="preserve">Output 1.1 </t>
  </si>
  <si>
    <t>Output 1.3</t>
  </si>
  <si>
    <t>Output 1.2</t>
  </si>
  <si>
    <t>Output 2.1</t>
  </si>
  <si>
    <t>Output 3.1</t>
  </si>
  <si>
    <t>Output 2.2</t>
  </si>
  <si>
    <t>Yield of rice before and during the implementation of the project</t>
  </si>
  <si>
    <t>IFAD Funding (US$)</t>
  </si>
  <si>
    <t>This amount of grant by IFAD is assumed to be granted in full in Year 1</t>
  </si>
  <si>
    <t>Rice crop model, yields and inputs</t>
  </si>
  <si>
    <t>Without Project</t>
  </si>
  <si>
    <t>With Project</t>
  </si>
  <si>
    <t>Year 1-20</t>
  </si>
  <si>
    <t>Yield</t>
  </si>
  <si>
    <t>Post Harvest Loss</t>
  </si>
  <si>
    <t>Total Quantity Sold</t>
  </si>
  <si>
    <t>Sales Value</t>
  </si>
  <si>
    <t>This is expected to be the annual assured yield after the implementation of the project</t>
  </si>
  <si>
    <t>Yield of rice to be preserved as a result of the interventions (tonnes/year) i.e. project benefits</t>
  </si>
  <si>
    <t>Discount Rate - Approx. T-Bill Rate</t>
  </si>
  <si>
    <t>Tonnes</t>
  </si>
  <si>
    <t>US$</t>
  </si>
  <si>
    <t>This assumes that without the project the farms are producing a yield that is 60% of their optimum capacity. This is as a result of poor soil and water management practices over the years.</t>
  </si>
  <si>
    <t>Rice is primarily grown by the local farmers as a commercial crop.</t>
  </si>
  <si>
    <t>Post harvest loss</t>
  </si>
  <si>
    <t>Production</t>
  </si>
  <si>
    <t>Inputs</t>
  </si>
  <si>
    <t>Year 11-15</t>
  </si>
  <si>
    <t>Year 16-20</t>
  </si>
  <si>
    <t>Year 6-10</t>
  </si>
  <si>
    <t xml:space="preserve">Year 5 </t>
  </si>
  <si>
    <t xml:space="preserve">Price of rice in US$/Tonne </t>
  </si>
  <si>
    <t>Operating Costs i.e. seed, fertilizers and chemicals (US$/tonne)</t>
  </si>
  <si>
    <t>Year 1-5</t>
  </si>
  <si>
    <t>Labour for operations</t>
  </si>
  <si>
    <t>This is labour mostly engaged in desilting the canals</t>
  </si>
  <si>
    <t>No. of desilting cycles per year</t>
  </si>
  <si>
    <t>Operating Costs (US$)</t>
  </si>
  <si>
    <t>Investment (US$)</t>
  </si>
  <si>
    <t>Family labour available</t>
  </si>
  <si>
    <t>Hired Labour</t>
  </si>
  <si>
    <t>Family labour used</t>
  </si>
  <si>
    <t>Rice Production Model – WOP and WP Data</t>
  </si>
  <si>
    <t>Self Consumption</t>
  </si>
  <si>
    <t>Year</t>
  </si>
  <si>
    <t>Yr 1- 20</t>
  </si>
  <si>
    <t>Revenue</t>
  </si>
  <si>
    <t>Costs:</t>
  </si>
  <si>
    <t xml:space="preserve">   Investment</t>
  </si>
  <si>
    <t>Project Investment Cashflows</t>
  </si>
  <si>
    <t xml:space="preserve">   Operating</t>
  </si>
  <si>
    <t xml:space="preserve">   Labour</t>
  </si>
  <si>
    <t>Net Benefits</t>
  </si>
  <si>
    <t>Total Revenue</t>
  </si>
  <si>
    <t>Inremental Revenue</t>
  </si>
  <si>
    <t>Incremental Costs:</t>
  </si>
  <si>
    <t>Total Production Costs</t>
  </si>
  <si>
    <t>Incremental Costs</t>
  </si>
  <si>
    <t>Net Incremental Benefits</t>
  </si>
  <si>
    <t>FNPV =</t>
  </si>
  <si>
    <t>FIRR =</t>
  </si>
  <si>
    <t>Self consumption of the rice</t>
  </si>
  <si>
    <t>This is computed as a percentage of the yield.</t>
  </si>
  <si>
    <t>Rice Farm Financial Budget</t>
  </si>
  <si>
    <t>Rice Farm Economic Budget</t>
  </si>
  <si>
    <t>Rice Farm Economic Budget (incremental)</t>
  </si>
  <si>
    <t>Rice Farm Financial Budget (incremental)</t>
  </si>
  <si>
    <t>Conversion Factor</t>
  </si>
  <si>
    <t>Conversion Factor (CF)</t>
  </si>
  <si>
    <t>A CF of 0.82 was obtained after omitting VAT of 18% from the sale of revenue and from the cost of inputs.</t>
  </si>
  <si>
    <t>ENPV =</t>
  </si>
  <si>
    <t>EIRR =</t>
  </si>
  <si>
    <t>Social Discount Rate (SDR)</t>
  </si>
  <si>
    <t>The model assumed an SDR of 9%.</t>
  </si>
  <si>
    <t>Operating Labour (man days/hectare/desilting cycle)</t>
  </si>
  <si>
    <t>BC Ratio =</t>
  </si>
  <si>
    <t>Discount Factors @ 15%</t>
  </si>
  <si>
    <t>Present Values</t>
  </si>
  <si>
    <t>Discount Factors @ 9%</t>
  </si>
  <si>
    <t>Sensitivity Analysis</t>
  </si>
  <si>
    <t>Indicator</t>
  </si>
  <si>
    <t>EIRR</t>
  </si>
  <si>
    <t>ENPV (US$)</t>
  </si>
  <si>
    <t>BCR</t>
  </si>
  <si>
    <t>Benefits Reduction</t>
  </si>
  <si>
    <t>Cost Increases</t>
  </si>
  <si>
    <t>Revenue Delays</t>
  </si>
  <si>
    <t>1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</si>
</sst>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_(&quot;$&quot;* #,##0.00_);_(&quot;$&quot;* \(#,##0.00\);_(&quot;$&quot;* &quot;-&quot;??_);_(@_)"/>
    <numFmt numFmtId="165" formatCode="_(* #,##0_);_(* \(#,##0\);_(* &quot;-&quot;??_);_(@_)"/>
    <numFmt numFmtId="166" formatCode="_(* #,##0.0000_);_(* \(#,##0.0000\);_(* &quot;-&quot;??_);_(@_)"/>
    <numFmt numFmtId="167" formatCode="_(&quot;$&quot;* #,##0_);_(&quot;$&quot;* \(#,##0\);_(&quot;$&quot;* &quot;-&quot;??_);_(@_)"/>
    <numFmt numFmtId="168" formatCode="0.000"/>
  </numFmts>
  <fonts count="19">
    <font>
      <sz val="11"/>
      <color theme="1"/>
      <name val="Calibri"/>
      <family val="2"/>
      <scheme val="minor"/>
    </font>
    <font>
      <sz val="11"/>
      <color theme="1"/>
      <name val="Calibri"/>
      <family val="2"/>
      <scheme val="minor"/>
    </font>
    <font>
      <b/>
      <sz val="13"/>
      <color theme="0"/>
      <name val="Arial Nova"/>
    </font>
    <font>
      <sz val="11"/>
      <color theme="1"/>
      <name val="Arial Nova"/>
    </font>
    <font>
      <b/>
      <sz val="11"/>
      <color theme="0"/>
      <name val="Arial Nova"/>
    </font>
    <font>
      <b/>
      <sz val="11"/>
      <color theme="1"/>
      <name val="Arial Nova"/>
    </font>
    <font>
      <sz val="11"/>
      <name val="Arial Nova"/>
    </font>
    <font>
      <sz val="8"/>
      <color rgb="FFFF0000"/>
      <name val="Arial Nova"/>
    </font>
    <font>
      <sz val="11"/>
      <color rgb="FFFF0000"/>
      <name val="Arial Nova"/>
    </font>
    <font>
      <b/>
      <u/>
      <sz val="11"/>
      <color theme="1"/>
      <name val="Arial Nova"/>
    </font>
    <font>
      <sz val="9"/>
      <color theme="1"/>
      <name val="Arial Nova"/>
    </font>
    <font>
      <b/>
      <sz val="9"/>
      <color theme="0"/>
      <name val="Arial Nova"/>
    </font>
    <font>
      <b/>
      <sz val="8"/>
      <name val="Arial Nova"/>
    </font>
    <font>
      <sz val="8"/>
      <name val="Arial Nova"/>
    </font>
    <font>
      <sz val="8"/>
      <color theme="0" tint="-0.34998626667073579"/>
      <name val="Arial Nova"/>
    </font>
    <font>
      <sz val="8"/>
      <color theme="0" tint="-0.249977111117893"/>
      <name val="Arial Nova"/>
    </font>
    <font>
      <sz val="8"/>
      <color theme="1"/>
      <name val="Arial Nova"/>
    </font>
    <font>
      <b/>
      <sz val="8"/>
      <color rgb="FFFF0000"/>
      <name val="Arial Nova"/>
    </font>
    <font>
      <i/>
      <sz val="9"/>
      <color rgb="FF0070C0"/>
      <name val="Arial Nova"/>
    </font>
  </fonts>
  <fills count="10">
    <fill>
      <patternFill patternType="none"/>
    </fill>
    <fill>
      <patternFill patternType="gray125"/>
    </fill>
    <fill>
      <patternFill patternType="solid">
        <fgColor rgb="FF376B54"/>
        <bgColor indexed="64"/>
      </patternFill>
    </fill>
    <fill>
      <patternFill patternType="solid">
        <fgColor theme="9" tint="0.79998168889431442"/>
        <bgColor indexed="64"/>
      </patternFill>
    </fill>
    <fill>
      <patternFill patternType="solid">
        <fgColor rgb="FF00B0F0"/>
        <bgColor indexed="64"/>
      </patternFill>
    </fill>
    <fill>
      <patternFill patternType="solid">
        <fgColor theme="5" tint="0.39997558519241921"/>
        <bgColor indexed="64"/>
      </patternFill>
    </fill>
    <fill>
      <patternFill patternType="solid">
        <fgColor rgb="FF60AC8A"/>
        <bgColor indexed="64"/>
      </patternFill>
    </fill>
    <fill>
      <patternFill patternType="solid">
        <fgColor theme="7" tint="0.79998168889431442"/>
        <bgColor indexed="64"/>
      </patternFill>
    </fill>
    <fill>
      <patternFill patternType="solid">
        <fgColor rgb="FFA9D08E"/>
        <bgColor indexed="64"/>
      </patternFill>
    </fill>
    <fill>
      <patternFill patternType="solid">
        <fgColor theme="9" tint="0.39997558519241921"/>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ck">
        <color indexed="64"/>
      </top>
      <bottom/>
      <diagonal/>
    </border>
    <border>
      <left/>
      <right style="thin">
        <color indexed="64"/>
      </right>
      <top style="thin">
        <color indexed="64"/>
      </top>
      <bottom style="thin">
        <color indexed="64"/>
      </bottom>
      <diagonal/>
    </border>
    <border>
      <left/>
      <right style="thin">
        <color indexed="64"/>
      </right>
      <top style="thick">
        <color indexed="64"/>
      </top>
      <bottom/>
      <diagonal/>
    </border>
    <border>
      <left style="thin">
        <color indexed="64"/>
      </left>
      <right style="thin">
        <color indexed="64"/>
      </right>
      <top style="medium">
        <color indexed="64"/>
      </top>
      <bottom style="medium">
        <color indexed="64"/>
      </bottom>
      <diagonal/>
    </border>
    <border>
      <left style="thin">
        <color rgb="FF376B54"/>
      </left>
      <right style="thin">
        <color rgb="FF376B54"/>
      </right>
      <top style="thin">
        <color rgb="FF376B54"/>
      </top>
      <bottom style="thin">
        <color rgb="FF376B54"/>
      </bottom>
      <diagonal/>
    </border>
    <border>
      <left style="thin">
        <color rgb="FF376B54"/>
      </left>
      <right style="thin">
        <color theme="0"/>
      </right>
      <top style="thin">
        <color rgb="FF376B54"/>
      </top>
      <bottom style="thin">
        <color rgb="FF376B54"/>
      </bottom>
      <diagonal/>
    </border>
    <border>
      <left/>
      <right style="thin">
        <color rgb="FF376B54"/>
      </right>
      <top/>
      <bottom/>
      <diagonal/>
    </border>
    <border>
      <left style="thin">
        <color rgb="FF376B54"/>
      </left>
      <right style="thin">
        <color rgb="FF376B54"/>
      </right>
      <top style="thin">
        <color rgb="FF376B54"/>
      </top>
      <bottom/>
      <diagonal/>
    </border>
    <border>
      <left style="thin">
        <color rgb="FF376B54"/>
      </left>
      <right style="thin">
        <color rgb="FF376B54"/>
      </right>
      <top/>
      <bottom/>
      <diagonal/>
    </border>
    <border>
      <left style="thin">
        <color rgb="FF376B54"/>
      </left>
      <right style="thin">
        <color rgb="FF376B54"/>
      </right>
      <top/>
      <bottom style="thin">
        <color rgb="FF376B54"/>
      </bottom>
      <diagonal/>
    </border>
    <border>
      <left/>
      <right style="thin">
        <color rgb="FF376B54"/>
      </right>
      <top style="thin">
        <color rgb="FF376B54"/>
      </top>
      <bottom/>
      <diagonal/>
    </border>
    <border>
      <left/>
      <right/>
      <top/>
      <bottom style="thin">
        <color indexed="64"/>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bottom style="thin">
        <color theme="0"/>
      </bottom>
      <diagonal/>
    </border>
    <border>
      <left style="thin">
        <color theme="0"/>
      </left>
      <right style="thin">
        <color rgb="FF376B54"/>
      </right>
      <top style="thin">
        <color theme="0"/>
      </top>
      <bottom/>
      <diagonal/>
    </border>
    <border>
      <left style="thin">
        <color rgb="FF376B54"/>
      </left>
      <right style="thin">
        <color theme="0"/>
      </right>
      <top/>
      <bottom style="thin">
        <color rgb="FF376B54"/>
      </bottom>
      <diagonal/>
    </border>
    <border>
      <left/>
      <right style="thin">
        <color theme="0"/>
      </right>
      <top/>
      <bottom style="thin">
        <color rgb="FF376B54"/>
      </bottom>
      <diagonal/>
    </border>
    <border>
      <left style="thin">
        <color theme="0"/>
      </left>
      <right style="thin">
        <color theme="0"/>
      </right>
      <top/>
      <bottom style="thin">
        <color rgb="FF376B54"/>
      </bottom>
      <diagonal/>
    </border>
    <border>
      <left/>
      <right/>
      <top style="thin">
        <color rgb="FF376B54"/>
      </top>
      <bottom style="double">
        <color rgb="FF376B54"/>
      </bottom>
      <diagonal/>
    </border>
    <border>
      <left/>
      <right/>
      <top style="thin">
        <color rgb="FF376B5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267">
    <xf numFmtId="0" fontId="0" fillId="0" borderId="0" xfId="0"/>
    <xf numFmtId="0" fontId="3" fillId="0" borderId="0" xfId="0" applyFont="1"/>
    <xf numFmtId="0" fontId="4" fillId="6" borderId="39" xfId="0" applyFont="1" applyFill="1" applyBorder="1" applyAlignment="1"/>
    <xf numFmtId="0" fontId="4" fillId="6" borderId="40" xfId="0" applyFont="1" applyFill="1" applyBorder="1"/>
    <xf numFmtId="0" fontId="4" fillId="6" borderId="42" xfId="0" applyFont="1" applyFill="1" applyBorder="1"/>
    <xf numFmtId="16" fontId="4" fillId="6" borderId="43" xfId="0" applyNumberFormat="1" applyFont="1" applyFill="1" applyBorder="1" applyAlignment="1">
      <alignment horizontal="center"/>
    </xf>
    <xf numFmtId="0" fontId="4" fillId="6" borderId="43" xfId="0" applyFont="1" applyFill="1" applyBorder="1" applyAlignment="1">
      <alignment horizontal="center"/>
    </xf>
    <xf numFmtId="0" fontId="5" fillId="0" borderId="31" xfId="0" applyFont="1" applyBorder="1"/>
    <xf numFmtId="43" fontId="5" fillId="0" borderId="31" xfId="0" applyNumberFormat="1" applyFont="1" applyBorder="1"/>
    <xf numFmtId="165" fontId="5" fillId="0" borderId="31" xfId="1" applyNumberFormat="1" applyFont="1" applyBorder="1"/>
    <xf numFmtId="165" fontId="3" fillId="0" borderId="0" xfId="1" applyNumberFormat="1" applyFont="1"/>
    <xf numFmtId="0" fontId="3" fillId="0" borderId="31" xfId="0" applyFont="1" applyBorder="1"/>
    <xf numFmtId="165" fontId="3" fillId="0" borderId="31" xfId="1" applyNumberFormat="1" applyFont="1" applyBorder="1"/>
    <xf numFmtId="0" fontId="5" fillId="9" borderId="0" xfId="0" applyFont="1" applyFill="1"/>
    <xf numFmtId="165" fontId="5" fillId="9" borderId="50" xfId="1" applyNumberFormat="1" applyFont="1" applyFill="1" applyBorder="1"/>
    <xf numFmtId="0" fontId="5" fillId="0" borderId="0" xfId="0" applyFont="1"/>
    <xf numFmtId="165" fontId="5" fillId="0" borderId="0" xfId="1" applyNumberFormat="1" applyFont="1"/>
    <xf numFmtId="0" fontId="5" fillId="9" borderId="31" xfId="0" applyFont="1" applyFill="1" applyBorder="1"/>
    <xf numFmtId="165" fontId="5" fillId="9" borderId="31" xfId="1" applyNumberFormat="1" applyFont="1" applyFill="1" applyBorder="1"/>
    <xf numFmtId="0" fontId="3" fillId="0" borderId="0" xfId="0" applyFont="1" applyFill="1"/>
    <xf numFmtId="0" fontId="5" fillId="0" borderId="31" xfId="0" applyFont="1" applyFill="1" applyBorder="1"/>
    <xf numFmtId="165" fontId="5" fillId="0" borderId="31" xfId="1" applyNumberFormat="1" applyFont="1" applyFill="1" applyBorder="1"/>
    <xf numFmtId="165" fontId="3" fillId="0" borderId="0" xfId="1" applyNumberFormat="1" applyFont="1" applyFill="1"/>
    <xf numFmtId="0" fontId="3" fillId="0" borderId="31" xfId="0" applyFont="1" applyFill="1" applyBorder="1"/>
    <xf numFmtId="166" fontId="3" fillId="0" borderId="31" xfId="1" applyNumberFormat="1" applyFont="1" applyFill="1" applyBorder="1"/>
    <xf numFmtId="0" fontId="5" fillId="8" borderId="31" xfId="0" applyFont="1" applyFill="1" applyBorder="1"/>
    <xf numFmtId="165" fontId="5" fillId="8" borderId="31" xfId="1" applyNumberFormat="1" applyFont="1" applyFill="1" applyBorder="1"/>
    <xf numFmtId="0" fontId="5" fillId="0" borderId="0" xfId="0" applyFont="1" applyFill="1"/>
    <xf numFmtId="165" fontId="5" fillId="0" borderId="0" xfId="1" applyNumberFormat="1" applyFont="1" applyFill="1" applyBorder="1"/>
    <xf numFmtId="0" fontId="5" fillId="7" borderId="38" xfId="0" applyFont="1" applyFill="1" applyBorder="1"/>
    <xf numFmtId="167" fontId="5" fillId="7" borderId="38" xfId="3" applyNumberFormat="1" applyFont="1" applyFill="1" applyBorder="1"/>
    <xf numFmtId="9" fontId="5" fillId="7" borderId="38" xfId="2" applyFont="1" applyFill="1" applyBorder="1"/>
    <xf numFmtId="2" fontId="5" fillId="7" borderId="38" xfId="2" applyNumberFormat="1" applyFont="1" applyFill="1" applyBorder="1"/>
    <xf numFmtId="165" fontId="5" fillId="9" borderId="51" xfId="1" applyNumberFormat="1" applyFont="1" applyFill="1" applyBorder="1"/>
    <xf numFmtId="165" fontId="3" fillId="0" borderId="31" xfId="1" applyNumberFormat="1" applyFont="1" applyFill="1" applyBorder="1"/>
    <xf numFmtId="0" fontId="4" fillId="6" borderId="43" xfId="0" applyFont="1" applyFill="1" applyBorder="1"/>
    <xf numFmtId="0" fontId="4" fillId="6" borderId="44" xfId="0" applyFont="1" applyFill="1" applyBorder="1"/>
    <xf numFmtId="0" fontId="3" fillId="0" borderId="0" xfId="0" applyFont="1" applyBorder="1"/>
    <xf numFmtId="165" fontId="3" fillId="0" borderId="0" xfId="1" applyNumberFormat="1" applyFont="1" applyBorder="1"/>
    <xf numFmtId="0" fontId="4" fillId="6" borderId="39" xfId="0" applyFont="1" applyFill="1" applyBorder="1"/>
    <xf numFmtId="165" fontId="4" fillId="6" borderId="43" xfId="1" applyNumberFormat="1" applyFont="1" applyFill="1" applyBorder="1"/>
    <xf numFmtId="165" fontId="4" fillId="6" borderId="44" xfId="1" applyNumberFormat="1" applyFont="1" applyFill="1" applyBorder="1"/>
    <xf numFmtId="43" fontId="3" fillId="0" borderId="31" xfId="1" applyFont="1" applyBorder="1"/>
    <xf numFmtId="0" fontId="4" fillId="0" borderId="0" xfId="0" applyFont="1" applyFill="1" applyBorder="1" applyAlignment="1"/>
    <xf numFmtId="0" fontId="4" fillId="6" borderId="46" xfId="0" applyFont="1" applyFill="1" applyBorder="1"/>
    <xf numFmtId="165" fontId="4" fillId="0" borderId="0" xfId="1" applyNumberFormat="1" applyFont="1" applyFill="1" applyBorder="1"/>
    <xf numFmtId="165" fontId="3" fillId="0" borderId="0" xfId="1" applyNumberFormat="1" applyFont="1" applyFill="1" applyBorder="1"/>
    <xf numFmtId="0" fontId="6" fillId="0" borderId="31" xfId="0" applyFont="1" applyFill="1" applyBorder="1"/>
    <xf numFmtId="165" fontId="3" fillId="0" borderId="31" xfId="0" applyNumberFormat="1" applyFont="1" applyBorder="1"/>
    <xf numFmtId="0" fontId="4" fillId="2" borderId="32" xfId="0" applyFont="1" applyFill="1" applyBorder="1" applyAlignment="1">
      <alignment vertical="center"/>
    </xf>
    <xf numFmtId="0" fontId="4" fillId="2" borderId="47" xfId="0" applyFont="1" applyFill="1" applyBorder="1" applyAlignment="1">
      <alignment vertical="center"/>
    </xf>
    <xf numFmtId="0" fontId="4" fillId="2" borderId="48" xfId="0" applyFont="1" applyFill="1" applyBorder="1" applyAlignment="1">
      <alignment vertical="center"/>
    </xf>
    <xf numFmtId="0" fontId="4" fillId="2" borderId="49" xfId="0" applyFont="1" applyFill="1" applyBorder="1" applyAlignment="1">
      <alignment horizontal="center" vertical="center"/>
    </xf>
    <xf numFmtId="0" fontId="5" fillId="0" borderId="0" xfId="0" applyFont="1" applyAlignment="1">
      <alignment vertical="center"/>
    </xf>
    <xf numFmtId="0" fontId="3" fillId="3" borderId="31" xfId="0" applyFont="1" applyFill="1" applyBorder="1" applyAlignment="1">
      <alignment vertical="center" wrapText="1"/>
    </xf>
    <xf numFmtId="165" fontId="3" fillId="3" borderId="31" xfId="1" applyNumberFormat="1" applyFont="1" applyFill="1" applyBorder="1" applyAlignment="1">
      <alignment vertical="center"/>
    </xf>
    <xf numFmtId="0" fontId="6" fillId="3" borderId="31" xfId="0" applyFont="1" applyFill="1" applyBorder="1" applyAlignment="1">
      <alignment vertical="center" wrapText="1"/>
    </xf>
    <xf numFmtId="165" fontId="6" fillId="3" borderId="31" xfId="1" applyNumberFormat="1" applyFont="1" applyFill="1" applyBorder="1" applyAlignment="1" applyProtection="1">
      <alignment horizontal="right" vertical="center"/>
      <protection locked="0"/>
    </xf>
    <xf numFmtId="165" fontId="8" fillId="0" borderId="0" xfId="1" applyNumberFormat="1" applyFont="1" applyBorder="1" applyAlignment="1" applyProtection="1">
      <alignment horizontal="right" vertical="center"/>
      <protection locked="0"/>
    </xf>
    <xf numFmtId="165" fontId="8" fillId="0" borderId="0" xfId="1" applyNumberFormat="1" applyFont="1" applyBorder="1" applyAlignment="1" applyProtection="1">
      <alignment horizontal="center" vertical="center"/>
      <protection locked="0"/>
    </xf>
    <xf numFmtId="0" fontId="3" fillId="0" borderId="31" xfId="0" applyFont="1" applyBorder="1" applyAlignment="1">
      <alignment vertical="center" wrapText="1"/>
    </xf>
    <xf numFmtId="165" fontId="3" fillId="0" borderId="31" xfId="1" applyNumberFormat="1" applyFont="1" applyBorder="1" applyAlignment="1">
      <alignment vertical="center"/>
    </xf>
    <xf numFmtId="0" fontId="3" fillId="0" borderId="0" xfId="0" applyFont="1" applyFill="1" applyBorder="1"/>
    <xf numFmtId="165" fontId="6" fillId="0" borderId="31" xfId="1" applyNumberFormat="1" applyFont="1" applyBorder="1" applyAlignment="1" applyProtection="1">
      <alignment horizontal="right" vertical="center"/>
      <protection locked="0"/>
    </xf>
    <xf numFmtId="0" fontId="5" fillId="0" borderId="31" xfId="0" applyFont="1" applyBorder="1" applyAlignment="1">
      <alignment horizontal="center" vertical="center"/>
    </xf>
    <xf numFmtId="165" fontId="6" fillId="0" borderId="31" xfId="1" applyNumberFormat="1" applyFont="1" applyFill="1" applyBorder="1" applyAlignment="1" applyProtection="1">
      <alignment horizontal="right" vertical="center"/>
      <protection locked="0"/>
    </xf>
    <xf numFmtId="165" fontId="5" fillId="0" borderId="0" xfId="1" applyNumberFormat="1" applyFont="1" applyBorder="1"/>
    <xf numFmtId="0" fontId="9" fillId="0" borderId="0" xfId="0" applyFont="1" applyAlignment="1"/>
    <xf numFmtId="0" fontId="4" fillId="6" borderId="31" xfId="0" applyFont="1" applyFill="1" applyBorder="1" applyAlignment="1"/>
    <xf numFmtId="0" fontId="3" fillId="0" borderId="31" xfId="0" applyFont="1" applyBorder="1" applyAlignment="1">
      <alignment horizontal="center" vertical="center"/>
    </xf>
    <xf numFmtId="9" fontId="3" fillId="0" borderId="31" xfId="2" applyFont="1" applyBorder="1" applyAlignment="1">
      <alignment vertical="center"/>
    </xf>
    <xf numFmtId="0" fontId="3" fillId="0" borderId="31" xfId="0" applyFont="1" applyBorder="1" applyAlignment="1">
      <alignment wrapText="1"/>
    </xf>
    <xf numFmtId="43" fontId="3" fillId="0" borderId="31" xfId="1" applyNumberFormat="1" applyFont="1" applyBorder="1"/>
    <xf numFmtId="9" fontId="3" fillId="0" borderId="31" xfId="1" applyNumberFormat="1" applyFont="1" applyBorder="1"/>
    <xf numFmtId="0" fontId="10" fillId="0" borderId="0" xfId="0" applyFont="1" applyBorder="1" applyProtection="1">
      <protection locked="0"/>
    </xf>
    <xf numFmtId="0" fontId="3" fillId="0" borderId="0" xfId="0" applyFont="1" applyAlignment="1">
      <alignment horizontal="left"/>
    </xf>
    <xf numFmtId="0" fontId="3" fillId="0" borderId="0" xfId="0" applyFont="1" applyAlignment="1">
      <alignment vertical="top"/>
    </xf>
    <xf numFmtId="0" fontId="3" fillId="0" borderId="0" xfId="0" applyFont="1" applyAlignment="1">
      <alignment horizontal="center"/>
    </xf>
    <xf numFmtId="0" fontId="11" fillId="2" borderId="1" xfId="0" applyFont="1" applyFill="1" applyBorder="1" applyAlignment="1" applyProtection="1">
      <alignment vertical="center" wrapText="1"/>
      <protection locked="0"/>
    </xf>
    <xf numFmtId="0" fontId="11" fillId="2" borderId="2" xfId="0" applyFont="1" applyFill="1" applyBorder="1" applyAlignment="1" applyProtection="1">
      <alignment vertical="center" wrapText="1"/>
      <protection locked="0"/>
    </xf>
    <xf numFmtId="0" fontId="11" fillId="2" borderId="2" xfId="0" applyFont="1" applyFill="1" applyBorder="1" applyAlignment="1" applyProtection="1">
      <alignment vertical="top" wrapText="1"/>
      <protection locked="0"/>
    </xf>
    <xf numFmtId="0" fontId="11" fillId="2" borderId="2"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wrapText="1"/>
      <protection locked="0"/>
    </xf>
    <xf numFmtId="0" fontId="11" fillId="2" borderId="7" xfId="0" applyFont="1" applyFill="1" applyBorder="1" applyAlignment="1" applyProtection="1">
      <alignment horizontal="center" vertical="center" wrapText="1"/>
      <protection locked="0"/>
    </xf>
    <xf numFmtId="0" fontId="11" fillId="2" borderId="0" xfId="0" applyFont="1" applyFill="1" applyBorder="1" applyAlignment="1" applyProtection="1">
      <alignment horizontal="center" vertical="center" wrapText="1"/>
      <protection locked="0"/>
    </xf>
    <xf numFmtId="0" fontId="11" fillId="2" borderId="0" xfId="0" applyFont="1" applyFill="1" applyBorder="1" applyAlignment="1" applyProtection="1">
      <alignment horizontal="center" vertical="top" wrapText="1"/>
      <protection locked="0"/>
    </xf>
    <xf numFmtId="0" fontId="11" fillId="2" borderId="8" xfId="0" applyFont="1" applyFill="1" applyBorder="1" applyAlignment="1" applyProtection="1">
      <alignment horizontal="center" vertical="center" wrapText="1"/>
      <protection locked="0"/>
    </xf>
    <xf numFmtId="0" fontId="11" fillId="2" borderId="7" xfId="0" applyFont="1" applyFill="1" applyBorder="1" applyAlignment="1" applyProtection="1">
      <alignment vertical="center" wrapText="1"/>
      <protection locked="0"/>
    </xf>
    <xf numFmtId="0" fontId="11" fillId="2" borderId="0" xfId="0" applyFont="1" applyFill="1" applyBorder="1" applyAlignment="1" applyProtection="1">
      <alignment vertical="center" wrapText="1"/>
      <protection locked="0"/>
    </xf>
    <xf numFmtId="0" fontId="11" fillId="2" borderId="8" xfId="0" applyFont="1" applyFill="1" applyBorder="1" applyAlignment="1" applyProtection="1">
      <alignment vertical="center" wrapText="1"/>
      <protection locked="0"/>
    </xf>
    <xf numFmtId="0" fontId="11" fillId="2" borderId="10" xfId="0" applyFont="1" applyFill="1" applyBorder="1" applyAlignment="1" applyProtection="1">
      <alignment horizontal="center" vertical="center" wrapText="1"/>
      <protection locked="0"/>
    </xf>
    <xf numFmtId="0" fontId="11" fillId="2" borderId="11" xfId="0" applyFont="1" applyFill="1" applyBorder="1" applyAlignment="1" applyProtection="1">
      <alignment horizontal="center" vertical="center" wrapText="1"/>
      <protection locked="0"/>
    </xf>
    <xf numFmtId="0" fontId="11" fillId="2" borderId="12"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protection locked="0"/>
    </xf>
    <xf numFmtId="0" fontId="13" fillId="3" borderId="16" xfId="0" applyFont="1" applyFill="1" applyBorder="1" applyAlignment="1" applyProtection="1">
      <alignment vertical="center" wrapText="1"/>
      <protection locked="0"/>
    </xf>
    <xf numFmtId="0" fontId="13" fillId="3" borderId="15" xfId="0" applyFont="1" applyFill="1" applyBorder="1" applyAlignment="1" applyProtection="1">
      <alignment vertical="center" wrapText="1"/>
      <protection locked="0"/>
    </xf>
    <xf numFmtId="0" fontId="13" fillId="0" borderId="15" xfId="0" applyFont="1" applyBorder="1" applyAlignment="1" applyProtection="1">
      <alignment horizontal="left" vertical="center"/>
      <protection locked="0"/>
    </xf>
    <xf numFmtId="165" fontId="13" fillId="0" borderId="15" xfId="1" applyNumberFormat="1" applyFont="1" applyBorder="1" applyAlignment="1" applyProtection="1">
      <alignment horizontal="right" vertical="center"/>
      <protection locked="0"/>
    </xf>
    <xf numFmtId="165" fontId="13" fillId="0" borderId="15" xfId="1" applyNumberFormat="1" applyFont="1" applyBorder="1" applyAlignment="1" applyProtection="1">
      <alignment horizontal="right" vertical="center"/>
    </xf>
    <xf numFmtId="165" fontId="13" fillId="0" borderId="16" xfId="1" applyNumberFormat="1" applyFont="1" applyBorder="1" applyAlignment="1" applyProtection="1">
      <alignment horizontal="right" vertical="center"/>
      <protection locked="0"/>
    </xf>
    <xf numFmtId="165" fontId="13" fillId="0" borderId="17" xfId="1" applyNumberFormat="1" applyFont="1" applyBorder="1" applyAlignment="1" applyProtection="1">
      <alignment horizontal="right" vertical="center"/>
      <protection locked="0"/>
    </xf>
    <xf numFmtId="0" fontId="13" fillId="0" borderId="18" xfId="0" applyFont="1" applyBorder="1" applyAlignment="1" applyProtection="1">
      <alignment horizontal="center" vertical="center" wrapText="1"/>
      <protection locked="0"/>
    </xf>
    <xf numFmtId="0" fontId="3" fillId="0" borderId="19" xfId="0" applyFont="1" applyFill="1" applyBorder="1" applyAlignment="1"/>
    <xf numFmtId="165" fontId="3" fillId="0" borderId="0" xfId="0" applyNumberFormat="1" applyFont="1" applyFill="1"/>
    <xf numFmtId="165" fontId="13" fillId="0" borderId="14" xfId="1" applyNumberFormat="1" applyFont="1" applyBorder="1" applyAlignment="1" applyProtection="1">
      <alignment horizontal="center" vertical="center"/>
      <protection locked="0"/>
    </xf>
    <xf numFmtId="0" fontId="3" fillId="0" borderId="0" xfId="0" applyFont="1" applyAlignment="1">
      <alignment vertical="center"/>
    </xf>
    <xf numFmtId="0" fontId="3" fillId="0" borderId="19" xfId="0" applyFont="1" applyFill="1" applyBorder="1"/>
    <xf numFmtId="165" fontId="13" fillId="0" borderId="18" xfId="1" applyNumberFormat="1" applyFont="1" applyBorder="1" applyAlignment="1" applyProtection="1">
      <alignment horizontal="center" vertical="center"/>
      <protection locked="0"/>
    </xf>
    <xf numFmtId="165" fontId="13" fillId="0" borderId="14" xfId="1" applyNumberFormat="1" applyFont="1" applyBorder="1" applyAlignment="1" applyProtection="1">
      <alignment horizontal="right" vertical="center"/>
      <protection locked="0"/>
    </xf>
    <xf numFmtId="165" fontId="13" fillId="0" borderId="18" xfId="1" applyNumberFormat="1" applyFont="1" applyBorder="1" applyAlignment="1" applyProtection="1">
      <alignment horizontal="right" vertical="center"/>
      <protection locked="0"/>
    </xf>
    <xf numFmtId="0" fontId="13" fillId="3" borderId="14" xfId="0" applyFont="1" applyFill="1" applyBorder="1" applyAlignment="1" applyProtection="1">
      <alignment vertical="center" wrapText="1"/>
      <protection locked="0"/>
    </xf>
    <xf numFmtId="0" fontId="13" fillId="3" borderId="20" xfId="0" applyFont="1" applyFill="1" applyBorder="1" applyAlignment="1" applyProtection="1">
      <alignment vertical="center" wrapText="1"/>
      <protection locked="0"/>
    </xf>
    <xf numFmtId="0" fontId="13" fillId="3" borderId="18" xfId="0" applyFont="1" applyFill="1" applyBorder="1" applyAlignment="1" applyProtection="1">
      <alignment vertical="center" wrapText="1"/>
      <protection locked="0"/>
    </xf>
    <xf numFmtId="0" fontId="13" fillId="0" borderId="21" xfId="0" applyFont="1" applyBorder="1" applyAlignment="1" applyProtection="1">
      <alignment horizontal="left" vertical="center"/>
      <protection locked="0"/>
    </xf>
    <xf numFmtId="165" fontId="13" fillId="0" borderId="18" xfId="1" applyNumberFormat="1" applyFont="1" applyBorder="1" applyAlignment="1" applyProtection="1">
      <alignment horizontal="right" vertical="center"/>
    </xf>
    <xf numFmtId="0" fontId="13" fillId="0" borderId="18" xfId="0" applyFont="1" applyFill="1" applyBorder="1" applyAlignment="1" applyProtection="1">
      <alignment horizontal="center" vertical="center" wrapText="1"/>
      <protection locked="0"/>
    </xf>
    <xf numFmtId="0" fontId="6" fillId="0" borderId="0" xfId="0" applyFont="1" applyFill="1"/>
    <xf numFmtId="165" fontId="6" fillId="0" borderId="0" xfId="0" applyNumberFormat="1" applyFont="1" applyFill="1"/>
    <xf numFmtId="0" fontId="6" fillId="0" borderId="0" xfId="0" applyFont="1"/>
    <xf numFmtId="0" fontId="13" fillId="0" borderId="18" xfId="0" applyFont="1" applyBorder="1" applyAlignment="1" applyProtection="1">
      <alignment horizontal="left" vertical="center" wrapText="1"/>
      <protection locked="0"/>
    </xf>
    <xf numFmtId="0" fontId="13" fillId="3" borderId="21" xfId="0" applyFont="1" applyFill="1" applyBorder="1" applyAlignment="1" applyProtection="1">
      <alignment vertical="center" wrapText="1"/>
      <protection locked="0"/>
    </xf>
    <xf numFmtId="0" fontId="13" fillId="0" borderId="18" xfId="0" applyFont="1" applyBorder="1" applyAlignment="1" applyProtection="1">
      <alignment horizontal="left" vertical="center"/>
      <protection locked="0"/>
    </xf>
    <xf numFmtId="0" fontId="13" fillId="0" borderId="18" xfId="0" applyFont="1" applyFill="1" applyBorder="1" applyAlignment="1" applyProtection="1">
      <alignment horizontal="left" vertical="center"/>
      <protection locked="0"/>
    </xf>
    <xf numFmtId="165" fontId="13" fillId="0" borderId="18" xfId="1" applyNumberFormat="1" applyFont="1" applyFill="1" applyBorder="1" applyAlignment="1" applyProtection="1">
      <alignment horizontal="right" vertical="center"/>
      <protection locked="0"/>
    </xf>
    <xf numFmtId="165" fontId="13" fillId="0" borderId="18" xfId="1" applyNumberFormat="1" applyFont="1" applyFill="1" applyBorder="1" applyAlignment="1" applyProtection="1">
      <alignment horizontal="right" vertical="center"/>
    </xf>
    <xf numFmtId="0" fontId="3" fillId="4" borderId="0" xfId="0" applyFont="1" applyFill="1"/>
    <xf numFmtId="0" fontId="3" fillId="5" borderId="0" xfId="0" applyFont="1" applyFill="1"/>
    <xf numFmtId="165" fontId="13" fillId="0" borderId="18" xfId="1" applyNumberFormat="1" applyFont="1" applyFill="1" applyBorder="1" applyAlignment="1" applyProtection="1">
      <alignment horizontal="center" vertical="center"/>
      <protection locked="0"/>
    </xf>
    <xf numFmtId="0" fontId="13" fillId="0" borderId="21" xfId="0" applyFont="1" applyFill="1" applyBorder="1" applyAlignment="1" applyProtection="1">
      <alignment horizontal="left" vertical="center"/>
      <protection locked="0"/>
    </xf>
    <xf numFmtId="165" fontId="13" fillId="0" borderId="21" xfId="1" applyNumberFormat="1" applyFont="1" applyFill="1" applyBorder="1" applyAlignment="1" applyProtection="1">
      <alignment horizontal="right" vertical="center"/>
      <protection locked="0"/>
    </xf>
    <xf numFmtId="165" fontId="13" fillId="0" borderId="21" xfId="1" applyNumberFormat="1" applyFont="1" applyFill="1" applyBorder="1" applyAlignment="1" applyProtection="1">
      <alignment horizontal="right" vertical="center"/>
    </xf>
    <xf numFmtId="165" fontId="13" fillId="0" borderId="21" xfId="1" applyNumberFormat="1" applyFont="1" applyFill="1" applyBorder="1" applyAlignment="1" applyProtection="1">
      <alignment horizontal="center" vertical="center"/>
      <protection locked="0"/>
    </xf>
    <xf numFmtId="165" fontId="13" fillId="0" borderId="16" xfId="1" applyNumberFormat="1" applyFont="1" applyFill="1" applyBorder="1" applyAlignment="1" applyProtection="1">
      <alignment horizontal="center" vertical="center"/>
      <protection locked="0"/>
    </xf>
    <xf numFmtId="0" fontId="13" fillId="0" borderId="16" xfId="0" applyFont="1" applyFill="1" applyBorder="1" applyAlignment="1" applyProtection="1">
      <alignment horizontal="center" vertical="center" wrapText="1"/>
      <protection locked="0"/>
    </xf>
    <xf numFmtId="0" fontId="3" fillId="0" borderId="21" xfId="0" applyFont="1" applyFill="1" applyBorder="1" applyAlignment="1">
      <alignment vertical="center"/>
    </xf>
    <xf numFmtId="0" fontId="13" fillId="0" borderId="14" xfId="0" applyFont="1" applyFill="1" applyBorder="1" applyAlignment="1" applyProtection="1">
      <alignment horizontal="left" vertical="center"/>
      <protection locked="0"/>
    </xf>
    <xf numFmtId="165" fontId="13" fillId="0" borderId="14" xfId="1" applyNumberFormat="1" applyFont="1" applyFill="1" applyBorder="1" applyAlignment="1" applyProtection="1">
      <alignment horizontal="right" vertical="center"/>
      <protection locked="0"/>
    </xf>
    <xf numFmtId="165" fontId="13" fillId="0" borderId="14" xfId="1" applyNumberFormat="1" applyFont="1" applyFill="1" applyBorder="1" applyAlignment="1" applyProtection="1">
      <alignment horizontal="right" vertical="center"/>
    </xf>
    <xf numFmtId="165" fontId="13" fillId="0" borderId="16" xfId="1" applyNumberFormat="1" applyFont="1" applyFill="1" applyBorder="1" applyAlignment="1" applyProtection="1">
      <alignment horizontal="right" vertical="center"/>
      <protection locked="0"/>
    </xf>
    <xf numFmtId="0" fontId="12" fillId="3" borderId="21" xfId="0" applyFont="1" applyFill="1" applyBorder="1" applyAlignment="1" applyProtection="1">
      <alignment vertical="center" wrapText="1"/>
      <protection locked="0"/>
    </xf>
    <xf numFmtId="165" fontId="13" fillId="0" borderId="14" xfId="1" applyNumberFormat="1" applyFont="1" applyFill="1" applyBorder="1" applyAlignment="1" applyProtection="1">
      <alignment horizontal="center" vertical="center"/>
      <protection locked="0"/>
    </xf>
    <xf numFmtId="0" fontId="12" fillId="3" borderId="14" xfId="0" applyFont="1" applyFill="1" applyBorder="1" applyAlignment="1" applyProtection="1">
      <alignment vertical="center" wrapText="1"/>
      <protection locked="0"/>
    </xf>
    <xf numFmtId="0" fontId="13" fillId="0" borderId="19" xfId="0" applyFont="1" applyFill="1" applyBorder="1" applyAlignment="1" applyProtection="1">
      <alignment horizontal="center" vertical="center" wrapText="1"/>
      <protection locked="0"/>
    </xf>
    <xf numFmtId="0" fontId="12" fillId="3" borderId="16" xfId="0" applyFont="1" applyFill="1" applyBorder="1" applyAlignment="1" applyProtection="1">
      <alignment vertical="center" wrapText="1"/>
      <protection locked="0"/>
    </xf>
    <xf numFmtId="0" fontId="13" fillId="0" borderId="21" xfId="0" applyFont="1" applyFill="1" applyBorder="1" applyAlignment="1" applyProtection="1">
      <alignment horizontal="center" vertical="center" wrapText="1"/>
      <protection locked="0"/>
    </xf>
    <xf numFmtId="0" fontId="13" fillId="3" borderId="25" xfId="0" applyFont="1" applyFill="1" applyBorder="1" applyAlignment="1" applyProtection="1">
      <alignment vertical="center" wrapText="1"/>
      <protection locked="0"/>
    </xf>
    <xf numFmtId="0" fontId="13" fillId="3" borderId="26" xfId="0" applyFont="1" applyFill="1" applyBorder="1" applyAlignment="1" applyProtection="1">
      <alignment vertical="center" wrapText="1"/>
      <protection locked="0"/>
    </xf>
    <xf numFmtId="0" fontId="13" fillId="3" borderId="28" xfId="0" applyFont="1" applyFill="1" applyBorder="1" applyAlignment="1" applyProtection="1">
      <alignment vertical="center" wrapText="1"/>
      <protection locked="0"/>
    </xf>
    <xf numFmtId="165" fontId="7" fillId="0" borderId="18" xfId="1" applyNumberFormat="1" applyFont="1" applyFill="1" applyBorder="1" applyAlignment="1" applyProtection="1">
      <alignment horizontal="right" vertical="center"/>
      <protection locked="0"/>
    </xf>
    <xf numFmtId="0" fontId="12" fillId="3" borderId="18" xfId="0" applyFont="1" applyFill="1" applyBorder="1" applyAlignment="1" applyProtection="1">
      <alignment vertical="center" wrapText="1"/>
      <protection locked="0"/>
    </xf>
    <xf numFmtId="0" fontId="12" fillId="3" borderId="27" xfId="0" applyFont="1" applyFill="1" applyBorder="1" applyAlignment="1" applyProtection="1">
      <alignment vertical="center" wrapText="1"/>
      <protection locked="0"/>
    </xf>
    <xf numFmtId="0" fontId="14" fillId="3" borderId="27" xfId="0" applyFont="1" applyFill="1" applyBorder="1" applyAlignment="1" applyProtection="1">
      <alignment vertical="center" wrapText="1"/>
      <protection locked="0"/>
    </xf>
    <xf numFmtId="0" fontId="13" fillId="3" borderId="29" xfId="0" applyFont="1" applyFill="1" applyBorder="1" applyAlignment="1" applyProtection="1">
      <alignment vertical="center" wrapText="1"/>
      <protection locked="0"/>
    </xf>
    <xf numFmtId="0" fontId="13" fillId="3" borderId="27" xfId="0" applyFont="1" applyFill="1" applyBorder="1" applyAlignment="1" applyProtection="1">
      <alignment vertical="center" wrapText="1"/>
      <protection locked="0"/>
    </xf>
    <xf numFmtId="0" fontId="13" fillId="0" borderId="27" xfId="0" applyFont="1" applyFill="1" applyBorder="1" applyAlignment="1" applyProtection="1">
      <alignment horizontal="left" vertical="center"/>
      <protection locked="0"/>
    </xf>
    <xf numFmtId="165" fontId="13" fillId="0" borderId="27" xfId="1" applyNumberFormat="1" applyFont="1" applyFill="1" applyBorder="1" applyAlignment="1" applyProtection="1">
      <alignment horizontal="right" vertical="center"/>
      <protection locked="0"/>
    </xf>
    <xf numFmtId="165" fontId="12" fillId="0" borderId="27" xfId="1" applyNumberFormat="1" applyFont="1" applyFill="1" applyBorder="1" applyAlignment="1" applyProtection="1">
      <alignment horizontal="right" vertical="center"/>
      <protection locked="0"/>
    </xf>
    <xf numFmtId="0" fontId="15" fillId="0" borderId="27" xfId="0" applyFont="1" applyFill="1" applyBorder="1" applyAlignment="1" applyProtection="1">
      <alignment horizontal="center" vertical="center" wrapText="1"/>
      <protection locked="0"/>
    </xf>
    <xf numFmtId="0" fontId="3" fillId="0" borderId="3" xfId="0" applyFont="1" applyFill="1" applyBorder="1"/>
    <xf numFmtId="0" fontId="12" fillId="3" borderId="30" xfId="0" applyFont="1" applyFill="1" applyBorder="1" applyAlignment="1" applyProtection="1">
      <alignment vertical="center" wrapText="1"/>
      <protection locked="0"/>
    </xf>
    <xf numFmtId="0" fontId="16"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13" fillId="0" borderId="4" xfId="0" applyFont="1" applyFill="1" applyBorder="1" applyAlignment="1" applyProtection="1">
      <alignment horizontal="left" vertical="top"/>
      <protection locked="0"/>
    </xf>
    <xf numFmtId="165" fontId="13" fillId="0" borderId="4" xfId="1" applyNumberFormat="1" applyFont="1" applyFill="1" applyBorder="1" applyAlignment="1" applyProtection="1">
      <alignment horizontal="right" vertical="top"/>
      <protection locked="0"/>
    </xf>
    <xf numFmtId="165" fontId="17" fillId="0" borderId="4" xfId="1" applyNumberFormat="1" applyFont="1" applyFill="1" applyBorder="1" applyAlignment="1" applyProtection="1">
      <alignment horizontal="right" vertical="top"/>
    </xf>
    <xf numFmtId="165" fontId="17" fillId="0" borderId="4" xfId="1" applyNumberFormat="1" applyFont="1" applyFill="1" applyBorder="1" applyAlignment="1" applyProtection="1">
      <alignment horizontal="right" vertical="top"/>
      <protection locked="0"/>
    </xf>
    <xf numFmtId="0" fontId="15" fillId="0" borderId="5"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vertical="top"/>
      <protection locked="0"/>
    </xf>
    <xf numFmtId="165" fontId="13" fillId="0" borderId="0" xfId="1" applyNumberFormat="1" applyFont="1" applyFill="1" applyBorder="1" applyAlignment="1" applyProtection="1">
      <alignment horizontal="right" vertical="top"/>
      <protection locked="0"/>
    </xf>
    <xf numFmtId="165" fontId="13" fillId="0" borderId="0" xfId="1" applyNumberFormat="1" applyFont="1" applyFill="1" applyBorder="1" applyAlignment="1" applyProtection="1">
      <alignment horizontal="right" vertical="top"/>
    </xf>
    <xf numFmtId="0" fontId="15" fillId="0" borderId="0" xfId="0" applyFont="1" applyFill="1" applyBorder="1" applyAlignment="1" applyProtection="1">
      <alignment horizontal="center" vertical="center" wrapText="1"/>
      <protection locked="0"/>
    </xf>
    <xf numFmtId="0" fontId="3" fillId="0" borderId="0" xfId="0" applyFont="1" applyFill="1" applyBorder="1" applyAlignment="1">
      <alignment horizontal="left"/>
    </xf>
    <xf numFmtId="0" fontId="16" fillId="0" borderId="0" xfId="0" applyFont="1" applyFill="1" applyBorder="1" applyAlignment="1" applyProtection="1">
      <alignment horizontal="left" vertical="top" wrapText="1"/>
      <protection locked="0"/>
    </xf>
    <xf numFmtId="9" fontId="13" fillId="0" borderId="0" xfId="2" applyFont="1" applyFill="1" applyBorder="1" applyAlignment="1" applyProtection="1">
      <alignment horizontal="right" vertical="top"/>
    </xf>
    <xf numFmtId="9" fontId="13" fillId="0" borderId="0" xfId="2" applyFont="1" applyFill="1" applyBorder="1" applyAlignment="1" applyProtection="1">
      <alignment horizontal="right" vertical="top"/>
      <protection locked="0"/>
    </xf>
    <xf numFmtId="0" fontId="3" fillId="0" borderId="0" xfId="0" applyFont="1" applyFill="1" applyBorder="1" applyAlignment="1">
      <alignment vertical="top"/>
    </xf>
    <xf numFmtId="0" fontId="3" fillId="0" borderId="0" xfId="0" applyFont="1" applyFill="1" applyBorder="1" applyAlignment="1">
      <alignment horizontal="center"/>
    </xf>
    <xf numFmtId="165" fontId="3" fillId="0" borderId="0" xfId="0" applyNumberFormat="1" applyFont="1" applyFill="1" applyBorder="1"/>
    <xf numFmtId="9" fontId="3" fillId="0" borderId="0" xfId="2" applyFont="1" applyFill="1" applyBorder="1"/>
    <xf numFmtId="165" fontId="3" fillId="0" borderId="0" xfId="0" applyNumberFormat="1" applyFont="1"/>
    <xf numFmtId="0" fontId="18" fillId="0" borderId="0" xfId="0" applyFont="1"/>
    <xf numFmtId="165" fontId="5" fillId="0" borderId="0" xfId="0" applyNumberFormat="1" applyFont="1"/>
    <xf numFmtId="0" fontId="4" fillId="0" borderId="0" xfId="0" applyFont="1" applyFill="1" applyAlignment="1">
      <alignment vertical="center"/>
    </xf>
    <xf numFmtId="9" fontId="3" fillId="0" borderId="31" xfId="0" applyNumberFormat="1" applyFont="1" applyBorder="1" applyAlignment="1">
      <alignment horizontal="left"/>
    </xf>
    <xf numFmtId="9" fontId="3" fillId="0" borderId="31" xfId="2" applyFont="1" applyBorder="1"/>
    <xf numFmtId="2" fontId="3" fillId="0" borderId="31" xfId="0" applyNumberFormat="1" applyFont="1" applyBorder="1"/>
    <xf numFmtId="0" fontId="5" fillId="3" borderId="31" xfId="0" applyFont="1" applyFill="1" applyBorder="1"/>
    <xf numFmtId="0" fontId="2" fillId="0" borderId="0" xfId="0" applyFont="1" applyFill="1" applyAlignment="1">
      <alignment vertical="center"/>
    </xf>
    <xf numFmtId="43" fontId="3" fillId="0" borderId="31" xfId="1" applyFont="1" applyFill="1" applyBorder="1" applyAlignment="1">
      <alignment horizontal="left"/>
    </xf>
    <xf numFmtId="9" fontId="3" fillId="0" borderId="31" xfId="0" applyNumberFormat="1" applyFont="1" applyFill="1" applyBorder="1" applyAlignment="1">
      <alignment horizontal="left"/>
    </xf>
    <xf numFmtId="9" fontId="3" fillId="0" borderId="31" xfId="0" applyNumberFormat="1" applyFont="1" applyFill="1" applyBorder="1" applyAlignment="1">
      <alignment horizontal="right"/>
    </xf>
    <xf numFmtId="165" fontId="3" fillId="0" borderId="31" xfId="1" applyNumberFormat="1" applyFont="1" applyFill="1" applyBorder="1" applyAlignment="1">
      <alignment horizontal="right"/>
    </xf>
    <xf numFmtId="43" fontId="3" fillId="0" borderId="31" xfId="0" applyNumberFormat="1" applyFont="1" applyFill="1" applyBorder="1" applyAlignment="1">
      <alignment horizontal="left"/>
    </xf>
    <xf numFmtId="9" fontId="3" fillId="0" borderId="31" xfId="0" applyNumberFormat="1" applyFont="1" applyBorder="1"/>
    <xf numFmtId="43" fontId="3" fillId="0" borderId="31" xfId="0" applyNumberFormat="1" applyFont="1" applyBorder="1"/>
    <xf numFmtId="168" fontId="3" fillId="0" borderId="31" xfId="0" applyNumberFormat="1" applyFont="1" applyBorder="1"/>
    <xf numFmtId="0" fontId="4" fillId="6" borderId="41" xfId="0" applyFont="1" applyFill="1" applyBorder="1" applyAlignment="1">
      <alignment horizontal="left"/>
    </xf>
    <xf numFmtId="0" fontId="4" fillId="6" borderId="45" xfId="0" applyFont="1" applyFill="1" applyBorder="1" applyAlignment="1">
      <alignment horizontal="left"/>
    </xf>
    <xf numFmtId="0" fontId="2" fillId="2" borderId="0" xfId="0" applyFont="1" applyFill="1" applyAlignment="1">
      <alignment horizontal="left" vertical="center"/>
    </xf>
    <xf numFmtId="9" fontId="5" fillId="8" borderId="31" xfId="0" applyNumberFormat="1" applyFont="1" applyFill="1" applyBorder="1" applyAlignment="1">
      <alignment horizontal="left"/>
    </xf>
    <xf numFmtId="0" fontId="2" fillId="2" borderId="31" xfId="0" applyFont="1" applyFill="1" applyBorder="1" applyAlignment="1">
      <alignment horizontal="center" vertical="center"/>
    </xf>
    <xf numFmtId="0" fontId="5" fillId="8" borderId="31" xfId="0" applyFont="1" applyFill="1" applyBorder="1" applyAlignment="1">
      <alignment horizontal="left"/>
    </xf>
    <xf numFmtId="0" fontId="4" fillId="6" borderId="41" xfId="0" applyFont="1" applyFill="1" applyBorder="1" applyAlignment="1">
      <alignment horizontal="center"/>
    </xf>
    <xf numFmtId="0" fontId="4" fillId="6" borderId="45" xfId="0" applyFont="1" applyFill="1" applyBorder="1" applyAlignment="1">
      <alignment horizontal="center"/>
    </xf>
    <xf numFmtId="0" fontId="2" fillId="2" borderId="0" xfId="0" applyFont="1" applyFill="1" applyAlignment="1">
      <alignment horizontal="center" vertical="center"/>
    </xf>
    <xf numFmtId="0" fontId="4" fillId="6" borderId="39" xfId="0" applyFont="1" applyFill="1" applyBorder="1" applyAlignment="1">
      <alignment horizontal="center"/>
    </xf>
    <xf numFmtId="0" fontId="4" fillId="6" borderId="40" xfId="0" applyFont="1" applyFill="1" applyBorder="1" applyAlignment="1">
      <alignment horizontal="center"/>
    </xf>
    <xf numFmtId="0" fontId="5" fillId="3" borderId="34" xfId="0" applyFont="1" applyFill="1" applyBorder="1" applyAlignment="1">
      <alignment horizontal="center" vertical="center"/>
    </xf>
    <xf numFmtId="0" fontId="5" fillId="3" borderId="36" xfId="0" applyFont="1" applyFill="1" applyBorder="1" applyAlignment="1">
      <alignment horizontal="center" vertical="center"/>
    </xf>
    <xf numFmtId="0" fontId="2" fillId="2" borderId="45" xfId="0" applyFont="1" applyFill="1" applyBorder="1" applyAlignment="1">
      <alignment horizontal="center" vertical="center"/>
    </xf>
    <xf numFmtId="0" fontId="5" fillId="3" borderId="35" xfId="0" applyFont="1" applyFill="1" applyBorder="1" applyAlignment="1">
      <alignment horizontal="center" vertical="center"/>
    </xf>
    <xf numFmtId="0" fontId="5" fillId="0" borderId="37"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Fill="1" applyBorder="1" applyAlignment="1">
      <alignment horizontal="center" vertical="center"/>
    </xf>
    <xf numFmtId="0" fontId="5" fillId="0" borderId="36" xfId="0" applyFont="1" applyFill="1" applyBorder="1" applyAlignment="1">
      <alignment horizontal="center" vertical="center"/>
    </xf>
    <xf numFmtId="0" fontId="11" fillId="2" borderId="3"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wrapText="1"/>
      <protection locked="0"/>
    </xf>
    <xf numFmtId="0" fontId="11" fillId="2" borderId="6" xfId="0" applyFont="1" applyFill="1" applyBorder="1" applyAlignment="1" applyProtection="1">
      <alignment horizontal="center" vertical="center" wrapText="1"/>
      <protection locked="0"/>
    </xf>
    <xf numFmtId="0" fontId="11" fillId="2" borderId="9" xfId="0" applyFont="1" applyFill="1" applyBorder="1" applyAlignment="1" applyProtection="1">
      <alignment horizontal="center" vertical="center" wrapText="1"/>
      <protection locked="0"/>
    </xf>
    <xf numFmtId="0" fontId="11" fillId="2" borderId="13" xfId="0" applyFont="1" applyFill="1" applyBorder="1" applyAlignment="1" applyProtection="1">
      <alignment horizontal="center" vertical="center" wrapText="1"/>
      <protection locked="0"/>
    </xf>
    <xf numFmtId="0" fontId="12" fillId="3" borderId="14" xfId="0" applyFont="1" applyFill="1" applyBorder="1" applyAlignment="1" applyProtection="1">
      <alignment horizontal="left" vertical="top" wrapText="1"/>
      <protection locked="0"/>
    </xf>
    <xf numFmtId="0" fontId="12" fillId="3" borderId="16" xfId="0" applyFont="1" applyFill="1" applyBorder="1" applyAlignment="1" applyProtection="1">
      <alignment horizontal="left" vertical="top" wrapText="1"/>
      <protection locked="0"/>
    </xf>
    <xf numFmtId="0" fontId="12" fillId="3" borderId="15" xfId="0" applyFont="1" applyFill="1" applyBorder="1" applyAlignment="1" applyProtection="1">
      <alignment vertical="center" wrapText="1"/>
      <protection locked="0"/>
    </xf>
    <xf numFmtId="0" fontId="12" fillId="3" borderId="16" xfId="0" applyFont="1" applyFill="1" applyBorder="1" applyAlignment="1" applyProtection="1">
      <alignment vertical="center" wrapText="1"/>
      <protection locked="0"/>
    </xf>
    <xf numFmtId="0" fontId="13" fillId="3" borderId="14" xfId="0" applyFont="1" applyFill="1" applyBorder="1" applyAlignment="1" applyProtection="1">
      <alignment vertical="center" wrapText="1"/>
      <protection locked="0"/>
    </xf>
    <xf numFmtId="0" fontId="13" fillId="3" borderId="18" xfId="0" applyFont="1" applyFill="1" applyBorder="1" applyAlignment="1" applyProtection="1">
      <alignment vertical="center" wrapText="1"/>
      <protection locked="0"/>
    </xf>
    <xf numFmtId="0" fontId="13" fillId="0" borderId="14" xfId="0" applyFont="1" applyBorder="1" applyAlignment="1" applyProtection="1">
      <alignment horizontal="left" vertical="center"/>
      <protection locked="0"/>
    </xf>
    <xf numFmtId="0" fontId="13" fillId="0" borderId="18" xfId="0" applyFont="1" applyBorder="1" applyAlignment="1" applyProtection="1">
      <alignment horizontal="left" vertical="center"/>
      <protection locked="0"/>
    </xf>
    <xf numFmtId="165" fontId="13" fillId="0" borderId="14" xfId="1" applyNumberFormat="1" applyFont="1" applyBorder="1" applyAlignment="1" applyProtection="1">
      <alignment horizontal="right" vertical="center"/>
      <protection locked="0"/>
    </xf>
    <xf numFmtId="165" fontId="13" fillId="0" borderId="18" xfId="1" applyNumberFormat="1" applyFont="1" applyBorder="1" applyAlignment="1" applyProtection="1">
      <alignment horizontal="right" vertical="center"/>
      <protection locked="0"/>
    </xf>
    <xf numFmtId="165" fontId="13" fillId="0" borderId="14" xfId="1" applyNumberFormat="1" applyFont="1" applyBorder="1" applyAlignment="1" applyProtection="1">
      <alignment horizontal="center" vertical="center"/>
      <protection locked="0"/>
    </xf>
    <xf numFmtId="165" fontId="13" fillId="0" borderId="18" xfId="1" applyNumberFormat="1" applyFont="1" applyBorder="1" applyAlignment="1" applyProtection="1">
      <alignment horizontal="center" vertical="center"/>
      <protection locked="0"/>
    </xf>
    <xf numFmtId="165" fontId="13" fillId="0" borderId="14" xfId="1" applyNumberFormat="1" applyFont="1" applyFill="1" applyBorder="1" applyAlignment="1" applyProtection="1">
      <alignment horizontal="right" vertical="center"/>
      <protection locked="0"/>
    </xf>
    <xf numFmtId="165" fontId="13" fillId="0" borderId="18" xfId="1" applyNumberFormat="1" applyFont="1" applyFill="1" applyBorder="1" applyAlignment="1" applyProtection="1">
      <alignment horizontal="right" vertical="center"/>
      <protection locked="0"/>
    </xf>
    <xf numFmtId="165" fontId="13" fillId="0" borderId="14" xfId="1" applyNumberFormat="1" applyFont="1" applyBorder="1" applyAlignment="1" applyProtection="1">
      <alignment horizontal="right" vertical="center"/>
    </xf>
    <xf numFmtId="165" fontId="13" fillId="0" borderId="18" xfId="1" applyNumberFormat="1" applyFont="1" applyBorder="1" applyAlignment="1" applyProtection="1">
      <alignment horizontal="right" vertical="center"/>
    </xf>
    <xf numFmtId="0" fontId="13" fillId="0" borderId="14" xfId="0" applyFont="1" applyBorder="1" applyAlignment="1" applyProtection="1">
      <alignment horizontal="left" vertical="center" wrapText="1"/>
      <protection locked="0"/>
    </xf>
    <xf numFmtId="0" fontId="13" fillId="0" borderId="18" xfId="0" applyFont="1" applyBorder="1" applyAlignment="1" applyProtection="1">
      <alignment horizontal="left" vertical="center" wrapText="1"/>
      <protection locked="0"/>
    </xf>
    <xf numFmtId="0" fontId="13" fillId="0" borderId="14"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wrapText="1"/>
      <protection locked="0"/>
    </xf>
    <xf numFmtId="0" fontId="13" fillId="3" borderId="16" xfId="0" applyFont="1" applyFill="1" applyBorder="1" applyAlignment="1" applyProtection="1">
      <alignment vertical="center" wrapText="1"/>
      <protection locked="0"/>
    </xf>
    <xf numFmtId="0" fontId="12" fillId="3" borderId="14" xfId="0" applyFont="1" applyFill="1" applyBorder="1" applyAlignment="1" applyProtection="1">
      <alignment vertical="center" wrapText="1"/>
      <protection locked="0"/>
    </xf>
    <xf numFmtId="0" fontId="13" fillId="0" borderId="14" xfId="0" applyFont="1" applyFill="1" applyBorder="1" applyAlignment="1" applyProtection="1">
      <alignment horizontal="center" vertical="center" wrapText="1"/>
      <protection locked="0"/>
    </xf>
    <xf numFmtId="0" fontId="13" fillId="0" borderId="18"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left" vertical="top" wrapText="1"/>
      <protection locked="0"/>
    </xf>
    <xf numFmtId="0" fontId="12" fillId="3" borderId="23" xfId="0" applyFont="1" applyFill="1" applyBorder="1" applyAlignment="1" applyProtection="1">
      <alignment vertical="center" wrapText="1"/>
      <protection locked="0"/>
    </xf>
    <xf numFmtId="0" fontId="12" fillId="3" borderId="24" xfId="0" applyFont="1" applyFill="1" applyBorder="1" applyAlignment="1" applyProtection="1">
      <alignment vertical="center" wrapText="1"/>
      <protection locked="0"/>
    </xf>
    <xf numFmtId="0" fontId="12" fillId="3" borderId="20" xfId="0" applyFont="1" applyFill="1" applyBorder="1" applyAlignment="1" applyProtection="1">
      <alignment vertical="center" wrapText="1"/>
      <protection locked="0"/>
    </xf>
    <xf numFmtId="165" fontId="13" fillId="0" borderId="14" xfId="1" applyNumberFormat="1" applyFont="1" applyFill="1" applyBorder="1" applyAlignment="1" applyProtection="1">
      <alignment horizontal="center" vertical="center"/>
      <protection locked="0"/>
    </xf>
    <xf numFmtId="165" fontId="13" fillId="0" borderId="18" xfId="1" applyNumberFormat="1" applyFont="1" applyFill="1" applyBorder="1" applyAlignment="1" applyProtection="1">
      <alignment horizontal="center" vertical="center"/>
      <protection locked="0"/>
    </xf>
    <xf numFmtId="0" fontId="12" fillId="3" borderId="22" xfId="0" applyFont="1" applyFill="1" applyBorder="1" applyAlignment="1" applyProtection="1">
      <alignment vertical="center" wrapText="1"/>
      <protection locked="0"/>
    </xf>
    <xf numFmtId="0" fontId="12" fillId="3" borderId="19" xfId="0" applyFont="1" applyFill="1" applyBorder="1" applyAlignment="1" applyProtection="1">
      <alignment vertical="center" wrapText="1"/>
      <protection locked="0"/>
    </xf>
    <xf numFmtId="0" fontId="3" fillId="0" borderId="14" xfId="0" applyFont="1" applyFill="1" applyBorder="1" applyAlignment="1">
      <alignment horizontal="center" vertical="center"/>
    </xf>
    <xf numFmtId="0" fontId="3" fillId="0" borderId="18" xfId="0" applyFont="1" applyFill="1" applyBorder="1" applyAlignment="1">
      <alignment horizontal="center" vertical="center"/>
    </xf>
    <xf numFmtId="165" fontId="13" fillId="0" borderId="14" xfId="1" applyNumberFormat="1" applyFont="1" applyFill="1" applyBorder="1" applyAlignment="1" applyProtection="1">
      <alignment horizontal="center" vertical="center"/>
    </xf>
    <xf numFmtId="165" fontId="13" fillId="0" borderId="18" xfId="1" applyNumberFormat="1" applyFont="1" applyFill="1" applyBorder="1" applyAlignment="1" applyProtection="1">
      <alignment horizontal="center" vertical="center"/>
    </xf>
    <xf numFmtId="0" fontId="13" fillId="0" borderId="14" xfId="0" applyFont="1" applyFill="1" applyBorder="1" applyAlignment="1" applyProtection="1">
      <alignment horizontal="left" vertical="center"/>
      <protection locked="0"/>
    </xf>
    <xf numFmtId="0" fontId="13" fillId="0" borderId="18" xfId="0" applyFont="1" applyFill="1" applyBorder="1" applyAlignment="1" applyProtection="1">
      <alignment horizontal="left" vertical="center"/>
      <protection locked="0"/>
    </xf>
    <xf numFmtId="165" fontId="13" fillId="0" borderId="14" xfId="1" applyNumberFormat="1" applyFont="1" applyFill="1" applyBorder="1" applyAlignment="1" applyProtection="1">
      <alignment horizontal="right" vertical="center"/>
    </xf>
    <xf numFmtId="165" fontId="13" fillId="0" borderId="18" xfId="1" applyNumberFormat="1" applyFont="1" applyFill="1" applyBorder="1" applyAlignment="1" applyProtection="1">
      <alignment horizontal="right" vertical="center"/>
    </xf>
    <xf numFmtId="0" fontId="12" fillId="3" borderId="27" xfId="0" applyFont="1" applyFill="1" applyBorder="1" applyAlignment="1" applyProtection="1">
      <alignment horizontal="left" vertical="top" wrapText="1"/>
      <protection locked="0"/>
    </xf>
    <xf numFmtId="0" fontId="13" fillId="3" borderId="25" xfId="0" applyFont="1" applyFill="1" applyBorder="1" applyAlignment="1" applyProtection="1">
      <alignment vertical="center" wrapText="1"/>
      <protection locked="0"/>
    </xf>
    <xf numFmtId="0" fontId="12" fillId="3" borderId="21" xfId="0" applyFont="1" applyFill="1" applyBorder="1" applyAlignment="1" applyProtection="1">
      <alignment vertical="center" wrapText="1"/>
      <protection locked="0"/>
    </xf>
  </cellXfs>
  <cellStyles count="4">
    <cellStyle name="Comma" xfId="1" builtinId="3"/>
    <cellStyle name="Currency" xfId="3" builtinId="4"/>
    <cellStyle name="Normal" xfId="0" builtinId="0"/>
    <cellStyle name="Percent" xfId="2" builtinId="5"/>
  </cellStyles>
  <dxfs count="0"/>
  <tableStyles count="0" defaultTableStyle="TableStyleMedium2" defaultPivotStyle="PivotStyleLight16"/>
  <colors>
    <mruColors>
      <color rgb="FFA9D08E"/>
      <color rgb="FF376B54"/>
      <color rgb="FF60AC8A"/>
      <color rgb="FF4D9574"/>
      <color rgb="FF006C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hoebe/Downloads/Annex%203_Burundi%20SAP_Detailed%20Budget_def%20April%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Annex%203_Burundi%20SAP_Detailed%20Budget_def%20April%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shboard"/>
      <sheetName val="Detailed Budget Plan"/>
      <sheetName val="Detailed Budget Notes"/>
      <sheetName val="Sheet1"/>
      <sheetName val="Title Lists"/>
    </sheetNames>
    <sheetDataSet>
      <sheetData sheetId="0"/>
      <sheetData sheetId="1"/>
      <sheetData sheetId="2"/>
      <sheetData sheetId="3"/>
      <sheetData sheetId="4"/>
      <sheetData sheetId="5">
        <row r="1">
          <cell r="B1" t="str">
            <v>Components</v>
          </cell>
          <cell r="D1" t="str">
            <v>Outputs</v>
          </cell>
          <cell r="F1" t="str">
            <v>Budget Categories</v>
          </cell>
          <cell r="H1" t="str">
            <v>List of Funding Source</v>
          </cell>
        </row>
        <row r="2">
          <cell r="B2" t="str">
            <v>Component 1: Improvement of soil and water management through the adoption of best practices in agro-ecosystem management by land users</v>
          </cell>
          <cell r="D2" t="str">
            <v xml:space="preserve">Output 1.1 Increased adoption of sustainable soil and water management practices
</v>
          </cell>
          <cell r="F2" t="str">
            <v>Consultant - Individual - International</v>
          </cell>
          <cell r="H2" t="str">
            <v>GCF</v>
          </cell>
        </row>
        <row r="3">
          <cell r="B3" t="str">
            <v>Component 2: Capacity building of actors at all levels on best agro-ecosystem management practices for enhanced soil and water conservation</v>
          </cell>
          <cell r="D3" t="str">
            <v>Output 1.2 Increased on-farm rainwater harvesting at household level</v>
          </cell>
          <cell r="F3" t="str">
            <v>Consultant - Individual - Local</v>
          </cell>
          <cell r="H3" t="str">
            <v>IFAD</v>
          </cell>
        </row>
        <row r="4">
          <cell r="B4" t="str">
            <v xml:space="preserve">Component 3: Development of an enabling environment for water and soil conservation </v>
          </cell>
          <cell r="D4" t="str">
            <v>Output 1.3 Increased incentives for the development of “green” Micro, Small and Medium Enterprises that spur water and soil conservation action</v>
          </cell>
          <cell r="F4" t="str">
            <v>Equipment</v>
          </cell>
        </row>
        <row r="5">
          <cell r="B5" t="str">
            <v>Project Management Cost</v>
          </cell>
          <cell r="D5" t="str">
            <v>Output 3.1 Enabling policy and legislative framework for soil and water conservation established</v>
          </cell>
          <cell r="F5" t="str">
            <v>Materials &amp; Goods</v>
          </cell>
        </row>
        <row r="6">
          <cell r="D6" t="str">
            <v>Output 2.2 Building capacity of actors in improved agro-ecosystem management for enhanced soil and water conservation</v>
          </cell>
          <cell r="F6" t="str">
            <v>Office Supplies</v>
          </cell>
        </row>
        <row r="7">
          <cell r="D7" t="str">
            <v xml:space="preserve">Output 2.1 Establishment and operationalisation of FFS </v>
          </cell>
          <cell r="F7" t="str">
            <v>Professional Services – Companies/Firm/Individual Experts</v>
          </cell>
        </row>
        <row r="8">
          <cell r="D8" t="str">
            <v>PMC</v>
          </cell>
          <cell r="F8" t="str">
            <v>Travel</v>
          </cell>
        </row>
        <row r="9">
          <cell r="F9" t="str">
            <v xml:space="preserve">Workshop/Training </v>
          </cell>
        </row>
        <row r="10">
          <cell r="F10" t="str">
            <v>Labour</v>
          </cell>
        </row>
        <row r="11">
          <cell r="F11" t="str">
            <v>Extension Officers</v>
          </cell>
        </row>
        <row r="12">
          <cell r="F12" t="str">
            <v>Staff costs</v>
          </cell>
        </row>
        <row r="13">
          <cell r="F13" t="str">
            <v>Works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Lists"/>
      <sheetName val="Instructions"/>
      <sheetName val="Dashboard"/>
      <sheetName val="Detailed Budget Plan"/>
      <sheetName val="Detailed Budget Notes"/>
      <sheetName val="Sheet1"/>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69"/>
  <sheetViews>
    <sheetView zoomScaleNormal="100" workbookViewId="0">
      <selection activeCell="E32" sqref="E32"/>
    </sheetView>
  </sheetViews>
  <sheetFormatPr defaultColWidth="9.140625" defaultRowHeight="14.25"/>
  <cols>
    <col min="1" max="1" width="6.7109375" style="1" customWidth="1"/>
    <col min="2" max="2" width="33.5703125" style="1" customWidth="1"/>
    <col min="3" max="3" width="18.28515625" style="1" customWidth="1"/>
    <col min="4" max="23" width="15.42578125" style="1" customWidth="1"/>
    <col min="24" max="16384" width="9.140625" style="1"/>
  </cols>
  <sheetData>
    <row r="1" spans="2:24" ht="27.75" customHeight="1">
      <c r="B1" s="201" t="s">
        <v>180</v>
      </c>
      <c r="C1" s="201"/>
      <c r="D1" s="201"/>
      <c r="E1" s="201"/>
      <c r="F1" s="201"/>
      <c r="G1" s="201"/>
      <c r="H1" s="201"/>
      <c r="I1" s="201"/>
      <c r="J1" s="201"/>
      <c r="K1" s="201"/>
      <c r="L1" s="201"/>
      <c r="M1" s="201"/>
      <c r="N1" s="201"/>
      <c r="O1" s="201"/>
      <c r="P1" s="201"/>
      <c r="Q1" s="201"/>
      <c r="R1" s="201"/>
      <c r="S1" s="201"/>
      <c r="T1" s="201"/>
      <c r="U1" s="201"/>
      <c r="V1" s="201"/>
      <c r="W1" s="201"/>
    </row>
    <row r="2" spans="2:24" ht="15">
      <c r="B2" s="2"/>
      <c r="C2" s="3" t="s">
        <v>127</v>
      </c>
      <c r="D2" s="199" t="s">
        <v>128</v>
      </c>
      <c r="E2" s="200"/>
      <c r="F2" s="200"/>
      <c r="G2" s="200"/>
      <c r="H2" s="200"/>
      <c r="I2" s="200"/>
      <c r="J2" s="200"/>
      <c r="K2" s="200"/>
      <c r="L2" s="200"/>
      <c r="M2" s="200"/>
      <c r="N2" s="200"/>
      <c r="O2" s="200"/>
      <c r="P2" s="200"/>
      <c r="Q2" s="200"/>
      <c r="R2" s="200"/>
      <c r="S2" s="200"/>
      <c r="T2" s="200"/>
      <c r="U2" s="200"/>
      <c r="V2" s="200"/>
      <c r="W2" s="200"/>
    </row>
    <row r="3" spans="2:24" ht="15">
      <c r="B3" s="4" t="s">
        <v>161</v>
      </c>
      <c r="C3" s="5" t="s">
        <v>162</v>
      </c>
      <c r="D3" s="6">
        <v>1</v>
      </c>
      <c r="E3" s="6">
        <v>2</v>
      </c>
      <c r="F3" s="6">
        <v>3</v>
      </c>
      <c r="G3" s="6">
        <v>4</v>
      </c>
      <c r="H3" s="6">
        <v>5</v>
      </c>
      <c r="I3" s="6">
        <v>6</v>
      </c>
      <c r="J3" s="6">
        <v>7</v>
      </c>
      <c r="K3" s="6">
        <v>8</v>
      </c>
      <c r="L3" s="6">
        <v>9</v>
      </c>
      <c r="M3" s="6">
        <v>10</v>
      </c>
      <c r="N3" s="6">
        <v>11</v>
      </c>
      <c r="O3" s="6">
        <v>12</v>
      </c>
      <c r="P3" s="6">
        <v>13</v>
      </c>
      <c r="Q3" s="6">
        <v>14</v>
      </c>
      <c r="R3" s="6">
        <v>15</v>
      </c>
      <c r="S3" s="6">
        <v>16</v>
      </c>
      <c r="T3" s="6">
        <v>17</v>
      </c>
      <c r="U3" s="6">
        <v>18</v>
      </c>
      <c r="V3" s="6">
        <v>19</v>
      </c>
      <c r="W3" s="6">
        <v>20</v>
      </c>
    </row>
    <row r="4" spans="2:24" ht="15">
      <c r="B4" s="7" t="s">
        <v>163</v>
      </c>
      <c r="C4" s="9">
        <f>'Rice Production Model'!D7*'Rice Production Model'!D8</f>
        <v>28350000</v>
      </c>
      <c r="D4" s="9">
        <f>'Rice Production Model'!E7*'Rice Production Model'!E8</f>
        <v>34650000</v>
      </c>
      <c r="E4" s="9">
        <f>D4</f>
        <v>34650000</v>
      </c>
      <c r="F4" s="9">
        <f t="shared" ref="F4:H4" si="0">E4</f>
        <v>34650000</v>
      </c>
      <c r="G4" s="9">
        <f t="shared" si="0"/>
        <v>34650000</v>
      </c>
      <c r="H4" s="9">
        <f t="shared" si="0"/>
        <v>34650000</v>
      </c>
      <c r="I4" s="9">
        <f>'Rice Production Model'!F7*'Rice Production Model'!F8</f>
        <v>37800000</v>
      </c>
      <c r="J4" s="9">
        <f>I4</f>
        <v>37800000</v>
      </c>
      <c r="K4" s="9">
        <f t="shared" ref="K4:M4" si="1">J4</f>
        <v>37800000</v>
      </c>
      <c r="L4" s="9">
        <f t="shared" si="1"/>
        <v>37800000</v>
      </c>
      <c r="M4" s="9">
        <f t="shared" si="1"/>
        <v>37800000</v>
      </c>
      <c r="N4" s="9">
        <f>'Rice Production Model'!G7*'Rice Production Model'!G8</f>
        <v>40950000</v>
      </c>
      <c r="O4" s="9">
        <f>N4</f>
        <v>40950000</v>
      </c>
      <c r="P4" s="9">
        <f t="shared" ref="P4:R4" si="2">O4</f>
        <v>40950000</v>
      </c>
      <c r="Q4" s="9">
        <f t="shared" si="2"/>
        <v>40950000</v>
      </c>
      <c r="R4" s="9">
        <f t="shared" si="2"/>
        <v>40950000</v>
      </c>
      <c r="S4" s="9">
        <f>'Rice Production Model'!H7*'Rice Production Model'!H8</f>
        <v>47250000</v>
      </c>
      <c r="T4" s="9">
        <f>S4</f>
        <v>47250000</v>
      </c>
      <c r="U4" s="9">
        <f t="shared" ref="U4:W4" si="3">T4</f>
        <v>47250000</v>
      </c>
      <c r="V4" s="9">
        <f t="shared" si="3"/>
        <v>47250000</v>
      </c>
      <c r="W4" s="9">
        <f t="shared" si="3"/>
        <v>47250000</v>
      </c>
      <c r="X4" s="10"/>
    </row>
    <row r="5" spans="2:24">
      <c r="B5" s="11" t="s">
        <v>164</v>
      </c>
      <c r="C5" s="11"/>
      <c r="D5" s="12"/>
      <c r="E5" s="12"/>
      <c r="F5" s="12"/>
      <c r="G5" s="12"/>
      <c r="H5" s="12"/>
      <c r="I5" s="12"/>
      <c r="J5" s="12"/>
      <c r="K5" s="12"/>
      <c r="L5" s="12"/>
      <c r="M5" s="12"/>
      <c r="N5" s="12"/>
      <c r="O5" s="12"/>
      <c r="P5" s="12"/>
      <c r="Q5" s="12"/>
      <c r="R5" s="12"/>
      <c r="S5" s="12"/>
      <c r="T5" s="12"/>
      <c r="U5" s="12"/>
      <c r="V5" s="12"/>
      <c r="W5" s="12"/>
      <c r="X5" s="10"/>
    </row>
    <row r="6" spans="2:24">
      <c r="B6" s="11" t="s">
        <v>165</v>
      </c>
      <c r="C6" s="12">
        <v>0</v>
      </c>
      <c r="D6" s="12">
        <f>-'Rice Production Model'!D13</f>
        <v>-23135000</v>
      </c>
      <c r="E6" s="12">
        <f>-'Rice Production Model'!E13</f>
        <v>-3292500</v>
      </c>
      <c r="F6" s="12">
        <f>-'Rice Production Model'!F13</f>
        <v>-3757500</v>
      </c>
      <c r="G6" s="12">
        <f>-'Rice Production Model'!G13</f>
        <v>-1426500</v>
      </c>
      <c r="H6" s="12">
        <f>-'Rice Production Model'!H13</f>
        <v>-80000</v>
      </c>
      <c r="I6" s="12">
        <f>-'Rice Production Model'!I13</f>
        <v>0</v>
      </c>
      <c r="J6" s="12">
        <f>-'Rice Production Model'!J13</f>
        <v>0</v>
      </c>
      <c r="K6" s="12">
        <f>-'Rice Production Model'!K13</f>
        <v>0</v>
      </c>
      <c r="L6" s="12">
        <f>-'Rice Production Model'!L13</f>
        <v>0</v>
      </c>
      <c r="M6" s="12">
        <f>-'Rice Production Model'!M13</f>
        <v>0</v>
      </c>
      <c r="N6" s="12">
        <f>-'Rice Production Model'!N13</f>
        <v>0</v>
      </c>
      <c r="O6" s="12">
        <f>-'Rice Production Model'!O13</f>
        <v>0</v>
      </c>
      <c r="P6" s="12">
        <f>-'Rice Production Model'!P13</f>
        <v>0</v>
      </c>
      <c r="Q6" s="12">
        <f>-'Rice Production Model'!Q13</f>
        <v>0</v>
      </c>
      <c r="R6" s="12">
        <f>-'Rice Production Model'!R13</f>
        <v>0</v>
      </c>
      <c r="S6" s="12">
        <f>-'Rice Production Model'!S13</f>
        <v>0</v>
      </c>
      <c r="T6" s="12">
        <f>-'Rice Production Model'!T13</f>
        <v>0</v>
      </c>
      <c r="U6" s="12">
        <f>-'Rice Production Model'!U13</f>
        <v>0</v>
      </c>
      <c r="V6" s="12">
        <f>-'Rice Production Model'!V13</f>
        <v>0</v>
      </c>
      <c r="W6" s="12">
        <f>-'Rice Production Model'!W13</f>
        <v>0</v>
      </c>
      <c r="X6" s="10"/>
    </row>
    <row r="7" spans="2:24">
      <c r="B7" s="11" t="s">
        <v>167</v>
      </c>
      <c r="C7" s="12">
        <f>-'Rice Production Model'!C18</f>
        <v>-22500000</v>
      </c>
      <c r="D7" s="12">
        <f>-'Rice Production Model'!D18</f>
        <v>-22500000</v>
      </c>
      <c r="E7" s="12">
        <f>D7</f>
        <v>-22500000</v>
      </c>
      <c r="F7" s="12">
        <f t="shared" ref="F7:H7" si="4">E7</f>
        <v>-22500000</v>
      </c>
      <c r="G7" s="12">
        <f t="shared" si="4"/>
        <v>-22500000</v>
      </c>
      <c r="H7" s="12">
        <f t="shared" si="4"/>
        <v>-22500000</v>
      </c>
      <c r="I7" s="12">
        <f>-'Rice Production Model'!E18</f>
        <v>-30000000</v>
      </c>
      <c r="J7" s="12">
        <f>I7</f>
        <v>-30000000</v>
      </c>
      <c r="K7" s="12">
        <f t="shared" ref="K7:M7" si="5">J7</f>
        <v>-30000000</v>
      </c>
      <c r="L7" s="12">
        <f t="shared" si="5"/>
        <v>-30000000</v>
      </c>
      <c r="M7" s="12">
        <f t="shared" si="5"/>
        <v>-30000000</v>
      </c>
      <c r="N7" s="12">
        <f>-'Rice Production Model'!F18</f>
        <v>-32500000</v>
      </c>
      <c r="O7" s="12">
        <f>N7</f>
        <v>-32500000</v>
      </c>
      <c r="P7" s="12">
        <f t="shared" ref="P7:R7" si="6">O7</f>
        <v>-32500000</v>
      </c>
      <c r="Q7" s="12">
        <f t="shared" si="6"/>
        <v>-32500000</v>
      </c>
      <c r="R7" s="12">
        <f t="shared" si="6"/>
        <v>-32500000</v>
      </c>
      <c r="S7" s="12">
        <f>-'Rice Production Model'!G18</f>
        <v>-37500000</v>
      </c>
      <c r="T7" s="12">
        <f>S7</f>
        <v>-37500000</v>
      </c>
      <c r="U7" s="12">
        <f t="shared" ref="U7:W7" si="7">T7</f>
        <v>-37500000</v>
      </c>
      <c r="V7" s="12">
        <f t="shared" si="7"/>
        <v>-37500000</v>
      </c>
      <c r="W7" s="12">
        <f t="shared" si="7"/>
        <v>-37500000</v>
      </c>
      <c r="X7" s="10"/>
    </row>
    <row r="8" spans="2:24">
      <c r="B8" s="11" t="s">
        <v>168</v>
      </c>
      <c r="C8" s="12">
        <v>0</v>
      </c>
      <c r="D8" s="12">
        <v>0</v>
      </c>
      <c r="E8" s="12">
        <v>0</v>
      </c>
      <c r="F8" s="12">
        <v>0</v>
      </c>
      <c r="G8" s="12">
        <v>0</v>
      </c>
      <c r="H8" s="12">
        <v>0</v>
      </c>
      <c r="I8" s="12">
        <v>0</v>
      </c>
      <c r="J8" s="12">
        <v>0</v>
      </c>
      <c r="K8" s="12">
        <v>0</v>
      </c>
      <c r="L8" s="12">
        <v>0</v>
      </c>
      <c r="M8" s="12">
        <v>0</v>
      </c>
      <c r="N8" s="12">
        <v>0</v>
      </c>
      <c r="O8" s="12">
        <v>0</v>
      </c>
      <c r="P8" s="12">
        <v>0</v>
      </c>
      <c r="Q8" s="12">
        <v>0</v>
      </c>
      <c r="R8" s="12">
        <v>0</v>
      </c>
      <c r="S8" s="12">
        <v>0</v>
      </c>
      <c r="T8" s="12">
        <v>0</v>
      </c>
      <c r="U8" s="12">
        <v>0</v>
      </c>
      <c r="V8" s="12">
        <v>0</v>
      </c>
      <c r="W8" s="12">
        <v>0</v>
      </c>
      <c r="X8" s="10"/>
    </row>
    <row r="9" spans="2:24" ht="15">
      <c r="B9" s="7" t="s">
        <v>173</v>
      </c>
      <c r="C9" s="9">
        <f>SUM(C6:C8)</f>
        <v>-22500000</v>
      </c>
      <c r="D9" s="9">
        <f t="shared" ref="D9:W9" si="8">SUM(D6:D8)</f>
        <v>-45635000</v>
      </c>
      <c r="E9" s="9">
        <f t="shared" si="8"/>
        <v>-25792500</v>
      </c>
      <c r="F9" s="9">
        <f t="shared" si="8"/>
        <v>-26257500</v>
      </c>
      <c r="G9" s="9">
        <f t="shared" si="8"/>
        <v>-23926500</v>
      </c>
      <c r="H9" s="9">
        <f t="shared" si="8"/>
        <v>-22580000</v>
      </c>
      <c r="I9" s="9">
        <f t="shared" si="8"/>
        <v>-30000000</v>
      </c>
      <c r="J9" s="9">
        <f t="shared" si="8"/>
        <v>-30000000</v>
      </c>
      <c r="K9" s="9">
        <f t="shared" si="8"/>
        <v>-30000000</v>
      </c>
      <c r="L9" s="9">
        <f t="shared" si="8"/>
        <v>-30000000</v>
      </c>
      <c r="M9" s="9">
        <f t="shared" si="8"/>
        <v>-30000000</v>
      </c>
      <c r="N9" s="9">
        <f t="shared" si="8"/>
        <v>-32500000</v>
      </c>
      <c r="O9" s="9">
        <f t="shared" si="8"/>
        <v>-32500000</v>
      </c>
      <c r="P9" s="9">
        <f t="shared" si="8"/>
        <v>-32500000</v>
      </c>
      <c r="Q9" s="9">
        <f t="shared" si="8"/>
        <v>-32500000</v>
      </c>
      <c r="R9" s="9">
        <f t="shared" si="8"/>
        <v>-32500000</v>
      </c>
      <c r="S9" s="9">
        <f t="shared" si="8"/>
        <v>-37500000</v>
      </c>
      <c r="T9" s="9">
        <f t="shared" si="8"/>
        <v>-37500000</v>
      </c>
      <c r="U9" s="9">
        <f t="shared" si="8"/>
        <v>-37500000</v>
      </c>
      <c r="V9" s="9">
        <f t="shared" si="8"/>
        <v>-37500000</v>
      </c>
      <c r="W9" s="9">
        <f t="shared" si="8"/>
        <v>-37500000</v>
      </c>
      <c r="X9" s="10"/>
    </row>
    <row r="10" spans="2:24">
      <c r="B10" s="11"/>
      <c r="C10" s="12"/>
      <c r="D10" s="12"/>
      <c r="E10" s="12"/>
      <c r="F10" s="12"/>
      <c r="G10" s="12"/>
      <c r="H10" s="12"/>
      <c r="I10" s="12"/>
      <c r="J10" s="12"/>
      <c r="K10" s="12"/>
      <c r="L10" s="12"/>
      <c r="M10" s="12"/>
      <c r="N10" s="12"/>
      <c r="O10" s="12"/>
      <c r="P10" s="12"/>
      <c r="Q10" s="12"/>
      <c r="R10" s="12"/>
      <c r="S10" s="12"/>
      <c r="T10" s="12"/>
      <c r="U10" s="12"/>
      <c r="V10" s="12"/>
      <c r="W10" s="12"/>
      <c r="X10" s="10"/>
    </row>
    <row r="11" spans="2:24" ht="15.75" thickBot="1">
      <c r="B11" s="13" t="s">
        <v>169</v>
      </c>
      <c r="C11" s="14">
        <f>C4+C9</f>
        <v>5850000</v>
      </c>
      <c r="D11" s="14">
        <f t="shared" ref="D11:W11" si="9">D4+D9</f>
        <v>-10985000</v>
      </c>
      <c r="E11" s="14">
        <f t="shared" si="9"/>
        <v>8857500</v>
      </c>
      <c r="F11" s="14">
        <f t="shared" si="9"/>
        <v>8392500</v>
      </c>
      <c r="G11" s="14">
        <f t="shared" si="9"/>
        <v>10723500</v>
      </c>
      <c r="H11" s="14">
        <f t="shared" si="9"/>
        <v>12070000</v>
      </c>
      <c r="I11" s="14">
        <f t="shared" si="9"/>
        <v>7800000</v>
      </c>
      <c r="J11" s="14">
        <f t="shared" si="9"/>
        <v>7800000</v>
      </c>
      <c r="K11" s="14">
        <f t="shared" si="9"/>
        <v>7800000</v>
      </c>
      <c r="L11" s="14">
        <f t="shared" si="9"/>
        <v>7800000</v>
      </c>
      <c r="M11" s="14">
        <f t="shared" si="9"/>
        <v>7800000</v>
      </c>
      <c r="N11" s="14">
        <f t="shared" si="9"/>
        <v>8450000</v>
      </c>
      <c r="O11" s="14">
        <f t="shared" si="9"/>
        <v>8450000</v>
      </c>
      <c r="P11" s="14">
        <f t="shared" si="9"/>
        <v>8450000</v>
      </c>
      <c r="Q11" s="14">
        <f t="shared" si="9"/>
        <v>8450000</v>
      </c>
      <c r="R11" s="14">
        <f t="shared" si="9"/>
        <v>8450000</v>
      </c>
      <c r="S11" s="14">
        <f t="shared" si="9"/>
        <v>9750000</v>
      </c>
      <c r="T11" s="14">
        <f t="shared" si="9"/>
        <v>9750000</v>
      </c>
      <c r="U11" s="14">
        <f t="shared" si="9"/>
        <v>9750000</v>
      </c>
      <c r="V11" s="14">
        <f t="shared" si="9"/>
        <v>9750000</v>
      </c>
      <c r="W11" s="14">
        <f t="shared" si="9"/>
        <v>9750000</v>
      </c>
      <c r="X11" s="10"/>
    </row>
    <row r="12" spans="2:24" ht="15" thickTop="1">
      <c r="C12" s="10"/>
      <c r="D12" s="10"/>
      <c r="E12" s="10"/>
      <c r="F12" s="10"/>
      <c r="G12" s="10"/>
      <c r="H12" s="10"/>
      <c r="I12" s="10"/>
      <c r="J12" s="10"/>
      <c r="K12" s="10"/>
      <c r="L12" s="10"/>
      <c r="M12" s="10"/>
      <c r="N12" s="10"/>
      <c r="O12" s="10"/>
      <c r="P12" s="10"/>
      <c r="Q12" s="10"/>
      <c r="R12" s="10"/>
      <c r="S12" s="10"/>
      <c r="T12" s="10"/>
      <c r="U12" s="10"/>
      <c r="V12" s="10"/>
      <c r="W12" s="10"/>
      <c r="X12" s="10"/>
    </row>
    <row r="13" spans="2:24">
      <c r="C13" s="10"/>
      <c r="D13" s="10"/>
      <c r="E13" s="10"/>
      <c r="F13" s="10"/>
      <c r="G13" s="10"/>
      <c r="H13" s="10"/>
      <c r="I13" s="10"/>
      <c r="J13" s="10"/>
      <c r="K13" s="10"/>
      <c r="L13" s="10"/>
      <c r="M13" s="10"/>
      <c r="N13" s="10"/>
      <c r="O13" s="10"/>
      <c r="P13" s="10"/>
      <c r="Q13" s="10"/>
      <c r="R13" s="10"/>
      <c r="S13" s="10"/>
      <c r="T13" s="10"/>
      <c r="U13" s="10"/>
      <c r="V13" s="10"/>
      <c r="W13" s="10"/>
      <c r="X13" s="10"/>
    </row>
    <row r="14" spans="2:24" ht="25.5" customHeight="1">
      <c r="B14" s="201" t="s">
        <v>183</v>
      </c>
      <c r="C14" s="201"/>
      <c r="D14" s="201"/>
      <c r="E14" s="201"/>
      <c r="F14" s="201"/>
      <c r="G14" s="201"/>
      <c r="H14" s="201"/>
      <c r="I14" s="201"/>
      <c r="J14" s="201"/>
      <c r="K14" s="201"/>
      <c r="L14" s="201"/>
      <c r="M14" s="201"/>
      <c r="N14" s="201"/>
      <c r="O14" s="201"/>
      <c r="P14" s="201"/>
      <c r="Q14" s="201"/>
      <c r="R14" s="201"/>
      <c r="S14" s="201"/>
      <c r="T14" s="201"/>
      <c r="U14" s="201"/>
      <c r="V14" s="201"/>
      <c r="W14" s="201"/>
      <c r="X14" s="10"/>
    </row>
    <row r="15" spans="2:24" ht="15">
      <c r="B15" s="2"/>
      <c r="C15" s="3" t="s">
        <v>127</v>
      </c>
      <c r="D15" s="199" t="s">
        <v>128</v>
      </c>
      <c r="E15" s="200"/>
      <c r="F15" s="200"/>
      <c r="G15" s="200"/>
      <c r="H15" s="200"/>
      <c r="I15" s="200"/>
      <c r="J15" s="200"/>
      <c r="K15" s="200"/>
      <c r="L15" s="200"/>
      <c r="M15" s="200"/>
      <c r="N15" s="200"/>
      <c r="O15" s="200"/>
      <c r="P15" s="200"/>
      <c r="Q15" s="200"/>
      <c r="R15" s="200"/>
      <c r="S15" s="200"/>
      <c r="T15" s="200"/>
      <c r="U15" s="200"/>
      <c r="V15" s="200"/>
      <c r="W15" s="200"/>
      <c r="X15" s="10"/>
    </row>
    <row r="16" spans="2:24" ht="15">
      <c r="B16" s="4" t="s">
        <v>161</v>
      </c>
      <c r="C16" s="5" t="s">
        <v>162</v>
      </c>
      <c r="D16" s="6">
        <v>1</v>
      </c>
      <c r="E16" s="6">
        <v>2</v>
      </c>
      <c r="F16" s="6">
        <v>3</v>
      </c>
      <c r="G16" s="6">
        <v>4</v>
      </c>
      <c r="H16" s="6">
        <v>5</v>
      </c>
      <c r="I16" s="6">
        <v>6</v>
      </c>
      <c r="J16" s="6">
        <v>7</v>
      </c>
      <c r="K16" s="6">
        <v>8</v>
      </c>
      <c r="L16" s="6">
        <v>9</v>
      </c>
      <c r="M16" s="6">
        <v>10</v>
      </c>
      <c r="N16" s="6">
        <v>11</v>
      </c>
      <c r="O16" s="6">
        <v>12</v>
      </c>
      <c r="P16" s="6">
        <v>13</v>
      </c>
      <c r="Q16" s="6">
        <v>14</v>
      </c>
      <c r="R16" s="6">
        <v>15</v>
      </c>
      <c r="S16" s="6">
        <v>16</v>
      </c>
      <c r="T16" s="6">
        <v>17</v>
      </c>
      <c r="U16" s="6">
        <v>18</v>
      </c>
      <c r="V16" s="6">
        <v>19</v>
      </c>
      <c r="W16" s="6">
        <v>20</v>
      </c>
      <c r="X16" s="10"/>
    </row>
    <row r="17" spans="2:24">
      <c r="B17" s="11" t="s">
        <v>170</v>
      </c>
      <c r="C17" s="12">
        <f>C4</f>
        <v>28350000</v>
      </c>
      <c r="D17" s="12">
        <f>'Rice Production Model'!E7*'Rice Production Model'!E8</f>
        <v>34650000</v>
      </c>
      <c r="E17" s="12">
        <f>D17</f>
        <v>34650000</v>
      </c>
      <c r="F17" s="12">
        <f t="shared" ref="F17:W17" si="10">F4</f>
        <v>34650000</v>
      </c>
      <c r="G17" s="12">
        <f t="shared" si="10"/>
        <v>34650000</v>
      </c>
      <c r="H17" s="12">
        <f t="shared" si="10"/>
        <v>34650000</v>
      </c>
      <c r="I17" s="12">
        <f t="shared" si="10"/>
        <v>37800000</v>
      </c>
      <c r="J17" s="12">
        <f t="shared" si="10"/>
        <v>37800000</v>
      </c>
      <c r="K17" s="12">
        <f t="shared" si="10"/>
        <v>37800000</v>
      </c>
      <c r="L17" s="12">
        <f t="shared" si="10"/>
        <v>37800000</v>
      </c>
      <c r="M17" s="12">
        <f t="shared" si="10"/>
        <v>37800000</v>
      </c>
      <c r="N17" s="12">
        <f t="shared" si="10"/>
        <v>40950000</v>
      </c>
      <c r="O17" s="12">
        <f t="shared" si="10"/>
        <v>40950000</v>
      </c>
      <c r="P17" s="12">
        <f t="shared" si="10"/>
        <v>40950000</v>
      </c>
      <c r="Q17" s="12">
        <f t="shared" si="10"/>
        <v>40950000</v>
      </c>
      <c r="R17" s="12">
        <f t="shared" si="10"/>
        <v>40950000</v>
      </c>
      <c r="S17" s="12">
        <f t="shared" si="10"/>
        <v>47250000</v>
      </c>
      <c r="T17" s="12">
        <f t="shared" si="10"/>
        <v>47250000</v>
      </c>
      <c r="U17" s="12">
        <f t="shared" si="10"/>
        <v>47250000</v>
      </c>
      <c r="V17" s="12">
        <f t="shared" si="10"/>
        <v>47250000</v>
      </c>
      <c r="W17" s="12">
        <f t="shared" si="10"/>
        <v>47250000</v>
      </c>
      <c r="X17" s="10"/>
    </row>
    <row r="18" spans="2:24">
      <c r="B18" s="11"/>
      <c r="C18" s="12"/>
      <c r="D18" s="12"/>
      <c r="E18" s="12"/>
      <c r="F18" s="12"/>
      <c r="G18" s="12"/>
      <c r="H18" s="12"/>
      <c r="I18" s="12"/>
      <c r="J18" s="12"/>
      <c r="K18" s="12"/>
      <c r="L18" s="12"/>
      <c r="M18" s="12"/>
      <c r="N18" s="12"/>
      <c r="O18" s="12"/>
      <c r="P18" s="12"/>
      <c r="Q18" s="12"/>
      <c r="R18" s="12"/>
      <c r="S18" s="12"/>
      <c r="T18" s="12"/>
      <c r="U18" s="12"/>
      <c r="V18" s="12"/>
      <c r="W18" s="12"/>
      <c r="X18" s="10"/>
    </row>
    <row r="19" spans="2:24" s="15" customFormat="1" ht="15">
      <c r="B19" s="7" t="s">
        <v>171</v>
      </c>
      <c r="C19" s="9">
        <f>C17-C17</f>
        <v>0</v>
      </c>
      <c r="D19" s="9">
        <f>D17-$C$17</f>
        <v>6300000</v>
      </c>
      <c r="E19" s="9">
        <f t="shared" ref="E19:W19" si="11">E17-$C$17</f>
        <v>6300000</v>
      </c>
      <c r="F19" s="9">
        <f t="shared" si="11"/>
        <v>6300000</v>
      </c>
      <c r="G19" s="9">
        <f t="shared" si="11"/>
        <v>6300000</v>
      </c>
      <c r="H19" s="9">
        <f t="shared" si="11"/>
        <v>6300000</v>
      </c>
      <c r="I19" s="9">
        <f t="shared" si="11"/>
        <v>9450000</v>
      </c>
      <c r="J19" s="9">
        <f t="shared" si="11"/>
        <v>9450000</v>
      </c>
      <c r="K19" s="9">
        <f t="shared" si="11"/>
        <v>9450000</v>
      </c>
      <c r="L19" s="9">
        <f t="shared" si="11"/>
        <v>9450000</v>
      </c>
      <c r="M19" s="9">
        <f t="shared" si="11"/>
        <v>9450000</v>
      </c>
      <c r="N19" s="9">
        <f t="shared" si="11"/>
        <v>12600000</v>
      </c>
      <c r="O19" s="9">
        <f t="shared" si="11"/>
        <v>12600000</v>
      </c>
      <c r="P19" s="9">
        <f t="shared" si="11"/>
        <v>12600000</v>
      </c>
      <c r="Q19" s="9">
        <f t="shared" si="11"/>
        <v>12600000</v>
      </c>
      <c r="R19" s="9">
        <f t="shared" si="11"/>
        <v>12600000</v>
      </c>
      <c r="S19" s="9">
        <f t="shared" si="11"/>
        <v>18900000</v>
      </c>
      <c r="T19" s="9">
        <f t="shared" si="11"/>
        <v>18900000</v>
      </c>
      <c r="U19" s="9">
        <f t="shared" si="11"/>
        <v>18900000</v>
      </c>
      <c r="V19" s="9">
        <f t="shared" si="11"/>
        <v>18900000</v>
      </c>
      <c r="W19" s="9">
        <f t="shared" si="11"/>
        <v>18900000</v>
      </c>
      <c r="X19" s="16"/>
    </row>
    <row r="20" spans="2:24">
      <c r="B20" s="11"/>
      <c r="C20" s="12"/>
      <c r="D20" s="12"/>
      <c r="E20" s="12"/>
      <c r="F20" s="12"/>
      <c r="G20" s="12"/>
      <c r="H20" s="12"/>
      <c r="I20" s="12"/>
      <c r="J20" s="12"/>
      <c r="K20" s="12"/>
      <c r="L20" s="12"/>
      <c r="M20" s="12"/>
      <c r="N20" s="12"/>
      <c r="O20" s="12"/>
      <c r="P20" s="12"/>
      <c r="Q20" s="12"/>
      <c r="R20" s="12"/>
      <c r="S20" s="12"/>
      <c r="T20" s="12"/>
      <c r="U20" s="12"/>
      <c r="V20" s="12"/>
      <c r="W20" s="12"/>
      <c r="X20" s="10"/>
    </row>
    <row r="21" spans="2:24">
      <c r="B21" s="11" t="s">
        <v>172</v>
      </c>
      <c r="C21" s="12"/>
      <c r="D21" s="12"/>
      <c r="E21" s="12"/>
      <c r="F21" s="12"/>
      <c r="G21" s="12"/>
      <c r="H21" s="12"/>
      <c r="I21" s="12"/>
      <c r="J21" s="12"/>
      <c r="K21" s="12"/>
      <c r="L21" s="12"/>
      <c r="M21" s="12"/>
      <c r="N21" s="12"/>
      <c r="O21" s="12"/>
      <c r="P21" s="12"/>
      <c r="Q21" s="12"/>
      <c r="R21" s="12"/>
      <c r="S21" s="12"/>
      <c r="T21" s="12"/>
      <c r="U21" s="12"/>
      <c r="V21" s="12"/>
      <c r="W21" s="12"/>
      <c r="X21" s="10"/>
    </row>
    <row r="22" spans="2:24">
      <c r="B22" s="11" t="s">
        <v>165</v>
      </c>
      <c r="C22" s="12">
        <f>C6</f>
        <v>0</v>
      </c>
      <c r="D22" s="12">
        <f t="shared" ref="D22:F22" si="12">D6</f>
        <v>-23135000</v>
      </c>
      <c r="E22" s="12">
        <f t="shared" si="12"/>
        <v>-3292500</v>
      </c>
      <c r="F22" s="12">
        <f t="shared" si="12"/>
        <v>-3757500</v>
      </c>
      <c r="G22" s="12">
        <f t="shared" ref="G22:W22" si="13">G6</f>
        <v>-1426500</v>
      </c>
      <c r="H22" s="12">
        <f t="shared" si="13"/>
        <v>-80000</v>
      </c>
      <c r="I22" s="12">
        <f t="shared" si="13"/>
        <v>0</v>
      </c>
      <c r="J22" s="12">
        <f t="shared" si="13"/>
        <v>0</v>
      </c>
      <c r="K22" s="12">
        <f t="shared" si="13"/>
        <v>0</v>
      </c>
      <c r="L22" s="12">
        <f t="shared" si="13"/>
        <v>0</v>
      </c>
      <c r="M22" s="12">
        <f t="shared" si="13"/>
        <v>0</v>
      </c>
      <c r="N22" s="12">
        <f t="shared" si="13"/>
        <v>0</v>
      </c>
      <c r="O22" s="12">
        <f t="shared" si="13"/>
        <v>0</v>
      </c>
      <c r="P22" s="12">
        <f t="shared" si="13"/>
        <v>0</v>
      </c>
      <c r="Q22" s="12">
        <f t="shared" si="13"/>
        <v>0</v>
      </c>
      <c r="R22" s="12">
        <f t="shared" si="13"/>
        <v>0</v>
      </c>
      <c r="S22" s="12">
        <f t="shared" si="13"/>
        <v>0</v>
      </c>
      <c r="T22" s="12">
        <f t="shared" si="13"/>
        <v>0</v>
      </c>
      <c r="U22" s="12">
        <f t="shared" si="13"/>
        <v>0</v>
      </c>
      <c r="V22" s="12">
        <f t="shared" si="13"/>
        <v>0</v>
      </c>
      <c r="W22" s="12">
        <f t="shared" si="13"/>
        <v>0</v>
      </c>
      <c r="X22" s="10"/>
    </row>
    <row r="23" spans="2:24">
      <c r="B23" s="11" t="s">
        <v>167</v>
      </c>
      <c r="C23" s="12">
        <f>C7</f>
        <v>-22500000</v>
      </c>
      <c r="D23" s="12">
        <f t="shared" ref="D23:F23" si="14">D7</f>
        <v>-22500000</v>
      </c>
      <c r="E23" s="12">
        <f t="shared" si="14"/>
        <v>-22500000</v>
      </c>
      <c r="F23" s="12">
        <f t="shared" si="14"/>
        <v>-22500000</v>
      </c>
      <c r="G23" s="12">
        <f t="shared" ref="G23:W23" si="15">G7</f>
        <v>-22500000</v>
      </c>
      <c r="H23" s="12">
        <f t="shared" si="15"/>
        <v>-22500000</v>
      </c>
      <c r="I23" s="12">
        <f t="shared" si="15"/>
        <v>-30000000</v>
      </c>
      <c r="J23" s="12">
        <f t="shared" si="15"/>
        <v>-30000000</v>
      </c>
      <c r="K23" s="12">
        <f t="shared" si="15"/>
        <v>-30000000</v>
      </c>
      <c r="L23" s="12">
        <f t="shared" si="15"/>
        <v>-30000000</v>
      </c>
      <c r="M23" s="12">
        <f t="shared" si="15"/>
        <v>-30000000</v>
      </c>
      <c r="N23" s="12">
        <f t="shared" si="15"/>
        <v>-32500000</v>
      </c>
      <c r="O23" s="12">
        <f t="shared" si="15"/>
        <v>-32500000</v>
      </c>
      <c r="P23" s="12">
        <f t="shared" si="15"/>
        <v>-32500000</v>
      </c>
      <c r="Q23" s="12">
        <f t="shared" si="15"/>
        <v>-32500000</v>
      </c>
      <c r="R23" s="12">
        <f t="shared" si="15"/>
        <v>-32500000</v>
      </c>
      <c r="S23" s="12">
        <f t="shared" si="15"/>
        <v>-37500000</v>
      </c>
      <c r="T23" s="12">
        <f t="shared" si="15"/>
        <v>-37500000</v>
      </c>
      <c r="U23" s="12">
        <f t="shared" si="15"/>
        <v>-37500000</v>
      </c>
      <c r="V23" s="12">
        <f t="shared" si="15"/>
        <v>-37500000</v>
      </c>
      <c r="W23" s="12">
        <f t="shared" si="15"/>
        <v>-37500000</v>
      </c>
      <c r="X23" s="10"/>
    </row>
    <row r="24" spans="2:24">
      <c r="B24" s="11" t="s">
        <v>168</v>
      </c>
      <c r="C24" s="12">
        <f>C8</f>
        <v>0</v>
      </c>
      <c r="D24" s="12">
        <f t="shared" ref="D24:F24" si="16">D8</f>
        <v>0</v>
      </c>
      <c r="E24" s="12">
        <f t="shared" si="16"/>
        <v>0</v>
      </c>
      <c r="F24" s="12">
        <f t="shared" si="16"/>
        <v>0</v>
      </c>
      <c r="G24" s="12">
        <f t="shared" ref="G24:W24" si="17">G8</f>
        <v>0</v>
      </c>
      <c r="H24" s="12">
        <f t="shared" si="17"/>
        <v>0</v>
      </c>
      <c r="I24" s="12">
        <f t="shared" si="17"/>
        <v>0</v>
      </c>
      <c r="J24" s="12">
        <f t="shared" si="17"/>
        <v>0</v>
      </c>
      <c r="K24" s="12">
        <f t="shared" si="17"/>
        <v>0</v>
      </c>
      <c r="L24" s="12">
        <f t="shared" si="17"/>
        <v>0</v>
      </c>
      <c r="M24" s="12">
        <f t="shared" si="17"/>
        <v>0</v>
      </c>
      <c r="N24" s="12">
        <f t="shared" si="17"/>
        <v>0</v>
      </c>
      <c r="O24" s="12">
        <f t="shared" si="17"/>
        <v>0</v>
      </c>
      <c r="P24" s="12">
        <f t="shared" si="17"/>
        <v>0</v>
      </c>
      <c r="Q24" s="12">
        <f t="shared" si="17"/>
        <v>0</v>
      </c>
      <c r="R24" s="12">
        <f t="shared" si="17"/>
        <v>0</v>
      </c>
      <c r="S24" s="12">
        <f t="shared" si="17"/>
        <v>0</v>
      </c>
      <c r="T24" s="12">
        <f t="shared" si="17"/>
        <v>0</v>
      </c>
      <c r="U24" s="12">
        <f t="shared" si="17"/>
        <v>0</v>
      </c>
      <c r="V24" s="12">
        <f t="shared" si="17"/>
        <v>0</v>
      </c>
      <c r="W24" s="12">
        <f t="shared" si="17"/>
        <v>0</v>
      </c>
      <c r="X24" s="10"/>
    </row>
    <row r="25" spans="2:24">
      <c r="B25" s="11" t="s">
        <v>173</v>
      </c>
      <c r="C25" s="12">
        <f>SUM(C22:C24)</f>
        <v>-22500000</v>
      </c>
      <c r="D25" s="12">
        <f t="shared" ref="D25:W25" si="18">SUM(D22:D24)</f>
        <v>-45635000</v>
      </c>
      <c r="E25" s="12">
        <f t="shared" si="18"/>
        <v>-25792500</v>
      </c>
      <c r="F25" s="12">
        <f t="shared" si="18"/>
        <v>-26257500</v>
      </c>
      <c r="G25" s="12">
        <f t="shared" si="18"/>
        <v>-23926500</v>
      </c>
      <c r="H25" s="12">
        <f t="shared" si="18"/>
        <v>-22580000</v>
      </c>
      <c r="I25" s="12">
        <f t="shared" si="18"/>
        <v>-30000000</v>
      </c>
      <c r="J25" s="12">
        <f t="shared" si="18"/>
        <v>-30000000</v>
      </c>
      <c r="K25" s="12">
        <f t="shared" si="18"/>
        <v>-30000000</v>
      </c>
      <c r="L25" s="12">
        <f t="shared" si="18"/>
        <v>-30000000</v>
      </c>
      <c r="M25" s="12">
        <f t="shared" si="18"/>
        <v>-30000000</v>
      </c>
      <c r="N25" s="12">
        <f t="shared" si="18"/>
        <v>-32500000</v>
      </c>
      <c r="O25" s="12">
        <f t="shared" si="18"/>
        <v>-32500000</v>
      </c>
      <c r="P25" s="12">
        <f t="shared" si="18"/>
        <v>-32500000</v>
      </c>
      <c r="Q25" s="12">
        <f t="shared" si="18"/>
        <v>-32500000</v>
      </c>
      <c r="R25" s="12">
        <f t="shared" si="18"/>
        <v>-32500000</v>
      </c>
      <c r="S25" s="12">
        <f t="shared" si="18"/>
        <v>-37500000</v>
      </c>
      <c r="T25" s="12">
        <f t="shared" si="18"/>
        <v>-37500000</v>
      </c>
      <c r="U25" s="12">
        <f t="shared" si="18"/>
        <v>-37500000</v>
      </c>
      <c r="V25" s="12">
        <f t="shared" si="18"/>
        <v>-37500000</v>
      </c>
      <c r="W25" s="12">
        <f t="shared" si="18"/>
        <v>-37500000</v>
      </c>
      <c r="X25" s="10"/>
    </row>
    <row r="26" spans="2:24" s="15" customFormat="1" ht="15">
      <c r="B26" s="7" t="s">
        <v>174</v>
      </c>
      <c r="C26" s="9">
        <f>C25-$C$25</f>
        <v>0</v>
      </c>
      <c r="D26" s="9">
        <f t="shared" ref="D26:W26" si="19">D25-$C$25</f>
        <v>-23135000</v>
      </c>
      <c r="E26" s="9">
        <f t="shared" si="19"/>
        <v>-3292500</v>
      </c>
      <c r="F26" s="9">
        <f t="shared" si="19"/>
        <v>-3757500</v>
      </c>
      <c r="G26" s="9">
        <f t="shared" si="19"/>
        <v>-1426500</v>
      </c>
      <c r="H26" s="9">
        <f t="shared" si="19"/>
        <v>-80000</v>
      </c>
      <c r="I26" s="9">
        <f t="shared" si="19"/>
        <v>-7500000</v>
      </c>
      <c r="J26" s="9">
        <f t="shared" si="19"/>
        <v>-7500000</v>
      </c>
      <c r="K26" s="9">
        <f t="shared" si="19"/>
        <v>-7500000</v>
      </c>
      <c r="L26" s="9">
        <f t="shared" si="19"/>
        <v>-7500000</v>
      </c>
      <c r="M26" s="9">
        <f t="shared" si="19"/>
        <v>-7500000</v>
      </c>
      <c r="N26" s="9">
        <f t="shared" si="19"/>
        <v>-10000000</v>
      </c>
      <c r="O26" s="9">
        <f t="shared" si="19"/>
        <v>-10000000</v>
      </c>
      <c r="P26" s="9">
        <f t="shared" si="19"/>
        <v>-10000000</v>
      </c>
      <c r="Q26" s="9">
        <f t="shared" si="19"/>
        <v>-10000000</v>
      </c>
      <c r="R26" s="9">
        <f t="shared" si="19"/>
        <v>-10000000</v>
      </c>
      <c r="S26" s="9">
        <f t="shared" si="19"/>
        <v>-15000000</v>
      </c>
      <c r="T26" s="9">
        <f t="shared" si="19"/>
        <v>-15000000</v>
      </c>
      <c r="U26" s="9">
        <f t="shared" si="19"/>
        <v>-15000000</v>
      </c>
      <c r="V26" s="9">
        <f t="shared" si="19"/>
        <v>-15000000</v>
      </c>
      <c r="W26" s="9">
        <f t="shared" si="19"/>
        <v>-15000000</v>
      </c>
      <c r="X26" s="16"/>
    </row>
    <row r="27" spans="2:24">
      <c r="B27" s="11"/>
      <c r="C27" s="12"/>
      <c r="D27" s="12"/>
      <c r="E27" s="12"/>
      <c r="F27" s="12"/>
      <c r="G27" s="12"/>
      <c r="H27" s="12"/>
      <c r="I27" s="12"/>
      <c r="J27" s="12"/>
      <c r="K27" s="12"/>
      <c r="L27" s="12"/>
      <c r="M27" s="12"/>
      <c r="N27" s="12"/>
      <c r="O27" s="12"/>
      <c r="P27" s="12"/>
      <c r="Q27" s="12"/>
      <c r="R27" s="12"/>
      <c r="S27" s="12"/>
      <c r="T27" s="12"/>
      <c r="U27" s="12"/>
      <c r="V27" s="12"/>
      <c r="W27" s="12"/>
      <c r="X27" s="10"/>
    </row>
    <row r="28" spans="2:24" ht="15">
      <c r="B28" s="13" t="s">
        <v>175</v>
      </c>
      <c r="C28" s="33">
        <f>C19+C26</f>
        <v>0</v>
      </c>
      <c r="D28" s="33">
        <f t="shared" ref="D28:W28" si="20">D19+D26</f>
        <v>-16835000</v>
      </c>
      <c r="E28" s="33">
        <f t="shared" si="20"/>
        <v>3007500</v>
      </c>
      <c r="F28" s="33">
        <f t="shared" si="20"/>
        <v>2542500</v>
      </c>
      <c r="G28" s="33">
        <f t="shared" si="20"/>
        <v>4873500</v>
      </c>
      <c r="H28" s="33">
        <f t="shared" si="20"/>
        <v>6220000</v>
      </c>
      <c r="I28" s="33">
        <f t="shared" si="20"/>
        <v>1950000</v>
      </c>
      <c r="J28" s="33">
        <f t="shared" si="20"/>
        <v>1950000</v>
      </c>
      <c r="K28" s="33">
        <f t="shared" si="20"/>
        <v>1950000</v>
      </c>
      <c r="L28" s="33">
        <f t="shared" si="20"/>
        <v>1950000</v>
      </c>
      <c r="M28" s="33">
        <f t="shared" si="20"/>
        <v>1950000</v>
      </c>
      <c r="N28" s="33">
        <f t="shared" si="20"/>
        <v>2600000</v>
      </c>
      <c r="O28" s="33">
        <f t="shared" si="20"/>
        <v>2600000</v>
      </c>
      <c r="P28" s="33">
        <f t="shared" si="20"/>
        <v>2600000</v>
      </c>
      <c r="Q28" s="33">
        <f t="shared" si="20"/>
        <v>2600000</v>
      </c>
      <c r="R28" s="33">
        <f t="shared" si="20"/>
        <v>2600000</v>
      </c>
      <c r="S28" s="33">
        <f t="shared" si="20"/>
        <v>3900000</v>
      </c>
      <c r="T28" s="33">
        <f t="shared" si="20"/>
        <v>3900000</v>
      </c>
      <c r="U28" s="33">
        <f t="shared" si="20"/>
        <v>3900000</v>
      </c>
      <c r="V28" s="33">
        <f t="shared" si="20"/>
        <v>3900000</v>
      </c>
      <c r="W28" s="33">
        <f t="shared" si="20"/>
        <v>3900000</v>
      </c>
      <c r="X28" s="10"/>
    </row>
    <row r="29" spans="2:24" s="19" customFormat="1" ht="15">
      <c r="B29" s="20"/>
      <c r="C29" s="21"/>
      <c r="D29" s="21"/>
      <c r="E29" s="21"/>
      <c r="F29" s="21"/>
      <c r="G29" s="21"/>
      <c r="H29" s="21"/>
      <c r="I29" s="21"/>
      <c r="J29" s="21"/>
      <c r="K29" s="21"/>
      <c r="L29" s="21"/>
      <c r="M29" s="21"/>
      <c r="N29" s="21"/>
      <c r="O29" s="21"/>
      <c r="P29" s="21"/>
      <c r="Q29" s="21"/>
      <c r="R29" s="21"/>
      <c r="S29" s="21"/>
      <c r="T29" s="21"/>
      <c r="U29" s="21"/>
      <c r="V29" s="21"/>
      <c r="W29" s="21"/>
      <c r="X29" s="22"/>
    </row>
    <row r="30" spans="2:24" s="19" customFormat="1">
      <c r="B30" s="23" t="s">
        <v>193</v>
      </c>
      <c r="C30" s="34"/>
      <c r="D30" s="24">
        <f>1/(1.15)^1</f>
        <v>0.86956521739130443</v>
      </c>
      <c r="E30" s="24">
        <f>1/(1.15)^2</f>
        <v>0.7561436672967865</v>
      </c>
      <c r="F30" s="24">
        <f>1/(1.15)^3</f>
        <v>0.65751623243198831</v>
      </c>
      <c r="G30" s="24">
        <f>1/(1.15)^4</f>
        <v>0.57175324559303342</v>
      </c>
      <c r="H30" s="24">
        <f>1/(1.15)^5</f>
        <v>0.49717673529828987</v>
      </c>
      <c r="I30" s="24">
        <f>1/(1.15)^6</f>
        <v>0.43232759591155645</v>
      </c>
      <c r="J30" s="24">
        <f>1/(1.15)^7</f>
        <v>0.37593703992309269</v>
      </c>
      <c r="K30" s="24">
        <f>1/(1.15)^8</f>
        <v>0.32690177384616753</v>
      </c>
      <c r="L30" s="24">
        <f>1/(1.15)^9</f>
        <v>0.28426241204014574</v>
      </c>
      <c r="M30" s="24">
        <f>1/(1.15)^10</f>
        <v>0.24718470612186585</v>
      </c>
      <c r="N30" s="24">
        <f>1/(1.15)^11</f>
        <v>0.21494322271466598</v>
      </c>
      <c r="O30" s="24">
        <f>1/(1.15)^12</f>
        <v>0.18690715018666609</v>
      </c>
      <c r="P30" s="24">
        <f>1/(1.15)^13</f>
        <v>0.16252795668405748</v>
      </c>
      <c r="Q30" s="24">
        <f>1/(1.15)^14</f>
        <v>0.14132865798613695</v>
      </c>
      <c r="R30" s="24">
        <f>1/(1.15)^15</f>
        <v>0.1228944852053365</v>
      </c>
      <c r="S30" s="24">
        <f>1/(1.15)^16</f>
        <v>0.10686476974377089</v>
      </c>
      <c r="T30" s="24">
        <f>1/(1.15)^17</f>
        <v>9.2925886733713825E-2</v>
      </c>
      <c r="U30" s="24">
        <f>1/(1.15)^18</f>
        <v>8.0805118898881603E-2</v>
      </c>
      <c r="V30" s="24">
        <f>1/(1.15)^19</f>
        <v>7.0265320781636179E-2</v>
      </c>
      <c r="W30" s="24">
        <f>1/(1.15)^20</f>
        <v>6.1100278940553199E-2</v>
      </c>
      <c r="X30" s="22"/>
    </row>
    <row r="31" spans="2:24" s="19" customFormat="1" ht="15">
      <c r="B31" s="20"/>
      <c r="C31" s="21"/>
      <c r="D31" s="21"/>
      <c r="E31" s="21"/>
      <c r="F31" s="21"/>
      <c r="G31" s="21"/>
      <c r="H31" s="21"/>
      <c r="I31" s="21"/>
      <c r="J31" s="21"/>
      <c r="K31" s="21"/>
      <c r="L31" s="21"/>
      <c r="M31" s="21"/>
      <c r="N31" s="21"/>
      <c r="O31" s="21"/>
      <c r="P31" s="21"/>
      <c r="Q31" s="21"/>
      <c r="R31" s="21"/>
      <c r="S31" s="21"/>
      <c r="T31" s="21"/>
      <c r="U31" s="21"/>
      <c r="V31" s="21"/>
      <c r="W31" s="21"/>
      <c r="X31" s="22"/>
    </row>
    <row r="32" spans="2:24" s="19" customFormat="1" ht="15">
      <c r="B32" s="25" t="s">
        <v>194</v>
      </c>
      <c r="C32" s="26"/>
      <c r="D32" s="26">
        <f>D28*D30</f>
        <v>-14639130.434782609</v>
      </c>
      <c r="E32" s="26">
        <f>E28*E30</f>
        <v>2274102.0793950856</v>
      </c>
      <c r="F32" s="26">
        <f t="shared" ref="F32:W32" si="21">F28*F30</f>
        <v>1671735.0209583302</v>
      </c>
      <c r="G32" s="26">
        <f t="shared" si="21"/>
        <v>2786439.4423976485</v>
      </c>
      <c r="H32" s="26">
        <f t="shared" si="21"/>
        <v>3092439.2935553631</v>
      </c>
      <c r="I32" s="26">
        <f t="shared" si="21"/>
        <v>843038.81202753505</v>
      </c>
      <c r="J32" s="26">
        <f t="shared" si="21"/>
        <v>733077.22785003076</v>
      </c>
      <c r="K32" s="26">
        <f t="shared" si="21"/>
        <v>637458.45900002669</v>
      </c>
      <c r="L32" s="26">
        <f t="shared" si="21"/>
        <v>554311.70347828418</v>
      </c>
      <c r="M32" s="26">
        <f t="shared" si="21"/>
        <v>482010.17693763843</v>
      </c>
      <c r="N32" s="26">
        <f t="shared" si="21"/>
        <v>558852.3790581316</v>
      </c>
      <c r="O32" s="26">
        <f t="shared" si="21"/>
        <v>485958.59048533184</v>
      </c>
      <c r="P32" s="26">
        <f t="shared" si="21"/>
        <v>422572.68737854942</v>
      </c>
      <c r="Q32" s="26">
        <f t="shared" si="21"/>
        <v>367454.51076395606</v>
      </c>
      <c r="R32" s="26">
        <f t="shared" si="21"/>
        <v>319525.66153387487</v>
      </c>
      <c r="S32" s="26">
        <f t="shared" si="21"/>
        <v>416772.60200070648</v>
      </c>
      <c r="T32" s="26">
        <f t="shared" si="21"/>
        <v>362410.95826148393</v>
      </c>
      <c r="U32" s="26">
        <f t="shared" si="21"/>
        <v>315139.96370563825</v>
      </c>
      <c r="V32" s="26">
        <f t="shared" si="21"/>
        <v>274034.75104838109</v>
      </c>
      <c r="W32" s="26">
        <f t="shared" si="21"/>
        <v>238291.08786815748</v>
      </c>
      <c r="X32" s="22"/>
    </row>
    <row r="33" spans="2:24" s="19" customFormat="1" ht="15">
      <c r="B33" s="27"/>
      <c r="C33" s="28"/>
      <c r="D33" s="28"/>
      <c r="E33" s="28"/>
      <c r="F33" s="28"/>
      <c r="G33" s="28"/>
      <c r="H33" s="28"/>
      <c r="I33" s="28"/>
      <c r="J33" s="28"/>
      <c r="K33" s="28"/>
      <c r="L33" s="28"/>
      <c r="M33" s="28"/>
      <c r="N33" s="28"/>
      <c r="O33" s="28"/>
      <c r="P33" s="28"/>
      <c r="Q33" s="28"/>
      <c r="R33" s="28"/>
      <c r="S33" s="28"/>
      <c r="T33" s="28"/>
      <c r="U33" s="28"/>
      <c r="V33" s="28"/>
      <c r="W33" s="28"/>
      <c r="X33" s="22"/>
    </row>
    <row r="34" spans="2:24">
      <c r="C34" s="10"/>
      <c r="D34" s="10"/>
      <c r="E34" s="10"/>
      <c r="F34" s="10"/>
      <c r="G34" s="10"/>
      <c r="H34" s="10"/>
      <c r="I34" s="10"/>
      <c r="J34" s="10"/>
      <c r="K34" s="10"/>
      <c r="L34" s="10"/>
      <c r="M34" s="10"/>
      <c r="N34" s="10"/>
      <c r="O34" s="10"/>
      <c r="P34" s="10"/>
      <c r="Q34" s="10"/>
      <c r="R34" s="10"/>
      <c r="S34" s="10"/>
      <c r="T34" s="10"/>
      <c r="U34" s="10"/>
      <c r="V34" s="10"/>
      <c r="W34" s="10"/>
      <c r="X34" s="10"/>
    </row>
    <row r="35" spans="2:24" ht="15">
      <c r="B35" s="29" t="s">
        <v>176</v>
      </c>
      <c r="C35" s="30">
        <f>NPV(0.15,D28:W28)</f>
        <v>2196494.9729215419</v>
      </c>
      <c r="D35" s="10"/>
      <c r="E35" s="10"/>
      <c r="F35" s="10"/>
      <c r="G35" s="10"/>
      <c r="H35" s="10"/>
      <c r="I35" s="10"/>
      <c r="J35" s="10"/>
      <c r="K35" s="10"/>
      <c r="L35" s="10"/>
      <c r="M35" s="10"/>
      <c r="N35" s="10"/>
      <c r="O35" s="10"/>
      <c r="P35" s="10"/>
      <c r="Q35" s="10"/>
      <c r="R35" s="10"/>
      <c r="S35" s="10"/>
      <c r="T35" s="10"/>
      <c r="U35" s="10"/>
      <c r="V35" s="10"/>
      <c r="W35" s="10"/>
      <c r="X35" s="10"/>
    </row>
    <row r="36" spans="2:24" ht="15">
      <c r="B36" s="29" t="s">
        <v>177</v>
      </c>
      <c r="C36" s="31">
        <f>IRR(D28:W28)</f>
        <v>0.1786284721953515</v>
      </c>
      <c r="D36" s="10"/>
      <c r="E36" s="10"/>
      <c r="F36" s="10"/>
      <c r="G36" s="10"/>
      <c r="H36" s="10"/>
      <c r="I36" s="10"/>
      <c r="J36" s="10"/>
      <c r="K36" s="10"/>
      <c r="L36" s="10"/>
      <c r="M36" s="10"/>
      <c r="N36" s="10"/>
      <c r="O36" s="10"/>
      <c r="P36" s="10"/>
      <c r="Q36" s="10"/>
      <c r="R36" s="10"/>
      <c r="S36" s="10"/>
      <c r="T36" s="10"/>
      <c r="U36" s="10"/>
      <c r="V36" s="10"/>
      <c r="W36" s="10"/>
      <c r="X36" s="10"/>
    </row>
    <row r="37" spans="2:24" ht="15">
      <c r="B37" s="29" t="s">
        <v>192</v>
      </c>
      <c r="C37" s="32">
        <f>SUM(E32:W32)/-D32</f>
        <v>1.1500427216429923</v>
      </c>
      <c r="D37" s="10"/>
      <c r="E37" s="10"/>
      <c r="F37" s="10"/>
      <c r="G37" s="10"/>
      <c r="H37" s="10"/>
      <c r="I37" s="10"/>
      <c r="J37" s="10"/>
      <c r="K37" s="10"/>
      <c r="L37" s="10"/>
      <c r="M37" s="10"/>
      <c r="N37" s="10"/>
      <c r="O37" s="10"/>
      <c r="P37" s="10"/>
      <c r="Q37" s="10"/>
      <c r="R37" s="10"/>
      <c r="S37" s="10"/>
      <c r="T37" s="10"/>
      <c r="U37" s="10"/>
      <c r="V37" s="10"/>
      <c r="W37" s="10"/>
      <c r="X37" s="10"/>
    </row>
    <row r="38" spans="2:24">
      <c r="C38" s="10"/>
      <c r="D38" s="10"/>
      <c r="E38" s="10"/>
      <c r="F38" s="10"/>
      <c r="G38" s="10"/>
      <c r="H38" s="10"/>
      <c r="I38" s="10"/>
      <c r="J38" s="10"/>
      <c r="K38" s="10"/>
      <c r="L38" s="10"/>
      <c r="M38" s="10"/>
      <c r="N38" s="10"/>
      <c r="O38" s="10"/>
      <c r="P38" s="10"/>
      <c r="Q38" s="10"/>
      <c r="R38" s="10"/>
      <c r="S38" s="10"/>
      <c r="T38" s="10"/>
      <c r="U38" s="10"/>
      <c r="V38" s="10"/>
      <c r="W38" s="10"/>
      <c r="X38" s="10"/>
    </row>
    <row r="39" spans="2:24">
      <c r="C39" s="10"/>
      <c r="D39" s="10"/>
      <c r="E39" s="10"/>
      <c r="F39" s="10"/>
      <c r="G39" s="10"/>
      <c r="H39" s="10"/>
      <c r="I39" s="10"/>
      <c r="J39" s="10"/>
      <c r="K39" s="10"/>
      <c r="L39" s="10"/>
      <c r="M39" s="10"/>
      <c r="N39" s="10"/>
      <c r="O39" s="10"/>
      <c r="P39" s="10"/>
      <c r="Q39" s="10"/>
      <c r="R39" s="10"/>
      <c r="S39" s="10"/>
      <c r="T39" s="10"/>
      <c r="U39" s="10"/>
      <c r="V39" s="10"/>
      <c r="W39" s="10"/>
      <c r="X39" s="10"/>
    </row>
    <row r="40" spans="2:24">
      <c r="C40" s="10"/>
      <c r="D40" s="10"/>
      <c r="E40" s="10"/>
      <c r="F40" s="10"/>
      <c r="G40" s="10"/>
      <c r="H40" s="10"/>
      <c r="I40" s="10"/>
      <c r="J40" s="10"/>
      <c r="K40" s="10"/>
      <c r="L40" s="10"/>
      <c r="M40" s="10"/>
      <c r="N40" s="10"/>
      <c r="O40" s="10"/>
      <c r="P40" s="10"/>
      <c r="Q40" s="10"/>
      <c r="R40" s="10"/>
      <c r="S40" s="10"/>
      <c r="T40" s="10"/>
      <c r="U40" s="10"/>
      <c r="V40" s="10"/>
      <c r="W40" s="10"/>
      <c r="X40" s="10"/>
    </row>
    <row r="41" spans="2:24">
      <c r="C41" s="10"/>
      <c r="D41" s="10"/>
      <c r="E41" s="10"/>
      <c r="F41" s="10"/>
      <c r="G41" s="10"/>
      <c r="H41" s="10"/>
      <c r="I41" s="10"/>
      <c r="J41" s="10"/>
      <c r="K41" s="10"/>
      <c r="L41" s="10"/>
      <c r="M41" s="10"/>
      <c r="N41" s="10"/>
      <c r="O41" s="10"/>
      <c r="P41" s="10"/>
      <c r="Q41" s="10"/>
      <c r="R41" s="10"/>
      <c r="S41" s="10"/>
      <c r="T41" s="10"/>
      <c r="U41" s="10"/>
      <c r="V41" s="10"/>
      <c r="W41" s="10"/>
      <c r="X41" s="10"/>
    </row>
    <row r="42" spans="2:24">
      <c r="C42" s="10"/>
      <c r="D42" s="10"/>
      <c r="E42" s="10"/>
      <c r="F42" s="10"/>
      <c r="G42" s="10"/>
      <c r="H42" s="10"/>
      <c r="I42" s="10"/>
      <c r="J42" s="10"/>
      <c r="K42" s="10"/>
      <c r="L42" s="10"/>
      <c r="M42" s="10"/>
      <c r="N42" s="10"/>
      <c r="O42" s="10"/>
      <c r="P42" s="10"/>
      <c r="Q42" s="10"/>
      <c r="R42" s="10"/>
      <c r="S42" s="10"/>
      <c r="T42" s="10"/>
      <c r="U42" s="10"/>
      <c r="V42" s="10"/>
      <c r="W42" s="10"/>
      <c r="X42" s="10"/>
    </row>
    <row r="43" spans="2:24">
      <c r="C43" s="10"/>
      <c r="D43" s="10"/>
      <c r="E43" s="10"/>
      <c r="F43" s="10"/>
      <c r="G43" s="10"/>
      <c r="H43" s="10"/>
      <c r="I43" s="10"/>
      <c r="J43" s="10"/>
      <c r="K43" s="10"/>
      <c r="L43" s="10"/>
      <c r="M43" s="10"/>
      <c r="N43" s="10"/>
      <c r="O43" s="10"/>
      <c r="P43" s="10"/>
      <c r="Q43" s="10"/>
      <c r="R43" s="10"/>
      <c r="S43" s="10"/>
      <c r="T43" s="10"/>
      <c r="U43" s="10"/>
      <c r="V43" s="10"/>
      <c r="W43" s="10"/>
      <c r="X43" s="10"/>
    </row>
    <row r="44" spans="2:24">
      <c r="C44" s="10"/>
      <c r="D44" s="10"/>
      <c r="E44" s="10"/>
      <c r="F44" s="10"/>
      <c r="G44" s="10"/>
      <c r="H44" s="10"/>
      <c r="I44" s="10"/>
      <c r="J44" s="10"/>
      <c r="K44" s="10"/>
      <c r="L44" s="10"/>
      <c r="M44" s="10"/>
      <c r="N44" s="10"/>
      <c r="O44" s="10"/>
      <c r="P44" s="10"/>
      <c r="Q44" s="10"/>
      <c r="R44" s="10"/>
      <c r="S44" s="10"/>
      <c r="T44" s="10"/>
      <c r="U44" s="10"/>
      <c r="V44" s="10"/>
      <c r="W44" s="10"/>
      <c r="X44" s="10"/>
    </row>
    <row r="45" spans="2:24">
      <c r="C45" s="10"/>
      <c r="D45" s="10"/>
      <c r="E45" s="10"/>
      <c r="F45" s="10"/>
      <c r="G45" s="10"/>
      <c r="H45" s="10"/>
      <c r="I45" s="10"/>
      <c r="J45" s="10"/>
      <c r="K45" s="10"/>
      <c r="L45" s="10"/>
      <c r="M45" s="10"/>
      <c r="N45" s="10"/>
      <c r="O45" s="10"/>
      <c r="P45" s="10"/>
      <c r="Q45" s="10"/>
      <c r="R45" s="10"/>
      <c r="S45" s="10"/>
      <c r="T45" s="10"/>
      <c r="U45" s="10"/>
      <c r="V45" s="10"/>
      <c r="W45" s="10"/>
      <c r="X45" s="10"/>
    </row>
    <row r="46" spans="2:24">
      <c r="C46" s="10"/>
      <c r="D46" s="10"/>
      <c r="E46" s="10"/>
      <c r="F46" s="10"/>
      <c r="G46" s="10"/>
      <c r="H46" s="10"/>
      <c r="I46" s="10"/>
      <c r="J46" s="10"/>
      <c r="K46" s="10"/>
      <c r="L46" s="10"/>
      <c r="M46" s="10"/>
      <c r="N46" s="10"/>
    </row>
    <row r="47" spans="2:24">
      <c r="C47" s="10"/>
      <c r="D47" s="10"/>
      <c r="E47" s="10"/>
      <c r="F47" s="10"/>
      <c r="G47" s="10"/>
      <c r="H47" s="10"/>
      <c r="I47" s="10"/>
      <c r="J47" s="10"/>
      <c r="K47" s="10"/>
      <c r="L47" s="10"/>
      <c r="M47" s="10"/>
      <c r="N47" s="10"/>
    </row>
    <row r="48" spans="2:24">
      <c r="C48" s="10"/>
      <c r="D48" s="10"/>
      <c r="E48" s="10"/>
      <c r="F48" s="10"/>
      <c r="G48" s="10"/>
      <c r="H48" s="10"/>
      <c r="I48" s="10"/>
      <c r="J48" s="10"/>
      <c r="K48" s="10"/>
      <c r="L48" s="10"/>
      <c r="M48" s="10"/>
      <c r="N48" s="10"/>
    </row>
    <row r="49" spans="3:14">
      <c r="C49" s="10"/>
      <c r="D49" s="10"/>
      <c r="E49" s="10"/>
      <c r="F49" s="10"/>
      <c r="G49" s="10"/>
      <c r="H49" s="10"/>
      <c r="I49" s="10"/>
      <c r="J49" s="10"/>
      <c r="K49" s="10"/>
      <c r="L49" s="10"/>
      <c r="M49" s="10"/>
      <c r="N49" s="10"/>
    </row>
    <row r="50" spans="3:14">
      <c r="C50" s="10"/>
      <c r="D50" s="10"/>
      <c r="E50" s="10"/>
      <c r="F50" s="10"/>
      <c r="G50" s="10"/>
      <c r="H50" s="10"/>
      <c r="I50" s="10"/>
      <c r="J50" s="10"/>
      <c r="K50" s="10"/>
      <c r="L50" s="10"/>
      <c r="M50" s="10"/>
      <c r="N50" s="10"/>
    </row>
    <row r="51" spans="3:14">
      <c r="C51" s="10"/>
      <c r="D51" s="10"/>
      <c r="E51" s="10"/>
      <c r="F51" s="10"/>
      <c r="G51" s="10"/>
      <c r="H51" s="10"/>
      <c r="I51" s="10"/>
      <c r="J51" s="10"/>
      <c r="K51" s="10"/>
      <c r="L51" s="10"/>
      <c r="M51" s="10"/>
      <c r="N51" s="10"/>
    </row>
    <row r="52" spans="3:14">
      <c r="C52" s="10"/>
      <c r="D52" s="10"/>
      <c r="E52" s="10"/>
      <c r="F52" s="10"/>
      <c r="G52" s="10"/>
      <c r="H52" s="10"/>
      <c r="I52" s="10"/>
      <c r="J52" s="10"/>
      <c r="K52" s="10"/>
      <c r="L52" s="10"/>
      <c r="M52" s="10"/>
      <c r="N52" s="10"/>
    </row>
    <row r="53" spans="3:14">
      <c r="C53" s="10"/>
      <c r="D53" s="10"/>
      <c r="E53" s="10"/>
      <c r="F53" s="10"/>
      <c r="G53" s="10"/>
      <c r="H53" s="10"/>
      <c r="I53" s="10"/>
      <c r="J53" s="10"/>
      <c r="K53" s="10"/>
      <c r="L53" s="10"/>
      <c r="M53" s="10"/>
      <c r="N53" s="10"/>
    </row>
    <row r="54" spans="3:14">
      <c r="C54" s="10"/>
      <c r="D54" s="10"/>
      <c r="E54" s="10"/>
      <c r="F54" s="10"/>
      <c r="G54" s="10"/>
      <c r="H54" s="10"/>
      <c r="I54" s="10"/>
      <c r="J54" s="10"/>
      <c r="K54" s="10"/>
      <c r="L54" s="10"/>
      <c r="M54" s="10"/>
      <c r="N54" s="10"/>
    </row>
    <row r="55" spans="3:14">
      <c r="C55" s="10"/>
      <c r="D55" s="10"/>
      <c r="E55" s="10"/>
      <c r="F55" s="10"/>
      <c r="G55" s="10"/>
      <c r="H55" s="10"/>
      <c r="I55" s="10"/>
      <c r="J55" s="10"/>
      <c r="K55" s="10"/>
      <c r="L55" s="10"/>
      <c r="M55" s="10"/>
      <c r="N55" s="10"/>
    </row>
    <row r="56" spans="3:14">
      <c r="C56" s="10"/>
      <c r="D56" s="10"/>
      <c r="E56" s="10"/>
      <c r="F56" s="10"/>
      <c r="G56" s="10"/>
      <c r="H56" s="10"/>
      <c r="I56" s="10"/>
      <c r="J56" s="10"/>
      <c r="K56" s="10"/>
      <c r="L56" s="10"/>
      <c r="M56" s="10"/>
      <c r="N56" s="10"/>
    </row>
    <row r="57" spans="3:14">
      <c r="C57" s="10"/>
      <c r="D57" s="10"/>
      <c r="E57" s="10"/>
      <c r="F57" s="10"/>
      <c r="G57" s="10"/>
      <c r="H57" s="10"/>
      <c r="I57" s="10"/>
      <c r="J57" s="10"/>
      <c r="K57" s="10"/>
      <c r="L57" s="10"/>
      <c r="M57" s="10"/>
      <c r="N57" s="10"/>
    </row>
    <row r="58" spans="3:14">
      <c r="C58" s="10"/>
      <c r="D58" s="10"/>
      <c r="E58" s="10"/>
      <c r="F58" s="10"/>
      <c r="G58" s="10"/>
      <c r="H58" s="10"/>
      <c r="I58" s="10"/>
      <c r="J58" s="10"/>
      <c r="K58" s="10"/>
      <c r="L58" s="10"/>
      <c r="M58" s="10"/>
      <c r="N58" s="10"/>
    </row>
    <row r="59" spans="3:14">
      <c r="C59" s="10"/>
      <c r="D59" s="10"/>
      <c r="E59" s="10"/>
      <c r="F59" s="10"/>
      <c r="G59" s="10"/>
      <c r="H59" s="10"/>
      <c r="I59" s="10"/>
      <c r="J59" s="10"/>
      <c r="K59" s="10"/>
      <c r="L59" s="10"/>
      <c r="M59" s="10"/>
      <c r="N59" s="10"/>
    </row>
    <row r="60" spans="3:14">
      <c r="C60" s="10"/>
      <c r="D60" s="10"/>
      <c r="E60" s="10"/>
      <c r="F60" s="10"/>
      <c r="G60" s="10"/>
      <c r="H60" s="10"/>
      <c r="I60" s="10"/>
      <c r="J60" s="10"/>
      <c r="K60" s="10"/>
      <c r="L60" s="10"/>
      <c r="M60" s="10"/>
      <c r="N60" s="10"/>
    </row>
    <row r="61" spans="3:14">
      <c r="C61" s="10"/>
      <c r="D61" s="10"/>
      <c r="E61" s="10"/>
      <c r="F61" s="10"/>
      <c r="G61" s="10"/>
      <c r="H61" s="10"/>
      <c r="I61" s="10"/>
      <c r="J61" s="10"/>
      <c r="K61" s="10"/>
      <c r="L61" s="10"/>
      <c r="M61" s="10"/>
      <c r="N61" s="10"/>
    </row>
    <row r="62" spans="3:14">
      <c r="C62" s="10"/>
      <c r="D62" s="10"/>
      <c r="E62" s="10"/>
      <c r="F62" s="10"/>
      <c r="G62" s="10"/>
      <c r="H62" s="10"/>
      <c r="I62" s="10"/>
      <c r="J62" s="10"/>
      <c r="K62" s="10"/>
      <c r="L62" s="10"/>
      <c r="M62" s="10"/>
      <c r="N62" s="10"/>
    </row>
    <row r="63" spans="3:14">
      <c r="C63" s="10"/>
      <c r="D63" s="10"/>
      <c r="E63" s="10"/>
      <c r="F63" s="10"/>
      <c r="G63" s="10"/>
      <c r="H63" s="10"/>
      <c r="I63" s="10"/>
      <c r="J63" s="10"/>
      <c r="K63" s="10"/>
      <c r="L63" s="10"/>
      <c r="M63" s="10"/>
      <c r="N63" s="10"/>
    </row>
    <row r="64" spans="3:14">
      <c r="C64" s="10"/>
      <c r="D64" s="10"/>
      <c r="E64" s="10"/>
      <c r="F64" s="10"/>
      <c r="G64" s="10"/>
      <c r="H64" s="10"/>
      <c r="I64" s="10"/>
      <c r="J64" s="10"/>
      <c r="K64" s="10"/>
      <c r="L64" s="10"/>
      <c r="M64" s="10"/>
      <c r="N64" s="10"/>
    </row>
    <row r="65" spans="3:14">
      <c r="C65" s="10"/>
      <c r="D65" s="10"/>
      <c r="E65" s="10"/>
      <c r="F65" s="10"/>
      <c r="G65" s="10"/>
      <c r="H65" s="10"/>
      <c r="I65" s="10"/>
      <c r="J65" s="10"/>
      <c r="K65" s="10"/>
      <c r="L65" s="10"/>
      <c r="M65" s="10"/>
      <c r="N65" s="10"/>
    </row>
    <row r="66" spans="3:14">
      <c r="C66" s="10"/>
      <c r="D66" s="10"/>
      <c r="E66" s="10"/>
      <c r="F66" s="10"/>
      <c r="G66" s="10"/>
      <c r="H66" s="10"/>
      <c r="I66" s="10"/>
      <c r="J66" s="10"/>
      <c r="K66" s="10"/>
      <c r="L66" s="10"/>
      <c r="M66" s="10"/>
      <c r="N66" s="10"/>
    </row>
    <row r="67" spans="3:14">
      <c r="C67" s="10"/>
      <c r="D67" s="10"/>
      <c r="E67" s="10"/>
      <c r="F67" s="10"/>
      <c r="G67" s="10"/>
      <c r="H67" s="10"/>
      <c r="I67" s="10"/>
      <c r="J67" s="10"/>
      <c r="K67" s="10"/>
      <c r="L67" s="10"/>
      <c r="M67" s="10"/>
      <c r="N67" s="10"/>
    </row>
    <row r="68" spans="3:14">
      <c r="C68" s="10"/>
      <c r="D68" s="10"/>
      <c r="E68" s="10"/>
      <c r="F68" s="10"/>
      <c r="G68" s="10"/>
      <c r="H68" s="10"/>
      <c r="I68" s="10"/>
      <c r="J68" s="10"/>
      <c r="K68" s="10"/>
      <c r="L68" s="10"/>
      <c r="M68" s="10"/>
      <c r="N68" s="10"/>
    </row>
    <row r="69" spans="3:14">
      <c r="C69" s="10"/>
      <c r="D69" s="10"/>
      <c r="E69" s="10"/>
      <c r="F69" s="10"/>
      <c r="G69" s="10"/>
      <c r="H69" s="10"/>
      <c r="I69" s="10"/>
      <c r="J69" s="10"/>
      <c r="K69" s="10"/>
      <c r="L69" s="10"/>
      <c r="M69" s="10"/>
      <c r="N69" s="10"/>
    </row>
  </sheetData>
  <mergeCells count="4">
    <mergeCell ref="D2:W2"/>
    <mergeCell ref="B1:W1"/>
    <mergeCell ref="B14:W14"/>
    <mergeCell ref="D15:W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69"/>
  <sheetViews>
    <sheetView topLeftCell="A13" zoomScaleNormal="100" workbookViewId="0">
      <selection activeCell="D28" sqref="D28"/>
    </sheetView>
  </sheetViews>
  <sheetFormatPr defaultColWidth="9.140625" defaultRowHeight="14.25"/>
  <cols>
    <col min="1" max="1" width="7.5703125" style="1" customWidth="1"/>
    <col min="2" max="2" width="33.5703125" style="1" customWidth="1"/>
    <col min="3" max="3" width="20.5703125" style="1" customWidth="1"/>
    <col min="4" max="4" width="18.28515625" style="1" customWidth="1"/>
    <col min="5" max="24" width="15.42578125" style="1" customWidth="1"/>
    <col min="25" max="25" width="13.5703125" style="1" bestFit="1" customWidth="1"/>
    <col min="26" max="16384" width="9.140625" style="1"/>
  </cols>
  <sheetData>
    <row r="1" spans="2:25" ht="24.75" customHeight="1">
      <c r="B1" s="201" t="s">
        <v>181</v>
      </c>
      <c r="C1" s="201"/>
      <c r="D1" s="201"/>
      <c r="E1" s="201"/>
      <c r="F1" s="201"/>
      <c r="G1" s="201"/>
      <c r="H1" s="201"/>
      <c r="I1" s="201"/>
      <c r="J1" s="201"/>
      <c r="K1" s="201"/>
      <c r="L1" s="201"/>
      <c r="M1" s="201"/>
      <c r="N1" s="201"/>
      <c r="O1" s="201"/>
      <c r="P1" s="201"/>
      <c r="Q1" s="201"/>
      <c r="R1" s="201"/>
      <c r="S1" s="201"/>
      <c r="T1" s="201"/>
      <c r="U1" s="201"/>
      <c r="V1" s="201"/>
      <c r="W1" s="201"/>
      <c r="X1" s="201"/>
    </row>
    <row r="2" spans="2:25" ht="15">
      <c r="B2" s="2"/>
      <c r="C2" s="2"/>
      <c r="D2" s="3" t="s">
        <v>127</v>
      </c>
      <c r="E2" s="199" t="s">
        <v>128</v>
      </c>
      <c r="F2" s="200"/>
      <c r="G2" s="200"/>
      <c r="H2" s="200"/>
      <c r="I2" s="200"/>
      <c r="J2" s="200"/>
      <c r="K2" s="200"/>
      <c r="L2" s="200"/>
      <c r="M2" s="200"/>
      <c r="N2" s="200"/>
      <c r="O2" s="200"/>
      <c r="P2" s="200"/>
      <c r="Q2" s="200"/>
      <c r="R2" s="200"/>
      <c r="S2" s="200"/>
      <c r="T2" s="200"/>
      <c r="U2" s="200"/>
      <c r="V2" s="200"/>
      <c r="W2" s="200"/>
      <c r="X2" s="200"/>
    </row>
    <row r="3" spans="2:25" ht="15">
      <c r="B3" s="4" t="s">
        <v>161</v>
      </c>
      <c r="C3" s="4" t="s">
        <v>184</v>
      </c>
      <c r="D3" s="5" t="s">
        <v>162</v>
      </c>
      <c r="E3" s="6">
        <v>1</v>
      </c>
      <c r="F3" s="6">
        <v>2</v>
      </c>
      <c r="G3" s="6">
        <v>3</v>
      </c>
      <c r="H3" s="6">
        <v>4</v>
      </c>
      <c r="I3" s="6">
        <v>5</v>
      </c>
      <c r="J3" s="6">
        <v>6</v>
      </c>
      <c r="K3" s="6">
        <v>7</v>
      </c>
      <c r="L3" s="6">
        <v>8</v>
      </c>
      <c r="M3" s="6">
        <v>9</v>
      </c>
      <c r="N3" s="6">
        <v>10</v>
      </c>
      <c r="O3" s="6">
        <v>11</v>
      </c>
      <c r="P3" s="6">
        <v>12</v>
      </c>
      <c r="Q3" s="6">
        <v>13</v>
      </c>
      <c r="R3" s="6">
        <v>14</v>
      </c>
      <c r="S3" s="6">
        <v>15</v>
      </c>
      <c r="T3" s="6">
        <v>16</v>
      </c>
      <c r="U3" s="6">
        <v>17</v>
      </c>
      <c r="V3" s="6">
        <v>18</v>
      </c>
      <c r="W3" s="6">
        <v>19</v>
      </c>
      <c r="X3" s="6">
        <v>20</v>
      </c>
    </row>
    <row r="4" spans="2:25" ht="15">
      <c r="B4" s="7" t="s">
        <v>163</v>
      </c>
      <c r="C4" s="8">
        <f>Assumptions!D14</f>
        <v>0.82</v>
      </c>
      <c r="D4" s="9">
        <f>'Financial Budget_FNPV_FIRR'!C4*'Economic Budget_ENPV_EIRR _BCR'!$C$4</f>
        <v>23247000</v>
      </c>
      <c r="E4" s="9">
        <f>'Financial Budget_FNPV_FIRR'!D4*'Economic Budget_ENPV_EIRR _BCR'!$C$4</f>
        <v>28413000</v>
      </c>
      <c r="F4" s="9">
        <f>'Financial Budget_FNPV_FIRR'!E4*'Economic Budget_ENPV_EIRR _BCR'!$C$4</f>
        <v>28413000</v>
      </c>
      <c r="G4" s="9">
        <f>'Financial Budget_FNPV_FIRR'!F4*'Economic Budget_ENPV_EIRR _BCR'!$C$4</f>
        <v>28413000</v>
      </c>
      <c r="H4" s="9">
        <f>'Financial Budget_FNPV_FIRR'!G4*'Economic Budget_ENPV_EIRR _BCR'!$C$4</f>
        <v>28413000</v>
      </c>
      <c r="I4" s="9">
        <f>'Financial Budget_FNPV_FIRR'!H4*'Economic Budget_ENPV_EIRR _BCR'!$C$4</f>
        <v>28413000</v>
      </c>
      <c r="J4" s="9">
        <f>'Financial Budget_FNPV_FIRR'!I4*'Economic Budget_ENPV_EIRR _BCR'!$C$4</f>
        <v>30996000</v>
      </c>
      <c r="K4" s="9">
        <f>'Financial Budget_FNPV_FIRR'!J4*'Economic Budget_ENPV_EIRR _BCR'!$C$4</f>
        <v>30996000</v>
      </c>
      <c r="L4" s="9">
        <f>'Financial Budget_FNPV_FIRR'!K4*'Economic Budget_ENPV_EIRR _BCR'!$C$4</f>
        <v>30996000</v>
      </c>
      <c r="M4" s="9">
        <f>'Financial Budget_FNPV_FIRR'!L4*'Economic Budget_ENPV_EIRR _BCR'!$C$4</f>
        <v>30996000</v>
      </c>
      <c r="N4" s="9">
        <f>'Financial Budget_FNPV_FIRR'!M4*'Economic Budget_ENPV_EIRR _BCR'!$C$4</f>
        <v>30996000</v>
      </c>
      <c r="O4" s="9">
        <f>'Financial Budget_FNPV_FIRR'!N4*'Economic Budget_ENPV_EIRR _BCR'!$C$4</f>
        <v>33579000</v>
      </c>
      <c r="P4" s="9">
        <f>'Financial Budget_FNPV_FIRR'!O4*'Economic Budget_ENPV_EIRR _BCR'!$C$4</f>
        <v>33579000</v>
      </c>
      <c r="Q4" s="9">
        <f>'Financial Budget_FNPV_FIRR'!P4*'Economic Budget_ENPV_EIRR _BCR'!$C$4</f>
        <v>33579000</v>
      </c>
      <c r="R4" s="9">
        <f>'Financial Budget_FNPV_FIRR'!Q4*'Economic Budget_ENPV_EIRR _BCR'!$C$4</f>
        <v>33579000</v>
      </c>
      <c r="S4" s="9">
        <f>'Financial Budget_FNPV_FIRR'!R4*'Economic Budget_ENPV_EIRR _BCR'!$C$4</f>
        <v>33579000</v>
      </c>
      <c r="T4" s="9">
        <f>'Financial Budget_FNPV_FIRR'!S4*'Economic Budget_ENPV_EIRR _BCR'!$C$4</f>
        <v>38745000</v>
      </c>
      <c r="U4" s="9">
        <f>'Financial Budget_FNPV_FIRR'!T4*'Economic Budget_ENPV_EIRR _BCR'!$C$4</f>
        <v>38745000</v>
      </c>
      <c r="V4" s="9">
        <f>'Financial Budget_FNPV_FIRR'!U4*'Economic Budget_ENPV_EIRR _BCR'!$C$4</f>
        <v>38745000</v>
      </c>
      <c r="W4" s="9">
        <f>'Financial Budget_FNPV_FIRR'!V4*'Economic Budget_ENPV_EIRR _BCR'!$C$4</f>
        <v>38745000</v>
      </c>
      <c r="X4" s="9">
        <f>'Financial Budget_FNPV_FIRR'!W4*'Economic Budget_ENPV_EIRR _BCR'!$C$4</f>
        <v>38745000</v>
      </c>
      <c r="Y4" s="10"/>
    </row>
    <row r="5" spans="2:25">
      <c r="B5" s="11" t="s">
        <v>164</v>
      </c>
      <c r="C5" s="11"/>
      <c r="D5" s="11"/>
      <c r="E5" s="12"/>
      <c r="F5" s="12"/>
      <c r="G5" s="12"/>
      <c r="H5" s="12"/>
      <c r="I5" s="12"/>
      <c r="J5" s="12"/>
      <c r="K5" s="12"/>
      <c r="L5" s="12"/>
      <c r="M5" s="12"/>
      <c r="N5" s="12"/>
      <c r="O5" s="12"/>
      <c r="P5" s="12"/>
      <c r="Q5" s="12"/>
      <c r="R5" s="12"/>
      <c r="S5" s="12"/>
      <c r="T5" s="12"/>
      <c r="U5" s="12"/>
      <c r="V5" s="12"/>
      <c r="W5" s="12"/>
      <c r="X5" s="12"/>
      <c r="Y5" s="10"/>
    </row>
    <row r="6" spans="2:25" ht="15">
      <c r="B6" s="11" t="s">
        <v>165</v>
      </c>
      <c r="C6" s="8"/>
      <c r="D6" s="12">
        <f>'Financial Budget_FNPV_FIRR'!C6</f>
        <v>0</v>
      </c>
      <c r="E6" s="12">
        <f>'Financial Budget_FNPV_FIRR'!D6</f>
        <v>-23135000</v>
      </c>
      <c r="F6" s="12">
        <f>'Financial Budget_FNPV_FIRR'!E6</f>
        <v>-3292500</v>
      </c>
      <c r="G6" s="12">
        <f>'Financial Budget_FNPV_FIRR'!F6</f>
        <v>-3757500</v>
      </c>
      <c r="H6" s="12">
        <f>'Financial Budget_FNPV_FIRR'!G6</f>
        <v>-1426500</v>
      </c>
      <c r="I6" s="12">
        <f>'Financial Budget_FNPV_FIRR'!H6</f>
        <v>-80000</v>
      </c>
      <c r="J6" s="12">
        <f>'Financial Budget_FNPV_FIRR'!I6</f>
        <v>0</v>
      </c>
      <c r="K6" s="12">
        <f>'Financial Budget_FNPV_FIRR'!J6</f>
        <v>0</v>
      </c>
      <c r="L6" s="12">
        <f>'Financial Budget_FNPV_FIRR'!K6</f>
        <v>0</v>
      </c>
      <c r="M6" s="12">
        <f>'Financial Budget_FNPV_FIRR'!L6</f>
        <v>0</v>
      </c>
      <c r="N6" s="12">
        <f>'Financial Budget_FNPV_FIRR'!M6</f>
        <v>0</v>
      </c>
      <c r="O6" s="12">
        <f>'Financial Budget_FNPV_FIRR'!N6</f>
        <v>0</v>
      </c>
      <c r="P6" s="12">
        <f>'Financial Budget_FNPV_FIRR'!O6</f>
        <v>0</v>
      </c>
      <c r="Q6" s="12">
        <f>'Financial Budget_FNPV_FIRR'!P6</f>
        <v>0</v>
      </c>
      <c r="R6" s="12">
        <f>'Financial Budget_FNPV_FIRR'!Q6</f>
        <v>0</v>
      </c>
      <c r="S6" s="12">
        <f>'Financial Budget_FNPV_FIRR'!R6</f>
        <v>0</v>
      </c>
      <c r="T6" s="12">
        <f>'Financial Budget_FNPV_FIRR'!S6</f>
        <v>0</v>
      </c>
      <c r="U6" s="12">
        <f>'Financial Budget_FNPV_FIRR'!T6</f>
        <v>0</v>
      </c>
      <c r="V6" s="12">
        <f>'Financial Budget_FNPV_FIRR'!U6</f>
        <v>0</v>
      </c>
      <c r="W6" s="12">
        <f>'Financial Budget_FNPV_FIRR'!V6</f>
        <v>0</v>
      </c>
      <c r="X6" s="12">
        <f>'Financial Budget_FNPV_FIRR'!W6</f>
        <v>0</v>
      </c>
      <c r="Y6" s="10"/>
    </row>
    <row r="7" spans="2:25" ht="15">
      <c r="B7" s="11" t="s">
        <v>167</v>
      </c>
      <c r="C7" s="8">
        <f>Assumptions!D14</f>
        <v>0.82</v>
      </c>
      <c r="D7" s="12">
        <f>'Financial Budget_FNPV_FIRR'!C7*'Economic Budget_ENPV_EIRR _BCR'!$C$7</f>
        <v>-18450000</v>
      </c>
      <c r="E7" s="12">
        <f>'Financial Budget_FNPV_FIRR'!D7*'Economic Budget_ENPV_EIRR _BCR'!$C$7</f>
        <v>-18450000</v>
      </c>
      <c r="F7" s="12">
        <f>'Financial Budget_FNPV_FIRR'!E7*'Economic Budget_ENPV_EIRR _BCR'!$C$7</f>
        <v>-18450000</v>
      </c>
      <c r="G7" s="12">
        <f>'Financial Budget_FNPV_FIRR'!F7*'Economic Budget_ENPV_EIRR _BCR'!$C$7</f>
        <v>-18450000</v>
      </c>
      <c r="H7" s="12">
        <f>'Financial Budget_FNPV_FIRR'!G7*'Economic Budget_ENPV_EIRR _BCR'!$C$7</f>
        <v>-18450000</v>
      </c>
      <c r="I7" s="12">
        <f>'Financial Budget_FNPV_FIRR'!H7*'Economic Budget_ENPV_EIRR _BCR'!$C$7</f>
        <v>-18450000</v>
      </c>
      <c r="J7" s="12">
        <f>'Financial Budget_FNPV_FIRR'!I7*'Economic Budget_ENPV_EIRR _BCR'!$C$7</f>
        <v>-24600000</v>
      </c>
      <c r="K7" s="12">
        <f>'Financial Budget_FNPV_FIRR'!J7*'Economic Budget_ENPV_EIRR _BCR'!$C$7</f>
        <v>-24600000</v>
      </c>
      <c r="L7" s="12">
        <f>'Financial Budget_FNPV_FIRR'!K7*'Economic Budget_ENPV_EIRR _BCR'!$C$7</f>
        <v>-24600000</v>
      </c>
      <c r="M7" s="12">
        <f>'Financial Budget_FNPV_FIRR'!L7*'Economic Budget_ENPV_EIRR _BCR'!$C$7</f>
        <v>-24600000</v>
      </c>
      <c r="N7" s="12">
        <f>'Financial Budget_FNPV_FIRR'!M7*'Economic Budget_ENPV_EIRR _BCR'!$C$7</f>
        <v>-24600000</v>
      </c>
      <c r="O7" s="12">
        <f>'Financial Budget_FNPV_FIRR'!N7*'Economic Budget_ENPV_EIRR _BCR'!$C$7</f>
        <v>-26650000</v>
      </c>
      <c r="P7" s="12">
        <f>'Financial Budget_FNPV_FIRR'!O7*'Economic Budget_ENPV_EIRR _BCR'!$C$7</f>
        <v>-26650000</v>
      </c>
      <c r="Q7" s="12">
        <f>'Financial Budget_FNPV_FIRR'!P7*'Economic Budget_ENPV_EIRR _BCR'!$C$7</f>
        <v>-26650000</v>
      </c>
      <c r="R7" s="12">
        <f>'Financial Budget_FNPV_FIRR'!Q7*'Economic Budget_ENPV_EIRR _BCR'!$C$7</f>
        <v>-26650000</v>
      </c>
      <c r="S7" s="12">
        <f>'Financial Budget_FNPV_FIRR'!R7*'Economic Budget_ENPV_EIRR _BCR'!$C$7</f>
        <v>-26650000</v>
      </c>
      <c r="T7" s="12">
        <f>'Financial Budget_FNPV_FIRR'!S7*'Economic Budget_ENPV_EIRR _BCR'!$C$7</f>
        <v>-30750000</v>
      </c>
      <c r="U7" s="12">
        <f>'Financial Budget_FNPV_FIRR'!T7*'Economic Budget_ENPV_EIRR _BCR'!$C$7</f>
        <v>-30750000</v>
      </c>
      <c r="V7" s="12">
        <f>'Financial Budget_FNPV_FIRR'!U7*'Economic Budget_ENPV_EIRR _BCR'!$C$7</f>
        <v>-30750000</v>
      </c>
      <c r="W7" s="12">
        <f>'Financial Budget_FNPV_FIRR'!V7*'Economic Budget_ENPV_EIRR _BCR'!$C$7</f>
        <v>-30750000</v>
      </c>
      <c r="X7" s="12">
        <f>'Financial Budget_FNPV_FIRR'!W7*'Economic Budget_ENPV_EIRR _BCR'!$C$7</f>
        <v>-30750000</v>
      </c>
      <c r="Y7" s="10"/>
    </row>
    <row r="8" spans="2:25">
      <c r="B8" s="11" t="s">
        <v>168</v>
      </c>
      <c r="C8" s="11"/>
      <c r="D8" s="12">
        <v>0</v>
      </c>
      <c r="E8" s="12">
        <v>0</v>
      </c>
      <c r="F8" s="12">
        <v>0</v>
      </c>
      <c r="G8" s="12">
        <v>0</v>
      </c>
      <c r="H8" s="12">
        <v>0</v>
      </c>
      <c r="I8" s="12">
        <v>0</v>
      </c>
      <c r="J8" s="12">
        <v>0</v>
      </c>
      <c r="K8" s="12">
        <v>0</v>
      </c>
      <c r="L8" s="12">
        <v>0</v>
      </c>
      <c r="M8" s="12">
        <v>0</v>
      </c>
      <c r="N8" s="12">
        <v>0</v>
      </c>
      <c r="O8" s="12">
        <v>0</v>
      </c>
      <c r="P8" s="12">
        <v>0</v>
      </c>
      <c r="Q8" s="12">
        <v>0</v>
      </c>
      <c r="R8" s="12">
        <v>0</v>
      </c>
      <c r="S8" s="12">
        <v>0</v>
      </c>
      <c r="T8" s="12">
        <v>0</v>
      </c>
      <c r="U8" s="12">
        <v>0</v>
      </c>
      <c r="V8" s="12">
        <v>0</v>
      </c>
      <c r="W8" s="12">
        <v>0</v>
      </c>
      <c r="X8" s="12">
        <v>0</v>
      </c>
      <c r="Y8" s="10"/>
    </row>
    <row r="9" spans="2:25" ht="15">
      <c r="B9" s="7" t="s">
        <v>173</v>
      </c>
      <c r="C9" s="7"/>
      <c r="D9" s="9">
        <f t="shared" ref="D9:X9" si="0">SUM(D6:D8)</f>
        <v>-18450000</v>
      </c>
      <c r="E9" s="9">
        <f t="shared" si="0"/>
        <v>-41585000</v>
      </c>
      <c r="F9" s="9">
        <f t="shared" si="0"/>
        <v>-21742500</v>
      </c>
      <c r="G9" s="9">
        <f t="shared" si="0"/>
        <v>-22207500</v>
      </c>
      <c r="H9" s="9">
        <f t="shared" si="0"/>
        <v>-19876500</v>
      </c>
      <c r="I9" s="9">
        <f t="shared" si="0"/>
        <v>-18530000</v>
      </c>
      <c r="J9" s="9">
        <f t="shared" si="0"/>
        <v>-24600000</v>
      </c>
      <c r="K9" s="9">
        <f t="shared" si="0"/>
        <v>-24600000</v>
      </c>
      <c r="L9" s="9">
        <f t="shared" si="0"/>
        <v>-24600000</v>
      </c>
      <c r="M9" s="9">
        <f t="shared" si="0"/>
        <v>-24600000</v>
      </c>
      <c r="N9" s="9">
        <f t="shared" si="0"/>
        <v>-24600000</v>
      </c>
      <c r="O9" s="9">
        <f t="shared" si="0"/>
        <v>-26650000</v>
      </c>
      <c r="P9" s="9">
        <f t="shared" si="0"/>
        <v>-26650000</v>
      </c>
      <c r="Q9" s="9">
        <f t="shared" si="0"/>
        <v>-26650000</v>
      </c>
      <c r="R9" s="9">
        <f t="shared" si="0"/>
        <v>-26650000</v>
      </c>
      <c r="S9" s="9">
        <f t="shared" si="0"/>
        <v>-26650000</v>
      </c>
      <c r="T9" s="9">
        <f t="shared" si="0"/>
        <v>-30750000</v>
      </c>
      <c r="U9" s="9">
        <f t="shared" si="0"/>
        <v>-30750000</v>
      </c>
      <c r="V9" s="9">
        <f t="shared" si="0"/>
        <v>-30750000</v>
      </c>
      <c r="W9" s="9">
        <f t="shared" si="0"/>
        <v>-30750000</v>
      </c>
      <c r="X9" s="9">
        <f t="shared" si="0"/>
        <v>-30750000</v>
      </c>
      <c r="Y9" s="10"/>
    </row>
    <row r="10" spans="2:25">
      <c r="B10" s="11"/>
      <c r="C10" s="11"/>
      <c r="D10" s="12"/>
      <c r="E10" s="12"/>
      <c r="F10" s="12"/>
      <c r="G10" s="12"/>
      <c r="H10" s="12"/>
      <c r="I10" s="12"/>
      <c r="J10" s="12"/>
      <c r="K10" s="12"/>
      <c r="L10" s="12"/>
      <c r="M10" s="12"/>
      <c r="N10" s="12"/>
      <c r="O10" s="12"/>
      <c r="P10" s="12"/>
      <c r="Q10" s="12"/>
      <c r="R10" s="12"/>
      <c r="S10" s="12"/>
      <c r="T10" s="12"/>
      <c r="U10" s="12"/>
      <c r="V10" s="12"/>
      <c r="W10" s="12"/>
      <c r="X10" s="12"/>
      <c r="Y10" s="10"/>
    </row>
    <row r="11" spans="2:25" ht="15.75" thickBot="1">
      <c r="B11" s="13" t="s">
        <v>169</v>
      </c>
      <c r="C11" s="13"/>
      <c r="D11" s="14">
        <f t="shared" ref="D11:X11" si="1">D4+D9</f>
        <v>4797000</v>
      </c>
      <c r="E11" s="14">
        <f t="shared" si="1"/>
        <v>-13172000</v>
      </c>
      <c r="F11" s="14">
        <f t="shared" si="1"/>
        <v>6670500</v>
      </c>
      <c r="G11" s="14">
        <f t="shared" si="1"/>
        <v>6205500</v>
      </c>
      <c r="H11" s="14">
        <f t="shared" si="1"/>
        <v>8536500</v>
      </c>
      <c r="I11" s="14">
        <f t="shared" si="1"/>
        <v>9883000</v>
      </c>
      <c r="J11" s="14">
        <f t="shared" si="1"/>
        <v>6396000</v>
      </c>
      <c r="K11" s="14">
        <f t="shared" si="1"/>
        <v>6396000</v>
      </c>
      <c r="L11" s="14">
        <f t="shared" si="1"/>
        <v>6396000</v>
      </c>
      <c r="M11" s="14">
        <f t="shared" si="1"/>
        <v>6396000</v>
      </c>
      <c r="N11" s="14">
        <f t="shared" si="1"/>
        <v>6396000</v>
      </c>
      <c r="O11" s="14">
        <f t="shared" si="1"/>
        <v>6929000</v>
      </c>
      <c r="P11" s="14">
        <f t="shared" si="1"/>
        <v>6929000</v>
      </c>
      <c r="Q11" s="14">
        <f t="shared" si="1"/>
        <v>6929000</v>
      </c>
      <c r="R11" s="14">
        <f t="shared" si="1"/>
        <v>6929000</v>
      </c>
      <c r="S11" s="14">
        <f t="shared" si="1"/>
        <v>6929000</v>
      </c>
      <c r="T11" s="14">
        <f t="shared" si="1"/>
        <v>7995000</v>
      </c>
      <c r="U11" s="14">
        <f t="shared" si="1"/>
        <v>7995000</v>
      </c>
      <c r="V11" s="14">
        <f t="shared" si="1"/>
        <v>7995000</v>
      </c>
      <c r="W11" s="14">
        <f t="shared" si="1"/>
        <v>7995000</v>
      </c>
      <c r="X11" s="14">
        <f t="shared" si="1"/>
        <v>7995000</v>
      </c>
      <c r="Y11" s="10"/>
    </row>
    <row r="12" spans="2:25" ht="15" thickTop="1">
      <c r="D12" s="10"/>
      <c r="E12" s="10"/>
      <c r="F12" s="10"/>
      <c r="G12" s="10"/>
      <c r="H12" s="10"/>
      <c r="I12" s="10"/>
      <c r="J12" s="10"/>
      <c r="K12" s="10"/>
      <c r="L12" s="10"/>
      <c r="M12" s="10"/>
      <c r="N12" s="10"/>
      <c r="O12" s="10"/>
      <c r="P12" s="10"/>
      <c r="Q12" s="10"/>
      <c r="R12" s="10"/>
      <c r="S12" s="10"/>
      <c r="T12" s="10"/>
      <c r="U12" s="10"/>
      <c r="V12" s="10"/>
      <c r="W12" s="10"/>
      <c r="X12" s="10"/>
      <c r="Y12" s="10"/>
    </row>
    <row r="13" spans="2:25">
      <c r="D13" s="10"/>
      <c r="E13" s="10"/>
      <c r="F13" s="10"/>
      <c r="G13" s="10"/>
      <c r="H13" s="10"/>
      <c r="I13" s="10"/>
      <c r="J13" s="10"/>
      <c r="K13" s="10"/>
      <c r="L13" s="10"/>
      <c r="M13" s="10"/>
      <c r="N13" s="10"/>
      <c r="O13" s="10"/>
      <c r="P13" s="10"/>
      <c r="Q13" s="10"/>
      <c r="R13" s="10"/>
      <c r="S13" s="10"/>
      <c r="T13" s="10"/>
      <c r="U13" s="10"/>
      <c r="V13" s="10"/>
      <c r="W13" s="10"/>
      <c r="X13" s="10"/>
      <c r="Y13" s="10"/>
    </row>
    <row r="14" spans="2:25" ht="25.5" customHeight="1">
      <c r="B14" s="201" t="s">
        <v>182</v>
      </c>
      <c r="C14" s="201"/>
      <c r="D14" s="201"/>
      <c r="E14" s="201"/>
      <c r="F14" s="201"/>
      <c r="G14" s="201"/>
      <c r="H14" s="201"/>
      <c r="I14" s="201"/>
      <c r="J14" s="201"/>
      <c r="K14" s="201"/>
      <c r="L14" s="201"/>
      <c r="M14" s="201"/>
      <c r="N14" s="201"/>
      <c r="O14" s="201"/>
      <c r="P14" s="201"/>
      <c r="Q14" s="201"/>
      <c r="R14" s="201"/>
      <c r="S14" s="201"/>
      <c r="T14" s="201"/>
      <c r="U14" s="201"/>
      <c r="V14" s="201"/>
      <c r="W14" s="201"/>
      <c r="X14" s="190"/>
      <c r="Y14" s="10"/>
    </row>
    <row r="15" spans="2:25" ht="15">
      <c r="B15" s="2"/>
      <c r="C15" s="3" t="s">
        <v>127</v>
      </c>
      <c r="D15" s="199" t="s">
        <v>128</v>
      </c>
      <c r="E15" s="200"/>
      <c r="F15" s="200"/>
      <c r="G15" s="200"/>
      <c r="H15" s="200"/>
      <c r="I15" s="200"/>
      <c r="J15" s="200"/>
      <c r="K15" s="200"/>
      <c r="L15" s="200"/>
      <c r="M15" s="200"/>
      <c r="N15" s="200"/>
      <c r="O15" s="200"/>
      <c r="P15" s="200"/>
      <c r="Q15" s="200"/>
      <c r="R15" s="200"/>
      <c r="S15" s="200"/>
      <c r="T15" s="200"/>
      <c r="U15" s="200"/>
      <c r="V15" s="200"/>
      <c r="W15" s="200"/>
      <c r="X15" s="10"/>
    </row>
    <row r="16" spans="2:25" ht="15">
      <c r="B16" s="4" t="s">
        <v>161</v>
      </c>
      <c r="C16" s="5" t="s">
        <v>162</v>
      </c>
      <c r="D16" s="6">
        <v>1</v>
      </c>
      <c r="E16" s="6">
        <v>2</v>
      </c>
      <c r="F16" s="6">
        <v>3</v>
      </c>
      <c r="G16" s="6">
        <v>4</v>
      </c>
      <c r="H16" s="6">
        <v>5</v>
      </c>
      <c r="I16" s="6">
        <v>6</v>
      </c>
      <c r="J16" s="6">
        <v>7</v>
      </c>
      <c r="K16" s="6">
        <v>8</v>
      </c>
      <c r="L16" s="6">
        <v>9</v>
      </c>
      <c r="M16" s="6">
        <v>10</v>
      </c>
      <c r="N16" s="6">
        <v>11</v>
      </c>
      <c r="O16" s="6">
        <v>12</v>
      </c>
      <c r="P16" s="6">
        <v>13</v>
      </c>
      <c r="Q16" s="6">
        <v>14</v>
      </c>
      <c r="R16" s="6">
        <v>15</v>
      </c>
      <c r="S16" s="6">
        <v>16</v>
      </c>
      <c r="T16" s="6">
        <v>17</v>
      </c>
      <c r="U16" s="6">
        <v>18</v>
      </c>
      <c r="V16" s="6">
        <v>19</v>
      </c>
      <c r="W16" s="6">
        <v>20</v>
      </c>
      <c r="X16" s="10"/>
    </row>
    <row r="17" spans="2:25">
      <c r="B17" s="11" t="s">
        <v>170</v>
      </c>
      <c r="C17" s="12">
        <f t="shared" ref="C17:W17" si="2">D4</f>
        <v>23247000</v>
      </c>
      <c r="D17" s="12">
        <f t="shared" si="2"/>
        <v>28413000</v>
      </c>
      <c r="E17" s="12">
        <f t="shared" si="2"/>
        <v>28413000</v>
      </c>
      <c r="F17" s="12">
        <f t="shared" si="2"/>
        <v>28413000</v>
      </c>
      <c r="G17" s="12">
        <f t="shared" si="2"/>
        <v>28413000</v>
      </c>
      <c r="H17" s="12">
        <f t="shared" si="2"/>
        <v>28413000</v>
      </c>
      <c r="I17" s="12">
        <f t="shared" si="2"/>
        <v>30996000</v>
      </c>
      <c r="J17" s="12">
        <f t="shared" si="2"/>
        <v>30996000</v>
      </c>
      <c r="K17" s="12">
        <f t="shared" si="2"/>
        <v>30996000</v>
      </c>
      <c r="L17" s="12">
        <f t="shared" si="2"/>
        <v>30996000</v>
      </c>
      <c r="M17" s="12">
        <f t="shared" si="2"/>
        <v>30996000</v>
      </c>
      <c r="N17" s="12">
        <f t="shared" si="2"/>
        <v>33579000</v>
      </c>
      <c r="O17" s="12">
        <f t="shared" si="2"/>
        <v>33579000</v>
      </c>
      <c r="P17" s="12">
        <f t="shared" si="2"/>
        <v>33579000</v>
      </c>
      <c r="Q17" s="12">
        <f t="shared" si="2"/>
        <v>33579000</v>
      </c>
      <c r="R17" s="12">
        <f t="shared" si="2"/>
        <v>33579000</v>
      </c>
      <c r="S17" s="12">
        <f t="shared" si="2"/>
        <v>38745000</v>
      </c>
      <c r="T17" s="12">
        <f t="shared" si="2"/>
        <v>38745000</v>
      </c>
      <c r="U17" s="12">
        <f t="shared" si="2"/>
        <v>38745000</v>
      </c>
      <c r="V17" s="12">
        <f t="shared" si="2"/>
        <v>38745000</v>
      </c>
      <c r="W17" s="12">
        <f t="shared" si="2"/>
        <v>38745000</v>
      </c>
      <c r="X17" s="34"/>
    </row>
    <row r="18" spans="2:25">
      <c r="B18" s="11"/>
      <c r="C18" s="12"/>
      <c r="D18" s="12"/>
      <c r="E18" s="12"/>
      <c r="F18" s="12"/>
      <c r="G18" s="12"/>
      <c r="H18" s="12"/>
      <c r="I18" s="12"/>
      <c r="J18" s="12"/>
      <c r="K18" s="12"/>
      <c r="L18" s="12"/>
      <c r="M18" s="12"/>
      <c r="N18" s="12"/>
      <c r="O18" s="12"/>
      <c r="P18" s="12"/>
      <c r="Q18" s="12"/>
      <c r="R18" s="12"/>
      <c r="S18" s="12"/>
      <c r="T18" s="12"/>
      <c r="U18" s="12"/>
      <c r="V18" s="12"/>
      <c r="W18" s="12"/>
      <c r="X18" s="10"/>
    </row>
    <row r="19" spans="2:25" s="15" customFormat="1" ht="15">
      <c r="B19" s="7" t="s">
        <v>171</v>
      </c>
      <c r="C19" s="9">
        <f>C17-C17</f>
        <v>0</v>
      </c>
      <c r="D19" s="9">
        <f t="shared" ref="D19:W19" si="3">D17-$C$17</f>
        <v>5166000</v>
      </c>
      <c r="E19" s="9">
        <f t="shared" si="3"/>
        <v>5166000</v>
      </c>
      <c r="F19" s="9">
        <f t="shared" si="3"/>
        <v>5166000</v>
      </c>
      <c r="G19" s="9">
        <f t="shared" si="3"/>
        <v>5166000</v>
      </c>
      <c r="H19" s="9">
        <f t="shared" si="3"/>
        <v>5166000</v>
      </c>
      <c r="I19" s="9">
        <f t="shared" si="3"/>
        <v>7749000</v>
      </c>
      <c r="J19" s="9">
        <f t="shared" si="3"/>
        <v>7749000</v>
      </c>
      <c r="K19" s="9">
        <f t="shared" si="3"/>
        <v>7749000</v>
      </c>
      <c r="L19" s="9">
        <f t="shared" si="3"/>
        <v>7749000</v>
      </c>
      <c r="M19" s="9">
        <f t="shared" si="3"/>
        <v>7749000</v>
      </c>
      <c r="N19" s="9">
        <f t="shared" si="3"/>
        <v>10332000</v>
      </c>
      <c r="O19" s="9">
        <f t="shared" si="3"/>
        <v>10332000</v>
      </c>
      <c r="P19" s="9">
        <f t="shared" si="3"/>
        <v>10332000</v>
      </c>
      <c r="Q19" s="9">
        <f t="shared" si="3"/>
        <v>10332000</v>
      </c>
      <c r="R19" s="9">
        <f t="shared" si="3"/>
        <v>10332000</v>
      </c>
      <c r="S19" s="9">
        <f t="shared" si="3"/>
        <v>15498000</v>
      </c>
      <c r="T19" s="9">
        <f t="shared" si="3"/>
        <v>15498000</v>
      </c>
      <c r="U19" s="9">
        <f t="shared" si="3"/>
        <v>15498000</v>
      </c>
      <c r="V19" s="9">
        <f t="shared" si="3"/>
        <v>15498000</v>
      </c>
      <c r="W19" s="9">
        <f t="shared" si="3"/>
        <v>15498000</v>
      </c>
      <c r="X19" s="16"/>
    </row>
    <row r="20" spans="2:25">
      <c r="B20" s="11"/>
      <c r="C20" s="12"/>
      <c r="D20" s="12"/>
      <c r="E20" s="12"/>
      <c r="F20" s="12"/>
      <c r="G20" s="12"/>
      <c r="H20" s="12"/>
      <c r="I20" s="12"/>
      <c r="J20" s="12"/>
      <c r="K20" s="12"/>
      <c r="L20" s="12"/>
      <c r="M20" s="12"/>
      <c r="N20" s="12"/>
      <c r="O20" s="12"/>
      <c r="P20" s="12"/>
      <c r="Q20" s="12"/>
      <c r="R20" s="12"/>
      <c r="S20" s="12"/>
      <c r="T20" s="12"/>
      <c r="U20" s="12"/>
      <c r="V20" s="12"/>
      <c r="W20" s="12"/>
      <c r="X20" s="10"/>
    </row>
    <row r="21" spans="2:25">
      <c r="B21" s="11" t="s">
        <v>172</v>
      </c>
      <c r="C21" s="12"/>
      <c r="D21" s="12"/>
      <c r="E21" s="12"/>
      <c r="F21" s="12"/>
      <c r="G21" s="12"/>
      <c r="H21" s="12"/>
      <c r="I21" s="12"/>
      <c r="J21" s="12"/>
      <c r="K21" s="12"/>
      <c r="L21" s="12"/>
      <c r="M21" s="12"/>
      <c r="N21" s="12"/>
      <c r="O21" s="12"/>
      <c r="P21" s="12"/>
      <c r="Q21" s="12"/>
      <c r="R21" s="12"/>
      <c r="S21" s="12"/>
      <c r="T21" s="12"/>
      <c r="U21" s="12"/>
      <c r="V21" s="12"/>
      <c r="W21" s="12"/>
      <c r="X21" s="10"/>
    </row>
    <row r="22" spans="2:25">
      <c r="B22" s="11" t="s">
        <v>165</v>
      </c>
      <c r="C22" s="12">
        <f t="shared" ref="C22:W22" si="4">D6</f>
        <v>0</v>
      </c>
      <c r="D22" s="12">
        <f t="shared" si="4"/>
        <v>-23135000</v>
      </c>
      <c r="E22" s="12">
        <f t="shared" si="4"/>
        <v>-3292500</v>
      </c>
      <c r="F22" s="12">
        <f t="shared" si="4"/>
        <v>-3757500</v>
      </c>
      <c r="G22" s="12">
        <f t="shared" si="4"/>
        <v>-1426500</v>
      </c>
      <c r="H22" s="12">
        <f t="shared" si="4"/>
        <v>-80000</v>
      </c>
      <c r="I22" s="12">
        <f t="shared" si="4"/>
        <v>0</v>
      </c>
      <c r="J22" s="12">
        <f t="shared" si="4"/>
        <v>0</v>
      </c>
      <c r="K22" s="12">
        <f t="shared" si="4"/>
        <v>0</v>
      </c>
      <c r="L22" s="12">
        <f t="shared" si="4"/>
        <v>0</v>
      </c>
      <c r="M22" s="12">
        <f t="shared" si="4"/>
        <v>0</v>
      </c>
      <c r="N22" s="12">
        <f t="shared" si="4"/>
        <v>0</v>
      </c>
      <c r="O22" s="12">
        <f t="shared" si="4"/>
        <v>0</v>
      </c>
      <c r="P22" s="12">
        <f t="shared" si="4"/>
        <v>0</v>
      </c>
      <c r="Q22" s="12">
        <f t="shared" si="4"/>
        <v>0</v>
      </c>
      <c r="R22" s="12">
        <f t="shared" si="4"/>
        <v>0</v>
      </c>
      <c r="S22" s="12">
        <f t="shared" si="4"/>
        <v>0</v>
      </c>
      <c r="T22" s="12">
        <f t="shared" si="4"/>
        <v>0</v>
      </c>
      <c r="U22" s="12">
        <f t="shared" si="4"/>
        <v>0</v>
      </c>
      <c r="V22" s="12">
        <f t="shared" si="4"/>
        <v>0</v>
      </c>
      <c r="W22" s="12">
        <f t="shared" si="4"/>
        <v>0</v>
      </c>
      <c r="X22" s="10"/>
    </row>
    <row r="23" spans="2:25">
      <c r="B23" s="11" t="s">
        <v>167</v>
      </c>
      <c r="C23" s="12">
        <f t="shared" ref="C23:W23" si="5">D7</f>
        <v>-18450000</v>
      </c>
      <c r="D23" s="12">
        <f t="shared" si="5"/>
        <v>-18450000</v>
      </c>
      <c r="E23" s="12">
        <f t="shared" si="5"/>
        <v>-18450000</v>
      </c>
      <c r="F23" s="12">
        <f t="shared" si="5"/>
        <v>-18450000</v>
      </c>
      <c r="G23" s="12">
        <f t="shared" si="5"/>
        <v>-18450000</v>
      </c>
      <c r="H23" s="12">
        <f t="shared" si="5"/>
        <v>-18450000</v>
      </c>
      <c r="I23" s="12">
        <f t="shared" si="5"/>
        <v>-24600000</v>
      </c>
      <c r="J23" s="12">
        <f t="shared" si="5"/>
        <v>-24600000</v>
      </c>
      <c r="K23" s="12">
        <f t="shared" si="5"/>
        <v>-24600000</v>
      </c>
      <c r="L23" s="12">
        <f t="shared" si="5"/>
        <v>-24600000</v>
      </c>
      <c r="M23" s="12">
        <f t="shared" si="5"/>
        <v>-24600000</v>
      </c>
      <c r="N23" s="12">
        <f t="shared" si="5"/>
        <v>-26650000</v>
      </c>
      <c r="O23" s="12">
        <f t="shared" si="5"/>
        <v>-26650000</v>
      </c>
      <c r="P23" s="12">
        <f t="shared" si="5"/>
        <v>-26650000</v>
      </c>
      <c r="Q23" s="12">
        <f t="shared" si="5"/>
        <v>-26650000</v>
      </c>
      <c r="R23" s="12">
        <f t="shared" si="5"/>
        <v>-26650000</v>
      </c>
      <c r="S23" s="12">
        <f t="shared" si="5"/>
        <v>-30750000</v>
      </c>
      <c r="T23" s="12">
        <f t="shared" si="5"/>
        <v>-30750000</v>
      </c>
      <c r="U23" s="12">
        <f t="shared" si="5"/>
        <v>-30750000</v>
      </c>
      <c r="V23" s="12">
        <f t="shared" si="5"/>
        <v>-30750000</v>
      </c>
      <c r="W23" s="12">
        <f t="shared" si="5"/>
        <v>-30750000</v>
      </c>
      <c r="X23" s="10"/>
    </row>
    <row r="24" spans="2:25">
      <c r="B24" s="11" t="s">
        <v>168</v>
      </c>
      <c r="C24" s="12">
        <f t="shared" ref="C24:W24" si="6">D8</f>
        <v>0</v>
      </c>
      <c r="D24" s="12">
        <f t="shared" si="6"/>
        <v>0</v>
      </c>
      <c r="E24" s="12">
        <f t="shared" si="6"/>
        <v>0</v>
      </c>
      <c r="F24" s="12">
        <f t="shared" si="6"/>
        <v>0</v>
      </c>
      <c r="G24" s="12">
        <f t="shared" si="6"/>
        <v>0</v>
      </c>
      <c r="H24" s="12">
        <f t="shared" si="6"/>
        <v>0</v>
      </c>
      <c r="I24" s="12">
        <f t="shared" si="6"/>
        <v>0</v>
      </c>
      <c r="J24" s="12">
        <f t="shared" si="6"/>
        <v>0</v>
      </c>
      <c r="K24" s="12">
        <f t="shared" si="6"/>
        <v>0</v>
      </c>
      <c r="L24" s="12">
        <f t="shared" si="6"/>
        <v>0</v>
      </c>
      <c r="M24" s="12">
        <f t="shared" si="6"/>
        <v>0</v>
      </c>
      <c r="N24" s="12">
        <f t="shared" si="6"/>
        <v>0</v>
      </c>
      <c r="O24" s="12">
        <f t="shared" si="6"/>
        <v>0</v>
      </c>
      <c r="P24" s="12">
        <f t="shared" si="6"/>
        <v>0</v>
      </c>
      <c r="Q24" s="12">
        <f t="shared" si="6"/>
        <v>0</v>
      </c>
      <c r="R24" s="12">
        <f t="shared" si="6"/>
        <v>0</v>
      </c>
      <c r="S24" s="12">
        <f t="shared" si="6"/>
        <v>0</v>
      </c>
      <c r="T24" s="12">
        <f t="shared" si="6"/>
        <v>0</v>
      </c>
      <c r="U24" s="12">
        <f t="shared" si="6"/>
        <v>0</v>
      </c>
      <c r="V24" s="12">
        <f t="shared" si="6"/>
        <v>0</v>
      </c>
      <c r="W24" s="12">
        <f t="shared" si="6"/>
        <v>0</v>
      </c>
      <c r="X24" s="10"/>
    </row>
    <row r="25" spans="2:25">
      <c r="B25" s="11" t="s">
        <v>173</v>
      </c>
      <c r="C25" s="12">
        <f t="shared" ref="C25:W25" si="7">SUM(C22:C24)</f>
        <v>-18450000</v>
      </c>
      <c r="D25" s="12">
        <f t="shared" si="7"/>
        <v>-41585000</v>
      </c>
      <c r="E25" s="12">
        <f t="shared" si="7"/>
        <v>-21742500</v>
      </c>
      <c r="F25" s="12">
        <f t="shared" si="7"/>
        <v>-22207500</v>
      </c>
      <c r="G25" s="12">
        <f t="shared" si="7"/>
        <v>-19876500</v>
      </c>
      <c r="H25" s="12">
        <f t="shared" si="7"/>
        <v>-18530000</v>
      </c>
      <c r="I25" s="12">
        <f t="shared" si="7"/>
        <v>-24600000</v>
      </c>
      <c r="J25" s="12">
        <f t="shared" si="7"/>
        <v>-24600000</v>
      </c>
      <c r="K25" s="12">
        <f t="shared" si="7"/>
        <v>-24600000</v>
      </c>
      <c r="L25" s="12">
        <f t="shared" si="7"/>
        <v>-24600000</v>
      </c>
      <c r="M25" s="12">
        <f t="shared" si="7"/>
        <v>-24600000</v>
      </c>
      <c r="N25" s="12">
        <f t="shared" si="7"/>
        <v>-26650000</v>
      </c>
      <c r="O25" s="12">
        <f t="shared" si="7"/>
        <v>-26650000</v>
      </c>
      <c r="P25" s="12">
        <f t="shared" si="7"/>
        <v>-26650000</v>
      </c>
      <c r="Q25" s="12">
        <f t="shared" si="7"/>
        <v>-26650000</v>
      </c>
      <c r="R25" s="12">
        <f t="shared" si="7"/>
        <v>-26650000</v>
      </c>
      <c r="S25" s="12">
        <f t="shared" si="7"/>
        <v>-30750000</v>
      </c>
      <c r="T25" s="12">
        <f t="shared" si="7"/>
        <v>-30750000</v>
      </c>
      <c r="U25" s="12">
        <f t="shared" si="7"/>
        <v>-30750000</v>
      </c>
      <c r="V25" s="12">
        <f t="shared" si="7"/>
        <v>-30750000</v>
      </c>
      <c r="W25" s="12">
        <f t="shared" si="7"/>
        <v>-30750000</v>
      </c>
      <c r="X25" s="10">
        <f>SUM(C25:W25)</f>
        <v>-552391500</v>
      </c>
      <c r="Y25" s="182" t="e">
        <f>X25-'Sensitivity Analysis'!#REF!</f>
        <v>#REF!</v>
      </c>
    </row>
    <row r="26" spans="2:25" s="15" customFormat="1" ht="15">
      <c r="B26" s="7" t="s">
        <v>174</v>
      </c>
      <c r="C26" s="9">
        <f t="shared" ref="C26:W26" si="8">C25-$C$25</f>
        <v>0</v>
      </c>
      <c r="D26" s="9">
        <f t="shared" si="8"/>
        <v>-23135000</v>
      </c>
      <c r="E26" s="9">
        <f t="shared" si="8"/>
        <v>-3292500</v>
      </c>
      <c r="F26" s="9">
        <f t="shared" si="8"/>
        <v>-3757500</v>
      </c>
      <c r="G26" s="9">
        <f t="shared" si="8"/>
        <v>-1426500</v>
      </c>
      <c r="H26" s="9">
        <f t="shared" si="8"/>
        <v>-80000</v>
      </c>
      <c r="I26" s="9">
        <f t="shared" si="8"/>
        <v>-6150000</v>
      </c>
      <c r="J26" s="9">
        <f t="shared" si="8"/>
        <v>-6150000</v>
      </c>
      <c r="K26" s="9">
        <f t="shared" si="8"/>
        <v>-6150000</v>
      </c>
      <c r="L26" s="9">
        <f t="shared" si="8"/>
        <v>-6150000</v>
      </c>
      <c r="M26" s="9">
        <f t="shared" si="8"/>
        <v>-6150000</v>
      </c>
      <c r="N26" s="9">
        <f t="shared" si="8"/>
        <v>-8200000</v>
      </c>
      <c r="O26" s="9">
        <f t="shared" si="8"/>
        <v>-8200000</v>
      </c>
      <c r="P26" s="9">
        <f t="shared" si="8"/>
        <v>-8200000</v>
      </c>
      <c r="Q26" s="9">
        <f t="shared" si="8"/>
        <v>-8200000</v>
      </c>
      <c r="R26" s="9">
        <f t="shared" si="8"/>
        <v>-8200000</v>
      </c>
      <c r="S26" s="9">
        <f t="shared" si="8"/>
        <v>-12300000</v>
      </c>
      <c r="T26" s="9">
        <f t="shared" si="8"/>
        <v>-12300000</v>
      </c>
      <c r="U26" s="9">
        <f t="shared" si="8"/>
        <v>-12300000</v>
      </c>
      <c r="V26" s="9">
        <f t="shared" si="8"/>
        <v>-12300000</v>
      </c>
      <c r="W26" s="9">
        <f t="shared" si="8"/>
        <v>-12300000</v>
      </c>
      <c r="X26" s="16"/>
    </row>
    <row r="27" spans="2:25">
      <c r="B27" s="11"/>
      <c r="C27" s="12"/>
      <c r="D27" s="12"/>
      <c r="E27" s="12"/>
      <c r="F27" s="12"/>
      <c r="G27" s="12"/>
      <c r="H27" s="12"/>
      <c r="I27" s="12"/>
      <c r="J27" s="12"/>
      <c r="K27" s="12"/>
      <c r="L27" s="12"/>
      <c r="M27" s="12"/>
      <c r="N27" s="12"/>
      <c r="O27" s="12"/>
      <c r="P27" s="12"/>
      <c r="Q27" s="12"/>
      <c r="R27" s="12"/>
      <c r="S27" s="12"/>
      <c r="T27" s="12"/>
      <c r="U27" s="12"/>
      <c r="V27" s="12"/>
      <c r="W27" s="12"/>
      <c r="X27" s="10"/>
    </row>
    <row r="28" spans="2:25" ht="15">
      <c r="B28" s="17" t="s">
        <v>175</v>
      </c>
      <c r="C28" s="18">
        <f t="shared" ref="C28:W28" si="9">C19+C26</f>
        <v>0</v>
      </c>
      <c r="D28" s="18">
        <f t="shared" si="9"/>
        <v>-17969000</v>
      </c>
      <c r="E28" s="18">
        <f t="shared" si="9"/>
        <v>1873500</v>
      </c>
      <c r="F28" s="18">
        <f t="shared" si="9"/>
        <v>1408500</v>
      </c>
      <c r="G28" s="18">
        <f t="shared" si="9"/>
        <v>3739500</v>
      </c>
      <c r="H28" s="18">
        <f t="shared" si="9"/>
        <v>5086000</v>
      </c>
      <c r="I28" s="18">
        <f t="shared" si="9"/>
        <v>1599000</v>
      </c>
      <c r="J28" s="18">
        <f t="shared" si="9"/>
        <v>1599000</v>
      </c>
      <c r="K28" s="18">
        <f t="shared" si="9"/>
        <v>1599000</v>
      </c>
      <c r="L28" s="18">
        <f t="shared" si="9"/>
        <v>1599000</v>
      </c>
      <c r="M28" s="18">
        <f t="shared" si="9"/>
        <v>1599000</v>
      </c>
      <c r="N28" s="18">
        <f t="shared" si="9"/>
        <v>2132000</v>
      </c>
      <c r="O28" s="18">
        <f t="shared" si="9"/>
        <v>2132000</v>
      </c>
      <c r="P28" s="18">
        <f t="shared" si="9"/>
        <v>2132000</v>
      </c>
      <c r="Q28" s="18">
        <f t="shared" si="9"/>
        <v>2132000</v>
      </c>
      <c r="R28" s="18">
        <f t="shared" si="9"/>
        <v>2132000</v>
      </c>
      <c r="S28" s="18">
        <f t="shared" si="9"/>
        <v>3198000</v>
      </c>
      <c r="T28" s="18">
        <f t="shared" si="9"/>
        <v>3198000</v>
      </c>
      <c r="U28" s="18">
        <f t="shared" si="9"/>
        <v>3198000</v>
      </c>
      <c r="V28" s="18">
        <f t="shared" si="9"/>
        <v>3198000</v>
      </c>
      <c r="W28" s="18">
        <f t="shared" si="9"/>
        <v>3198000</v>
      </c>
      <c r="X28" s="10"/>
    </row>
    <row r="29" spans="2:25" s="19" customFormat="1" ht="15">
      <c r="B29" s="20"/>
      <c r="C29" s="21"/>
      <c r="D29" s="21"/>
      <c r="E29" s="21"/>
      <c r="F29" s="21"/>
      <c r="G29" s="21"/>
      <c r="H29" s="21"/>
      <c r="I29" s="21"/>
      <c r="J29" s="21"/>
      <c r="K29" s="21"/>
      <c r="L29" s="21"/>
      <c r="M29" s="21"/>
      <c r="N29" s="21"/>
      <c r="O29" s="21"/>
      <c r="P29" s="21"/>
      <c r="Q29" s="21"/>
      <c r="R29" s="21"/>
      <c r="S29" s="21"/>
      <c r="T29" s="21"/>
      <c r="U29" s="21"/>
      <c r="V29" s="21"/>
      <c r="W29" s="21"/>
      <c r="X29" s="22"/>
    </row>
    <row r="30" spans="2:25" s="19" customFormat="1">
      <c r="B30" s="23" t="s">
        <v>195</v>
      </c>
      <c r="C30" s="23"/>
      <c r="D30" s="24">
        <f>1/(1.09)^1</f>
        <v>0.9174311926605504</v>
      </c>
      <c r="E30" s="24">
        <f>1/(1.09)^2</f>
        <v>0.84167999326655996</v>
      </c>
      <c r="F30" s="24">
        <f>1/(1.09)^3</f>
        <v>0.77218348006106419</v>
      </c>
      <c r="G30" s="24">
        <f>1/(1.09)^4</f>
        <v>0.7084252110651964</v>
      </c>
      <c r="H30" s="24">
        <f>1/(1.09)^5</f>
        <v>0.64993138629834524</v>
      </c>
      <c r="I30" s="24">
        <f>1/(1.09)^6</f>
        <v>0.5962673268792158</v>
      </c>
      <c r="J30" s="24">
        <f>1/(1.09)^7</f>
        <v>0.54703424484331731</v>
      </c>
      <c r="K30" s="24">
        <f>1/(1.09)^8</f>
        <v>0.50186627967276809</v>
      </c>
      <c r="L30" s="24">
        <f>1/(1.09)^9</f>
        <v>0.46042777951630098</v>
      </c>
      <c r="M30" s="24">
        <f>1/(1.09)^10</f>
        <v>0.42241080689568894</v>
      </c>
      <c r="N30" s="24">
        <f>1/(1.09)^11</f>
        <v>0.38753285036301738</v>
      </c>
      <c r="O30" s="24">
        <f>1/(1.09)^12</f>
        <v>0.35553472510368567</v>
      </c>
      <c r="P30" s="24">
        <f>1/(1.09)^13</f>
        <v>0.32617864688411524</v>
      </c>
      <c r="Q30" s="24">
        <f>1/(1.09)^14</f>
        <v>0.29924646503129837</v>
      </c>
      <c r="R30" s="24">
        <f>1/(1.09)^15</f>
        <v>0.27453804131311776</v>
      </c>
      <c r="S30" s="24">
        <f>1/(1.09)^16</f>
        <v>0.2518697626725851</v>
      </c>
      <c r="T30" s="24">
        <f>1/(1.09)^17</f>
        <v>0.23107317676383954</v>
      </c>
      <c r="U30" s="24">
        <f>1/(1.09)^18</f>
        <v>0.21199374015031147</v>
      </c>
      <c r="V30" s="24">
        <f>1/(1.09)^19</f>
        <v>0.19448966986267105</v>
      </c>
      <c r="W30" s="24">
        <f>1/(1.09)^20</f>
        <v>0.17843088978226704</v>
      </c>
      <c r="X30" s="22"/>
    </row>
    <row r="31" spans="2:25" s="19" customFormat="1" ht="15">
      <c r="B31" s="20"/>
      <c r="C31" s="21"/>
      <c r="D31" s="21"/>
      <c r="E31" s="21"/>
      <c r="F31" s="21"/>
      <c r="G31" s="21"/>
      <c r="H31" s="21"/>
      <c r="I31" s="21"/>
      <c r="J31" s="21"/>
      <c r="K31" s="21"/>
      <c r="L31" s="21"/>
      <c r="M31" s="21"/>
      <c r="N31" s="21"/>
      <c r="O31" s="21"/>
      <c r="P31" s="21"/>
      <c r="Q31" s="21"/>
      <c r="R31" s="21"/>
      <c r="S31" s="21"/>
      <c r="T31" s="21"/>
      <c r="U31" s="21"/>
      <c r="V31" s="21"/>
      <c r="W31" s="21"/>
      <c r="X31" s="22"/>
    </row>
    <row r="32" spans="2:25" s="19" customFormat="1" ht="15">
      <c r="B32" s="25" t="s">
        <v>194</v>
      </c>
      <c r="C32" s="26"/>
      <c r="D32" s="26">
        <f t="shared" ref="D32:W32" si="10">D28*D30</f>
        <v>-16485321.100917431</v>
      </c>
      <c r="E32" s="26">
        <f t="shared" si="10"/>
        <v>1576887.4673849</v>
      </c>
      <c r="F32" s="26">
        <f t="shared" si="10"/>
        <v>1087620.4316660089</v>
      </c>
      <c r="G32" s="26">
        <f t="shared" si="10"/>
        <v>2649156.076778302</v>
      </c>
      <c r="H32" s="26">
        <f t="shared" si="10"/>
        <v>3305551.030713384</v>
      </c>
      <c r="I32" s="26">
        <f t="shared" si="10"/>
        <v>953431.45567986602</v>
      </c>
      <c r="J32" s="26">
        <f t="shared" si="10"/>
        <v>874707.75750446436</v>
      </c>
      <c r="K32" s="26">
        <f t="shared" si="10"/>
        <v>802484.1811967562</v>
      </c>
      <c r="L32" s="26">
        <f t="shared" si="10"/>
        <v>736224.0194465653</v>
      </c>
      <c r="M32" s="26">
        <f t="shared" si="10"/>
        <v>675434.88022620662</v>
      </c>
      <c r="N32" s="26">
        <f t="shared" si="10"/>
        <v>826220.03697395301</v>
      </c>
      <c r="O32" s="26">
        <f t="shared" si="10"/>
        <v>758000.03392105782</v>
      </c>
      <c r="P32" s="26">
        <f t="shared" si="10"/>
        <v>695412.87515693367</v>
      </c>
      <c r="Q32" s="26">
        <f t="shared" si="10"/>
        <v>637993.46344672807</v>
      </c>
      <c r="R32" s="26">
        <f t="shared" si="10"/>
        <v>585315.10407956713</v>
      </c>
      <c r="S32" s="26">
        <f t="shared" si="10"/>
        <v>805479.50102692714</v>
      </c>
      <c r="T32" s="26">
        <f t="shared" si="10"/>
        <v>738972.01929075888</v>
      </c>
      <c r="U32" s="26">
        <f t="shared" si="10"/>
        <v>677955.98100069608</v>
      </c>
      <c r="V32" s="26">
        <f t="shared" si="10"/>
        <v>621977.96422082197</v>
      </c>
      <c r="W32" s="26">
        <f t="shared" si="10"/>
        <v>570621.98552369</v>
      </c>
      <c r="X32" s="22"/>
    </row>
    <row r="33" spans="2:25" s="19" customFormat="1" ht="15">
      <c r="B33" s="27"/>
      <c r="C33" s="27"/>
      <c r="D33" s="28"/>
      <c r="E33" s="28"/>
      <c r="F33" s="28"/>
      <c r="G33" s="28"/>
      <c r="H33" s="28"/>
      <c r="I33" s="28"/>
      <c r="J33" s="28"/>
      <c r="K33" s="28"/>
      <c r="L33" s="28"/>
      <c r="M33" s="28"/>
      <c r="N33" s="28"/>
      <c r="O33" s="28"/>
      <c r="P33" s="28"/>
      <c r="Q33" s="28"/>
      <c r="R33" s="28"/>
      <c r="S33" s="28"/>
      <c r="T33" s="28"/>
      <c r="U33" s="28"/>
      <c r="V33" s="28"/>
      <c r="W33" s="28"/>
      <c r="X33" s="28"/>
      <c r="Y33" s="22"/>
    </row>
    <row r="34" spans="2:25">
      <c r="D34" s="10"/>
      <c r="E34" s="10"/>
      <c r="F34" s="10"/>
      <c r="G34" s="10"/>
      <c r="H34" s="10"/>
      <c r="I34" s="10"/>
      <c r="J34" s="10"/>
      <c r="K34" s="10"/>
      <c r="L34" s="10"/>
      <c r="M34" s="10"/>
      <c r="N34" s="10"/>
      <c r="O34" s="10"/>
      <c r="P34" s="10"/>
      <c r="Q34" s="10"/>
      <c r="R34" s="10"/>
      <c r="S34" s="10"/>
      <c r="T34" s="10"/>
      <c r="U34" s="10"/>
      <c r="V34" s="10"/>
      <c r="W34" s="10"/>
      <c r="X34" s="10"/>
      <c r="Y34" s="10"/>
    </row>
    <row r="35" spans="2:25" ht="15">
      <c r="B35" s="29" t="s">
        <v>187</v>
      </c>
      <c r="C35" s="30">
        <f>NPV(0.09,D28:W28)</f>
        <v>3094125.1643201564</v>
      </c>
      <c r="D35" s="10"/>
      <c r="E35" s="10"/>
      <c r="F35" s="10"/>
      <c r="G35" s="10"/>
      <c r="H35" s="10"/>
      <c r="I35" s="10"/>
      <c r="J35" s="10"/>
      <c r="K35" s="10"/>
      <c r="L35" s="10"/>
      <c r="M35" s="10"/>
      <c r="N35" s="10"/>
      <c r="O35" s="10"/>
      <c r="P35" s="10"/>
      <c r="Q35" s="10"/>
      <c r="R35" s="10"/>
      <c r="S35" s="10"/>
      <c r="T35" s="10"/>
      <c r="U35" s="10"/>
      <c r="V35" s="10"/>
      <c r="W35" s="10"/>
      <c r="X35" s="10"/>
    </row>
    <row r="36" spans="2:25" ht="15">
      <c r="B36" s="29" t="s">
        <v>188</v>
      </c>
      <c r="C36" s="31">
        <f>IRR(D28:W28)</f>
        <v>0.11563530507647957</v>
      </c>
      <c r="D36" s="10"/>
      <c r="E36" s="10"/>
      <c r="F36" s="10"/>
      <c r="G36" s="10"/>
      <c r="H36" s="10"/>
      <c r="I36" s="10"/>
      <c r="J36" s="10"/>
      <c r="K36" s="10"/>
      <c r="L36" s="10"/>
      <c r="M36" s="10"/>
      <c r="N36" s="10"/>
      <c r="O36" s="10"/>
      <c r="P36" s="10"/>
      <c r="Q36" s="10"/>
      <c r="R36" s="10"/>
      <c r="S36" s="10"/>
      <c r="T36" s="10"/>
      <c r="U36" s="10"/>
      <c r="V36" s="10"/>
      <c r="W36" s="10"/>
      <c r="X36" s="10"/>
    </row>
    <row r="37" spans="2:25" ht="15">
      <c r="B37" s="29" t="s">
        <v>192</v>
      </c>
      <c r="C37" s="32">
        <f>SUM(E32:W32)/-D32</f>
        <v>1.1876897116761629</v>
      </c>
      <c r="D37" s="10"/>
      <c r="E37" s="10"/>
      <c r="F37" s="10"/>
      <c r="G37" s="10"/>
      <c r="H37" s="10"/>
      <c r="I37" s="10"/>
      <c r="J37" s="10"/>
      <c r="K37" s="10"/>
      <c r="L37" s="10"/>
      <c r="M37" s="10"/>
      <c r="N37" s="10"/>
      <c r="O37" s="10"/>
      <c r="P37" s="10"/>
      <c r="Q37" s="10"/>
      <c r="R37" s="10"/>
      <c r="S37" s="10"/>
      <c r="T37" s="10"/>
      <c r="U37" s="10"/>
      <c r="V37" s="10"/>
      <c r="W37" s="10"/>
      <c r="X37" s="10"/>
    </row>
    <row r="38" spans="2:25">
      <c r="D38" s="10"/>
      <c r="E38" s="10"/>
      <c r="F38" s="10"/>
      <c r="G38" s="10"/>
      <c r="H38" s="10"/>
      <c r="I38" s="10"/>
      <c r="J38" s="10"/>
      <c r="K38" s="10"/>
      <c r="L38" s="10"/>
      <c r="M38" s="10"/>
      <c r="N38" s="10"/>
      <c r="O38" s="10"/>
      <c r="P38" s="10"/>
      <c r="Q38" s="10"/>
      <c r="R38" s="10"/>
      <c r="S38" s="10"/>
      <c r="T38" s="10"/>
      <c r="U38" s="10"/>
      <c r="V38" s="10"/>
      <c r="W38" s="10"/>
      <c r="X38" s="10"/>
      <c r="Y38" s="10"/>
    </row>
    <row r="39" spans="2:25">
      <c r="D39" s="10"/>
      <c r="E39" s="10"/>
      <c r="F39" s="10"/>
      <c r="G39" s="10"/>
      <c r="H39" s="10"/>
      <c r="I39" s="10"/>
      <c r="J39" s="10"/>
      <c r="K39" s="10"/>
      <c r="L39" s="10"/>
      <c r="M39" s="10"/>
      <c r="N39" s="10"/>
      <c r="O39" s="10"/>
      <c r="P39" s="10"/>
      <c r="Q39" s="10"/>
      <c r="R39" s="10"/>
      <c r="S39" s="10"/>
      <c r="T39" s="10"/>
      <c r="U39" s="10"/>
      <c r="V39" s="10"/>
      <c r="W39" s="10"/>
      <c r="X39" s="10"/>
      <c r="Y39" s="10"/>
    </row>
    <row r="40" spans="2:25">
      <c r="D40" s="10"/>
      <c r="E40" s="10"/>
      <c r="F40" s="10"/>
      <c r="G40" s="10"/>
      <c r="H40" s="10"/>
      <c r="I40" s="10"/>
      <c r="J40" s="10"/>
      <c r="K40" s="10"/>
      <c r="L40" s="10"/>
      <c r="M40" s="10"/>
      <c r="N40" s="10"/>
      <c r="O40" s="10"/>
      <c r="P40" s="10"/>
      <c r="Q40" s="10"/>
      <c r="R40" s="10"/>
      <c r="S40" s="10"/>
      <c r="T40" s="10"/>
      <c r="U40" s="10"/>
      <c r="V40" s="10"/>
      <c r="W40" s="10"/>
      <c r="X40" s="10"/>
      <c r="Y40" s="10"/>
    </row>
    <row r="41" spans="2:25">
      <c r="D41" s="10"/>
      <c r="E41" s="10"/>
      <c r="F41" s="10"/>
      <c r="G41" s="10"/>
      <c r="H41" s="10"/>
      <c r="I41" s="10"/>
      <c r="J41" s="10"/>
      <c r="K41" s="10"/>
      <c r="L41" s="10"/>
      <c r="M41" s="10"/>
      <c r="N41" s="10"/>
      <c r="O41" s="10"/>
      <c r="P41" s="10"/>
      <c r="Q41" s="10"/>
      <c r="R41" s="10"/>
      <c r="S41" s="10"/>
      <c r="T41" s="10"/>
      <c r="U41" s="10"/>
      <c r="V41" s="10"/>
      <c r="W41" s="10"/>
      <c r="X41" s="10"/>
      <c r="Y41" s="10"/>
    </row>
    <row r="42" spans="2:25">
      <c r="D42" s="10"/>
      <c r="E42" s="10"/>
      <c r="F42" s="10"/>
      <c r="G42" s="10"/>
      <c r="H42" s="10"/>
      <c r="I42" s="10"/>
      <c r="J42" s="10"/>
      <c r="K42" s="10"/>
      <c r="L42" s="10"/>
      <c r="M42" s="10"/>
      <c r="N42" s="10"/>
      <c r="O42" s="10"/>
      <c r="P42" s="10"/>
      <c r="Q42" s="10"/>
      <c r="R42" s="10"/>
      <c r="S42" s="10"/>
      <c r="T42" s="10"/>
      <c r="U42" s="10"/>
      <c r="V42" s="10"/>
      <c r="W42" s="10"/>
      <c r="X42" s="10"/>
      <c r="Y42" s="10"/>
    </row>
    <row r="43" spans="2:25">
      <c r="D43" s="10"/>
      <c r="E43" s="10"/>
      <c r="F43" s="10"/>
      <c r="G43" s="10"/>
      <c r="H43" s="10"/>
      <c r="I43" s="10"/>
      <c r="J43" s="10"/>
      <c r="K43" s="10"/>
      <c r="L43" s="10"/>
      <c r="M43" s="10"/>
      <c r="N43" s="10"/>
      <c r="O43" s="10"/>
      <c r="P43" s="10"/>
      <c r="Q43" s="10"/>
      <c r="R43" s="10"/>
      <c r="S43" s="10"/>
      <c r="T43" s="10"/>
      <c r="U43" s="10"/>
      <c r="V43" s="10"/>
      <c r="W43" s="10"/>
      <c r="X43" s="10"/>
      <c r="Y43" s="10"/>
    </row>
    <row r="44" spans="2:25">
      <c r="D44" s="10"/>
      <c r="E44" s="10"/>
      <c r="F44" s="10"/>
      <c r="G44" s="10"/>
      <c r="H44" s="10"/>
      <c r="I44" s="10"/>
      <c r="J44" s="10"/>
      <c r="K44" s="10"/>
      <c r="L44" s="10"/>
      <c r="M44" s="10"/>
      <c r="N44" s="10"/>
      <c r="O44" s="10"/>
      <c r="P44" s="10"/>
      <c r="Q44" s="10"/>
      <c r="R44" s="10"/>
      <c r="S44" s="10"/>
      <c r="T44" s="10"/>
      <c r="U44" s="10"/>
      <c r="V44" s="10"/>
      <c r="W44" s="10"/>
      <c r="X44" s="10"/>
      <c r="Y44" s="10"/>
    </row>
    <row r="45" spans="2:25">
      <c r="D45" s="10"/>
      <c r="E45" s="10"/>
      <c r="F45" s="10"/>
      <c r="G45" s="10"/>
      <c r="H45" s="10"/>
      <c r="I45" s="10"/>
      <c r="J45" s="10"/>
      <c r="K45" s="10"/>
      <c r="L45" s="10"/>
      <c r="M45" s="10"/>
      <c r="N45" s="10"/>
      <c r="O45" s="10"/>
      <c r="P45" s="10"/>
      <c r="Q45" s="10"/>
      <c r="R45" s="10"/>
      <c r="S45" s="10"/>
      <c r="T45" s="10"/>
      <c r="U45" s="10"/>
      <c r="V45" s="10"/>
      <c r="W45" s="10"/>
      <c r="X45" s="10"/>
      <c r="Y45" s="10"/>
    </row>
    <row r="46" spans="2:25">
      <c r="D46" s="10"/>
      <c r="E46" s="10"/>
      <c r="F46" s="10"/>
      <c r="G46" s="10"/>
      <c r="H46" s="10"/>
      <c r="I46" s="10"/>
      <c r="J46" s="10"/>
      <c r="K46" s="10"/>
      <c r="L46" s="10"/>
      <c r="M46" s="10"/>
      <c r="N46" s="10"/>
      <c r="O46" s="10"/>
    </row>
    <row r="47" spans="2:25">
      <c r="D47" s="10"/>
      <c r="E47" s="10"/>
      <c r="F47" s="10"/>
      <c r="G47" s="10"/>
      <c r="H47" s="10"/>
      <c r="I47" s="10"/>
      <c r="J47" s="10"/>
      <c r="K47" s="10"/>
      <c r="L47" s="10"/>
      <c r="M47" s="10"/>
      <c r="N47" s="10"/>
      <c r="O47" s="10"/>
    </row>
    <row r="48" spans="2:25">
      <c r="D48" s="10"/>
      <c r="E48" s="10"/>
      <c r="F48" s="10"/>
      <c r="G48" s="10"/>
      <c r="H48" s="10"/>
      <c r="I48" s="10"/>
      <c r="J48" s="10"/>
      <c r="K48" s="10"/>
      <c r="L48" s="10"/>
      <c r="M48" s="10"/>
      <c r="N48" s="10"/>
      <c r="O48" s="10"/>
    </row>
    <row r="49" spans="4:15">
      <c r="D49" s="10"/>
      <c r="E49" s="10"/>
      <c r="F49" s="10"/>
      <c r="G49" s="10"/>
      <c r="H49" s="10"/>
      <c r="I49" s="10"/>
      <c r="J49" s="10"/>
      <c r="K49" s="10"/>
      <c r="L49" s="10"/>
      <c r="M49" s="10"/>
      <c r="N49" s="10"/>
      <c r="O49" s="10"/>
    </row>
    <row r="50" spans="4:15">
      <c r="D50" s="10"/>
      <c r="E50" s="10"/>
      <c r="F50" s="10"/>
      <c r="G50" s="10"/>
      <c r="H50" s="10"/>
      <c r="I50" s="10"/>
      <c r="J50" s="10"/>
      <c r="K50" s="10"/>
      <c r="L50" s="10"/>
      <c r="M50" s="10"/>
      <c r="N50" s="10"/>
      <c r="O50" s="10"/>
    </row>
    <row r="51" spans="4:15">
      <c r="D51" s="10"/>
      <c r="E51" s="10"/>
      <c r="F51" s="10"/>
      <c r="G51" s="10"/>
      <c r="H51" s="10"/>
      <c r="I51" s="10"/>
      <c r="J51" s="10"/>
      <c r="K51" s="10"/>
      <c r="L51" s="10"/>
      <c r="M51" s="10"/>
      <c r="N51" s="10"/>
      <c r="O51" s="10"/>
    </row>
    <row r="52" spans="4:15">
      <c r="D52" s="10"/>
      <c r="E52" s="10"/>
      <c r="F52" s="10"/>
      <c r="G52" s="10"/>
      <c r="H52" s="10"/>
      <c r="I52" s="10"/>
      <c r="J52" s="10"/>
      <c r="K52" s="10"/>
      <c r="L52" s="10"/>
      <c r="M52" s="10"/>
      <c r="N52" s="10"/>
      <c r="O52" s="10"/>
    </row>
    <row r="53" spans="4:15">
      <c r="D53" s="10"/>
      <c r="E53" s="10"/>
      <c r="F53" s="10"/>
      <c r="G53" s="10"/>
      <c r="H53" s="10"/>
      <c r="I53" s="10"/>
      <c r="J53" s="10"/>
      <c r="K53" s="10"/>
      <c r="L53" s="10"/>
      <c r="M53" s="10"/>
      <c r="N53" s="10"/>
      <c r="O53" s="10"/>
    </row>
    <row r="54" spans="4:15">
      <c r="D54" s="10"/>
      <c r="E54" s="10"/>
      <c r="F54" s="10"/>
      <c r="G54" s="10"/>
      <c r="H54" s="10"/>
      <c r="I54" s="10"/>
      <c r="J54" s="10"/>
      <c r="K54" s="10"/>
      <c r="L54" s="10"/>
      <c r="M54" s="10"/>
      <c r="N54" s="10"/>
      <c r="O54" s="10"/>
    </row>
    <row r="55" spans="4:15">
      <c r="D55" s="10"/>
      <c r="E55" s="10"/>
      <c r="F55" s="10"/>
      <c r="G55" s="10"/>
      <c r="H55" s="10"/>
      <c r="I55" s="10"/>
      <c r="J55" s="10"/>
      <c r="K55" s="10"/>
      <c r="L55" s="10"/>
      <c r="M55" s="10"/>
      <c r="N55" s="10"/>
      <c r="O55" s="10"/>
    </row>
    <row r="56" spans="4:15">
      <c r="D56" s="10"/>
      <c r="E56" s="10"/>
      <c r="F56" s="10"/>
      <c r="G56" s="10"/>
      <c r="H56" s="10"/>
      <c r="I56" s="10"/>
      <c r="J56" s="10"/>
      <c r="K56" s="10"/>
      <c r="L56" s="10"/>
      <c r="M56" s="10"/>
      <c r="N56" s="10"/>
      <c r="O56" s="10"/>
    </row>
    <row r="57" spans="4:15">
      <c r="D57" s="10"/>
      <c r="E57" s="10"/>
      <c r="F57" s="10"/>
      <c r="G57" s="10"/>
      <c r="H57" s="10"/>
      <c r="I57" s="10"/>
      <c r="J57" s="10"/>
      <c r="K57" s="10"/>
      <c r="L57" s="10"/>
      <c r="M57" s="10"/>
      <c r="N57" s="10"/>
      <c r="O57" s="10"/>
    </row>
    <row r="58" spans="4:15">
      <c r="D58" s="10"/>
      <c r="E58" s="10"/>
      <c r="F58" s="10"/>
      <c r="G58" s="10"/>
      <c r="H58" s="10"/>
      <c r="I58" s="10"/>
      <c r="J58" s="10"/>
      <c r="K58" s="10"/>
      <c r="L58" s="10"/>
      <c r="M58" s="10"/>
      <c r="N58" s="10"/>
      <c r="O58" s="10"/>
    </row>
    <row r="59" spans="4:15">
      <c r="D59" s="10"/>
      <c r="E59" s="10"/>
      <c r="F59" s="10"/>
      <c r="G59" s="10"/>
      <c r="H59" s="10"/>
      <c r="I59" s="10"/>
      <c r="J59" s="10"/>
      <c r="K59" s="10"/>
      <c r="L59" s="10"/>
      <c r="M59" s="10"/>
      <c r="N59" s="10"/>
      <c r="O59" s="10"/>
    </row>
    <row r="60" spans="4:15">
      <c r="D60" s="10"/>
      <c r="E60" s="10"/>
      <c r="F60" s="10"/>
      <c r="G60" s="10"/>
      <c r="H60" s="10"/>
      <c r="I60" s="10"/>
      <c r="J60" s="10"/>
      <c r="K60" s="10"/>
      <c r="L60" s="10"/>
      <c r="M60" s="10"/>
      <c r="N60" s="10"/>
      <c r="O60" s="10"/>
    </row>
    <row r="61" spans="4:15">
      <c r="D61" s="10"/>
      <c r="E61" s="10"/>
      <c r="F61" s="10"/>
      <c r="G61" s="10"/>
      <c r="H61" s="10"/>
      <c r="I61" s="10"/>
      <c r="J61" s="10"/>
      <c r="K61" s="10"/>
      <c r="L61" s="10"/>
      <c r="M61" s="10"/>
      <c r="N61" s="10"/>
      <c r="O61" s="10"/>
    </row>
    <row r="62" spans="4:15">
      <c r="D62" s="10"/>
      <c r="E62" s="10"/>
      <c r="F62" s="10"/>
      <c r="G62" s="10"/>
      <c r="H62" s="10"/>
      <c r="I62" s="10"/>
      <c r="J62" s="10"/>
      <c r="K62" s="10"/>
      <c r="L62" s="10"/>
      <c r="M62" s="10"/>
      <c r="N62" s="10"/>
      <c r="O62" s="10"/>
    </row>
    <row r="63" spans="4:15">
      <c r="D63" s="10"/>
      <c r="E63" s="10"/>
      <c r="F63" s="10"/>
      <c r="G63" s="10"/>
      <c r="H63" s="10"/>
      <c r="I63" s="10"/>
      <c r="J63" s="10"/>
      <c r="K63" s="10"/>
      <c r="L63" s="10"/>
      <c r="M63" s="10"/>
      <c r="N63" s="10"/>
      <c r="O63" s="10"/>
    </row>
    <row r="64" spans="4:15">
      <c r="D64" s="10"/>
      <c r="E64" s="10"/>
      <c r="F64" s="10"/>
      <c r="G64" s="10"/>
      <c r="H64" s="10"/>
      <c r="I64" s="10"/>
      <c r="J64" s="10"/>
      <c r="K64" s="10"/>
      <c r="L64" s="10"/>
      <c r="M64" s="10"/>
      <c r="N64" s="10"/>
      <c r="O64" s="10"/>
    </row>
    <row r="65" spans="4:15">
      <c r="D65" s="10"/>
      <c r="E65" s="10"/>
      <c r="F65" s="10"/>
      <c r="G65" s="10"/>
      <c r="H65" s="10"/>
      <c r="I65" s="10"/>
      <c r="J65" s="10"/>
      <c r="K65" s="10"/>
      <c r="L65" s="10"/>
      <c r="M65" s="10"/>
      <c r="N65" s="10"/>
      <c r="O65" s="10"/>
    </row>
    <row r="66" spans="4:15">
      <c r="D66" s="10"/>
      <c r="E66" s="10"/>
      <c r="F66" s="10"/>
      <c r="G66" s="10"/>
      <c r="H66" s="10"/>
      <c r="I66" s="10"/>
      <c r="J66" s="10"/>
      <c r="K66" s="10"/>
      <c r="L66" s="10"/>
      <c r="M66" s="10"/>
      <c r="N66" s="10"/>
      <c r="O66" s="10"/>
    </row>
    <row r="67" spans="4:15">
      <c r="D67" s="10"/>
      <c r="E67" s="10"/>
      <c r="F67" s="10"/>
      <c r="G67" s="10"/>
      <c r="H67" s="10"/>
      <c r="I67" s="10"/>
      <c r="J67" s="10"/>
      <c r="K67" s="10"/>
      <c r="L67" s="10"/>
      <c r="M67" s="10"/>
      <c r="N67" s="10"/>
      <c r="O67" s="10"/>
    </row>
    <row r="68" spans="4:15">
      <c r="D68" s="10"/>
      <c r="E68" s="10"/>
      <c r="F68" s="10"/>
      <c r="G68" s="10"/>
      <c r="H68" s="10"/>
      <c r="I68" s="10"/>
      <c r="J68" s="10"/>
      <c r="K68" s="10"/>
      <c r="L68" s="10"/>
      <c r="M68" s="10"/>
      <c r="N68" s="10"/>
      <c r="O68" s="10"/>
    </row>
    <row r="69" spans="4:15">
      <c r="D69" s="10"/>
      <c r="E69" s="10"/>
      <c r="F69" s="10"/>
      <c r="G69" s="10"/>
      <c r="H69" s="10"/>
      <c r="I69" s="10"/>
      <c r="J69" s="10"/>
      <c r="K69" s="10"/>
      <c r="L69" s="10"/>
      <c r="M69" s="10"/>
      <c r="N69" s="10"/>
      <c r="O69" s="10"/>
    </row>
  </sheetData>
  <mergeCells count="4">
    <mergeCell ref="B1:X1"/>
    <mergeCell ref="E2:X2"/>
    <mergeCell ref="D15:W15"/>
    <mergeCell ref="B14:W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11"/>
  <sheetViews>
    <sheetView zoomScaleNormal="100" workbookViewId="0">
      <selection activeCell="F14" sqref="F14"/>
    </sheetView>
  </sheetViews>
  <sheetFormatPr defaultColWidth="9.140625" defaultRowHeight="14.25"/>
  <cols>
    <col min="1" max="1" width="7.5703125" style="1" customWidth="1"/>
    <col min="2" max="2" width="36.28515625" style="1" customWidth="1"/>
    <col min="3" max="3" width="20.5703125" style="1" customWidth="1"/>
    <col min="4" max="4" width="18.28515625" style="1" customWidth="1"/>
    <col min="5" max="24" width="15.42578125" style="1" customWidth="1"/>
    <col min="25" max="25" width="14" style="1" bestFit="1" customWidth="1"/>
    <col min="26" max="16384" width="9.140625" style="1"/>
  </cols>
  <sheetData>
    <row r="2" spans="2:24" ht="24" customHeight="1">
      <c r="B2" s="203" t="s">
        <v>196</v>
      </c>
      <c r="C2" s="203"/>
      <c r="D2" s="203"/>
      <c r="E2" s="203"/>
      <c r="F2" s="185"/>
      <c r="G2" s="185"/>
      <c r="H2" s="185"/>
      <c r="I2" s="185"/>
      <c r="J2" s="185"/>
      <c r="K2" s="185"/>
      <c r="L2" s="185"/>
      <c r="M2" s="185"/>
      <c r="N2" s="185"/>
      <c r="O2" s="185"/>
      <c r="P2" s="185"/>
      <c r="Q2" s="185"/>
      <c r="R2" s="185"/>
      <c r="S2" s="185"/>
      <c r="T2" s="185"/>
      <c r="U2" s="185"/>
      <c r="V2" s="185"/>
      <c r="W2" s="185"/>
      <c r="X2" s="185"/>
    </row>
    <row r="3" spans="2:24" ht="15">
      <c r="B3" s="189" t="s">
        <v>197</v>
      </c>
      <c r="C3" s="189" t="s">
        <v>199</v>
      </c>
      <c r="D3" s="189" t="s">
        <v>198</v>
      </c>
      <c r="E3" s="189" t="s">
        <v>200</v>
      </c>
    </row>
    <row r="4" spans="2:24" ht="15">
      <c r="B4" s="204" t="s">
        <v>201</v>
      </c>
      <c r="C4" s="204"/>
      <c r="D4" s="204"/>
      <c r="E4" s="204"/>
    </row>
    <row r="5" spans="2:24">
      <c r="B5" s="192">
        <v>0.02</v>
      </c>
      <c r="C5" s="194">
        <v>1629947.0584094501</v>
      </c>
      <c r="D5" s="193">
        <v>0.10386352975674051</v>
      </c>
      <c r="E5" s="195">
        <v>-13.863241554123467</v>
      </c>
    </row>
    <row r="6" spans="2:24">
      <c r="B6" s="186">
        <v>0.1</v>
      </c>
      <c r="C6" s="12">
        <v>-4226765.3652333766</v>
      </c>
      <c r="D6" s="187">
        <v>4.830373800747445E-2</v>
      </c>
      <c r="E6" s="188">
        <v>1.5090989743367811</v>
      </c>
    </row>
    <row r="7" spans="2:24" ht="15">
      <c r="B7" s="204" t="s">
        <v>202</v>
      </c>
      <c r="C7" s="204"/>
      <c r="D7" s="204"/>
      <c r="E7" s="204"/>
    </row>
    <row r="8" spans="2:24">
      <c r="B8" s="192">
        <v>0.05</v>
      </c>
      <c r="C8" s="191">
        <v>289533.95907155058</v>
      </c>
      <c r="D8" s="196">
        <v>9.2433268366391763E-2</v>
      </c>
      <c r="E8" s="195">
        <v>2.1742018799220935</v>
      </c>
    </row>
    <row r="9" spans="2:24">
      <c r="B9" s="186">
        <v>0.1</v>
      </c>
      <c r="C9" s="12">
        <v>-3917352.8488013772</v>
      </c>
      <c r="D9" s="196">
        <v>5.5626458672640267E-2</v>
      </c>
      <c r="E9" s="197">
        <v>1.6059090348822855</v>
      </c>
    </row>
    <row r="10" spans="2:24" ht="15">
      <c r="B10" s="202" t="s">
        <v>203</v>
      </c>
      <c r="C10" s="202"/>
      <c r="D10" s="202"/>
      <c r="E10" s="202"/>
    </row>
    <row r="11" spans="2:24">
      <c r="B11" s="11" t="s">
        <v>204</v>
      </c>
      <c r="C11" s="12">
        <v>-16475389.808585282</v>
      </c>
      <c r="D11" s="196">
        <v>2.9707515627865444E-2</v>
      </c>
      <c r="E11" s="198">
        <v>1.4327566964285714</v>
      </c>
    </row>
  </sheetData>
  <mergeCells count="4">
    <mergeCell ref="B10:E10"/>
    <mergeCell ref="B2:E2"/>
    <mergeCell ref="B4:E4"/>
    <mergeCell ref="B7:E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zoomScaleNormal="100" workbookViewId="0">
      <selection activeCell="J15" sqref="J15"/>
    </sheetView>
  </sheetViews>
  <sheetFormatPr defaultColWidth="9.140625" defaultRowHeight="14.25"/>
  <cols>
    <col min="1" max="1" width="8.140625" style="1" customWidth="1"/>
    <col min="2" max="2" width="37.85546875" style="1" customWidth="1"/>
    <col min="3" max="3" width="18.28515625" style="1" customWidth="1"/>
    <col min="4" max="4" width="17.5703125" style="1" customWidth="1"/>
    <col min="5" max="5" width="16" style="1" customWidth="1"/>
    <col min="6" max="6" width="15.7109375" style="1" customWidth="1"/>
    <col min="7" max="7" width="15.7109375" style="1" bestFit="1" customWidth="1"/>
    <col min="8" max="9" width="15" style="1" customWidth="1"/>
    <col min="10" max="10" width="13.140625" style="1" customWidth="1"/>
    <col min="11" max="11" width="13.28515625" style="1" customWidth="1"/>
    <col min="12" max="16384" width="9.140625" style="1"/>
  </cols>
  <sheetData>
    <row r="1" spans="2:8" ht="24.75" customHeight="1">
      <c r="B1" s="207" t="s">
        <v>159</v>
      </c>
      <c r="C1" s="207"/>
      <c r="D1" s="207"/>
      <c r="E1" s="207"/>
      <c r="F1" s="207"/>
      <c r="G1" s="207"/>
      <c r="H1" s="207"/>
    </row>
    <row r="2" spans="2:8" ht="15">
      <c r="B2" s="208" t="s">
        <v>126</v>
      </c>
      <c r="C2" s="209"/>
      <c r="D2" s="3" t="s">
        <v>127</v>
      </c>
      <c r="E2" s="205" t="s">
        <v>128</v>
      </c>
      <c r="F2" s="206"/>
      <c r="G2" s="206"/>
      <c r="H2" s="206"/>
    </row>
    <row r="3" spans="2:8" ht="15">
      <c r="B3" s="4" t="s">
        <v>142</v>
      </c>
      <c r="C3" s="35" t="s">
        <v>10</v>
      </c>
      <c r="D3" s="35" t="s">
        <v>129</v>
      </c>
      <c r="E3" s="35" t="s">
        <v>150</v>
      </c>
      <c r="F3" s="35" t="s">
        <v>146</v>
      </c>
      <c r="G3" s="35" t="s">
        <v>144</v>
      </c>
      <c r="H3" s="36" t="s">
        <v>145</v>
      </c>
    </row>
    <row r="4" spans="2:8">
      <c r="B4" s="11" t="s">
        <v>130</v>
      </c>
      <c r="C4" s="11" t="s">
        <v>137</v>
      </c>
      <c r="D4" s="12">
        <f>Assumptions!D4</f>
        <v>45000</v>
      </c>
      <c r="E4" s="12">
        <v>55000</v>
      </c>
      <c r="F4" s="12">
        <v>60000</v>
      </c>
      <c r="G4" s="12">
        <v>65000</v>
      </c>
      <c r="H4" s="12">
        <v>75000</v>
      </c>
    </row>
    <row r="5" spans="2:8">
      <c r="B5" s="11" t="s">
        <v>160</v>
      </c>
      <c r="C5" s="11" t="s">
        <v>137</v>
      </c>
      <c r="D5" s="12">
        <f>Assumptions!D5*'Rice Production Model'!D4</f>
        <v>11250</v>
      </c>
      <c r="E5" s="12">
        <f>Assumptions!D5*'Rice Production Model'!E4</f>
        <v>13750</v>
      </c>
      <c r="F5" s="12">
        <f>Assumptions!$D$5*'Rice Production Model'!F4</f>
        <v>15000</v>
      </c>
      <c r="G5" s="12">
        <f>Assumptions!$D$5*'Rice Production Model'!G4</f>
        <v>16250</v>
      </c>
      <c r="H5" s="12">
        <f>Assumptions!$D$5*'Rice Production Model'!H4</f>
        <v>18750</v>
      </c>
    </row>
    <row r="6" spans="2:8">
      <c r="B6" s="11" t="s">
        <v>131</v>
      </c>
      <c r="C6" s="11" t="s">
        <v>137</v>
      </c>
      <c r="D6" s="12">
        <f>Assumptions!D6*'Rice Production Model'!D4</f>
        <v>6750</v>
      </c>
      <c r="E6" s="12">
        <f>Assumptions!D6*'Rice Production Model'!E4</f>
        <v>8250</v>
      </c>
      <c r="F6" s="12">
        <f>Assumptions!$D$6*'Rice Production Model'!F4</f>
        <v>9000</v>
      </c>
      <c r="G6" s="12">
        <f>Assumptions!$D$6*'Rice Production Model'!G4</f>
        <v>9750</v>
      </c>
      <c r="H6" s="12">
        <f>Assumptions!$D$6*'Rice Production Model'!H4</f>
        <v>11250</v>
      </c>
    </row>
    <row r="7" spans="2:8">
      <c r="B7" s="11" t="s">
        <v>132</v>
      </c>
      <c r="C7" s="11" t="s">
        <v>137</v>
      </c>
      <c r="D7" s="12">
        <f>D4-D5-D6</f>
        <v>27000</v>
      </c>
      <c r="E7" s="12">
        <f>E4-E5-E6</f>
        <v>33000</v>
      </c>
      <c r="F7" s="12">
        <f>F4-F5-F6</f>
        <v>36000</v>
      </c>
      <c r="G7" s="12">
        <f>G4-G5-G6</f>
        <v>39000</v>
      </c>
      <c r="H7" s="12">
        <f>H4-H5-H6</f>
        <v>45000</v>
      </c>
    </row>
    <row r="8" spans="2:8">
      <c r="B8" s="11" t="s">
        <v>133</v>
      </c>
      <c r="C8" s="11" t="s">
        <v>138</v>
      </c>
      <c r="D8" s="12">
        <f>Assumptions!$D$7</f>
        <v>1050</v>
      </c>
      <c r="E8" s="12">
        <f t="shared" ref="E8" si="0">D8</f>
        <v>1050</v>
      </c>
      <c r="F8" s="12">
        <f>Assumptions!$D$7</f>
        <v>1050</v>
      </c>
      <c r="G8" s="12">
        <f>Assumptions!$D$7</f>
        <v>1050</v>
      </c>
      <c r="H8" s="12">
        <f>Assumptions!$D$7</f>
        <v>1050</v>
      </c>
    </row>
    <row r="9" spans="2:8">
      <c r="B9" s="37"/>
      <c r="C9" s="37"/>
      <c r="D9" s="38"/>
      <c r="E9" s="38"/>
      <c r="F9" s="38"/>
      <c r="G9" s="38"/>
      <c r="H9" s="38"/>
    </row>
    <row r="10" spans="2:8">
      <c r="F10" s="10"/>
      <c r="G10" s="10"/>
    </row>
    <row r="11" spans="2:8" ht="15">
      <c r="B11" s="39" t="s">
        <v>143</v>
      </c>
      <c r="C11" s="3" t="s">
        <v>127</v>
      </c>
      <c r="D11" s="205" t="s">
        <v>128</v>
      </c>
      <c r="E11" s="206"/>
      <c r="F11" s="206"/>
      <c r="G11" s="206"/>
      <c r="H11" s="206"/>
    </row>
    <row r="12" spans="2:8" ht="15">
      <c r="B12" s="4"/>
      <c r="C12" s="35" t="s">
        <v>129</v>
      </c>
      <c r="D12" s="40" t="s">
        <v>14</v>
      </c>
      <c r="E12" s="35" t="s">
        <v>15</v>
      </c>
      <c r="F12" s="40" t="s">
        <v>16</v>
      </c>
      <c r="G12" s="35" t="s">
        <v>17</v>
      </c>
      <c r="H12" s="41" t="s">
        <v>18</v>
      </c>
    </row>
    <row r="13" spans="2:8">
      <c r="B13" s="11" t="s">
        <v>155</v>
      </c>
      <c r="C13" s="42">
        <v>0</v>
      </c>
      <c r="D13" s="12">
        <f>-'Investment Cashflows'!D24</f>
        <v>23135000</v>
      </c>
      <c r="E13" s="12">
        <f>-'Investment Cashflows'!E24</f>
        <v>3292500</v>
      </c>
      <c r="F13" s="12">
        <f>-'Investment Cashflows'!F24</f>
        <v>3757500</v>
      </c>
      <c r="G13" s="12">
        <f>-'Investment Cashflows'!G24</f>
        <v>1426500</v>
      </c>
      <c r="H13" s="12">
        <f>-'Investment Cashflows'!H24</f>
        <v>80000</v>
      </c>
    </row>
    <row r="14" spans="2:8">
      <c r="D14" s="10"/>
      <c r="E14" s="10"/>
    </row>
    <row r="15" spans="2:8">
      <c r="D15" s="10"/>
      <c r="E15" s="10"/>
    </row>
    <row r="16" spans="2:8" ht="15">
      <c r="B16" s="39" t="s">
        <v>143</v>
      </c>
      <c r="C16" s="3" t="s">
        <v>127</v>
      </c>
      <c r="D16" s="205" t="s">
        <v>128</v>
      </c>
      <c r="E16" s="206"/>
      <c r="F16" s="206"/>
      <c r="G16" s="206"/>
      <c r="H16" s="43"/>
    </row>
    <row r="17" spans="2:9" ht="15">
      <c r="B17" s="4"/>
      <c r="C17" s="35" t="s">
        <v>129</v>
      </c>
      <c r="D17" s="35" t="s">
        <v>150</v>
      </c>
      <c r="E17" s="35" t="s">
        <v>146</v>
      </c>
      <c r="F17" s="35" t="s">
        <v>144</v>
      </c>
      <c r="G17" s="44" t="s">
        <v>145</v>
      </c>
      <c r="H17" s="45"/>
    </row>
    <row r="18" spans="2:9">
      <c r="B18" s="11" t="s">
        <v>154</v>
      </c>
      <c r="C18" s="12">
        <f>Assumptions!D8*'Rice Production Model'!D4</f>
        <v>22500000</v>
      </c>
      <c r="D18" s="12">
        <f>C18</f>
        <v>22500000</v>
      </c>
      <c r="E18" s="12">
        <f>Assumptions!$D$8*'Rice Production Model'!F4</f>
        <v>30000000</v>
      </c>
      <c r="F18" s="12">
        <f>Assumptions!$D$8*'Rice Production Model'!G4</f>
        <v>32500000</v>
      </c>
      <c r="G18" s="12">
        <f>Assumptions!$D$8*'Rice Production Model'!H4</f>
        <v>37500000</v>
      </c>
      <c r="H18" s="46"/>
    </row>
    <row r="19" spans="2:9">
      <c r="D19" s="10"/>
      <c r="E19" s="10"/>
    </row>
    <row r="20" spans="2:9">
      <c r="D20" s="10"/>
      <c r="E20" s="10"/>
    </row>
    <row r="21" spans="2:9" ht="15">
      <c r="B21" s="39" t="s">
        <v>143</v>
      </c>
      <c r="C21" s="3" t="s">
        <v>127</v>
      </c>
      <c r="D21" s="205" t="s">
        <v>128</v>
      </c>
      <c r="E21" s="206"/>
      <c r="F21" s="206"/>
      <c r="G21" s="206"/>
    </row>
    <row r="22" spans="2:9" ht="15">
      <c r="B22" s="4" t="s">
        <v>46</v>
      </c>
      <c r="C22" s="35" t="s">
        <v>129</v>
      </c>
      <c r="D22" s="35" t="s">
        <v>150</v>
      </c>
      <c r="E22" s="35" t="s">
        <v>146</v>
      </c>
      <c r="F22" s="35" t="s">
        <v>144</v>
      </c>
      <c r="G22" s="44" t="s">
        <v>145</v>
      </c>
    </row>
    <row r="23" spans="2:9" s="19" customFormat="1">
      <c r="B23" s="47" t="s">
        <v>153</v>
      </c>
      <c r="C23" s="47">
        <v>7</v>
      </c>
      <c r="D23" s="47">
        <v>7</v>
      </c>
      <c r="E23" s="47">
        <v>6</v>
      </c>
      <c r="F23" s="47">
        <v>5</v>
      </c>
      <c r="G23" s="47">
        <v>4</v>
      </c>
    </row>
    <row r="24" spans="2:9">
      <c r="B24" s="11" t="s">
        <v>151</v>
      </c>
      <c r="C24" s="12">
        <f>Assumptions!$D$9*'Rice Production Model'!C23</f>
        <v>175</v>
      </c>
      <c r="D24" s="12">
        <f>Assumptions!$D$9*'Rice Production Model'!D23</f>
        <v>175</v>
      </c>
      <c r="E24" s="12">
        <f>Assumptions!$D$9*'Rice Production Model'!E23</f>
        <v>150</v>
      </c>
      <c r="F24" s="12">
        <f>Assumptions!$D$9*'Rice Production Model'!F23</f>
        <v>125</v>
      </c>
      <c r="G24" s="12">
        <f>Assumptions!$D$9*'Rice Production Model'!G23</f>
        <v>100</v>
      </c>
    </row>
    <row r="25" spans="2:9">
      <c r="B25" s="11" t="s">
        <v>156</v>
      </c>
      <c r="C25" s="11">
        <v>175</v>
      </c>
      <c r="D25" s="11">
        <v>175</v>
      </c>
      <c r="E25" s="11">
        <v>175</v>
      </c>
      <c r="F25" s="11">
        <v>175</v>
      </c>
      <c r="G25" s="11">
        <v>175</v>
      </c>
    </row>
    <row r="26" spans="2:9">
      <c r="B26" s="11" t="s">
        <v>157</v>
      </c>
      <c r="C26" s="48">
        <f>C24-C25</f>
        <v>0</v>
      </c>
      <c r="D26" s="12">
        <v>0</v>
      </c>
      <c r="E26" s="12">
        <v>0</v>
      </c>
      <c r="F26" s="42">
        <v>0</v>
      </c>
      <c r="G26" s="42">
        <v>0</v>
      </c>
    </row>
    <row r="27" spans="2:9">
      <c r="B27" s="11" t="s">
        <v>158</v>
      </c>
      <c r="C27" s="48">
        <f>C24-C26</f>
        <v>175</v>
      </c>
      <c r="D27" s="48">
        <f t="shared" ref="D27:G27" si="1">D24-D26</f>
        <v>175</v>
      </c>
      <c r="E27" s="48">
        <f t="shared" si="1"/>
        <v>150</v>
      </c>
      <c r="F27" s="48">
        <f t="shared" si="1"/>
        <v>125</v>
      </c>
      <c r="G27" s="48">
        <f t="shared" si="1"/>
        <v>100</v>
      </c>
    </row>
    <row r="29" spans="2:9">
      <c r="D29" s="10"/>
      <c r="E29" s="10"/>
      <c r="F29" s="10"/>
      <c r="G29" s="10"/>
      <c r="H29" s="10"/>
      <c r="I29" s="10"/>
    </row>
    <row r="30" spans="2:9">
      <c r="D30" s="10"/>
      <c r="E30" s="10"/>
      <c r="F30" s="10"/>
      <c r="G30" s="10"/>
      <c r="H30" s="10"/>
      <c r="I30" s="10"/>
    </row>
    <row r="31" spans="2:9">
      <c r="D31" s="10"/>
      <c r="E31" s="10"/>
      <c r="F31" s="10"/>
      <c r="G31" s="10"/>
      <c r="H31" s="10"/>
      <c r="I31" s="10"/>
    </row>
    <row r="32" spans="2:9">
      <c r="D32" s="10"/>
      <c r="E32" s="10"/>
      <c r="F32" s="10"/>
      <c r="G32" s="10"/>
      <c r="H32" s="10"/>
      <c r="I32" s="10"/>
    </row>
    <row r="33" spans="4:9">
      <c r="D33" s="10"/>
      <c r="E33" s="10"/>
      <c r="F33" s="10"/>
      <c r="G33" s="10"/>
      <c r="H33" s="10"/>
      <c r="I33" s="10"/>
    </row>
    <row r="34" spans="4:9">
      <c r="D34" s="10"/>
      <c r="E34" s="10"/>
      <c r="F34" s="10"/>
      <c r="G34" s="10"/>
      <c r="H34" s="10"/>
      <c r="I34" s="10"/>
    </row>
    <row r="35" spans="4:9">
      <c r="D35" s="10"/>
      <c r="E35" s="10"/>
      <c r="F35" s="10"/>
      <c r="G35" s="10"/>
      <c r="H35" s="10"/>
      <c r="I35" s="10"/>
    </row>
    <row r="36" spans="4:9">
      <c r="D36" s="10"/>
      <c r="E36" s="10"/>
      <c r="F36" s="10"/>
      <c r="G36" s="10"/>
      <c r="H36" s="10"/>
      <c r="I36" s="10"/>
    </row>
  </sheetData>
  <mergeCells count="6">
    <mergeCell ref="D21:G21"/>
    <mergeCell ref="D11:H11"/>
    <mergeCell ref="E2:H2"/>
    <mergeCell ref="B1:H1"/>
    <mergeCell ref="D16:G16"/>
    <mergeCell ref="B2:C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activeCell="E3" sqref="E3"/>
    </sheetView>
  </sheetViews>
  <sheetFormatPr defaultColWidth="9.140625" defaultRowHeight="14.25"/>
  <cols>
    <col min="1" max="1" width="15" style="1" customWidth="1"/>
    <col min="2" max="2" width="37.85546875" style="1" customWidth="1"/>
    <col min="3" max="3" width="16.28515625" style="1" customWidth="1"/>
    <col min="4" max="4" width="17.5703125" style="1" customWidth="1"/>
    <col min="5" max="5" width="16" style="1" customWidth="1"/>
    <col min="6" max="6" width="15.7109375" style="1" customWidth="1"/>
    <col min="7" max="7" width="15.7109375" style="1" bestFit="1" customWidth="1"/>
    <col min="8" max="8" width="15" style="1" customWidth="1"/>
    <col min="9" max="16384" width="9.140625" style="1"/>
  </cols>
  <sheetData>
    <row r="1" spans="1:9" ht="27.75" customHeight="1">
      <c r="B1" s="212" t="s">
        <v>166</v>
      </c>
      <c r="C1" s="212"/>
      <c r="D1" s="212"/>
      <c r="E1" s="212"/>
      <c r="F1" s="212"/>
      <c r="G1" s="212"/>
      <c r="H1" s="212"/>
    </row>
    <row r="2" spans="1:9" s="53" customFormat="1" ht="24" customHeight="1">
      <c r="A2" s="49"/>
      <c r="B2" s="50" t="s">
        <v>116</v>
      </c>
      <c r="C2" s="51"/>
      <c r="D2" s="52" t="s">
        <v>14</v>
      </c>
      <c r="E2" s="52" t="s">
        <v>15</v>
      </c>
      <c r="F2" s="52" t="s">
        <v>16</v>
      </c>
      <c r="G2" s="52" t="s">
        <v>17</v>
      </c>
      <c r="H2" s="52" t="s">
        <v>147</v>
      </c>
    </row>
    <row r="3" spans="1:9" ht="30.75" customHeight="1">
      <c r="A3" s="210" t="s">
        <v>117</v>
      </c>
      <c r="B3" s="54" t="s">
        <v>28</v>
      </c>
      <c r="C3" s="54"/>
      <c r="D3" s="55">
        <v>-2500</v>
      </c>
      <c r="E3" s="55">
        <v>-5000</v>
      </c>
      <c r="F3" s="55">
        <v>0</v>
      </c>
      <c r="G3" s="55">
        <v>0</v>
      </c>
      <c r="H3" s="55">
        <v>0</v>
      </c>
    </row>
    <row r="4" spans="1:9" ht="30.75" customHeight="1">
      <c r="A4" s="213"/>
      <c r="B4" s="54" t="s">
        <v>31</v>
      </c>
      <c r="C4" s="54"/>
      <c r="D4" s="55">
        <v>0</v>
      </c>
      <c r="E4" s="55">
        <v>-2500</v>
      </c>
      <c r="F4" s="55">
        <v>0</v>
      </c>
      <c r="G4" s="55">
        <v>0</v>
      </c>
      <c r="H4" s="55">
        <v>0</v>
      </c>
    </row>
    <row r="5" spans="1:9" ht="30.75" customHeight="1">
      <c r="A5" s="213"/>
      <c r="B5" s="56" t="s">
        <v>33</v>
      </c>
      <c r="C5" s="56"/>
      <c r="D5" s="57">
        <f>-15000-100000</f>
        <v>-115000</v>
      </c>
      <c r="E5" s="57">
        <v>-25000</v>
      </c>
      <c r="F5" s="57">
        <v>-35000</v>
      </c>
      <c r="G5" s="55">
        <v>0</v>
      </c>
      <c r="H5" s="55">
        <v>0</v>
      </c>
      <c r="I5" s="58"/>
    </row>
    <row r="6" spans="1:9" ht="30.75" customHeight="1">
      <c r="A6" s="213"/>
      <c r="B6" s="56" t="s">
        <v>37</v>
      </c>
      <c r="C6" s="56"/>
      <c r="D6" s="55">
        <v>-125000</v>
      </c>
      <c r="E6" s="57">
        <v>-30000</v>
      </c>
      <c r="F6" s="57">
        <v>-52500</v>
      </c>
      <c r="G6" s="55">
        <v>0</v>
      </c>
      <c r="H6" s="55">
        <v>0</v>
      </c>
      <c r="I6" s="58"/>
    </row>
    <row r="7" spans="1:9" ht="30.75" customHeight="1">
      <c r="A7" s="213"/>
      <c r="B7" s="56" t="s">
        <v>41</v>
      </c>
      <c r="C7" s="56"/>
      <c r="D7" s="55">
        <v>-4121000</v>
      </c>
      <c r="E7" s="55">
        <v>-1250000</v>
      </c>
      <c r="F7" s="55">
        <v>-2500000</v>
      </c>
      <c r="G7" s="55">
        <v>-1250000</v>
      </c>
      <c r="H7" s="55">
        <v>0</v>
      </c>
      <c r="I7" s="59"/>
    </row>
    <row r="8" spans="1:9" ht="30.75" customHeight="1">
      <c r="A8" s="211"/>
      <c r="B8" s="56" t="s">
        <v>45</v>
      </c>
      <c r="C8" s="56"/>
      <c r="D8" s="57">
        <f>-25000-130000</f>
        <v>-155000</v>
      </c>
      <c r="E8" s="57">
        <v>-37500</v>
      </c>
      <c r="F8" s="57">
        <v>-50000</v>
      </c>
      <c r="G8" s="57">
        <v>-37500</v>
      </c>
      <c r="H8" s="55">
        <v>0</v>
      </c>
      <c r="I8" s="59"/>
    </row>
    <row r="9" spans="1:9" ht="30.75" customHeight="1">
      <c r="A9" s="214" t="s">
        <v>118</v>
      </c>
      <c r="B9" s="60" t="s">
        <v>51</v>
      </c>
      <c r="C9" s="60"/>
      <c r="D9" s="61">
        <v>-20000</v>
      </c>
      <c r="E9" s="61">
        <v>-17000</v>
      </c>
      <c r="F9" s="61">
        <v>-12000</v>
      </c>
      <c r="G9" s="61">
        <v>-7000</v>
      </c>
      <c r="H9" s="61">
        <v>0</v>
      </c>
      <c r="I9" s="58"/>
    </row>
    <row r="10" spans="1:9" ht="30.75" customHeight="1">
      <c r="A10" s="215"/>
      <c r="B10" s="60" t="s">
        <v>56</v>
      </c>
      <c r="C10" s="60"/>
      <c r="D10" s="61">
        <v>-550000</v>
      </c>
      <c r="E10" s="61">
        <v>-22000</v>
      </c>
      <c r="F10" s="61">
        <v>-32000</v>
      </c>
      <c r="G10" s="61">
        <v>-12000</v>
      </c>
      <c r="H10" s="61">
        <v>0</v>
      </c>
      <c r="I10" s="62"/>
    </row>
    <row r="11" spans="1:9" ht="30.75" customHeight="1">
      <c r="A11" s="215"/>
      <c r="B11" s="60" t="s">
        <v>58</v>
      </c>
      <c r="C11" s="60"/>
      <c r="D11" s="61">
        <f>-5000-455000</f>
        <v>-460000</v>
      </c>
      <c r="E11" s="61">
        <v>-15000</v>
      </c>
      <c r="F11" s="61">
        <v>-10000</v>
      </c>
      <c r="G11" s="61">
        <v>0</v>
      </c>
      <c r="H11" s="61">
        <v>0</v>
      </c>
    </row>
    <row r="12" spans="1:9" ht="30.75" customHeight="1">
      <c r="A12" s="215"/>
      <c r="B12" s="60" t="s">
        <v>60</v>
      </c>
      <c r="C12" s="60"/>
      <c r="D12" s="61">
        <f>-460000-633000-733000</f>
        <v>-1826000</v>
      </c>
      <c r="E12" s="61">
        <v>-937500</v>
      </c>
      <c r="F12" s="61">
        <v>0</v>
      </c>
      <c r="G12" s="61">
        <v>0</v>
      </c>
      <c r="H12" s="61">
        <v>0</v>
      </c>
    </row>
    <row r="13" spans="1:9" ht="30.75" customHeight="1">
      <c r="A13" s="215"/>
      <c r="B13" s="60" t="s">
        <v>64</v>
      </c>
      <c r="C13" s="60"/>
      <c r="D13" s="63">
        <f>-20000-1758000</f>
        <v>-1778000</v>
      </c>
      <c r="E13" s="63">
        <v>-20000</v>
      </c>
      <c r="F13" s="63">
        <v>-20000</v>
      </c>
      <c r="G13" s="61">
        <v>0</v>
      </c>
      <c r="H13" s="61">
        <v>0</v>
      </c>
    </row>
    <row r="14" spans="1:9" ht="30.75" customHeight="1">
      <c r="A14" s="210" t="s">
        <v>119</v>
      </c>
      <c r="B14" s="54" t="s">
        <v>67</v>
      </c>
      <c r="C14" s="54"/>
      <c r="D14" s="55">
        <f>-700000-750000-400000</f>
        <v>-1850000</v>
      </c>
      <c r="E14" s="55">
        <v>-700000</v>
      </c>
      <c r="F14" s="55">
        <v>-851000</v>
      </c>
      <c r="G14" s="55">
        <v>0</v>
      </c>
      <c r="H14" s="55">
        <v>0</v>
      </c>
    </row>
    <row r="15" spans="1:9" ht="30.75" customHeight="1">
      <c r="A15" s="211"/>
      <c r="B15" s="54" t="s">
        <v>71</v>
      </c>
      <c r="C15" s="54"/>
      <c r="D15" s="55">
        <f>-25000-40000-30000</f>
        <v>-95000</v>
      </c>
      <c r="E15" s="55">
        <v>-40000</v>
      </c>
      <c r="F15" s="55">
        <v>-40000</v>
      </c>
      <c r="G15" s="55">
        <v>0</v>
      </c>
      <c r="H15" s="55">
        <v>0</v>
      </c>
    </row>
    <row r="16" spans="1:9" ht="30.75" customHeight="1">
      <c r="A16" s="216" t="s">
        <v>120</v>
      </c>
      <c r="B16" s="60" t="s">
        <v>77</v>
      </c>
      <c r="C16" s="60"/>
      <c r="D16" s="61">
        <f>-12000-250000</f>
        <v>-262000</v>
      </c>
      <c r="E16" s="61">
        <v>-22000</v>
      </c>
      <c r="F16" s="61">
        <v>0</v>
      </c>
      <c r="G16" s="61">
        <v>0</v>
      </c>
      <c r="H16" s="61">
        <v>0</v>
      </c>
    </row>
    <row r="17" spans="1:8" ht="30.75" customHeight="1">
      <c r="A17" s="217"/>
      <c r="B17" s="60" t="s">
        <v>80</v>
      </c>
      <c r="C17" s="60"/>
      <c r="D17" s="61">
        <f>-10000-140000</f>
        <v>-150000</v>
      </c>
      <c r="E17" s="61">
        <v>-10000</v>
      </c>
      <c r="F17" s="61">
        <v>-10000</v>
      </c>
      <c r="G17" s="61">
        <v>0</v>
      </c>
      <c r="H17" s="61">
        <v>0</v>
      </c>
    </row>
    <row r="18" spans="1:8" ht="30.75" customHeight="1">
      <c r="A18" s="210" t="s">
        <v>121</v>
      </c>
      <c r="B18" s="54" t="s">
        <v>84</v>
      </c>
      <c r="C18" s="54"/>
      <c r="D18" s="57">
        <f>-3500-220000</f>
        <v>-223500</v>
      </c>
      <c r="E18" s="57">
        <v>-4000</v>
      </c>
      <c r="F18" s="55">
        <v>0</v>
      </c>
      <c r="G18" s="55">
        <v>0</v>
      </c>
      <c r="H18" s="55">
        <v>0</v>
      </c>
    </row>
    <row r="19" spans="1:8" ht="30.75" customHeight="1">
      <c r="A19" s="211"/>
      <c r="B19" s="54" t="s">
        <v>86</v>
      </c>
      <c r="C19" s="54"/>
      <c r="D19" s="55">
        <f>-5000-125000</f>
        <v>-130000</v>
      </c>
      <c r="E19" s="55">
        <v>-10000</v>
      </c>
      <c r="F19" s="55">
        <v>0</v>
      </c>
      <c r="G19" s="55">
        <v>0</v>
      </c>
      <c r="H19" s="55">
        <v>0</v>
      </c>
    </row>
    <row r="20" spans="1:8" ht="30.75" customHeight="1">
      <c r="A20" s="64" t="s">
        <v>122</v>
      </c>
      <c r="B20" s="60" t="s">
        <v>89</v>
      </c>
      <c r="C20" s="60"/>
      <c r="D20" s="61">
        <f>-10000-2020000</f>
        <v>-2030000</v>
      </c>
      <c r="E20" s="61">
        <v>-10000</v>
      </c>
      <c r="F20" s="61">
        <v>-10000</v>
      </c>
      <c r="G20" s="61">
        <v>0</v>
      </c>
      <c r="H20" s="61">
        <v>0</v>
      </c>
    </row>
    <row r="21" spans="1:8" ht="30.75" customHeight="1">
      <c r="A21" s="210" t="s">
        <v>120</v>
      </c>
      <c r="B21" s="54" t="s">
        <v>91</v>
      </c>
      <c r="C21" s="54"/>
      <c r="D21" s="55">
        <f>-5000-3048000</f>
        <v>-3053000</v>
      </c>
      <c r="E21" s="55">
        <v>-5000</v>
      </c>
      <c r="F21" s="55">
        <v>-5000</v>
      </c>
      <c r="G21" s="55">
        <v>0</v>
      </c>
      <c r="H21" s="55">
        <v>0</v>
      </c>
    </row>
    <row r="22" spans="1:8" ht="30.75" customHeight="1">
      <c r="A22" s="211"/>
      <c r="B22" s="54" t="s">
        <v>93</v>
      </c>
      <c r="C22" s="54"/>
      <c r="D22" s="57">
        <f>-10000-2619000</f>
        <v>-2629000</v>
      </c>
      <c r="E22" s="57">
        <v>-30000</v>
      </c>
      <c r="F22" s="57">
        <v>-30000</v>
      </c>
      <c r="G22" s="57">
        <v>-20000</v>
      </c>
      <c r="H22" s="55">
        <v>0</v>
      </c>
    </row>
    <row r="23" spans="1:8" ht="30.75" customHeight="1">
      <c r="A23" s="64" t="s">
        <v>96</v>
      </c>
      <c r="B23" s="60" t="s">
        <v>97</v>
      </c>
      <c r="C23" s="60"/>
      <c r="D23" s="65">
        <f>-100000-3460000</f>
        <v>-3560000</v>
      </c>
      <c r="E23" s="65">
        <v>-100000</v>
      </c>
      <c r="F23" s="65">
        <v>-100000</v>
      </c>
      <c r="G23" s="65">
        <v>-100000</v>
      </c>
      <c r="H23" s="65">
        <v>-80000</v>
      </c>
    </row>
    <row r="24" spans="1:8" ht="15">
      <c r="D24" s="66">
        <f>SUM(D3:D23)</f>
        <v>-23135000</v>
      </c>
      <c r="E24" s="66">
        <f t="shared" ref="E24:H24" si="0">SUM(E3:E23)</f>
        <v>-3292500</v>
      </c>
      <c r="F24" s="66">
        <f t="shared" si="0"/>
        <v>-3757500</v>
      </c>
      <c r="G24" s="66">
        <f t="shared" si="0"/>
        <v>-1426500</v>
      </c>
      <c r="H24" s="66">
        <f t="shared" si="0"/>
        <v>-80000</v>
      </c>
    </row>
    <row r="25" spans="1:8">
      <c r="D25" s="10"/>
      <c r="E25" s="10"/>
      <c r="F25" s="10"/>
      <c r="G25" s="10"/>
      <c r="H25" s="10"/>
    </row>
    <row r="26" spans="1:8">
      <c r="D26" s="10"/>
      <c r="E26" s="10"/>
      <c r="F26" s="10"/>
      <c r="G26" s="10"/>
      <c r="H26" s="10"/>
    </row>
    <row r="27" spans="1:8">
      <c r="D27" s="10"/>
      <c r="E27" s="10"/>
      <c r="F27" s="10"/>
      <c r="G27" s="10"/>
      <c r="H27" s="10"/>
    </row>
    <row r="28" spans="1:8">
      <c r="D28" s="10"/>
      <c r="E28" s="10"/>
      <c r="F28" s="10"/>
      <c r="G28" s="10"/>
      <c r="H28" s="10"/>
    </row>
    <row r="29" spans="1:8">
      <c r="D29" s="10"/>
      <c r="E29" s="10"/>
      <c r="F29" s="10"/>
      <c r="G29" s="10"/>
      <c r="H29" s="10"/>
    </row>
    <row r="30" spans="1:8">
      <c r="D30" s="10"/>
      <c r="E30" s="10"/>
      <c r="F30" s="10"/>
      <c r="G30" s="10"/>
      <c r="H30" s="10"/>
    </row>
    <row r="31" spans="1:8">
      <c r="D31" s="10"/>
      <c r="E31" s="10"/>
      <c r="F31" s="10"/>
      <c r="G31" s="10"/>
      <c r="H31" s="10"/>
    </row>
    <row r="32" spans="1:8">
      <c r="D32" s="10"/>
      <c r="E32" s="10"/>
      <c r="F32" s="10"/>
      <c r="G32" s="10"/>
      <c r="H32" s="10"/>
    </row>
    <row r="33" spans="4:8">
      <c r="D33" s="10"/>
      <c r="E33" s="10"/>
      <c r="F33" s="10"/>
      <c r="G33" s="10"/>
      <c r="H33" s="10"/>
    </row>
  </sheetData>
  <mergeCells count="7">
    <mergeCell ref="A18:A19"/>
    <mergeCell ref="A21:A22"/>
    <mergeCell ref="B1:H1"/>
    <mergeCell ref="A3:A8"/>
    <mergeCell ref="A9:A13"/>
    <mergeCell ref="A14:A15"/>
    <mergeCell ref="A16:A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5"/>
  <sheetViews>
    <sheetView workbookViewId="0">
      <selection activeCell="J16" sqref="J16"/>
    </sheetView>
  </sheetViews>
  <sheetFormatPr defaultColWidth="9.140625" defaultRowHeight="14.25"/>
  <cols>
    <col min="1" max="2" width="9.140625" style="1"/>
    <col min="3" max="3" width="40.7109375" style="1" customWidth="1"/>
    <col min="4" max="4" width="15.7109375" style="1" bestFit="1" customWidth="1"/>
    <col min="5" max="5" width="39.28515625" style="1" customWidth="1"/>
    <col min="6" max="16384" width="9.140625" style="1"/>
  </cols>
  <sheetData>
    <row r="1" spans="2:7" ht="30" customHeight="1">
      <c r="B1" s="203" t="s">
        <v>106</v>
      </c>
      <c r="C1" s="203"/>
      <c r="D1" s="203"/>
      <c r="E1" s="203"/>
      <c r="F1" s="67"/>
      <c r="G1" s="67"/>
    </row>
    <row r="2" spans="2:7" ht="15">
      <c r="B2" s="68" t="s">
        <v>107</v>
      </c>
      <c r="C2" s="68" t="s">
        <v>108</v>
      </c>
      <c r="D2" s="68" t="s">
        <v>110</v>
      </c>
      <c r="E2" s="68" t="s">
        <v>109</v>
      </c>
      <c r="F2" s="67"/>
      <c r="G2" s="67"/>
    </row>
    <row r="3" spans="2:7" ht="42.75">
      <c r="B3" s="69">
        <v>1</v>
      </c>
      <c r="C3" s="60" t="s">
        <v>135</v>
      </c>
      <c r="D3" s="61">
        <v>75000</v>
      </c>
      <c r="E3" s="60" t="s">
        <v>134</v>
      </c>
      <c r="F3" s="67"/>
      <c r="G3" s="67"/>
    </row>
    <row r="4" spans="2:7" ht="71.25">
      <c r="B4" s="69">
        <v>2</v>
      </c>
      <c r="C4" s="60" t="s">
        <v>123</v>
      </c>
      <c r="D4" s="61">
        <f>0.6*D3</f>
        <v>45000</v>
      </c>
      <c r="E4" s="60" t="s">
        <v>139</v>
      </c>
      <c r="F4" s="67"/>
      <c r="G4" s="67"/>
    </row>
    <row r="5" spans="2:7" ht="28.5">
      <c r="B5" s="69">
        <v>3</v>
      </c>
      <c r="C5" s="60" t="s">
        <v>178</v>
      </c>
      <c r="D5" s="70">
        <v>0.25</v>
      </c>
      <c r="E5" s="60" t="s">
        <v>140</v>
      </c>
      <c r="F5" s="67"/>
      <c r="G5" s="67"/>
    </row>
    <row r="6" spans="2:7" ht="28.5">
      <c r="B6" s="69">
        <v>4</v>
      </c>
      <c r="C6" s="60" t="s">
        <v>141</v>
      </c>
      <c r="D6" s="70">
        <v>0.15</v>
      </c>
      <c r="E6" s="60" t="s">
        <v>179</v>
      </c>
      <c r="F6" s="67"/>
      <c r="G6" s="67"/>
    </row>
    <row r="7" spans="2:7" ht="28.5">
      <c r="B7" s="69">
        <v>5</v>
      </c>
      <c r="C7" s="60" t="s">
        <v>148</v>
      </c>
      <c r="D7" s="61">
        <v>1050</v>
      </c>
      <c r="E7" s="60" t="s">
        <v>111</v>
      </c>
      <c r="F7" s="67"/>
      <c r="G7" s="67"/>
    </row>
    <row r="8" spans="2:7" ht="28.5">
      <c r="B8" s="69">
        <v>6</v>
      </c>
      <c r="C8" s="60" t="s">
        <v>149</v>
      </c>
      <c r="D8" s="61">
        <v>500</v>
      </c>
      <c r="E8" s="60"/>
      <c r="F8" s="67"/>
      <c r="G8" s="67"/>
    </row>
    <row r="9" spans="2:7" ht="28.5">
      <c r="B9" s="69">
        <v>7</v>
      </c>
      <c r="C9" s="60" t="s">
        <v>191</v>
      </c>
      <c r="D9" s="61">
        <v>25</v>
      </c>
      <c r="E9" s="60" t="s">
        <v>152</v>
      </c>
      <c r="F9" s="67"/>
      <c r="G9" s="67"/>
    </row>
    <row r="10" spans="2:7" ht="28.5">
      <c r="B10" s="69">
        <v>8</v>
      </c>
      <c r="C10" s="60" t="s">
        <v>136</v>
      </c>
      <c r="D10" s="70">
        <v>0.15</v>
      </c>
      <c r="E10" s="60" t="s">
        <v>112</v>
      </c>
      <c r="F10" s="67"/>
      <c r="G10" s="67"/>
    </row>
    <row r="11" spans="2:7" ht="42.75">
      <c r="B11" s="69">
        <v>9</v>
      </c>
      <c r="C11" s="60" t="s">
        <v>105</v>
      </c>
      <c r="D11" s="61">
        <v>20</v>
      </c>
      <c r="E11" s="60" t="s">
        <v>113</v>
      </c>
      <c r="F11" s="67"/>
      <c r="G11" s="67"/>
    </row>
    <row r="12" spans="2:7" ht="28.5">
      <c r="B12" s="69">
        <v>10</v>
      </c>
      <c r="C12" s="60" t="s">
        <v>115</v>
      </c>
      <c r="D12" s="61">
        <v>30000</v>
      </c>
      <c r="E12" s="60" t="s">
        <v>114</v>
      </c>
      <c r="F12" s="67"/>
      <c r="G12" s="67"/>
    </row>
    <row r="13" spans="2:7" ht="28.5">
      <c r="B13" s="69">
        <v>11</v>
      </c>
      <c r="C13" s="11" t="s">
        <v>124</v>
      </c>
      <c r="D13" s="12">
        <v>21727000</v>
      </c>
      <c r="E13" s="71" t="s">
        <v>125</v>
      </c>
    </row>
    <row r="14" spans="2:7" ht="42.75">
      <c r="B14" s="69">
        <v>12</v>
      </c>
      <c r="C14" s="11" t="s">
        <v>185</v>
      </c>
      <c r="D14" s="72">
        <v>0.82</v>
      </c>
      <c r="E14" s="71" t="s">
        <v>186</v>
      </c>
    </row>
    <row r="15" spans="2:7">
      <c r="B15" s="69">
        <v>13</v>
      </c>
      <c r="C15" s="11" t="s">
        <v>189</v>
      </c>
      <c r="D15" s="73">
        <v>0.09</v>
      </c>
      <c r="E15" s="71" t="s">
        <v>190</v>
      </c>
    </row>
  </sheetData>
  <mergeCells count="1">
    <mergeCell ref="B1:E1"/>
  </mergeCells>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K68"/>
  <sheetViews>
    <sheetView showGridLines="0" tabSelected="1" topLeftCell="C1" zoomScale="120" zoomScaleNormal="120" workbookViewId="0">
      <pane xSplit="4" ySplit="6" topLeftCell="G22" activePane="bottomRight" state="frozen"/>
      <selection activeCell="C1" sqref="C1"/>
      <selection pane="topRight" activeCell="G1" sqref="G1"/>
      <selection pane="bottomLeft" activeCell="C7" sqref="C7"/>
      <selection pane="bottomRight" activeCell="N37" sqref="N37"/>
    </sheetView>
  </sheetViews>
  <sheetFormatPr defaultColWidth="9.140625" defaultRowHeight="14.25"/>
  <cols>
    <col min="1" max="1" width="1.42578125" style="1" customWidth="1"/>
    <col min="2" max="2" width="23.140625" style="1" customWidth="1"/>
    <col min="3" max="3" width="21.85546875" style="75" customWidth="1"/>
    <col min="4" max="4" width="32.85546875" style="76" customWidth="1"/>
    <col min="5" max="5" width="11.85546875" style="77" hidden="1" customWidth="1"/>
    <col min="6" max="6" width="30.28515625" style="1" hidden="1" customWidth="1"/>
    <col min="7" max="7" width="13.7109375" style="1" customWidth="1"/>
    <col min="8" max="8" width="8.140625" style="1" customWidth="1"/>
    <col min="9" max="9" width="11.85546875" style="1" customWidth="1"/>
    <col min="10" max="10" width="12.85546875" style="1" customWidth="1"/>
    <col min="11" max="11" width="12.5703125" style="1" customWidth="1"/>
    <col min="12" max="12" width="13.7109375" style="1" customWidth="1"/>
    <col min="13" max="15" width="10" style="1" customWidth="1"/>
    <col min="16" max="17" width="13.5703125" style="1" customWidth="1"/>
    <col min="18" max="18" width="10.42578125" style="1" customWidth="1"/>
    <col min="19" max="19" width="11.140625" style="19" bestFit="1" customWidth="1"/>
    <col min="20" max="20" width="12.28515625" style="19" bestFit="1" customWidth="1"/>
    <col min="21" max="21" width="13.140625" style="19" customWidth="1"/>
    <col min="22" max="22" width="12.28515625" style="19" bestFit="1" customWidth="1"/>
    <col min="23" max="23" width="11.28515625" style="19" bestFit="1" customWidth="1"/>
    <col min="24" max="24" width="9.140625" style="19"/>
    <col min="25" max="25" width="11.42578125" style="19" customWidth="1"/>
    <col min="26" max="973" width="9.140625" style="19"/>
    <col min="974" max="16384" width="9.140625" style="1"/>
  </cols>
  <sheetData>
    <row r="1" spans="2:973">
      <c r="B1" s="74" t="s">
        <v>0</v>
      </c>
    </row>
    <row r="2" spans="2:973">
      <c r="B2" s="74" t="s">
        <v>1</v>
      </c>
    </row>
    <row r="3" spans="2:973" ht="15" thickBot="1">
      <c r="B3" s="74"/>
    </row>
    <row r="4" spans="2:973" ht="15" thickBot="1">
      <c r="B4" s="78"/>
      <c r="C4" s="79"/>
      <c r="D4" s="80"/>
      <c r="E4" s="81"/>
      <c r="F4" s="79"/>
      <c r="G4" s="218" t="s">
        <v>2</v>
      </c>
      <c r="H4" s="219"/>
      <c r="I4" s="219"/>
      <c r="J4" s="220"/>
      <c r="K4" s="218" t="s">
        <v>3</v>
      </c>
      <c r="L4" s="219"/>
      <c r="M4" s="219"/>
      <c r="N4" s="219"/>
      <c r="O4" s="219"/>
      <c r="P4" s="219"/>
      <c r="Q4" s="82"/>
      <c r="R4" s="221" t="s">
        <v>4</v>
      </c>
    </row>
    <row r="5" spans="2:973">
      <c r="B5" s="83"/>
      <c r="C5" s="84"/>
      <c r="D5" s="85"/>
      <c r="E5" s="84"/>
      <c r="F5" s="84"/>
      <c r="G5" s="84"/>
      <c r="H5" s="84"/>
      <c r="I5" s="84"/>
      <c r="J5" s="86"/>
      <c r="K5" s="87"/>
      <c r="L5" s="88"/>
      <c r="M5" s="88"/>
      <c r="N5" s="88"/>
      <c r="O5" s="88"/>
      <c r="P5" s="88"/>
      <c r="Q5" s="89"/>
      <c r="R5" s="222"/>
    </row>
    <row r="6" spans="2:973" ht="24.75" thickBot="1">
      <c r="B6" s="83" t="s">
        <v>5</v>
      </c>
      <c r="C6" s="90" t="s">
        <v>6</v>
      </c>
      <c r="D6" s="90" t="s">
        <v>7</v>
      </c>
      <c r="E6" s="90" t="s">
        <v>8</v>
      </c>
      <c r="F6" s="90" t="s">
        <v>9</v>
      </c>
      <c r="G6" s="90" t="s">
        <v>10</v>
      </c>
      <c r="H6" s="90" t="s">
        <v>11</v>
      </c>
      <c r="I6" s="90" t="s">
        <v>12</v>
      </c>
      <c r="J6" s="91" t="s">
        <v>13</v>
      </c>
      <c r="K6" s="92" t="s">
        <v>14</v>
      </c>
      <c r="L6" s="90" t="s">
        <v>15</v>
      </c>
      <c r="M6" s="90" t="s">
        <v>16</v>
      </c>
      <c r="N6" s="90" t="s">
        <v>17</v>
      </c>
      <c r="O6" s="90" t="s">
        <v>18</v>
      </c>
      <c r="P6" s="90" t="s">
        <v>19</v>
      </c>
      <c r="Q6" s="90" t="s">
        <v>20</v>
      </c>
      <c r="R6" s="223"/>
      <c r="T6" s="93"/>
      <c r="U6" s="93"/>
      <c r="V6" s="93"/>
    </row>
    <row r="7" spans="2:973" ht="32.450000000000003" customHeight="1">
      <c r="B7" s="224" t="s">
        <v>21</v>
      </c>
      <c r="C7" s="226" t="s">
        <v>22</v>
      </c>
      <c r="D7" s="94" t="s">
        <v>23</v>
      </c>
      <c r="E7" s="95" t="s">
        <v>24</v>
      </c>
      <c r="F7" s="95" t="s">
        <v>25</v>
      </c>
      <c r="G7" s="96" t="s">
        <v>26</v>
      </c>
      <c r="H7" s="97">
        <v>60</v>
      </c>
      <c r="I7" s="97">
        <v>500</v>
      </c>
      <c r="J7" s="98">
        <f>SUM(H7*I7)</f>
        <v>30000</v>
      </c>
      <c r="K7" s="97">
        <v>15000</v>
      </c>
      <c r="L7" s="99">
        <v>15000</v>
      </c>
      <c r="M7" s="99"/>
      <c r="N7" s="99"/>
      <c r="O7" s="99"/>
      <c r="P7" s="97">
        <f>SUM(K7:O7)</f>
        <v>30000</v>
      </c>
      <c r="Q7" s="100">
        <v>2500</v>
      </c>
      <c r="R7" s="101" t="s">
        <v>27</v>
      </c>
      <c r="S7" s="102"/>
      <c r="T7" s="103"/>
      <c r="U7" s="103"/>
      <c r="V7" s="103"/>
    </row>
    <row r="8" spans="2:973">
      <c r="B8" s="225"/>
      <c r="C8" s="227"/>
      <c r="D8" s="228" t="s">
        <v>28</v>
      </c>
      <c r="E8" s="228" t="s">
        <v>24</v>
      </c>
      <c r="F8" s="228" t="s">
        <v>29</v>
      </c>
      <c r="G8" s="230" t="s">
        <v>26</v>
      </c>
      <c r="H8" s="232">
        <v>30</v>
      </c>
      <c r="I8" s="232">
        <v>250</v>
      </c>
      <c r="J8" s="238">
        <f>SUM(H8*I8)</f>
        <v>7500</v>
      </c>
      <c r="K8" s="232">
        <v>2500</v>
      </c>
      <c r="L8" s="232">
        <v>5000</v>
      </c>
      <c r="M8" s="232"/>
      <c r="N8" s="232"/>
      <c r="O8" s="234"/>
      <c r="P8" s="234">
        <f>SUM(K8:O9)</f>
        <v>7500</v>
      </c>
      <c r="Q8" s="104">
        <v>50000</v>
      </c>
      <c r="R8" s="105"/>
      <c r="S8" s="106"/>
      <c r="Y8" s="103"/>
    </row>
    <row r="9" spans="2:973">
      <c r="B9" s="225"/>
      <c r="C9" s="227"/>
      <c r="D9" s="229"/>
      <c r="E9" s="229"/>
      <c r="F9" s="229"/>
      <c r="G9" s="231"/>
      <c r="H9" s="233"/>
      <c r="I9" s="233"/>
      <c r="J9" s="239"/>
      <c r="K9" s="233"/>
      <c r="L9" s="233"/>
      <c r="M9" s="233"/>
      <c r="N9" s="233"/>
      <c r="O9" s="235"/>
      <c r="P9" s="235"/>
      <c r="Q9" s="107"/>
      <c r="R9" s="101" t="s">
        <v>30</v>
      </c>
      <c r="S9" s="106"/>
      <c r="U9" s="103"/>
      <c r="W9" s="62"/>
    </row>
    <row r="10" spans="2:973">
      <c r="B10" s="225"/>
      <c r="C10" s="227"/>
      <c r="D10" s="228" t="s">
        <v>31</v>
      </c>
      <c r="E10" s="228" t="s">
        <v>24</v>
      </c>
      <c r="F10" s="228" t="s">
        <v>29</v>
      </c>
      <c r="G10" s="230" t="s">
        <v>26</v>
      </c>
      <c r="H10" s="236">
        <v>10</v>
      </c>
      <c r="I10" s="236">
        <v>250</v>
      </c>
      <c r="J10" s="238">
        <f>SUM(H10*I10)</f>
        <v>2500</v>
      </c>
      <c r="K10" s="232"/>
      <c r="L10" s="232">
        <v>2500</v>
      </c>
      <c r="M10" s="232"/>
      <c r="N10" s="232"/>
      <c r="O10" s="232"/>
      <c r="P10" s="232">
        <f>SUM(K10:O11)</f>
        <v>2500</v>
      </c>
      <c r="Q10" s="108">
        <v>25000</v>
      </c>
      <c r="R10" s="105"/>
      <c r="S10" s="106"/>
      <c r="T10" s="103"/>
      <c r="U10" s="103"/>
      <c r="V10" s="103"/>
      <c r="W10" s="103"/>
    </row>
    <row r="11" spans="2:973">
      <c r="B11" s="225"/>
      <c r="C11" s="227"/>
      <c r="D11" s="229"/>
      <c r="E11" s="229"/>
      <c r="F11" s="229"/>
      <c r="G11" s="231"/>
      <c r="H11" s="237"/>
      <c r="I11" s="237"/>
      <c r="J11" s="239"/>
      <c r="K11" s="233"/>
      <c r="L11" s="233"/>
      <c r="M11" s="233"/>
      <c r="N11" s="233"/>
      <c r="O11" s="233"/>
      <c r="P11" s="233"/>
      <c r="Q11" s="109"/>
      <c r="R11" s="101" t="s">
        <v>32</v>
      </c>
      <c r="S11" s="62"/>
      <c r="U11" s="103"/>
      <c r="V11" s="103"/>
    </row>
    <row r="12" spans="2:973" s="118" customFormat="1">
      <c r="B12" s="225"/>
      <c r="C12" s="227"/>
      <c r="D12" s="110" t="s">
        <v>33</v>
      </c>
      <c r="E12" s="111" t="s">
        <v>24</v>
      </c>
      <c r="F12" s="112" t="s">
        <v>34</v>
      </c>
      <c r="G12" s="113" t="s">
        <v>35</v>
      </c>
      <c r="H12" s="109">
        <f>30*5</f>
        <v>150</v>
      </c>
      <c r="I12" s="109">
        <v>500</v>
      </c>
      <c r="J12" s="114">
        <f>SUM(H12*I12)</f>
        <v>75000</v>
      </c>
      <c r="K12" s="109">
        <v>15000</v>
      </c>
      <c r="L12" s="109">
        <v>25000</v>
      </c>
      <c r="M12" s="109">
        <v>35000</v>
      </c>
      <c r="N12" s="109"/>
      <c r="O12" s="109"/>
      <c r="P12" s="109">
        <f>SUM(K12:O12)</f>
        <v>75000</v>
      </c>
      <c r="Q12" s="109">
        <v>100000</v>
      </c>
      <c r="R12" s="115" t="s">
        <v>36</v>
      </c>
      <c r="S12" s="116"/>
      <c r="T12" s="116"/>
      <c r="U12" s="117"/>
      <c r="V12" s="116"/>
      <c r="W12" s="116"/>
      <c r="X12" s="116"/>
      <c r="Y12" s="116"/>
      <c r="Z12" s="116"/>
      <c r="AA12" s="116"/>
      <c r="AB12" s="116"/>
      <c r="AC12" s="116"/>
      <c r="AD12" s="116"/>
      <c r="AE12" s="116"/>
      <c r="AF12" s="116"/>
      <c r="AG12" s="116"/>
      <c r="AH12" s="116"/>
      <c r="AI12" s="116"/>
      <c r="AJ12" s="116"/>
      <c r="AK12" s="116"/>
      <c r="AL12" s="116"/>
      <c r="AM12" s="116"/>
      <c r="AN12" s="116"/>
      <c r="AO12" s="116"/>
      <c r="AP12" s="116"/>
      <c r="AQ12" s="116"/>
      <c r="AR12" s="116"/>
      <c r="AS12" s="116"/>
      <c r="AT12" s="116"/>
      <c r="AU12" s="116"/>
      <c r="AV12" s="116"/>
      <c r="AW12" s="116"/>
      <c r="AX12" s="116"/>
      <c r="AY12" s="116"/>
      <c r="AZ12" s="116"/>
      <c r="BA12" s="116"/>
      <c r="BB12" s="116"/>
      <c r="BC12" s="116"/>
      <c r="BD12" s="116"/>
      <c r="BE12" s="116"/>
      <c r="BF12" s="116"/>
      <c r="BG12" s="116"/>
      <c r="BH12" s="116"/>
      <c r="BI12" s="116"/>
      <c r="BJ12" s="116"/>
      <c r="BK12" s="116"/>
      <c r="BL12" s="116"/>
      <c r="BM12" s="116"/>
      <c r="BN12" s="116"/>
      <c r="BO12" s="116"/>
      <c r="BP12" s="116"/>
      <c r="BQ12" s="116"/>
      <c r="BR12" s="116"/>
      <c r="BS12" s="116"/>
      <c r="BT12" s="116"/>
      <c r="BU12" s="116"/>
      <c r="BV12" s="116"/>
      <c r="BW12" s="116"/>
      <c r="BX12" s="116"/>
      <c r="BY12" s="116"/>
      <c r="BZ12" s="116"/>
      <c r="CA12" s="116"/>
      <c r="CB12" s="116"/>
      <c r="CC12" s="116"/>
      <c r="CD12" s="116"/>
      <c r="CE12" s="116"/>
      <c r="CF12" s="116"/>
      <c r="CG12" s="116"/>
      <c r="CH12" s="116"/>
      <c r="CI12" s="116"/>
      <c r="CJ12" s="116"/>
      <c r="CK12" s="116"/>
      <c r="CL12" s="116"/>
      <c r="CM12" s="116"/>
      <c r="CN12" s="116"/>
      <c r="CO12" s="116"/>
      <c r="CP12" s="116"/>
      <c r="CQ12" s="116"/>
      <c r="CR12" s="116"/>
      <c r="CS12" s="116"/>
      <c r="CT12" s="116"/>
      <c r="CU12" s="116"/>
      <c r="CV12" s="116"/>
      <c r="CW12" s="116"/>
      <c r="CX12" s="116"/>
      <c r="CY12" s="116"/>
      <c r="CZ12" s="116"/>
      <c r="DA12" s="116"/>
      <c r="DB12" s="116"/>
      <c r="DC12" s="116"/>
      <c r="DD12" s="116"/>
      <c r="DE12" s="116"/>
      <c r="DF12" s="116"/>
      <c r="DG12" s="116"/>
      <c r="DH12" s="116"/>
      <c r="DI12" s="116"/>
      <c r="DJ12" s="116"/>
      <c r="DK12" s="116"/>
      <c r="DL12" s="116"/>
      <c r="DM12" s="116"/>
      <c r="DN12" s="116"/>
      <c r="DO12" s="116"/>
      <c r="DP12" s="116"/>
      <c r="DQ12" s="116"/>
      <c r="DR12" s="116"/>
      <c r="DS12" s="116"/>
      <c r="DT12" s="116"/>
      <c r="DU12" s="116"/>
      <c r="DV12" s="116"/>
      <c r="DW12" s="116"/>
      <c r="DX12" s="116"/>
      <c r="DY12" s="116"/>
      <c r="DZ12" s="116"/>
      <c r="EA12" s="116"/>
      <c r="EB12" s="116"/>
      <c r="EC12" s="116"/>
      <c r="ED12" s="116"/>
      <c r="EE12" s="116"/>
      <c r="EF12" s="116"/>
      <c r="EG12" s="116"/>
      <c r="EH12" s="116"/>
      <c r="EI12" s="116"/>
      <c r="EJ12" s="116"/>
      <c r="EK12" s="116"/>
      <c r="EL12" s="116"/>
      <c r="EM12" s="116"/>
      <c r="EN12" s="116"/>
      <c r="EO12" s="116"/>
      <c r="EP12" s="116"/>
      <c r="EQ12" s="116"/>
      <c r="ER12" s="116"/>
      <c r="ES12" s="116"/>
      <c r="ET12" s="116"/>
      <c r="EU12" s="116"/>
      <c r="EV12" s="116"/>
      <c r="EW12" s="116"/>
      <c r="EX12" s="116"/>
      <c r="EY12" s="116"/>
      <c r="EZ12" s="116"/>
      <c r="FA12" s="116"/>
      <c r="FB12" s="116"/>
      <c r="FC12" s="116"/>
      <c r="FD12" s="116"/>
      <c r="FE12" s="116"/>
      <c r="FF12" s="116"/>
      <c r="FG12" s="116"/>
      <c r="FH12" s="116"/>
      <c r="FI12" s="116"/>
      <c r="FJ12" s="116"/>
      <c r="FK12" s="116"/>
      <c r="FL12" s="116"/>
      <c r="FM12" s="116"/>
      <c r="FN12" s="116"/>
      <c r="FO12" s="116"/>
      <c r="FP12" s="116"/>
      <c r="FQ12" s="116"/>
      <c r="FR12" s="116"/>
      <c r="FS12" s="116"/>
      <c r="FT12" s="116"/>
      <c r="FU12" s="116"/>
      <c r="FV12" s="116"/>
      <c r="FW12" s="116"/>
      <c r="FX12" s="116"/>
      <c r="FY12" s="116"/>
      <c r="FZ12" s="116"/>
      <c r="GA12" s="116"/>
      <c r="GB12" s="116"/>
      <c r="GC12" s="116"/>
      <c r="GD12" s="116"/>
      <c r="GE12" s="116"/>
      <c r="GF12" s="116"/>
      <c r="GG12" s="116"/>
      <c r="GH12" s="116"/>
      <c r="GI12" s="116"/>
      <c r="GJ12" s="116"/>
      <c r="GK12" s="116"/>
      <c r="GL12" s="116"/>
      <c r="GM12" s="116"/>
      <c r="GN12" s="116"/>
      <c r="GO12" s="116"/>
      <c r="GP12" s="116"/>
      <c r="GQ12" s="116"/>
      <c r="GR12" s="116"/>
      <c r="GS12" s="116"/>
      <c r="GT12" s="116"/>
      <c r="GU12" s="116"/>
      <c r="GV12" s="116"/>
      <c r="GW12" s="116"/>
      <c r="GX12" s="116"/>
      <c r="GY12" s="116"/>
      <c r="GZ12" s="116"/>
      <c r="HA12" s="116"/>
      <c r="HB12" s="116"/>
      <c r="HC12" s="116"/>
      <c r="HD12" s="116"/>
      <c r="HE12" s="116"/>
      <c r="HF12" s="116"/>
      <c r="HG12" s="116"/>
      <c r="HH12" s="116"/>
      <c r="HI12" s="116"/>
      <c r="HJ12" s="116"/>
      <c r="HK12" s="116"/>
      <c r="HL12" s="116"/>
      <c r="HM12" s="116"/>
      <c r="HN12" s="116"/>
      <c r="HO12" s="116"/>
      <c r="HP12" s="116"/>
      <c r="HQ12" s="116"/>
      <c r="HR12" s="116"/>
      <c r="HS12" s="116"/>
      <c r="HT12" s="116"/>
      <c r="HU12" s="116"/>
      <c r="HV12" s="116"/>
      <c r="HW12" s="116"/>
      <c r="HX12" s="116"/>
      <c r="HY12" s="116"/>
      <c r="HZ12" s="116"/>
      <c r="IA12" s="116"/>
      <c r="IB12" s="116"/>
      <c r="IC12" s="116"/>
      <c r="ID12" s="116"/>
      <c r="IE12" s="116"/>
      <c r="IF12" s="116"/>
      <c r="IG12" s="116"/>
      <c r="IH12" s="116"/>
      <c r="II12" s="116"/>
      <c r="IJ12" s="116"/>
      <c r="IK12" s="116"/>
      <c r="IL12" s="116"/>
      <c r="IM12" s="116"/>
      <c r="IN12" s="116"/>
      <c r="IO12" s="116"/>
      <c r="IP12" s="116"/>
      <c r="IQ12" s="116"/>
      <c r="IR12" s="116"/>
      <c r="IS12" s="116"/>
      <c r="IT12" s="116"/>
      <c r="IU12" s="116"/>
      <c r="IV12" s="116"/>
      <c r="IW12" s="116"/>
      <c r="IX12" s="116"/>
      <c r="IY12" s="116"/>
      <c r="IZ12" s="116"/>
      <c r="JA12" s="116"/>
      <c r="JB12" s="116"/>
      <c r="JC12" s="116"/>
      <c r="JD12" s="116"/>
      <c r="JE12" s="116"/>
      <c r="JF12" s="116"/>
      <c r="JG12" s="116"/>
      <c r="JH12" s="116"/>
      <c r="JI12" s="116"/>
      <c r="JJ12" s="116"/>
      <c r="JK12" s="116"/>
      <c r="JL12" s="116"/>
      <c r="JM12" s="116"/>
      <c r="JN12" s="116"/>
      <c r="JO12" s="116"/>
      <c r="JP12" s="116"/>
      <c r="JQ12" s="116"/>
      <c r="JR12" s="116"/>
      <c r="JS12" s="116"/>
      <c r="JT12" s="116"/>
      <c r="JU12" s="116"/>
      <c r="JV12" s="116"/>
      <c r="JW12" s="116"/>
      <c r="JX12" s="116"/>
      <c r="JY12" s="116"/>
      <c r="JZ12" s="116"/>
      <c r="KA12" s="116"/>
      <c r="KB12" s="116"/>
      <c r="KC12" s="116"/>
      <c r="KD12" s="116"/>
      <c r="KE12" s="116"/>
      <c r="KF12" s="116"/>
      <c r="KG12" s="116"/>
      <c r="KH12" s="116"/>
      <c r="KI12" s="116"/>
      <c r="KJ12" s="116"/>
      <c r="KK12" s="116"/>
      <c r="KL12" s="116"/>
      <c r="KM12" s="116"/>
      <c r="KN12" s="116"/>
      <c r="KO12" s="116"/>
      <c r="KP12" s="116"/>
      <c r="KQ12" s="116"/>
      <c r="KR12" s="116"/>
      <c r="KS12" s="116"/>
      <c r="KT12" s="116"/>
      <c r="KU12" s="116"/>
      <c r="KV12" s="116"/>
      <c r="KW12" s="116"/>
      <c r="KX12" s="116"/>
      <c r="KY12" s="116"/>
      <c r="KZ12" s="116"/>
      <c r="LA12" s="116"/>
      <c r="LB12" s="116"/>
      <c r="LC12" s="116"/>
      <c r="LD12" s="116"/>
      <c r="LE12" s="116"/>
      <c r="LF12" s="116"/>
      <c r="LG12" s="116"/>
      <c r="LH12" s="116"/>
      <c r="LI12" s="116"/>
      <c r="LJ12" s="116"/>
      <c r="LK12" s="116"/>
      <c r="LL12" s="116"/>
      <c r="LM12" s="116"/>
      <c r="LN12" s="116"/>
      <c r="LO12" s="116"/>
      <c r="LP12" s="116"/>
      <c r="LQ12" s="116"/>
      <c r="LR12" s="116"/>
      <c r="LS12" s="116"/>
      <c r="LT12" s="116"/>
      <c r="LU12" s="116"/>
      <c r="LV12" s="116"/>
      <c r="LW12" s="116"/>
      <c r="LX12" s="116"/>
      <c r="LY12" s="116"/>
      <c r="LZ12" s="116"/>
      <c r="MA12" s="116"/>
      <c r="MB12" s="116"/>
      <c r="MC12" s="116"/>
      <c r="MD12" s="116"/>
      <c r="ME12" s="116"/>
      <c r="MF12" s="116"/>
      <c r="MG12" s="116"/>
      <c r="MH12" s="116"/>
      <c r="MI12" s="116"/>
      <c r="MJ12" s="116"/>
      <c r="MK12" s="116"/>
      <c r="ML12" s="116"/>
      <c r="MM12" s="116"/>
      <c r="MN12" s="116"/>
      <c r="MO12" s="116"/>
      <c r="MP12" s="116"/>
      <c r="MQ12" s="116"/>
      <c r="MR12" s="116"/>
      <c r="MS12" s="116"/>
      <c r="MT12" s="116"/>
      <c r="MU12" s="116"/>
      <c r="MV12" s="116"/>
      <c r="MW12" s="116"/>
      <c r="MX12" s="116"/>
      <c r="MY12" s="116"/>
      <c r="MZ12" s="116"/>
      <c r="NA12" s="116"/>
      <c r="NB12" s="116"/>
      <c r="NC12" s="116"/>
      <c r="ND12" s="116"/>
      <c r="NE12" s="116"/>
      <c r="NF12" s="116"/>
      <c r="NG12" s="116"/>
      <c r="NH12" s="116"/>
      <c r="NI12" s="116"/>
      <c r="NJ12" s="116"/>
      <c r="NK12" s="116"/>
      <c r="NL12" s="116"/>
      <c r="NM12" s="116"/>
      <c r="NN12" s="116"/>
      <c r="NO12" s="116"/>
      <c r="NP12" s="116"/>
      <c r="NQ12" s="116"/>
      <c r="NR12" s="116"/>
      <c r="NS12" s="116"/>
      <c r="NT12" s="116"/>
      <c r="NU12" s="116"/>
      <c r="NV12" s="116"/>
      <c r="NW12" s="116"/>
      <c r="NX12" s="116"/>
      <c r="NY12" s="116"/>
      <c r="NZ12" s="116"/>
      <c r="OA12" s="116"/>
      <c r="OB12" s="116"/>
      <c r="OC12" s="116"/>
      <c r="OD12" s="116"/>
      <c r="OE12" s="116"/>
      <c r="OF12" s="116"/>
      <c r="OG12" s="116"/>
      <c r="OH12" s="116"/>
      <c r="OI12" s="116"/>
      <c r="OJ12" s="116"/>
      <c r="OK12" s="116"/>
      <c r="OL12" s="116"/>
      <c r="OM12" s="116"/>
      <c r="ON12" s="116"/>
      <c r="OO12" s="116"/>
      <c r="OP12" s="116"/>
      <c r="OQ12" s="116"/>
      <c r="OR12" s="116"/>
      <c r="OS12" s="116"/>
      <c r="OT12" s="116"/>
      <c r="OU12" s="116"/>
      <c r="OV12" s="116"/>
      <c r="OW12" s="116"/>
      <c r="OX12" s="116"/>
      <c r="OY12" s="116"/>
      <c r="OZ12" s="116"/>
      <c r="PA12" s="116"/>
      <c r="PB12" s="116"/>
      <c r="PC12" s="116"/>
      <c r="PD12" s="116"/>
      <c r="PE12" s="116"/>
      <c r="PF12" s="116"/>
      <c r="PG12" s="116"/>
      <c r="PH12" s="116"/>
      <c r="PI12" s="116"/>
      <c r="PJ12" s="116"/>
      <c r="PK12" s="116"/>
      <c r="PL12" s="116"/>
      <c r="PM12" s="116"/>
      <c r="PN12" s="116"/>
      <c r="PO12" s="116"/>
      <c r="PP12" s="116"/>
      <c r="PQ12" s="116"/>
      <c r="PR12" s="116"/>
      <c r="PS12" s="116"/>
      <c r="PT12" s="116"/>
      <c r="PU12" s="116"/>
      <c r="PV12" s="116"/>
      <c r="PW12" s="116"/>
      <c r="PX12" s="116"/>
      <c r="PY12" s="116"/>
      <c r="PZ12" s="116"/>
      <c r="QA12" s="116"/>
      <c r="QB12" s="116"/>
      <c r="QC12" s="116"/>
      <c r="QD12" s="116"/>
      <c r="QE12" s="116"/>
      <c r="QF12" s="116"/>
      <c r="QG12" s="116"/>
      <c r="QH12" s="116"/>
      <c r="QI12" s="116"/>
      <c r="QJ12" s="116"/>
      <c r="QK12" s="116"/>
      <c r="QL12" s="116"/>
      <c r="QM12" s="116"/>
      <c r="QN12" s="116"/>
      <c r="QO12" s="116"/>
      <c r="QP12" s="116"/>
      <c r="QQ12" s="116"/>
      <c r="QR12" s="116"/>
      <c r="QS12" s="116"/>
      <c r="QT12" s="116"/>
      <c r="QU12" s="116"/>
      <c r="QV12" s="116"/>
      <c r="QW12" s="116"/>
      <c r="QX12" s="116"/>
      <c r="QY12" s="116"/>
      <c r="QZ12" s="116"/>
      <c r="RA12" s="116"/>
      <c r="RB12" s="116"/>
      <c r="RC12" s="116"/>
      <c r="RD12" s="116"/>
      <c r="RE12" s="116"/>
      <c r="RF12" s="116"/>
      <c r="RG12" s="116"/>
      <c r="RH12" s="116"/>
      <c r="RI12" s="116"/>
      <c r="RJ12" s="116"/>
      <c r="RK12" s="116"/>
      <c r="RL12" s="116"/>
      <c r="RM12" s="116"/>
      <c r="RN12" s="116"/>
      <c r="RO12" s="116"/>
      <c r="RP12" s="116"/>
      <c r="RQ12" s="116"/>
      <c r="RR12" s="116"/>
      <c r="RS12" s="116"/>
      <c r="RT12" s="116"/>
      <c r="RU12" s="116"/>
      <c r="RV12" s="116"/>
      <c r="RW12" s="116"/>
      <c r="RX12" s="116"/>
      <c r="RY12" s="116"/>
      <c r="RZ12" s="116"/>
      <c r="SA12" s="116"/>
      <c r="SB12" s="116"/>
      <c r="SC12" s="116"/>
      <c r="SD12" s="116"/>
      <c r="SE12" s="116"/>
      <c r="SF12" s="116"/>
      <c r="SG12" s="116"/>
      <c r="SH12" s="116"/>
      <c r="SI12" s="116"/>
      <c r="SJ12" s="116"/>
      <c r="SK12" s="116"/>
      <c r="SL12" s="116"/>
      <c r="SM12" s="116"/>
      <c r="SN12" s="116"/>
      <c r="SO12" s="116"/>
      <c r="SP12" s="116"/>
      <c r="SQ12" s="116"/>
      <c r="SR12" s="116"/>
      <c r="SS12" s="116"/>
      <c r="ST12" s="116"/>
      <c r="SU12" s="116"/>
      <c r="SV12" s="116"/>
      <c r="SW12" s="116"/>
      <c r="SX12" s="116"/>
      <c r="SY12" s="116"/>
      <c r="SZ12" s="116"/>
      <c r="TA12" s="116"/>
      <c r="TB12" s="116"/>
      <c r="TC12" s="116"/>
      <c r="TD12" s="116"/>
      <c r="TE12" s="116"/>
      <c r="TF12" s="116"/>
      <c r="TG12" s="116"/>
      <c r="TH12" s="116"/>
      <c r="TI12" s="116"/>
      <c r="TJ12" s="116"/>
      <c r="TK12" s="116"/>
      <c r="TL12" s="116"/>
      <c r="TM12" s="116"/>
      <c r="TN12" s="116"/>
      <c r="TO12" s="116"/>
      <c r="TP12" s="116"/>
      <c r="TQ12" s="116"/>
      <c r="TR12" s="116"/>
      <c r="TS12" s="116"/>
      <c r="TT12" s="116"/>
      <c r="TU12" s="116"/>
      <c r="TV12" s="116"/>
      <c r="TW12" s="116"/>
      <c r="TX12" s="116"/>
      <c r="TY12" s="116"/>
      <c r="TZ12" s="116"/>
      <c r="UA12" s="116"/>
      <c r="UB12" s="116"/>
      <c r="UC12" s="116"/>
      <c r="UD12" s="116"/>
      <c r="UE12" s="116"/>
      <c r="UF12" s="116"/>
      <c r="UG12" s="116"/>
      <c r="UH12" s="116"/>
      <c r="UI12" s="116"/>
      <c r="UJ12" s="116"/>
      <c r="UK12" s="116"/>
      <c r="UL12" s="116"/>
      <c r="UM12" s="116"/>
      <c r="UN12" s="116"/>
      <c r="UO12" s="116"/>
      <c r="UP12" s="116"/>
      <c r="UQ12" s="116"/>
      <c r="UR12" s="116"/>
      <c r="US12" s="116"/>
      <c r="UT12" s="116"/>
      <c r="UU12" s="116"/>
      <c r="UV12" s="116"/>
      <c r="UW12" s="116"/>
      <c r="UX12" s="116"/>
      <c r="UY12" s="116"/>
      <c r="UZ12" s="116"/>
      <c r="VA12" s="116"/>
      <c r="VB12" s="116"/>
      <c r="VC12" s="116"/>
      <c r="VD12" s="116"/>
      <c r="VE12" s="116"/>
      <c r="VF12" s="116"/>
      <c r="VG12" s="116"/>
      <c r="VH12" s="116"/>
      <c r="VI12" s="116"/>
      <c r="VJ12" s="116"/>
      <c r="VK12" s="116"/>
      <c r="VL12" s="116"/>
      <c r="VM12" s="116"/>
      <c r="VN12" s="116"/>
      <c r="VO12" s="116"/>
      <c r="VP12" s="116"/>
      <c r="VQ12" s="116"/>
      <c r="VR12" s="116"/>
      <c r="VS12" s="116"/>
      <c r="VT12" s="116"/>
      <c r="VU12" s="116"/>
      <c r="VV12" s="116"/>
      <c r="VW12" s="116"/>
      <c r="VX12" s="116"/>
      <c r="VY12" s="116"/>
      <c r="VZ12" s="116"/>
      <c r="WA12" s="116"/>
      <c r="WB12" s="116"/>
      <c r="WC12" s="116"/>
      <c r="WD12" s="116"/>
      <c r="WE12" s="116"/>
      <c r="WF12" s="116"/>
      <c r="WG12" s="116"/>
      <c r="WH12" s="116"/>
      <c r="WI12" s="116"/>
      <c r="WJ12" s="116"/>
      <c r="WK12" s="116"/>
      <c r="WL12" s="116"/>
      <c r="WM12" s="116"/>
      <c r="WN12" s="116"/>
      <c r="WO12" s="116"/>
      <c r="WP12" s="116"/>
      <c r="WQ12" s="116"/>
      <c r="WR12" s="116"/>
      <c r="WS12" s="116"/>
      <c r="WT12" s="116"/>
      <c r="WU12" s="116"/>
      <c r="WV12" s="116"/>
      <c r="WW12" s="116"/>
      <c r="WX12" s="116"/>
      <c r="WY12" s="116"/>
      <c r="WZ12" s="116"/>
      <c r="XA12" s="116"/>
      <c r="XB12" s="116"/>
      <c r="XC12" s="116"/>
      <c r="XD12" s="116"/>
      <c r="XE12" s="116"/>
      <c r="XF12" s="116"/>
      <c r="XG12" s="116"/>
      <c r="XH12" s="116"/>
      <c r="XI12" s="116"/>
      <c r="XJ12" s="116"/>
      <c r="XK12" s="116"/>
      <c r="XL12" s="116"/>
      <c r="XM12" s="116"/>
      <c r="XN12" s="116"/>
      <c r="XO12" s="116"/>
      <c r="XP12" s="116"/>
      <c r="XQ12" s="116"/>
      <c r="XR12" s="116"/>
      <c r="XS12" s="116"/>
      <c r="XT12" s="116"/>
      <c r="XU12" s="116"/>
      <c r="XV12" s="116"/>
      <c r="XW12" s="116"/>
      <c r="XX12" s="116"/>
      <c r="XY12" s="116"/>
      <c r="XZ12" s="116"/>
      <c r="YA12" s="116"/>
      <c r="YB12" s="116"/>
      <c r="YC12" s="116"/>
      <c r="YD12" s="116"/>
      <c r="YE12" s="116"/>
      <c r="YF12" s="116"/>
      <c r="YG12" s="116"/>
      <c r="YH12" s="116"/>
      <c r="YI12" s="116"/>
      <c r="YJ12" s="116"/>
      <c r="YK12" s="116"/>
      <c r="YL12" s="116"/>
      <c r="YM12" s="116"/>
      <c r="YN12" s="116"/>
      <c r="YO12" s="116"/>
      <c r="YP12" s="116"/>
      <c r="YQ12" s="116"/>
      <c r="YR12" s="116"/>
      <c r="YS12" s="116"/>
      <c r="YT12" s="116"/>
      <c r="YU12" s="116"/>
      <c r="YV12" s="116"/>
      <c r="YW12" s="116"/>
      <c r="YX12" s="116"/>
      <c r="YY12" s="116"/>
      <c r="YZ12" s="116"/>
      <c r="ZA12" s="116"/>
      <c r="ZB12" s="116"/>
      <c r="ZC12" s="116"/>
      <c r="ZD12" s="116"/>
      <c r="ZE12" s="116"/>
      <c r="ZF12" s="116"/>
      <c r="ZG12" s="116"/>
      <c r="ZH12" s="116"/>
      <c r="ZI12" s="116"/>
      <c r="ZJ12" s="116"/>
      <c r="ZK12" s="116"/>
      <c r="ZL12" s="116"/>
      <c r="ZM12" s="116"/>
      <c r="ZN12" s="116"/>
      <c r="ZO12" s="116"/>
      <c r="ZP12" s="116"/>
      <c r="ZQ12" s="116"/>
      <c r="ZR12" s="116"/>
      <c r="ZS12" s="116"/>
      <c r="ZT12" s="116"/>
      <c r="ZU12" s="116"/>
      <c r="ZV12" s="116"/>
      <c r="ZW12" s="116"/>
      <c r="ZX12" s="116"/>
      <c r="ZY12" s="116"/>
      <c r="ZZ12" s="116"/>
      <c r="AAA12" s="116"/>
      <c r="AAB12" s="116"/>
      <c r="AAC12" s="116"/>
      <c r="AAD12" s="116"/>
      <c r="AAE12" s="116"/>
      <c r="AAF12" s="116"/>
      <c r="AAG12" s="116"/>
      <c r="AAH12" s="116"/>
      <c r="AAI12" s="116"/>
      <c r="AAJ12" s="116"/>
      <c r="AAK12" s="116"/>
      <c r="AAL12" s="116"/>
      <c r="AAM12" s="116"/>
      <c r="AAN12" s="116"/>
      <c r="AAO12" s="116"/>
      <c r="AAP12" s="116"/>
      <c r="AAQ12" s="116"/>
      <c r="AAR12" s="116"/>
      <c r="AAS12" s="116"/>
      <c r="AAT12" s="116"/>
      <c r="AAU12" s="116"/>
      <c r="AAV12" s="116"/>
      <c r="AAW12" s="116"/>
      <c r="AAX12" s="116"/>
      <c r="AAY12" s="116"/>
      <c r="AAZ12" s="116"/>
      <c r="ABA12" s="116"/>
      <c r="ABB12" s="116"/>
      <c r="ABC12" s="116"/>
      <c r="ABD12" s="116"/>
      <c r="ABE12" s="116"/>
      <c r="ABF12" s="116"/>
      <c r="ABG12" s="116"/>
      <c r="ABH12" s="116"/>
      <c r="ABI12" s="116"/>
      <c r="ABJ12" s="116"/>
      <c r="ABK12" s="116"/>
      <c r="ABL12" s="116"/>
      <c r="ABM12" s="116"/>
      <c r="ABN12" s="116"/>
      <c r="ABO12" s="116"/>
      <c r="ABP12" s="116"/>
      <c r="ABQ12" s="116"/>
      <c r="ABR12" s="116"/>
      <c r="ABS12" s="116"/>
      <c r="ABT12" s="116"/>
      <c r="ABU12" s="116"/>
      <c r="ABV12" s="116"/>
      <c r="ABW12" s="116"/>
      <c r="ABX12" s="116"/>
      <c r="ABY12" s="116"/>
      <c r="ABZ12" s="116"/>
      <c r="ACA12" s="116"/>
      <c r="ACB12" s="116"/>
      <c r="ACC12" s="116"/>
      <c r="ACD12" s="116"/>
      <c r="ACE12" s="116"/>
      <c r="ACF12" s="116"/>
      <c r="ACG12" s="116"/>
      <c r="ACH12" s="116"/>
      <c r="ACI12" s="116"/>
      <c r="ACJ12" s="116"/>
      <c r="ACK12" s="116"/>
      <c r="ACL12" s="116"/>
      <c r="ACM12" s="116"/>
      <c r="ACN12" s="116"/>
      <c r="ACO12" s="116"/>
      <c r="ACP12" s="116"/>
      <c r="ACQ12" s="116"/>
      <c r="ACR12" s="116"/>
      <c r="ACS12" s="116"/>
      <c r="ACT12" s="116"/>
      <c r="ACU12" s="116"/>
      <c r="ACV12" s="116"/>
      <c r="ACW12" s="116"/>
      <c r="ACX12" s="116"/>
      <c r="ACY12" s="116"/>
      <c r="ACZ12" s="116"/>
      <c r="ADA12" s="116"/>
      <c r="ADB12" s="116"/>
      <c r="ADC12" s="116"/>
      <c r="ADD12" s="116"/>
      <c r="ADE12" s="116"/>
      <c r="ADF12" s="116"/>
      <c r="ADG12" s="116"/>
      <c r="ADH12" s="116"/>
      <c r="ADI12" s="116"/>
      <c r="ADJ12" s="116"/>
      <c r="ADK12" s="116"/>
      <c r="ADL12" s="116"/>
      <c r="ADM12" s="116"/>
      <c r="ADN12" s="116"/>
      <c r="ADO12" s="116"/>
      <c r="ADP12" s="116"/>
      <c r="ADQ12" s="116"/>
      <c r="ADR12" s="116"/>
      <c r="ADS12" s="116"/>
      <c r="ADT12" s="116"/>
      <c r="ADU12" s="116"/>
      <c r="ADV12" s="116"/>
      <c r="ADW12" s="116"/>
      <c r="ADX12" s="116"/>
      <c r="ADY12" s="116"/>
      <c r="ADZ12" s="116"/>
      <c r="AEA12" s="116"/>
      <c r="AEB12" s="116"/>
      <c r="AEC12" s="116"/>
      <c r="AED12" s="116"/>
      <c r="AEE12" s="116"/>
      <c r="AEF12" s="116"/>
      <c r="AEG12" s="116"/>
      <c r="AEH12" s="116"/>
      <c r="AEI12" s="116"/>
      <c r="AEJ12" s="116"/>
      <c r="AEK12" s="116"/>
      <c r="AEL12" s="116"/>
      <c r="AEM12" s="116"/>
      <c r="AEN12" s="116"/>
      <c r="AEO12" s="116"/>
      <c r="AEP12" s="116"/>
      <c r="AEQ12" s="116"/>
      <c r="AER12" s="116"/>
      <c r="AES12" s="116"/>
      <c r="AET12" s="116"/>
      <c r="AEU12" s="116"/>
      <c r="AEV12" s="116"/>
      <c r="AEW12" s="116"/>
      <c r="AEX12" s="116"/>
      <c r="AEY12" s="116"/>
      <c r="AEZ12" s="116"/>
      <c r="AFA12" s="116"/>
      <c r="AFB12" s="116"/>
      <c r="AFC12" s="116"/>
      <c r="AFD12" s="116"/>
      <c r="AFE12" s="116"/>
      <c r="AFF12" s="116"/>
      <c r="AFG12" s="116"/>
      <c r="AFH12" s="116"/>
      <c r="AFI12" s="116"/>
      <c r="AFJ12" s="116"/>
      <c r="AFK12" s="116"/>
      <c r="AFL12" s="116"/>
      <c r="AFM12" s="116"/>
      <c r="AFN12" s="116"/>
      <c r="AFO12" s="116"/>
      <c r="AFP12" s="116"/>
      <c r="AFQ12" s="116"/>
      <c r="AFR12" s="116"/>
      <c r="AFS12" s="116"/>
      <c r="AFT12" s="116"/>
      <c r="AFU12" s="116"/>
      <c r="AFV12" s="116"/>
      <c r="AFW12" s="116"/>
      <c r="AFX12" s="116"/>
      <c r="AFY12" s="116"/>
      <c r="AFZ12" s="116"/>
      <c r="AGA12" s="116"/>
      <c r="AGB12" s="116"/>
      <c r="AGC12" s="116"/>
      <c r="AGD12" s="116"/>
      <c r="AGE12" s="116"/>
      <c r="AGF12" s="116"/>
      <c r="AGG12" s="116"/>
      <c r="AGH12" s="116"/>
      <c r="AGI12" s="116"/>
      <c r="AGJ12" s="116"/>
      <c r="AGK12" s="116"/>
      <c r="AGL12" s="116"/>
      <c r="AGM12" s="116"/>
      <c r="AGN12" s="116"/>
      <c r="AGO12" s="116"/>
      <c r="AGP12" s="116"/>
      <c r="AGQ12" s="116"/>
      <c r="AGR12" s="116"/>
      <c r="AGS12" s="116"/>
      <c r="AGT12" s="116"/>
      <c r="AGU12" s="116"/>
      <c r="AGV12" s="116"/>
      <c r="AGW12" s="116"/>
      <c r="AGX12" s="116"/>
      <c r="AGY12" s="116"/>
      <c r="AGZ12" s="116"/>
      <c r="AHA12" s="116"/>
      <c r="AHB12" s="116"/>
      <c r="AHC12" s="116"/>
      <c r="AHD12" s="116"/>
      <c r="AHE12" s="116"/>
      <c r="AHF12" s="116"/>
      <c r="AHG12" s="116"/>
      <c r="AHH12" s="116"/>
      <c r="AHI12" s="116"/>
      <c r="AHJ12" s="116"/>
      <c r="AHK12" s="116"/>
      <c r="AHL12" s="116"/>
      <c r="AHM12" s="116"/>
      <c r="AHN12" s="116"/>
      <c r="AHO12" s="116"/>
      <c r="AHP12" s="116"/>
      <c r="AHQ12" s="116"/>
      <c r="AHR12" s="116"/>
      <c r="AHS12" s="116"/>
      <c r="AHT12" s="116"/>
      <c r="AHU12" s="116"/>
      <c r="AHV12" s="116"/>
      <c r="AHW12" s="116"/>
      <c r="AHX12" s="116"/>
      <c r="AHY12" s="116"/>
      <c r="AHZ12" s="116"/>
      <c r="AIA12" s="116"/>
      <c r="AIB12" s="116"/>
      <c r="AIC12" s="116"/>
      <c r="AID12" s="116"/>
      <c r="AIE12" s="116"/>
      <c r="AIF12" s="116"/>
      <c r="AIG12" s="116"/>
      <c r="AIH12" s="116"/>
      <c r="AII12" s="116"/>
      <c r="AIJ12" s="116"/>
      <c r="AIK12" s="116"/>
      <c r="AIL12" s="116"/>
      <c r="AIM12" s="116"/>
      <c r="AIN12" s="116"/>
      <c r="AIO12" s="116"/>
      <c r="AIP12" s="116"/>
      <c r="AIQ12" s="116"/>
      <c r="AIR12" s="116"/>
      <c r="AIS12" s="116"/>
      <c r="AIT12" s="116"/>
      <c r="AIU12" s="116"/>
      <c r="AIV12" s="116"/>
      <c r="AIW12" s="116"/>
      <c r="AIX12" s="116"/>
      <c r="AIY12" s="116"/>
      <c r="AIZ12" s="116"/>
      <c r="AJA12" s="116"/>
      <c r="AJB12" s="116"/>
      <c r="AJC12" s="116"/>
      <c r="AJD12" s="116"/>
      <c r="AJE12" s="116"/>
      <c r="AJF12" s="116"/>
      <c r="AJG12" s="116"/>
      <c r="AJH12" s="116"/>
      <c r="AJI12" s="116"/>
      <c r="AJJ12" s="116"/>
      <c r="AJK12" s="116"/>
      <c r="AJL12" s="116"/>
      <c r="AJM12" s="116"/>
      <c r="AJN12" s="116"/>
      <c r="AJO12" s="116"/>
      <c r="AJP12" s="116"/>
      <c r="AJQ12" s="116"/>
      <c r="AJR12" s="116"/>
      <c r="AJS12" s="116"/>
      <c r="AJT12" s="116"/>
      <c r="AJU12" s="116"/>
      <c r="AJV12" s="116"/>
      <c r="AJW12" s="116"/>
      <c r="AJX12" s="116"/>
      <c r="AJY12" s="116"/>
      <c r="AJZ12" s="116"/>
      <c r="AKA12" s="116"/>
      <c r="AKB12" s="116"/>
      <c r="AKC12" s="116"/>
      <c r="AKD12" s="116"/>
      <c r="AKE12" s="116"/>
      <c r="AKF12" s="116"/>
      <c r="AKG12" s="116"/>
      <c r="AKH12" s="116"/>
      <c r="AKI12" s="116"/>
      <c r="AKJ12" s="116"/>
      <c r="AKK12" s="116"/>
    </row>
    <row r="13" spans="2:973" ht="33.75">
      <c r="B13" s="225"/>
      <c r="C13" s="227"/>
      <c r="D13" s="110" t="s">
        <v>37</v>
      </c>
      <c r="E13" s="111" t="s">
        <v>24</v>
      </c>
      <c r="F13" s="112" t="s">
        <v>38</v>
      </c>
      <c r="G13" s="119" t="s">
        <v>39</v>
      </c>
      <c r="H13" s="109">
        <v>165</v>
      </c>
      <c r="I13" s="109">
        <v>500</v>
      </c>
      <c r="J13" s="114">
        <f t="shared" ref="J13:J23" si="0">SUM(H13*I13)</f>
        <v>82500</v>
      </c>
      <c r="K13" s="109"/>
      <c r="L13" s="109">
        <v>30000</v>
      </c>
      <c r="M13" s="109">
        <v>52500</v>
      </c>
      <c r="N13" s="109"/>
      <c r="O13" s="109"/>
      <c r="P13" s="109">
        <f>SUM(K13:O13)</f>
        <v>82500</v>
      </c>
      <c r="Q13" s="109">
        <v>125000</v>
      </c>
      <c r="R13" s="115" t="s">
        <v>40</v>
      </c>
      <c r="U13" s="103"/>
    </row>
    <row r="14" spans="2:973">
      <c r="B14" s="225"/>
      <c r="C14" s="227"/>
      <c r="D14" s="228" t="s">
        <v>41</v>
      </c>
      <c r="E14" s="228" t="s">
        <v>24</v>
      </c>
      <c r="F14" s="228" t="s">
        <v>42</v>
      </c>
      <c r="G14" s="240" t="s">
        <v>43</v>
      </c>
      <c r="H14" s="232">
        <v>8000</v>
      </c>
      <c r="I14" s="232">
        <f>25*5*5</f>
        <v>625</v>
      </c>
      <c r="J14" s="238">
        <f t="shared" si="0"/>
        <v>5000000</v>
      </c>
      <c r="K14" s="234"/>
      <c r="L14" s="234">
        <v>1250000</v>
      </c>
      <c r="M14" s="234">
        <v>2500000</v>
      </c>
      <c r="N14" s="234">
        <v>1250000</v>
      </c>
      <c r="O14" s="234"/>
      <c r="P14" s="234">
        <f>SUM(K14:O15)</f>
        <v>5000000</v>
      </c>
      <c r="Q14" s="104">
        <f>J14-P14</f>
        <v>0</v>
      </c>
      <c r="R14" s="242" t="s">
        <v>44</v>
      </c>
      <c r="U14" s="103"/>
    </row>
    <row r="15" spans="2:973" ht="21" customHeight="1">
      <c r="B15" s="225"/>
      <c r="C15" s="227"/>
      <c r="D15" s="229"/>
      <c r="E15" s="229"/>
      <c r="F15" s="229"/>
      <c r="G15" s="241"/>
      <c r="H15" s="233"/>
      <c r="I15" s="233"/>
      <c r="J15" s="239"/>
      <c r="K15" s="235"/>
      <c r="L15" s="235"/>
      <c r="M15" s="235"/>
      <c r="N15" s="235"/>
      <c r="O15" s="235"/>
      <c r="P15" s="235"/>
      <c r="Q15" s="107">
        <v>4121000</v>
      </c>
      <c r="R15" s="243"/>
      <c r="U15" s="103"/>
    </row>
    <row r="16" spans="2:973">
      <c r="B16" s="225"/>
      <c r="C16" s="227"/>
      <c r="D16" s="120" t="s">
        <v>45</v>
      </c>
      <c r="E16" s="111" t="s">
        <v>24</v>
      </c>
      <c r="F16" s="112" t="s">
        <v>46</v>
      </c>
      <c r="G16" s="121" t="s">
        <v>47</v>
      </c>
      <c r="H16" s="109">
        <v>30000</v>
      </c>
      <c r="I16" s="109">
        <v>5</v>
      </c>
      <c r="J16" s="114">
        <f t="shared" si="0"/>
        <v>150000</v>
      </c>
      <c r="K16" s="109">
        <v>25000</v>
      </c>
      <c r="L16" s="109">
        <v>37500</v>
      </c>
      <c r="M16" s="109">
        <v>50000</v>
      </c>
      <c r="N16" s="109">
        <v>37500</v>
      </c>
      <c r="O16" s="109"/>
      <c r="P16" s="109">
        <f>SUM(K16:O16)</f>
        <v>150000</v>
      </c>
      <c r="Q16" s="109">
        <v>130000</v>
      </c>
      <c r="R16" s="101" t="s">
        <v>48</v>
      </c>
      <c r="U16" s="103"/>
    </row>
    <row r="17" spans="2:973" s="125" customFormat="1">
      <c r="B17" s="225"/>
      <c r="C17" s="227"/>
      <c r="D17" s="228" t="s">
        <v>49</v>
      </c>
      <c r="E17" s="111"/>
      <c r="F17" s="112"/>
      <c r="G17" s="122"/>
      <c r="H17" s="123"/>
      <c r="I17" s="123"/>
      <c r="J17" s="124"/>
      <c r="K17" s="123"/>
      <c r="L17" s="123"/>
      <c r="M17" s="123"/>
      <c r="N17" s="123"/>
      <c r="O17" s="123"/>
      <c r="P17" s="123">
        <f>SUM(P7:P16)</f>
        <v>5347500</v>
      </c>
      <c r="Q17" s="123">
        <f>SUM(Q12:Q16)</f>
        <v>4476000</v>
      </c>
      <c r="R17" s="115"/>
      <c r="S17" s="19"/>
      <c r="T17" s="19"/>
      <c r="U17" s="103"/>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c r="BN17" s="19"/>
      <c r="BO17" s="19"/>
      <c r="BP17" s="19"/>
      <c r="BQ17" s="19"/>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9"/>
      <c r="DJ17" s="19"/>
      <c r="DK17" s="19"/>
      <c r="DL17" s="19"/>
      <c r="DM17" s="19"/>
      <c r="DN17" s="19"/>
      <c r="DO17" s="19"/>
      <c r="DP17" s="19"/>
      <c r="DQ17" s="19"/>
      <c r="DR17" s="19"/>
      <c r="DS17" s="19"/>
      <c r="DT17" s="19"/>
      <c r="DU17" s="19"/>
      <c r="DV17" s="19"/>
      <c r="DW17" s="19"/>
      <c r="DX17" s="19"/>
      <c r="DY17" s="19"/>
      <c r="DZ17" s="19"/>
      <c r="EA17" s="19"/>
      <c r="EB17" s="19"/>
      <c r="EC17" s="19"/>
      <c r="ED17" s="19"/>
      <c r="EE17" s="19"/>
      <c r="EF17" s="19"/>
      <c r="EG17" s="19"/>
      <c r="EH17" s="19"/>
      <c r="EI17" s="19"/>
      <c r="EJ17" s="19"/>
      <c r="EK17" s="19"/>
      <c r="EL17" s="19"/>
      <c r="EM17" s="19"/>
      <c r="EN17" s="19"/>
      <c r="EO17" s="19"/>
      <c r="EP17" s="19"/>
      <c r="EQ17" s="19"/>
      <c r="ER17" s="19"/>
      <c r="ES17" s="19"/>
      <c r="ET17" s="19"/>
      <c r="EU17" s="19"/>
      <c r="EV17" s="19"/>
      <c r="EW17" s="19"/>
      <c r="EX17" s="19"/>
      <c r="EY17" s="19"/>
      <c r="EZ17" s="19"/>
      <c r="FA17" s="19"/>
      <c r="FB17" s="19"/>
      <c r="FC17" s="19"/>
      <c r="FD17" s="19"/>
      <c r="FE17" s="19"/>
      <c r="FF17" s="19"/>
      <c r="FG17" s="19"/>
      <c r="FH17" s="19"/>
      <c r="FI17" s="19"/>
      <c r="FJ17" s="19"/>
      <c r="FK17" s="19"/>
      <c r="FL17" s="19"/>
      <c r="FM17" s="19"/>
      <c r="FN17" s="19"/>
      <c r="FO17" s="19"/>
      <c r="FP17" s="19"/>
      <c r="FQ17" s="19"/>
      <c r="FR17" s="19"/>
      <c r="FS17" s="19"/>
      <c r="FT17" s="19"/>
      <c r="FU17" s="19"/>
      <c r="FV17" s="19"/>
      <c r="FW17" s="19"/>
      <c r="FX17" s="19"/>
      <c r="FY17" s="19"/>
      <c r="FZ17" s="19"/>
      <c r="GA17" s="19"/>
      <c r="GB17" s="19"/>
      <c r="GC17" s="19"/>
      <c r="GD17" s="19"/>
      <c r="GE17" s="19"/>
      <c r="GF17" s="19"/>
      <c r="GG17" s="19"/>
      <c r="GH17" s="19"/>
      <c r="GI17" s="19"/>
      <c r="GJ17" s="19"/>
      <c r="GK17" s="19"/>
      <c r="GL17" s="19"/>
      <c r="GM17" s="19"/>
      <c r="GN17" s="19"/>
      <c r="GO17" s="19"/>
      <c r="GP17" s="19"/>
      <c r="GQ17" s="19"/>
      <c r="GR17" s="19"/>
      <c r="GS17" s="19"/>
      <c r="GT17" s="19"/>
      <c r="GU17" s="19"/>
      <c r="GV17" s="19"/>
      <c r="GW17" s="19"/>
      <c r="GX17" s="19"/>
      <c r="GY17" s="19"/>
      <c r="GZ17" s="19"/>
      <c r="HA17" s="19"/>
      <c r="HB17" s="19"/>
      <c r="HC17" s="19"/>
      <c r="HD17" s="19"/>
      <c r="HE17" s="19"/>
      <c r="HF17" s="19"/>
      <c r="HG17" s="19"/>
      <c r="HH17" s="19"/>
      <c r="HI17" s="19"/>
      <c r="HJ17" s="19"/>
      <c r="HK17" s="19"/>
      <c r="HL17" s="19"/>
      <c r="HM17" s="19"/>
      <c r="HN17" s="19"/>
      <c r="HO17" s="19"/>
      <c r="HP17" s="19"/>
      <c r="HQ17" s="19"/>
      <c r="HR17" s="19"/>
      <c r="HS17" s="19"/>
      <c r="HT17" s="19"/>
      <c r="HU17" s="19"/>
      <c r="HV17" s="19"/>
      <c r="HW17" s="19"/>
      <c r="HX17" s="19"/>
      <c r="HY17" s="19"/>
      <c r="HZ17" s="19"/>
      <c r="IA17" s="19"/>
      <c r="IB17" s="19"/>
      <c r="IC17" s="19"/>
      <c r="ID17" s="19"/>
      <c r="IE17" s="19"/>
      <c r="IF17" s="19"/>
      <c r="IG17" s="19"/>
      <c r="IH17" s="19"/>
      <c r="II17" s="19"/>
      <c r="IJ17" s="19"/>
      <c r="IK17" s="19"/>
      <c r="IL17" s="19"/>
      <c r="IM17" s="19"/>
      <c r="IN17" s="19"/>
      <c r="IO17" s="19"/>
      <c r="IP17" s="19"/>
      <c r="IQ17" s="19"/>
      <c r="IR17" s="19"/>
      <c r="IS17" s="19"/>
      <c r="IT17" s="19"/>
      <c r="IU17" s="19"/>
      <c r="IV17" s="19"/>
      <c r="IW17" s="19"/>
      <c r="IX17" s="19"/>
      <c r="IY17" s="19"/>
      <c r="IZ17" s="19"/>
      <c r="JA17" s="19"/>
      <c r="JB17" s="19"/>
      <c r="JC17" s="19"/>
      <c r="JD17" s="19"/>
      <c r="JE17" s="19"/>
      <c r="JF17" s="19"/>
      <c r="JG17" s="19"/>
      <c r="JH17" s="19"/>
      <c r="JI17" s="19"/>
      <c r="JJ17" s="19"/>
      <c r="JK17" s="19"/>
      <c r="JL17" s="19"/>
      <c r="JM17" s="19"/>
      <c r="JN17" s="19"/>
      <c r="JO17" s="19"/>
      <c r="JP17" s="19"/>
      <c r="JQ17" s="19"/>
      <c r="JR17" s="19"/>
      <c r="JS17" s="19"/>
      <c r="JT17" s="19"/>
      <c r="JU17" s="19"/>
      <c r="JV17" s="19"/>
      <c r="JW17" s="19"/>
      <c r="JX17" s="19"/>
      <c r="JY17" s="19"/>
      <c r="JZ17" s="19"/>
      <c r="KA17" s="19"/>
      <c r="KB17" s="19"/>
      <c r="KC17" s="19"/>
      <c r="KD17" s="19"/>
      <c r="KE17" s="19"/>
      <c r="KF17" s="19"/>
      <c r="KG17" s="19"/>
      <c r="KH17" s="19"/>
      <c r="KI17" s="19"/>
      <c r="KJ17" s="19"/>
      <c r="KK17" s="19"/>
      <c r="KL17" s="19"/>
      <c r="KM17" s="19"/>
      <c r="KN17" s="19"/>
      <c r="KO17" s="19"/>
      <c r="KP17" s="19"/>
      <c r="KQ17" s="19"/>
      <c r="KR17" s="19"/>
      <c r="KS17" s="19"/>
      <c r="KT17" s="19"/>
      <c r="KU17" s="19"/>
      <c r="KV17" s="19"/>
      <c r="KW17" s="19"/>
      <c r="KX17" s="19"/>
      <c r="KY17" s="19"/>
      <c r="KZ17" s="19"/>
      <c r="LA17" s="19"/>
      <c r="LB17" s="19"/>
      <c r="LC17" s="19"/>
      <c r="LD17" s="19"/>
      <c r="LE17" s="19"/>
      <c r="LF17" s="19"/>
      <c r="LG17" s="19"/>
      <c r="LH17" s="19"/>
      <c r="LI17" s="19"/>
      <c r="LJ17" s="19"/>
      <c r="LK17" s="19"/>
      <c r="LL17" s="19"/>
      <c r="LM17" s="19"/>
      <c r="LN17" s="19"/>
      <c r="LO17" s="19"/>
      <c r="LP17" s="19"/>
      <c r="LQ17" s="19"/>
      <c r="LR17" s="19"/>
      <c r="LS17" s="19"/>
      <c r="LT17" s="19"/>
      <c r="LU17" s="19"/>
      <c r="LV17" s="19"/>
      <c r="LW17" s="19"/>
      <c r="LX17" s="19"/>
      <c r="LY17" s="19"/>
      <c r="LZ17" s="19"/>
      <c r="MA17" s="19"/>
      <c r="MB17" s="19"/>
      <c r="MC17" s="19"/>
      <c r="MD17" s="19"/>
      <c r="ME17" s="19"/>
      <c r="MF17" s="19"/>
      <c r="MG17" s="19"/>
      <c r="MH17" s="19"/>
      <c r="MI17" s="19"/>
      <c r="MJ17" s="19"/>
      <c r="MK17" s="19"/>
      <c r="ML17" s="19"/>
      <c r="MM17" s="19"/>
      <c r="MN17" s="19"/>
      <c r="MO17" s="19"/>
      <c r="MP17" s="19"/>
      <c r="MQ17" s="19"/>
      <c r="MR17" s="19"/>
      <c r="MS17" s="19"/>
      <c r="MT17" s="19"/>
      <c r="MU17" s="19"/>
      <c r="MV17" s="19"/>
      <c r="MW17" s="19"/>
      <c r="MX17" s="19"/>
      <c r="MY17" s="19"/>
      <c r="MZ17" s="19"/>
      <c r="NA17" s="19"/>
      <c r="NB17" s="19"/>
      <c r="NC17" s="19"/>
      <c r="ND17" s="19"/>
      <c r="NE17" s="19"/>
      <c r="NF17" s="19"/>
      <c r="NG17" s="19"/>
      <c r="NH17" s="19"/>
      <c r="NI17" s="19"/>
      <c r="NJ17" s="19"/>
      <c r="NK17" s="19"/>
      <c r="NL17" s="19"/>
      <c r="NM17" s="19"/>
      <c r="NN17" s="19"/>
      <c r="NO17" s="19"/>
      <c r="NP17" s="19"/>
      <c r="NQ17" s="19"/>
      <c r="NR17" s="19"/>
      <c r="NS17" s="19"/>
      <c r="NT17" s="19"/>
      <c r="NU17" s="19"/>
      <c r="NV17" s="19"/>
      <c r="NW17" s="19"/>
      <c r="NX17" s="19"/>
      <c r="NY17" s="19"/>
      <c r="NZ17" s="19"/>
      <c r="OA17" s="19"/>
      <c r="OB17" s="19"/>
      <c r="OC17" s="19"/>
      <c r="OD17" s="19"/>
      <c r="OE17" s="19"/>
      <c r="OF17" s="19"/>
      <c r="OG17" s="19"/>
      <c r="OH17" s="19"/>
      <c r="OI17" s="19"/>
      <c r="OJ17" s="19"/>
      <c r="OK17" s="19"/>
      <c r="OL17" s="19"/>
      <c r="OM17" s="19"/>
      <c r="ON17" s="19"/>
      <c r="OO17" s="19"/>
      <c r="OP17" s="19"/>
      <c r="OQ17" s="19"/>
      <c r="OR17" s="19"/>
      <c r="OS17" s="19"/>
      <c r="OT17" s="19"/>
      <c r="OU17" s="19"/>
      <c r="OV17" s="19"/>
      <c r="OW17" s="19"/>
      <c r="OX17" s="19"/>
      <c r="OY17" s="19"/>
      <c r="OZ17" s="19"/>
      <c r="PA17" s="19"/>
      <c r="PB17" s="19"/>
      <c r="PC17" s="19"/>
      <c r="PD17" s="19"/>
      <c r="PE17" s="19"/>
      <c r="PF17" s="19"/>
      <c r="PG17" s="19"/>
      <c r="PH17" s="19"/>
      <c r="PI17" s="19"/>
      <c r="PJ17" s="19"/>
      <c r="PK17" s="19"/>
      <c r="PL17" s="19"/>
      <c r="PM17" s="19"/>
      <c r="PN17" s="19"/>
      <c r="PO17" s="19"/>
      <c r="PP17" s="19"/>
      <c r="PQ17" s="19"/>
      <c r="PR17" s="19"/>
      <c r="PS17" s="19"/>
      <c r="PT17" s="19"/>
      <c r="PU17" s="19"/>
      <c r="PV17" s="19"/>
      <c r="PW17" s="19"/>
      <c r="PX17" s="19"/>
      <c r="PY17" s="19"/>
      <c r="PZ17" s="19"/>
      <c r="QA17" s="19"/>
      <c r="QB17" s="19"/>
      <c r="QC17" s="19"/>
      <c r="QD17" s="19"/>
      <c r="QE17" s="19"/>
      <c r="QF17" s="19"/>
      <c r="QG17" s="19"/>
      <c r="QH17" s="19"/>
      <c r="QI17" s="19"/>
      <c r="QJ17" s="19"/>
      <c r="QK17" s="19"/>
      <c r="QL17" s="19"/>
      <c r="QM17" s="19"/>
      <c r="QN17" s="19"/>
      <c r="QO17" s="19"/>
      <c r="QP17" s="19"/>
      <c r="QQ17" s="19"/>
      <c r="QR17" s="19"/>
      <c r="QS17" s="19"/>
      <c r="QT17" s="19"/>
      <c r="QU17" s="19"/>
      <c r="QV17" s="19"/>
      <c r="QW17" s="19"/>
      <c r="QX17" s="19"/>
      <c r="QY17" s="19"/>
      <c r="QZ17" s="19"/>
      <c r="RA17" s="19"/>
      <c r="RB17" s="19"/>
      <c r="RC17" s="19"/>
      <c r="RD17" s="19"/>
      <c r="RE17" s="19"/>
      <c r="RF17" s="19"/>
      <c r="RG17" s="19"/>
      <c r="RH17" s="19"/>
      <c r="RI17" s="19"/>
      <c r="RJ17" s="19"/>
      <c r="RK17" s="19"/>
      <c r="RL17" s="19"/>
      <c r="RM17" s="19"/>
      <c r="RN17" s="19"/>
      <c r="RO17" s="19"/>
      <c r="RP17" s="19"/>
      <c r="RQ17" s="19"/>
      <c r="RR17" s="19"/>
      <c r="RS17" s="19"/>
      <c r="RT17" s="19"/>
      <c r="RU17" s="19"/>
      <c r="RV17" s="19"/>
      <c r="RW17" s="19"/>
      <c r="RX17" s="19"/>
      <c r="RY17" s="19"/>
      <c r="RZ17" s="19"/>
      <c r="SA17" s="19"/>
      <c r="SB17" s="19"/>
      <c r="SC17" s="19"/>
      <c r="SD17" s="19"/>
      <c r="SE17" s="19"/>
      <c r="SF17" s="19"/>
      <c r="SG17" s="19"/>
      <c r="SH17" s="19"/>
      <c r="SI17" s="19"/>
      <c r="SJ17" s="19"/>
      <c r="SK17" s="19"/>
      <c r="SL17" s="19"/>
      <c r="SM17" s="19"/>
      <c r="SN17" s="19"/>
      <c r="SO17" s="19"/>
      <c r="SP17" s="19"/>
      <c r="SQ17" s="19"/>
      <c r="SR17" s="19"/>
      <c r="SS17" s="19"/>
      <c r="ST17" s="19"/>
      <c r="SU17" s="19"/>
      <c r="SV17" s="19"/>
      <c r="SW17" s="19"/>
      <c r="SX17" s="19"/>
      <c r="SY17" s="19"/>
      <c r="SZ17" s="19"/>
      <c r="TA17" s="19"/>
      <c r="TB17" s="19"/>
      <c r="TC17" s="19"/>
      <c r="TD17" s="19"/>
      <c r="TE17" s="19"/>
      <c r="TF17" s="19"/>
      <c r="TG17" s="19"/>
      <c r="TH17" s="19"/>
      <c r="TI17" s="19"/>
      <c r="TJ17" s="19"/>
      <c r="TK17" s="19"/>
      <c r="TL17" s="19"/>
      <c r="TM17" s="19"/>
      <c r="TN17" s="19"/>
      <c r="TO17" s="19"/>
      <c r="TP17" s="19"/>
      <c r="TQ17" s="19"/>
      <c r="TR17" s="19"/>
      <c r="TS17" s="19"/>
      <c r="TT17" s="19"/>
      <c r="TU17" s="19"/>
      <c r="TV17" s="19"/>
      <c r="TW17" s="19"/>
      <c r="TX17" s="19"/>
      <c r="TY17" s="19"/>
      <c r="TZ17" s="19"/>
      <c r="UA17" s="19"/>
      <c r="UB17" s="19"/>
      <c r="UC17" s="19"/>
      <c r="UD17" s="19"/>
      <c r="UE17" s="19"/>
      <c r="UF17" s="19"/>
      <c r="UG17" s="19"/>
      <c r="UH17" s="19"/>
      <c r="UI17" s="19"/>
      <c r="UJ17" s="19"/>
      <c r="UK17" s="19"/>
      <c r="UL17" s="19"/>
      <c r="UM17" s="19"/>
      <c r="UN17" s="19"/>
      <c r="UO17" s="19"/>
      <c r="UP17" s="19"/>
      <c r="UQ17" s="19"/>
      <c r="UR17" s="19"/>
      <c r="US17" s="19"/>
      <c r="UT17" s="19"/>
      <c r="UU17" s="19"/>
      <c r="UV17" s="19"/>
      <c r="UW17" s="19"/>
      <c r="UX17" s="19"/>
      <c r="UY17" s="19"/>
      <c r="UZ17" s="19"/>
      <c r="VA17" s="19"/>
      <c r="VB17" s="19"/>
      <c r="VC17" s="19"/>
      <c r="VD17" s="19"/>
      <c r="VE17" s="19"/>
      <c r="VF17" s="19"/>
      <c r="VG17" s="19"/>
      <c r="VH17" s="19"/>
      <c r="VI17" s="19"/>
      <c r="VJ17" s="19"/>
      <c r="VK17" s="19"/>
      <c r="VL17" s="19"/>
      <c r="VM17" s="19"/>
      <c r="VN17" s="19"/>
      <c r="VO17" s="19"/>
      <c r="VP17" s="19"/>
      <c r="VQ17" s="19"/>
      <c r="VR17" s="19"/>
      <c r="VS17" s="19"/>
      <c r="VT17" s="19"/>
      <c r="VU17" s="19"/>
      <c r="VV17" s="19"/>
      <c r="VW17" s="19"/>
      <c r="VX17" s="19"/>
      <c r="VY17" s="19"/>
      <c r="VZ17" s="19"/>
      <c r="WA17" s="19"/>
      <c r="WB17" s="19"/>
      <c r="WC17" s="19"/>
      <c r="WD17" s="19"/>
      <c r="WE17" s="19"/>
      <c r="WF17" s="19"/>
      <c r="WG17" s="19"/>
      <c r="WH17" s="19"/>
      <c r="WI17" s="19"/>
      <c r="WJ17" s="19"/>
      <c r="WK17" s="19"/>
      <c r="WL17" s="19"/>
      <c r="WM17" s="19"/>
      <c r="WN17" s="19"/>
      <c r="WO17" s="19"/>
      <c r="WP17" s="19"/>
      <c r="WQ17" s="19"/>
      <c r="WR17" s="19"/>
      <c r="WS17" s="19"/>
      <c r="WT17" s="19"/>
      <c r="WU17" s="19"/>
      <c r="WV17" s="19"/>
      <c r="WW17" s="19"/>
      <c r="WX17" s="19"/>
      <c r="WY17" s="19"/>
      <c r="WZ17" s="19"/>
      <c r="XA17" s="19"/>
      <c r="XB17" s="19"/>
      <c r="XC17" s="19"/>
      <c r="XD17" s="19"/>
      <c r="XE17" s="19"/>
      <c r="XF17" s="19"/>
      <c r="XG17" s="19"/>
      <c r="XH17" s="19"/>
      <c r="XI17" s="19"/>
      <c r="XJ17" s="19"/>
      <c r="XK17" s="19"/>
      <c r="XL17" s="19"/>
      <c r="XM17" s="19"/>
      <c r="XN17" s="19"/>
      <c r="XO17" s="19"/>
      <c r="XP17" s="19"/>
      <c r="XQ17" s="19"/>
      <c r="XR17" s="19"/>
      <c r="XS17" s="19"/>
      <c r="XT17" s="19"/>
      <c r="XU17" s="19"/>
      <c r="XV17" s="19"/>
      <c r="XW17" s="19"/>
      <c r="XX17" s="19"/>
      <c r="XY17" s="19"/>
      <c r="XZ17" s="19"/>
      <c r="YA17" s="19"/>
      <c r="YB17" s="19"/>
      <c r="YC17" s="19"/>
      <c r="YD17" s="19"/>
      <c r="YE17" s="19"/>
      <c r="YF17" s="19"/>
      <c r="YG17" s="19"/>
      <c r="YH17" s="19"/>
      <c r="YI17" s="19"/>
      <c r="YJ17" s="19"/>
      <c r="YK17" s="19"/>
      <c r="YL17" s="19"/>
      <c r="YM17" s="19"/>
      <c r="YN17" s="19"/>
      <c r="YO17" s="19"/>
      <c r="YP17" s="19"/>
      <c r="YQ17" s="19"/>
      <c r="YR17" s="19"/>
      <c r="YS17" s="19"/>
      <c r="YT17" s="19"/>
      <c r="YU17" s="19"/>
      <c r="YV17" s="19"/>
      <c r="YW17" s="19"/>
      <c r="YX17" s="19"/>
      <c r="YY17" s="19"/>
      <c r="YZ17" s="19"/>
      <c r="ZA17" s="19"/>
      <c r="ZB17" s="19"/>
      <c r="ZC17" s="19"/>
      <c r="ZD17" s="19"/>
      <c r="ZE17" s="19"/>
      <c r="ZF17" s="19"/>
      <c r="ZG17" s="19"/>
      <c r="ZH17" s="19"/>
      <c r="ZI17" s="19"/>
      <c r="ZJ17" s="19"/>
      <c r="ZK17" s="19"/>
      <c r="ZL17" s="19"/>
      <c r="ZM17" s="19"/>
      <c r="ZN17" s="19"/>
      <c r="ZO17" s="19"/>
      <c r="ZP17" s="19"/>
      <c r="ZQ17" s="19"/>
      <c r="ZR17" s="19"/>
      <c r="ZS17" s="19"/>
      <c r="ZT17" s="19"/>
      <c r="ZU17" s="19"/>
      <c r="ZV17" s="19"/>
      <c r="ZW17" s="19"/>
      <c r="ZX17" s="19"/>
      <c r="ZY17" s="19"/>
      <c r="ZZ17" s="19"/>
      <c r="AAA17" s="19"/>
      <c r="AAB17" s="19"/>
      <c r="AAC17" s="19"/>
      <c r="AAD17" s="19"/>
      <c r="AAE17" s="19"/>
      <c r="AAF17" s="19"/>
      <c r="AAG17" s="19"/>
      <c r="AAH17" s="19"/>
      <c r="AAI17" s="19"/>
      <c r="AAJ17" s="19"/>
      <c r="AAK17" s="19"/>
      <c r="AAL17" s="19"/>
      <c r="AAM17" s="19"/>
      <c r="AAN17" s="19"/>
      <c r="AAO17" s="19"/>
      <c r="AAP17" s="19"/>
      <c r="AAQ17" s="19"/>
      <c r="AAR17" s="19"/>
      <c r="AAS17" s="19"/>
      <c r="AAT17" s="19"/>
      <c r="AAU17" s="19"/>
      <c r="AAV17" s="19"/>
      <c r="AAW17" s="19"/>
      <c r="AAX17" s="19"/>
      <c r="AAY17" s="19"/>
      <c r="AAZ17" s="19"/>
      <c r="ABA17" s="19"/>
      <c r="ABB17" s="19"/>
      <c r="ABC17" s="19"/>
      <c r="ABD17" s="19"/>
      <c r="ABE17" s="19"/>
      <c r="ABF17" s="19"/>
      <c r="ABG17" s="19"/>
      <c r="ABH17" s="19"/>
      <c r="ABI17" s="19"/>
      <c r="ABJ17" s="19"/>
      <c r="ABK17" s="19"/>
      <c r="ABL17" s="19"/>
      <c r="ABM17" s="19"/>
      <c r="ABN17" s="19"/>
      <c r="ABO17" s="19"/>
      <c r="ABP17" s="19"/>
      <c r="ABQ17" s="19"/>
      <c r="ABR17" s="19"/>
      <c r="ABS17" s="19"/>
      <c r="ABT17" s="19"/>
      <c r="ABU17" s="19"/>
      <c r="ABV17" s="19"/>
      <c r="ABW17" s="19"/>
      <c r="ABX17" s="19"/>
      <c r="ABY17" s="19"/>
      <c r="ABZ17" s="19"/>
      <c r="ACA17" s="19"/>
      <c r="ACB17" s="19"/>
      <c r="ACC17" s="19"/>
      <c r="ACD17" s="19"/>
      <c r="ACE17" s="19"/>
      <c r="ACF17" s="19"/>
      <c r="ACG17" s="19"/>
      <c r="ACH17" s="19"/>
      <c r="ACI17" s="19"/>
      <c r="ACJ17" s="19"/>
      <c r="ACK17" s="19"/>
      <c r="ACL17" s="19"/>
      <c r="ACM17" s="19"/>
      <c r="ACN17" s="19"/>
      <c r="ACO17" s="19"/>
      <c r="ACP17" s="19"/>
      <c r="ACQ17" s="19"/>
      <c r="ACR17" s="19"/>
      <c r="ACS17" s="19"/>
      <c r="ACT17" s="19"/>
      <c r="ACU17" s="19"/>
      <c r="ACV17" s="19"/>
      <c r="ACW17" s="19"/>
      <c r="ACX17" s="19"/>
      <c r="ACY17" s="19"/>
      <c r="ACZ17" s="19"/>
      <c r="ADA17" s="19"/>
      <c r="ADB17" s="19"/>
      <c r="ADC17" s="19"/>
      <c r="ADD17" s="19"/>
      <c r="ADE17" s="19"/>
      <c r="ADF17" s="19"/>
      <c r="ADG17" s="19"/>
      <c r="ADH17" s="19"/>
      <c r="ADI17" s="19"/>
      <c r="ADJ17" s="19"/>
      <c r="ADK17" s="19"/>
      <c r="ADL17" s="19"/>
      <c r="ADM17" s="19"/>
      <c r="ADN17" s="19"/>
      <c r="ADO17" s="19"/>
      <c r="ADP17" s="19"/>
      <c r="ADQ17" s="19"/>
      <c r="ADR17" s="19"/>
      <c r="ADS17" s="19"/>
      <c r="ADT17" s="19"/>
      <c r="ADU17" s="19"/>
      <c r="ADV17" s="19"/>
      <c r="ADW17" s="19"/>
      <c r="ADX17" s="19"/>
      <c r="ADY17" s="19"/>
      <c r="ADZ17" s="19"/>
      <c r="AEA17" s="19"/>
      <c r="AEB17" s="19"/>
      <c r="AEC17" s="19"/>
      <c r="AED17" s="19"/>
      <c r="AEE17" s="19"/>
      <c r="AEF17" s="19"/>
      <c r="AEG17" s="19"/>
      <c r="AEH17" s="19"/>
      <c r="AEI17" s="19"/>
      <c r="AEJ17" s="19"/>
      <c r="AEK17" s="19"/>
      <c r="AEL17" s="19"/>
      <c r="AEM17" s="19"/>
      <c r="AEN17" s="19"/>
      <c r="AEO17" s="19"/>
      <c r="AEP17" s="19"/>
      <c r="AEQ17" s="19"/>
      <c r="AER17" s="19"/>
      <c r="AES17" s="19"/>
      <c r="AET17" s="19"/>
      <c r="AEU17" s="19"/>
      <c r="AEV17" s="19"/>
      <c r="AEW17" s="19"/>
      <c r="AEX17" s="19"/>
      <c r="AEY17" s="19"/>
      <c r="AEZ17" s="19"/>
      <c r="AFA17" s="19"/>
      <c r="AFB17" s="19"/>
      <c r="AFC17" s="19"/>
      <c r="AFD17" s="19"/>
      <c r="AFE17" s="19"/>
      <c r="AFF17" s="19"/>
      <c r="AFG17" s="19"/>
      <c r="AFH17" s="19"/>
      <c r="AFI17" s="19"/>
      <c r="AFJ17" s="19"/>
      <c r="AFK17" s="19"/>
      <c r="AFL17" s="19"/>
      <c r="AFM17" s="19"/>
      <c r="AFN17" s="19"/>
      <c r="AFO17" s="19"/>
      <c r="AFP17" s="19"/>
      <c r="AFQ17" s="19"/>
      <c r="AFR17" s="19"/>
      <c r="AFS17" s="19"/>
      <c r="AFT17" s="19"/>
      <c r="AFU17" s="19"/>
      <c r="AFV17" s="19"/>
      <c r="AFW17" s="19"/>
      <c r="AFX17" s="19"/>
      <c r="AFY17" s="19"/>
      <c r="AFZ17" s="19"/>
      <c r="AGA17" s="19"/>
      <c r="AGB17" s="19"/>
      <c r="AGC17" s="19"/>
      <c r="AGD17" s="19"/>
      <c r="AGE17" s="19"/>
      <c r="AGF17" s="19"/>
      <c r="AGG17" s="19"/>
      <c r="AGH17" s="19"/>
      <c r="AGI17" s="19"/>
      <c r="AGJ17" s="19"/>
      <c r="AGK17" s="19"/>
      <c r="AGL17" s="19"/>
      <c r="AGM17" s="19"/>
      <c r="AGN17" s="19"/>
      <c r="AGO17" s="19"/>
      <c r="AGP17" s="19"/>
      <c r="AGQ17" s="19"/>
      <c r="AGR17" s="19"/>
      <c r="AGS17" s="19"/>
      <c r="AGT17" s="19"/>
      <c r="AGU17" s="19"/>
      <c r="AGV17" s="19"/>
      <c r="AGW17" s="19"/>
      <c r="AGX17" s="19"/>
      <c r="AGY17" s="19"/>
      <c r="AGZ17" s="19"/>
      <c r="AHA17" s="19"/>
      <c r="AHB17" s="19"/>
      <c r="AHC17" s="19"/>
      <c r="AHD17" s="19"/>
      <c r="AHE17" s="19"/>
      <c r="AHF17" s="19"/>
      <c r="AHG17" s="19"/>
      <c r="AHH17" s="19"/>
      <c r="AHI17" s="19"/>
      <c r="AHJ17" s="19"/>
      <c r="AHK17" s="19"/>
      <c r="AHL17" s="19"/>
      <c r="AHM17" s="19"/>
      <c r="AHN17" s="19"/>
      <c r="AHO17" s="19"/>
      <c r="AHP17" s="19"/>
      <c r="AHQ17" s="19"/>
      <c r="AHR17" s="19"/>
      <c r="AHS17" s="19"/>
      <c r="AHT17" s="19"/>
      <c r="AHU17" s="19"/>
      <c r="AHV17" s="19"/>
      <c r="AHW17" s="19"/>
      <c r="AHX17" s="19"/>
      <c r="AHY17" s="19"/>
      <c r="AHZ17" s="19"/>
      <c r="AIA17" s="19"/>
      <c r="AIB17" s="19"/>
      <c r="AIC17" s="19"/>
      <c r="AID17" s="19"/>
      <c r="AIE17" s="19"/>
      <c r="AIF17" s="19"/>
      <c r="AIG17" s="19"/>
      <c r="AIH17" s="19"/>
      <c r="AII17" s="19"/>
      <c r="AIJ17" s="19"/>
      <c r="AIK17" s="19"/>
      <c r="AIL17" s="19"/>
      <c r="AIM17" s="19"/>
      <c r="AIN17" s="19"/>
      <c r="AIO17" s="19"/>
      <c r="AIP17" s="19"/>
      <c r="AIQ17" s="19"/>
      <c r="AIR17" s="19"/>
      <c r="AIS17" s="19"/>
      <c r="AIT17" s="19"/>
      <c r="AIU17" s="19"/>
      <c r="AIV17" s="19"/>
      <c r="AIW17" s="19"/>
      <c r="AIX17" s="19"/>
      <c r="AIY17" s="19"/>
      <c r="AIZ17" s="19"/>
      <c r="AJA17" s="19"/>
      <c r="AJB17" s="19"/>
      <c r="AJC17" s="19"/>
      <c r="AJD17" s="19"/>
      <c r="AJE17" s="19"/>
      <c r="AJF17" s="19"/>
      <c r="AJG17" s="19"/>
      <c r="AJH17" s="19"/>
      <c r="AJI17" s="19"/>
      <c r="AJJ17" s="19"/>
      <c r="AJK17" s="19"/>
      <c r="AJL17" s="19"/>
      <c r="AJM17" s="19"/>
      <c r="AJN17" s="19"/>
      <c r="AJO17" s="19"/>
      <c r="AJP17" s="19"/>
      <c r="AJQ17" s="19"/>
      <c r="AJR17" s="19"/>
      <c r="AJS17" s="19"/>
      <c r="AJT17" s="19"/>
      <c r="AJU17" s="19"/>
      <c r="AJV17" s="19"/>
      <c r="AJW17" s="19"/>
      <c r="AJX17" s="19"/>
      <c r="AJY17" s="19"/>
      <c r="AJZ17" s="19"/>
      <c r="AKA17" s="19"/>
      <c r="AKB17" s="19"/>
      <c r="AKC17" s="19"/>
      <c r="AKD17" s="19"/>
      <c r="AKE17" s="19"/>
      <c r="AKF17" s="19"/>
      <c r="AKG17" s="19"/>
      <c r="AKH17" s="19"/>
      <c r="AKI17" s="19"/>
      <c r="AKJ17" s="19"/>
      <c r="AKK17" s="19"/>
    </row>
    <row r="18" spans="2:973" s="126" customFormat="1">
      <c r="B18" s="225"/>
      <c r="C18" s="227"/>
      <c r="D18" s="244"/>
      <c r="E18" s="111"/>
      <c r="F18" s="112"/>
      <c r="G18" s="122"/>
      <c r="H18" s="123"/>
      <c r="I18" s="123"/>
      <c r="J18" s="124"/>
      <c r="K18" s="123"/>
      <c r="L18" s="123"/>
      <c r="M18" s="123"/>
      <c r="N18" s="123"/>
      <c r="O18" s="123"/>
      <c r="P18" s="123"/>
      <c r="Q18" s="123"/>
      <c r="R18" s="115"/>
      <c r="S18" s="19"/>
      <c r="T18" s="19"/>
      <c r="U18" s="103"/>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c r="BJ18" s="19"/>
      <c r="BK18" s="19"/>
      <c r="BL18" s="19"/>
      <c r="BM18" s="19"/>
      <c r="BN18" s="19"/>
      <c r="BO18" s="19"/>
      <c r="BP18" s="19"/>
      <c r="BQ18" s="19"/>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9"/>
      <c r="DJ18" s="19"/>
      <c r="DK18" s="19"/>
      <c r="DL18" s="19"/>
      <c r="DM18" s="19"/>
      <c r="DN18" s="19"/>
      <c r="DO18" s="19"/>
      <c r="DP18" s="19"/>
      <c r="DQ18" s="19"/>
      <c r="DR18" s="19"/>
      <c r="DS18" s="19"/>
      <c r="DT18" s="19"/>
      <c r="DU18" s="19"/>
      <c r="DV18" s="19"/>
      <c r="DW18" s="19"/>
      <c r="DX18" s="19"/>
      <c r="DY18" s="19"/>
      <c r="DZ18" s="19"/>
      <c r="EA18" s="19"/>
      <c r="EB18" s="19"/>
      <c r="EC18" s="19"/>
      <c r="ED18" s="19"/>
      <c r="EE18" s="19"/>
      <c r="EF18" s="19"/>
      <c r="EG18" s="19"/>
      <c r="EH18" s="19"/>
      <c r="EI18" s="19"/>
      <c r="EJ18" s="19"/>
      <c r="EK18" s="19"/>
      <c r="EL18" s="19"/>
      <c r="EM18" s="19"/>
      <c r="EN18" s="19"/>
      <c r="EO18" s="19"/>
      <c r="EP18" s="19"/>
      <c r="EQ18" s="19"/>
      <c r="ER18" s="19"/>
      <c r="ES18" s="19"/>
      <c r="ET18" s="19"/>
      <c r="EU18" s="19"/>
      <c r="EV18" s="19"/>
      <c r="EW18" s="19"/>
      <c r="EX18" s="19"/>
      <c r="EY18" s="19"/>
      <c r="EZ18" s="19"/>
      <c r="FA18" s="19"/>
      <c r="FB18" s="19"/>
      <c r="FC18" s="19"/>
      <c r="FD18" s="19"/>
      <c r="FE18" s="19"/>
      <c r="FF18" s="19"/>
      <c r="FG18" s="19"/>
      <c r="FH18" s="19"/>
      <c r="FI18" s="19"/>
      <c r="FJ18" s="19"/>
      <c r="FK18" s="19"/>
      <c r="FL18" s="19"/>
      <c r="FM18" s="19"/>
      <c r="FN18" s="19"/>
      <c r="FO18" s="19"/>
      <c r="FP18" s="19"/>
      <c r="FQ18" s="19"/>
      <c r="FR18" s="19"/>
      <c r="FS18" s="19"/>
      <c r="FT18" s="19"/>
      <c r="FU18" s="19"/>
      <c r="FV18" s="19"/>
      <c r="FW18" s="19"/>
      <c r="FX18" s="19"/>
      <c r="FY18" s="19"/>
      <c r="FZ18" s="19"/>
      <c r="GA18" s="19"/>
      <c r="GB18" s="19"/>
      <c r="GC18" s="19"/>
      <c r="GD18" s="19"/>
      <c r="GE18" s="19"/>
      <c r="GF18" s="19"/>
      <c r="GG18" s="19"/>
      <c r="GH18" s="19"/>
      <c r="GI18" s="19"/>
      <c r="GJ18" s="19"/>
      <c r="GK18" s="19"/>
      <c r="GL18" s="19"/>
      <c r="GM18" s="19"/>
      <c r="GN18" s="19"/>
      <c r="GO18" s="19"/>
      <c r="GP18" s="19"/>
      <c r="GQ18" s="19"/>
      <c r="GR18" s="19"/>
      <c r="GS18" s="19"/>
      <c r="GT18" s="19"/>
      <c r="GU18" s="19"/>
      <c r="GV18" s="19"/>
      <c r="GW18" s="19"/>
      <c r="GX18" s="19"/>
      <c r="GY18" s="19"/>
      <c r="GZ18" s="19"/>
      <c r="HA18" s="19"/>
      <c r="HB18" s="19"/>
      <c r="HC18" s="19"/>
      <c r="HD18" s="19"/>
      <c r="HE18" s="19"/>
      <c r="HF18" s="19"/>
      <c r="HG18" s="19"/>
      <c r="HH18" s="19"/>
      <c r="HI18" s="19"/>
      <c r="HJ18" s="19"/>
      <c r="HK18" s="19"/>
      <c r="HL18" s="19"/>
      <c r="HM18" s="19"/>
      <c r="HN18" s="19"/>
      <c r="HO18" s="19"/>
      <c r="HP18" s="19"/>
      <c r="HQ18" s="19"/>
      <c r="HR18" s="19"/>
      <c r="HS18" s="19"/>
      <c r="HT18" s="19"/>
      <c r="HU18" s="19"/>
      <c r="HV18" s="19"/>
      <c r="HW18" s="19"/>
      <c r="HX18" s="19"/>
      <c r="HY18" s="19"/>
      <c r="HZ18" s="19"/>
      <c r="IA18" s="19"/>
      <c r="IB18" s="19"/>
      <c r="IC18" s="19"/>
      <c r="ID18" s="19"/>
      <c r="IE18" s="19"/>
      <c r="IF18" s="19"/>
      <c r="IG18" s="19"/>
      <c r="IH18" s="19"/>
      <c r="II18" s="19"/>
      <c r="IJ18" s="19"/>
      <c r="IK18" s="19"/>
      <c r="IL18" s="19"/>
      <c r="IM18" s="19"/>
      <c r="IN18" s="19"/>
      <c r="IO18" s="19"/>
      <c r="IP18" s="19"/>
      <c r="IQ18" s="19"/>
      <c r="IR18" s="19"/>
      <c r="IS18" s="19"/>
      <c r="IT18" s="19"/>
      <c r="IU18" s="19"/>
      <c r="IV18" s="19"/>
      <c r="IW18" s="19"/>
      <c r="IX18" s="19"/>
      <c r="IY18" s="19"/>
      <c r="IZ18" s="19"/>
      <c r="JA18" s="19"/>
      <c r="JB18" s="19"/>
      <c r="JC18" s="19"/>
      <c r="JD18" s="19"/>
      <c r="JE18" s="19"/>
      <c r="JF18" s="19"/>
      <c r="JG18" s="19"/>
      <c r="JH18" s="19"/>
      <c r="JI18" s="19"/>
      <c r="JJ18" s="19"/>
      <c r="JK18" s="19"/>
      <c r="JL18" s="19"/>
      <c r="JM18" s="19"/>
      <c r="JN18" s="19"/>
      <c r="JO18" s="19"/>
      <c r="JP18" s="19"/>
      <c r="JQ18" s="19"/>
      <c r="JR18" s="19"/>
      <c r="JS18" s="19"/>
      <c r="JT18" s="19"/>
      <c r="JU18" s="19"/>
      <c r="JV18" s="19"/>
      <c r="JW18" s="19"/>
      <c r="JX18" s="19"/>
      <c r="JY18" s="19"/>
      <c r="JZ18" s="19"/>
      <c r="KA18" s="19"/>
      <c r="KB18" s="19"/>
      <c r="KC18" s="19"/>
      <c r="KD18" s="19"/>
      <c r="KE18" s="19"/>
      <c r="KF18" s="19"/>
      <c r="KG18" s="19"/>
      <c r="KH18" s="19"/>
      <c r="KI18" s="19"/>
      <c r="KJ18" s="19"/>
      <c r="KK18" s="19"/>
      <c r="KL18" s="19"/>
      <c r="KM18" s="19"/>
      <c r="KN18" s="19"/>
      <c r="KO18" s="19"/>
      <c r="KP18" s="19"/>
      <c r="KQ18" s="19"/>
      <c r="KR18" s="19"/>
      <c r="KS18" s="19"/>
      <c r="KT18" s="19"/>
      <c r="KU18" s="19"/>
      <c r="KV18" s="19"/>
      <c r="KW18" s="19"/>
      <c r="KX18" s="19"/>
      <c r="KY18" s="19"/>
      <c r="KZ18" s="19"/>
      <c r="LA18" s="19"/>
      <c r="LB18" s="19"/>
      <c r="LC18" s="19"/>
      <c r="LD18" s="19"/>
      <c r="LE18" s="19"/>
      <c r="LF18" s="19"/>
      <c r="LG18" s="19"/>
      <c r="LH18" s="19"/>
      <c r="LI18" s="19"/>
      <c r="LJ18" s="19"/>
      <c r="LK18" s="19"/>
      <c r="LL18" s="19"/>
      <c r="LM18" s="19"/>
      <c r="LN18" s="19"/>
      <c r="LO18" s="19"/>
      <c r="LP18" s="19"/>
      <c r="LQ18" s="19"/>
      <c r="LR18" s="19"/>
      <c r="LS18" s="19"/>
      <c r="LT18" s="19"/>
      <c r="LU18" s="19"/>
      <c r="LV18" s="19"/>
      <c r="LW18" s="19"/>
      <c r="LX18" s="19"/>
      <c r="LY18" s="19"/>
      <c r="LZ18" s="19"/>
      <c r="MA18" s="19"/>
      <c r="MB18" s="19"/>
      <c r="MC18" s="19"/>
      <c r="MD18" s="19"/>
      <c r="ME18" s="19"/>
      <c r="MF18" s="19"/>
      <c r="MG18" s="19"/>
      <c r="MH18" s="19"/>
      <c r="MI18" s="19"/>
      <c r="MJ18" s="19"/>
      <c r="MK18" s="19"/>
      <c r="ML18" s="19"/>
      <c r="MM18" s="19"/>
      <c r="MN18" s="19"/>
      <c r="MO18" s="19"/>
      <c r="MP18" s="19"/>
      <c r="MQ18" s="19"/>
      <c r="MR18" s="19"/>
      <c r="MS18" s="19"/>
      <c r="MT18" s="19"/>
      <c r="MU18" s="19"/>
      <c r="MV18" s="19"/>
      <c r="MW18" s="19"/>
      <c r="MX18" s="19"/>
      <c r="MY18" s="19"/>
      <c r="MZ18" s="19"/>
      <c r="NA18" s="19"/>
      <c r="NB18" s="19"/>
      <c r="NC18" s="19"/>
      <c r="ND18" s="19"/>
      <c r="NE18" s="19"/>
      <c r="NF18" s="19"/>
      <c r="NG18" s="19"/>
      <c r="NH18" s="19"/>
      <c r="NI18" s="19"/>
      <c r="NJ18" s="19"/>
      <c r="NK18" s="19"/>
      <c r="NL18" s="19"/>
      <c r="NM18" s="19"/>
      <c r="NN18" s="19"/>
      <c r="NO18" s="19"/>
      <c r="NP18" s="19"/>
      <c r="NQ18" s="19"/>
      <c r="NR18" s="19"/>
      <c r="NS18" s="19"/>
      <c r="NT18" s="19"/>
      <c r="NU18" s="19"/>
      <c r="NV18" s="19"/>
      <c r="NW18" s="19"/>
      <c r="NX18" s="19"/>
      <c r="NY18" s="19"/>
      <c r="NZ18" s="19"/>
      <c r="OA18" s="19"/>
      <c r="OB18" s="19"/>
      <c r="OC18" s="19"/>
      <c r="OD18" s="19"/>
      <c r="OE18" s="19"/>
      <c r="OF18" s="19"/>
      <c r="OG18" s="19"/>
      <c r="OH18" s="19"/>
      <c r="OI18" s="19"/>
      <c r="OJ18" s="19"/>
      <c r="OK18" s="19"/>
      <c r="OL18" s="19"/>
      <c r="OM18" s="19"/>
      <c r="ON18" s="19"/>
      <c r="OO18" s="19"/>
      <c r="OP18" s="19"/>
      <c r="OQ18" s="19"/>
      <c r="OR18" s="19"/>
      <c r="OS18" s="19"/>
      <c r="OT18" s="19"/>
      <c r="OU18" s="19"/>
      <c r="OV18" s="19"/>
      <c r="OW18" s="19"/>
      <c r="OX18" s="19"/>
      <c r="OY18" s="19"/>
      <c r="OZ18" s="19"/>
      <c r="PA18" s="19"/>
      <c r="PB18" s="19"/>
      <c r="PC18" s="19"/>
      <c r="PD18" s="19"/>
      <c r="PE18" s="19"/>
      <c r="PF18" s="19"/>
      <c r="PG18" s="19"/>
      <c r="PH18" s="19"/>
      <c r="PI18" s="19"/>
      <c r="PJ18" s="19"/>
      <c r="PK18" s="19"/>
      <c r="PL18" s="19"/>
      <c r="PM18" s="19"/>
      <c r="PN18" s="19"/>
      <c r="PO18" s="19"/>
      <c r="PP18" s="19"/>
      <c r="PQ18" s="19"/>
      <c r="PR18" s="19"/>
      <c r="PS18" s="19"/>
      <c r="PT18" s="19"/>
      <c r="PU18" s="19"/>
      <c r="PV18" s="19"/>
      <c r="PW18" s="19"/>
      <c r="PX18" s="19"/>
      <c r="PY18" s="19"/>
      <c r="PZ18" s="19"/>
      <c r="QA18" s="19"/>
      <c r="QB18" s="19"/>
      <c r="QC18" s="19"/>
      <c r="QD18" s="19"/>
      <c r="QE18" s="19"/>
      <c r="QF18" s="19"/>
      <c r="QG18" s="19"/>
      <c r="QH18" s="19"/>
      <c r="QI18" s="19"/>
      <c r="QJ18" s="19"/>
      <c r="QK18" s="19"/>
      <c r="QL18" s="19"/>
      <c r="QM18" s="19"/>
      <c r="QN18" s="19"/>
      <c r="QO18" s="19"/>
      <c r="QP18" s="19"/>
      <c r="QQ18" s="19"/>
      <c r="QR18" s="19"/>
      <c r="QS18" s="19"/>
      <c r="QT18" s="19"/>
      <c r="QU18" s="19"/>
      <c r="QV18" s="19"/>
      <c r="QW18" s="19"/>
      <c r="QX18" s="19"/>
      <c r="QY18" s="19"/>
      <c r="QZ18" s="19"/>
      <c r="RA18" s="19"/>
      <c r="RB18" s="19"/>
      <c r="RC18" s="19"/>
      <c r="RD18" s="19"/>
      <c r="RE18" s="19"/>
      <c r="RF18" s="19"/>
      <c r="RG18" s="19"/>
      <c r="RH18" s="19"/>
      <c r="RI18" s="19"/>
      <c r="RJ18" s="19"/>
      <c r="RK18" s="19"/>
      <c r="RL18" s="19"/>
      <c r="RM18" s="19"/>
      <c r="RN18" s="19"/>
      <c r="RO18" s="19"/>
      <c r="RP18" s="19"/>
      <c r="RQ18" s="19"/>
      <c r="RR18" s="19"/>
      <c r="RS18" s="19"/>
      <c r="RT18" s="19"/>
      <c r="RU18" s="19"/>
      <c r="RV18" s="19"/>
      <c r="RW18" s="19"/>
      <c r="RX18" s="19"/>
      <c r="RY18" s="19"/>
      <c r="RZ18" s="19"/>
      <c r="SA18" s="19"/>
      <c r="SB18" s="19"/>
      <c r="SC18" s="19"/>
      <c r="SD18" s="19"/>
      <c r="SE18" s="19"/>
      <c r="SF18" s="19"/>
      <c r="SG18" s="19"/>
      <c r="SH18" s="19"/>
      <c r="SI18" s="19"/>
      <c r="SJ18" s="19"/>
      <c r="SK18" s="19"/>
      <c r="SL18" s="19"/>
      <c r="SM18" s="19"/>
      <c r="SN18" s="19"/>
      <c r="SO18" s="19"/>
      <c r="SP18" s="19"/>
      <c r="SQ18" s="19"/>
      <c r="SR18" s="19"/>
      <c r="SS18" s="19"/>
      <c r="ST18" s="19"/>
      <c r="SU18" s="19"/>
      <c r="SV18" s="19"/>
      <c r="SW18" s="19"/>
      <c r="SX18" s="19"/>
      <c r="SY18" s="19"/>
      <c r="SZ18" s="19"/>
      <c r="TA18" s="19"/>
      <c r="TB18" s="19"/>
      <c r="TC18" s="19"/>
      <c r="TD18" s="19"/>
      <c r="TE18" s="19"/>
      <c r="TF18" s="19"/>
      <c r="TG18" s="19"/>
      <c r="TH18" s="19"/>
      <c r="TI18" s="19"/>
      <c r="TJ18" s="19"/>
      <c r="TK18" s="19"/>
      <c r="TL18" s="19"/>
      <c r="TM18" s="19"/>
      <c r="TN18" s="19"/>
      <c r="TO18" s="19"/>
      <c r="TP18" s="19"/>
      <c r="TQ18" s="19"/>
      <c r="TR18" s="19"/>
      <c r="TS18" s="19"/>
      <c r="TT18" s="19"/>
      <c r="TU18" s="19"/>
      <c r="TV18" s="19"/>
      <c r="TW18" s="19"/>
      <c r="TX18" s="19"/>
      <c r="TY18" s="19"/>
      <c r="TZ18" s="19"/>
      <c r="UA18" s="19"/>
      <c r="UB18" s="19"/>
      <c r="UC18" s="19"/>
      <c r="UD18" s="19"/>
      <c r="UE18" s="19"/>
      <c r="UF18" s="19"/>
      <c r="UG18" s="19"/>
      <c r="UH18" s="19"/>
      <c r="UI18" s="19"/>
      <c r="UJ18" s="19"/>
      <c r="UK18" s="19"/>
      <c r="UL18" s="19"/>
      <c r="UM18" s="19"/>
      <c r="UN18" s="19"/>
      <c r="UO18" s="19"/>
      <c r="UP18" s="19"/>
      <c r="UQ18" s="19"/>
      <c r="UR18" s="19"/>
      <c r="US18" s="19"/>
      <c r="UT18" s="19"/>
      <c r="UU18" s="19"/>
      <c r="UV18" s="19"/>
      <c r="UW18" s="19"/>
      <c r="UX18" s="19"/>
      <c r="UY18" s="19"/>
      <c r="UZ18" s="19"/>
      <c r="VA18" s="19"/>
      <c r="VB18" s="19"/>
      <c r="VC18" s="19"/>
      <c r="VD18" s="19"/>
      <c r="VE18" s="19"/>
      <c r="VF18" s="19"/>
      <c r="VG18" s="19"/>
      <c r="VH18" s="19"/>
      <c r="VI18" s="19"/>
      <c r="VJ18" s="19"/>
      <c r="VK18" s="19"/>
      <c r="VL18" s="19"/>
      <c r="VM18" s="19"/>
      <c r="VN18" s="19"/>
      <c r="VO18" s="19"/>
      <c r="VP18" s="19"/>
      <c r="VQ18" s="19"/>
      <c r="VR18" s="19"/>
      <c r="VS18" s="19"/>
      <c r="VT18" s="19"/>
      <c r="VU18" s="19"/>
      <c r="VV18" s="19"/>
      <c r="VW18" s="19"/>
      <c r="VX18" s="19"/>
      <c r="VY18" s="19"/>
      <c r="VZ18" s="19"/>
      <c r="WA18" s="19"/>
      <c r="WB18" s="19"/>
      <c r="WC18" s="19"/>
      <c r="WD18" s="19"/>
      <c r="WE18" s="19"/>
      <c r="WF18" s="19"/>
      <c r="WG18" s="19"/>
      <c r="WH18" s="19"/>
      <c r="WI18" s="19"/>
      <c r="WJ18" s="19"/>
      <c r="WK18" s="19"/>
      <c r="WL18" s="19"/>
      <c r="WM18" s="19"/>
      <c r="WN18" s="19"/>
      <c r="WO18" s="19"/>
      <c r="WP18" s="19"/>
      <c r="WQ18" s="19"/>
      <c r="WR18" s="19"/>
      <c r="WS18" s="19"/>
      <c r="WT18" s="19"/>
      <c r="WU18" s="19"/>
      <c r="WV18" s="19"/>
      <c r="WW18" s="19"/>
      <c r="WX18" s="19"/>
      <c r="WY18" s="19"/>
      <c r="WZ18" s="19"/>
      <c r="XA18" s="19"/>
      <c r="XB18" s="19"/>
      <c r="XC18" s="19"/>
      <c r="XD18" s="19"/>
      <c r="XE18" s="19"/>
      <c r="XF18" s="19"/>
      <c r="XG18" s="19"/>
      <c r="XH18" s="19"/>
      <c r="XI18" s="19"/>
      <c r="XJ18" s="19"/>
      <c r="XK18" s="19"/>
      <c r="XL18" s="19"/>
      <c r="XM18" s="19"/>
      <c r="XN18" s="19"/>
      <c r="XO18" s="19"/>
      <c r="XP18" s="19"/>
      <c r="XQ18" s="19"/>
      <c r="XR18" s="19"/>
      <c r="XS18" s="19"/>
      <c r="XT18" s="19"/>
      <c r="XU18" s="19"/>
      <c r="XV18" s="19"/>
      <c r="XW18" s="19"/>
      <c r="XX18" s="19"/>
      <c r="XY18" s="19"/>
      <c r="XZ18" s="19"/>
      <c r="YA18" s="19"/>
      <c r="YB18" s="19"/>
      <c r="YC18" s="19"/>
      <c r="YD18" s="19"/>
      <c r="YE18" s="19"/>
      <c r="YF18" s="19"/>
      <c r="YG18" s="19"/>
      <c r="YH18" s="19"/>
      <c r="YI18" s="19"/>
      <c r="YJ18" s="19"/>
      <c r="YK18" s="19"/>
      <c r="YL18" s="19"/>
      <c r="YM18" s="19"/>
      <c r="YN18" s="19"/>
      <c r="YO18" s="19"/>
      <c r="YP18" s="19"/>
      <c r="YQ18" s="19"/>
      <c r="YR18" s="19"/>
      <c r="YS18" s="19"/>
      <c r="YT18" s="19"/>
      <c r="YU18" s="19"/>
      <c r="YV18" s="19"/>
      <c r="YW18" s="19"/>
      <c r="YX18" s="19"/>
      <c r="YY18" s="19"/>
      <c r="YZ18" s="19"/>
      <c r="ZA18" s="19"/>
      <c r="ZB18" s="19"/>
      <c r="ZC18" s="19"/>
      <c r="ZD18" s="19"/>
      <c r="ZE18" s="19"/>
      <c r="ZF18" s="19"/>
      <c r="ZG18" s="19"/>
      <c r="ZH18" s="19"/>
      <c r="ZI18" s="19"/>
      <c r="ZJ18" s="19"/>
      <c r="ZK18" s="19"/>
      <c r="ZL18" s="19"/>
      <c r="ZM18" s="19"/>
      <c r="ZN18" s="19"/>
      <c r="ZO18" s="19"/>
      <c r="ZP18" s="19"/>
      <c r="ZQ18" s="19"/>
      <c r="ZR18" s="19"/>
      <c r="ZS18" s="19"/>
      <c r="ZT18" s="19"/>
      <c r="ZU18" s="19"/>
      <c r="ZV18" s="19"/>
      <c r="ZW18" s="19"/>
      <c r="ZX18" s="19"/>
      <c r="ZY18" s="19"/>
      <c r="ZZ18" s="19"/>
      <c r="AAA18" s="19"/>
      <c r="AAB18" s="19"/>
      <c r="AAC18" s="19"/>
      <c r="AAD18" s="19"/>
      <c r="AAE18" s="19"/>
      <c r="AAF18" s="19"/>
      <c r="AAG18" s="19"/>
      <c r="AAH18" s="19"/>
      <c r="AAI18" s="19"/>
      <c r="AAJ18" s="19"/>
      <c r="AAK18" s="19"/>
      <c r="AAL18" s="19"/>
      <c r="AAM18" s="19"/>
      <c r="AAN18" s="19"/>
      <c r="AAO18" s="19"/>
      <c r="AAP18" s="19"/>
      <c r="AAQ18" s="19"/>
      <c r="AAR18" s="19"/>
      <c r="AAS18" s="19"/>
      <c r="AAT18" s="19"/>
      <c r="AAU18" s="19"/>
      <c r="AAV18" s="19"/>
      <c r="AAW18" s="19"/>
      <c r="AAX18" s="19"/>
      <c r="AAY18" s="19"/>
      <c r="AAZ18" s="19"/>
      <c r="ABA18" s="19"/>
      <c r="ABB18" s="19"/>
      <c r="ABC18" s="19"/>
      <c r="ABD18" s="19"/>
      <c r="ABE18" s="19"/>
      <c r="ABF18" s="19"/>
      <c r="ABG18" s="19"/>
      <c r="ABH18" s="19"/>
      <c r="ABI18" s="19"/>
      <c r="ABJ18" s="19"/>
      <c r="ABK18" s="19"/>
      <c r="ABL18" s="19"/>
      <c r="ABM18" s="19"/>
      <c r="ABN18" s="19"/>
      <c r="ABO18" s="19"/>
      <c r="ABP18" s="19"/>
      <c r="ABQ18" s="19"/>
      <c r="ABR18" s="19"/>
      <c r="ABS18" s="19"/>
      <c r="ABT18" s="19"/>
      <c r="ABU18" s="19"/>
      <c r="ABV18" s="19"/>
      <c r="ABW18" s="19"/>
      <c r="ABX18" s="19"/>
      <c r="ABY18" s="19"/>
      <c r="ABZ18" s="19"/>
      <c r="ACA18" s="19"/>
      <c r="ACB18" s="19"/>
      <c r="ACC18" s="19"/>
      <c r="ACD18" s="19"/>
      <c r="ACE18" s="19"/>
      <c r="ACF18" s="19"/>
      <c r="ACG18" s="19"/>
      <c r="ACH18" s="19"/>
      <c r="ACI18" s="19"/>
      <c r="ACJ18" s="19"/>
      <c r="ACK18" s="19"/>
      <c r="ACL18" s="19"/>
      <c r="ACM18" s="19"/>
      <c r="ACN18" s="19"/>
      <c r="ACO18" s="19"/>
      <c r="ACP18" s="19"/>
      <c r="ACQ18" s="19"/>
      <c r="ACR18" s="19"/>
      <c r="ACS18" s="19"/>
      <c r="ACT18" s="19"/>
      <c r="ACU18" s="19"/>
      <c r="ACV18" s="19"/>
      <c r="ACW18" s="19"/>
      <c r="ACX18" s="19"/>
      <c r="ACY18" s="19"/>
      <c r="ACZ18" s="19"/>
      <c r="ADA18" s="19"/>
      <c r="ADB18" s="19"/>
      <c r="ADC18" s="19"/>
      <c r="ADD18" s="19"/>
      <c r="ADE18" s="19"/>
      <c r="ADF18" s="19"/>
      <c r="ADG18" s="19"/>
      <c r="ADH18" s="19"/>
      <c r="ADI18" s="19"/>
      <c r="ADJ18" s="19"/>
      <c r="ADK18" s="19"/>
      <c r="ADL18" s="19"/>
      <c r="ADM18" s="19"/>
      <c r="ADN18" s="19"/>
      <c r="ADO18" s="19"/>
      <c r="ADP18" s="19"/>
      <c r="ADQ18" s="19"/>
      <c r="ADR18" s="19"/>
      <c r="ADS18" s="19"/>
      <c r="ADT18" s="19"/>
      <c r="ADU18" s="19"/>
      <c r="ADV18" s="19"/>
      <c r="ADW18" s="19"/>
      <c r="ADX18" s="19"/>
      <c r="ADY18" s="19"/>
      <c r="ADZ18" s="19"/>
      <c r="AEA18" s="19"/>
      <c r="AEB18" s="19"/>
      <c r="AEC18" s="19"/>
      <c r="AED18" s="19"/>
      <c r="AEE18" s="19"/>
      <c r="AEF18" s="19"/>
      <c r="AEG18" s="19"/>
      <c r="AEH18" s="19"/>
      <c r="AEI18" s="19"/>
      <c r="AEJ18" s="19"/>
      <c r="AEK18" s="19"/>
      <c r="AEL18" s="19"/>
      <c r="AEM18" s="19"/>
      <c r="AEN18" s="19"/>
      <c r="AEO18" s="19"/>
      <c r="AEP18" s="19"/>
      <c r="AEQ18" s="19"/>
      <c r="AER18" s="19"/>
      <c r="AES18" s="19"/>
      <c r="AET18" s="19"/>
      <c r="AEU18" s="19"/>
      <c r="AEV18" s="19"/>
      <c r="AEW18" s="19"/>
      <c r="AEX18" s="19"/>
      <c r="AEY18" s="19"/>
      <c r="AEZ18" s="19"/>
      <c r="AFA18" s="19"/>
      <c r="AFB18" s="19"/>
      <c r="AFC18" s="19"/>
      <c r="AFD18" s="19"/>
      <c r="AFE18" s="19"/>
      <c r="AFF18" s="19"/>
      <c r="AFG18" s="19"/>
      <c r="AFH18" s="19"/>
      <c r="AFI18" s="19"/>
      <c r="AFJ18" s="19"/>
      <c r="AFK18" s="19"/>
      <c r="AFL18" s="19"/>
      <c r="AFM18" s="19"/>
      <c r="AFN18" s="19"/>
      <c r="AFO18" s="19"/>
      <c r="AFP18" s="19"/>
      <c r="AFQ18" s="19"/>
      <c r="AFR18" s="19"/>
      <c r="AFS18" s="19"/>
      <c r="AFT18" s="19"/>
      <c r="AFU18" s="19"/>
      <c r="AFV18" s="19"/>
      <c r="AFW18" s="19"/>
      <c r="AFX18" s="19"/>
      <c r="AFY18" s="19"/>
      <c r="AFZ18" s="19"/>
      <c r="AGA18" s="19"/>
      <c r="AGB18" s="19"/>
      <c r="AGC18" s="19"/>
      <c r="AGD18" s="19"/>
      <c r="AGE18" s="19"/>
      <c r="AGF18" s="19"/>
      <c r="AGG18" s="19"/>
      <c r="AGH18" s="19"/>
      <c r="AGI18" s="19"/>
      <c r="AGJ18" s="19"/>
      <c r="AGK18" s="19"/>
      <c r="AGL18" s="19"/>
      <c r="AGM18" s="19"/>
      <c r="AGN18" s="19"/>
      <c r="AGO18" s="19"/>
      <c r="AGP18" s="19"/>
      <c r="AGQ18" s="19"/>
      <c r="AGR18" s="19"/>
      <c r="AGS18" s="19"/>
      <c r="AGT18" s="19"/>
      <c r="AGU18" s="19"/>
      <c r="AGV18" s="19"/>
      <c r="AGW18" s="19"/>
      <c r="AGX18" s="19"/>
      <c r="AGY18" s="19"/>
      <c r="AGZ18" s="19"/>
      <c r="AHA18" s="19"/>
      <c r="AHB18" s="19"/>
      <c r="AHC18" s="19"/>
      <c r="AHD18" s="19"/>
      <c r="AHE18" s="19"/>
      <c r="AHF18" s="19"/>
      <c r="AHG18" s="19"/>
      <c r="AHH18" s="19"/>
      <c r="AHI18" s="19"/>
      <c r="AHJ18" s="19"/>
      <c r="AHK18" s="19"/>
      <c r="AHL18" s="19"/>
      <c r="AHM18" s="19"/>
      <c r="AHN18" s="19"/>
      <c r="AHO18" s="19"/>
      <c r="AHP18" s="19"/>
      <c r="AHQ18" s="19"/>
      <c r="AHR18" s="19"/>
      <c r="AHS18" s="19"/>
      <c r="AHT18" s="19"/>
      <c r="AHU18" s="19"/>
      <c r="AHV18" s="19"/>
      <c r="AHW18" s="19"/>
      <c r="AHX18" s="19"/>
      <c r="AHY18" s="19"/>
      <c r="AHZ18" s="19"/>
      <c r="AIA18" s="19"/>
      <c r="AIB18" s="19"/>
      <c r="AIC18" s="19"/>
      <c r="AID18" s="19"/>
      <c r="AIE18" s="19"/>
      <c r="AIF18" s="19"/>
      <c r="AIG18" s="19"/>
      <c r="AIH18" s="19"/>
      <c r="AII18" s="19"/>
      <c r="AIJ18" s="19"/>
      <c r="AIK18" s="19"/>
      <c r="AIL18" s="19"/>
      <c r="AIM18" s="19"/>
      <c r="AIN18" s="19"/>
      <c r="AIO18" s="19"/>
      <c r="AIP18" s="19"/>
      <c r="AIQ18" s="19"/>
      <c r="AIR18" s="19"/>
      <c r="AIS18" s="19"/>
      <c r="AIT18" s="19"/>
      <c r="AIU18" s="19"/>
      <c r="AIV18" s="19"/>
      <c r="AIW18" s="19"/>
      <c r="AIX18" s="19"/>
      <c r="AIY18" s="19"/>
      <c r="AIZ18" s="19"/>
      <c r="AJA18" s="19"/>
      <c r="AJB18" s="19"/>
      <c r="AJC18" s="19"/>
      <c r="AJD18" s="19"/>
      <c r="AJE18" s="19"/>
      <c r="AJF18" s="19"/>
      <c r="AJG18" s="19"/>
      <c r="AJH18" s="19"/>
      <c r="AJI18" s="19"/>
      <c r="AJJ18" s="19"/>
      <c r="AJK18" s="19"/>
      <c r="AJL18" s="19"/>
      <c r="AJM18" s="19"/>
      <c r="AJN18" s="19"/>
      <c r="AJO18" s="19"/>
      <c r="AJP18" s="19"/>
      <c r="AJQ18" s="19"/>
      <c r="AJR18" s="19"/>
      <c r="AJS18" s="19"/>
      <c r="AJT18" s="19"/>
      <c r="AJU18" s="19"/>
      <c r="AJV18" s="19"/>
      <c r="AJW18" s="19"/>
      <c r="AJX18" s="19"/>
      <c r="AJY18" s="19"/>
      <c r="AJZ18" s="19"/>
      <c r="AKA18" s="19"/>
      <c r="AKB18" s="19"/>
      <c r="AKC18" s="19"/>
      <c r="AKD18" s="19"/>
      <c r="AKE18" s="19"/>
      <c r="AKF18" s="19"/>
      <c r="AKG18" s="19"/>
      <c r="AKH18" s="19"/>
      <c r="AKI18" s="19"/>
      <c r="AKJ18" s="19"/>
      <c r="AKK18" s="19"/>
    </row>
    <row r="19" spans="2:973">
      <c r="B19" s="225"/>
      <c r="C19" s="227"/>
      <c r="D19" s="229"/>
      <c r="E19" s="111"/>
      <c r="F19" s="112"/>
      <c r="G19" s="122"/>
      <c r="H19" s="123"/>
      <c r="I19" s="123"/>
      <c r="J19" s="124"/>
      <c r="K19" s="123"/>
      <c r="L19" s="123"/>
      <c r="M19" s="123"/>
      <c r="N19" s="123"/>
      <c r="O19" s="123"/>
      <c r="P19" s="123"/>
      <c r="Q19" s="123"/>
      <c r="R19" s="115"/>
      <c r="U19" s="103"/>
    </row>
    <row r="20" spans="2:973" ht="22.5">
      <c r="B20" s="225"/>
      <c r="C20" s="245" t="s">
        <v>50</v>
      </c>
      <c r="D20" s="228" t="s">
        <v>51</v>
      </c>
      <c r="E20" s="111" t="s">
        <v>24</v>
      </c>
      <c r="F20" s="112" t="s">
        <v>52</v>
      </c>
      <c r="G20" s="121" t="s">
        <v>26</v>
      </c>
      <c r="H20" s="109">
        <v>60</v>
      </c>
      <c r="I20" s="109">
        <v>500</v>
      </c>
      <c r="J20" s="114">
        <f>SUM(H20*I20)</f>
        <v>30000</v>
      </c>
      <c r="K20" s="109"/>
      <c r="L20" s="109">
        <v>15000</v>
      </c>
      <c r="M20" s="109">
        <v>10000</v>
      </c>
      <c r="N20" s="109">
        <v>5000</v>
      </c>
      <c r="O20" s="109"/>
      <c r="P20" s="109">
        <f>SUM(K20:O20)</f>
        <v>30000</v>
      </c>
      <c r="Q20" s="109">
        <v>20000</v>
      </c>
      <c r="R20" s="101" t="s">
        <v>53</v>
      </c>
      <c r="T20" s="103"/>
      <c r="U20" s="103"/>
      <c r="V20" s="103"/>
    </row>
    <row r="21" spans="2:973" ht="15" customHeight="1">
      <c r="B21" s="225"/>
      <c r="C21" s="227"/>
      <c r="D21" s="244"/>
      <c r="E21" s="228" t="s">
        <v>24</v>
      </c>
      <c r="F21" s="228" t="s">
        <v>54</v>
      </c>
      <c r="G21" s="230" t="s">
        <v>55</v>
      </c>
      <c r="H21" s="232">
        <v>12</v>
      </c>
      <c r="I21" s="232">
        <v>500</v>
      </c>
      <c r="J21" s="238">
        <f t="shared" si="0"/>
        <v>6000</v>
      </c>
      <c r="K21" s="234"/>
      <c r="L21" s="234">
        <v>2000</v>
      </c>
      <c r="M21" s="234">
        <v>2000</v>
      </c>
      <c r="N21" s="234">
        <v>2000</v>
      </c>
      <c r="O21" s="234"/>
      <c r="P21" s="234">
        <f>SUM(K21:O22)</f>
        <v>6000</v>
      </c>
      <c r="Q21" s="104">
        <v>0</v>
      </c>
      <c r="R21" s="242"/>
      <c r="U21" s="103"/>
    </row>
    <row r="22" spans="2:973">
      <c r="B22" s="225"/>
      <c r="C22" s="227"/>
      <c r="D22" s="229"/>
      <c r="E22" s="229"/>
      <c r="F22" s="229"/>
      <c r="G22" s="231"/>
      <c r="H22" s="233"/>
      <c r="I22" s="233"/>
      <c r="J22" s="239"/>
      <c r="K22" s="235"/>
      <c r="L22" s="235"/>
      <c r="M22" s="235"/>
      <c r="N22" s="235"/>
      <c r="O22" s="235"/>
      <c r="P22" s="235"/>
      <c r="Q22" s="107"/>
      <c r="R22" s="243"/>
      <c r="U22" s="103"/>
    </row>
    <row r="23" spans="2:973" ht="22.5">
      <c r="B23" s="225"/>
      <c r="C23" s="227"/>
      <c r="D23" s="228" t="s">
        <v>56</v>
      </c>
      <c r="E23" s="111" t="s">
        <v>24</v>
      </c>
      <c r="F23" s="112" t="s">
        <v>52</v>
      </c>
      <c r="G23" s="121" t="s">
        <v>26</v>
      </c>
      <c r="H23" s="109">
        <v>120</v>
      </c>
      <c r="I23" s="109">
        <v>500</v>
      </c>
      <c r="J23" s="114">
        <f t="shared" si="0"/>
        <v>60000</v>
      </c>
      <c r="K23" s="109"/>
      <c r="L23" s="109">
        <v>20000</v>
      </c>
      <c r="M23" s="109">
        <v>30000</v>
      </c>
      <c r="N23" s="109">
        <v>10000</v>
      </c>
      <c r="O23" s="109"/>
      <c r="P23" s="109">
        <f>SUM(K23:O23)</f>
        <v>60000</v>
      </c>
      <c r="Q23" s="109">
        <v>550000</v>
      </c>
      <c r="R23" s="101" t="s">
        <v>57</v>
      </c>
      <c r="U23" s="103"/>
    </row>
    <row r="24" spans="2:973">
      <c r="B24" s="225"/>
      <c r="C24" s="227"/>
      <c r="D24" s="244"/>
      <c r="E24" s="228" t="s">
        <v>24</v>
      </c>
      <c r="F24" s="228" t="s">
        <v>54</v>
      </c>
      <c r="G24" s="230" t="s">
        <v>55</v>
      </c>
      <c r="H24" s="232">
        <v>12</v>
      </c>
      <c r="I24" s="232">
        <v>500</v>
      </c>
      <c r="J24" s="238">
        <f>SUM(H24*I24)</f>
        <v>6000</v>
      </c>
      <c r="K24" s="234"/>
      <c r="L24" s="234">
        <v>2000</v>
      </c>
      <c r="M24" s="234">
        <v>2000</v>
      </c>
      <c r="N24" s="234">
        <v>2000</v>
      </c>
      <c r="O24" s="234"/>
      <c r="P24" s="234">
        <f>SUM(K24:O25)</f>
        <v>6000</v>
      </c>
      <c r="Q24" s="104">
        <v>0</v>
      </c>
      <c r="R24" s="242"/>
      <c r="U24" s="103"/>
    </row>
    <row r="25" spans="2:973">
      <c r="B25" s="225"/>
      <c r="C25" s="227"/>
      <c r="D25" s="229"/>
      <c r="E25" s="229"/>
      <c r="F25" s="229"/>
      <c r="G25" s="231"/>
      <c r="H25" s="233"/>
      <c r="I25" s="233"/>
      <c r="J25" s="239"/>
      <c r="K25" s="235"/>
      <c r="L25" s="235"/>
      <c r="M25" s="235"/>
      <c r="N25" s="235"/>
      <c r="O25" s="235"/>
      <c r="P25" s="235"/>
      <c r="Q25" s="107"/>
      <c r="R25" s="243"/>
      <c r="U25" s="103"/>
    </row>
    <row r="26" spans="2:973">
      <c r="B26" s="225"/>
      <c r="C26" s="227"/>
      <c r="D26" s="228" t="s">
        <v>58</v>
      </c>
      <c r="E26" s="228" t="s">
        <v>24</v>
      </c>
      <c r="F26" s="228" t="s">
        <v>29</v>
      </c>
      <c r="G26" s="230" t="s">
        <v>26</v>
      </c>
      <c r="H26" s="232">
        <v>120</v>
      </c>
      <c r="I26" s="232">
        <v>250</v>
      </c>
      <c r="J26" s="238">
        <f>SUM(H26*I26)</f>
        <v>30000</v>
      </c>
      <c r="K26" s="234">
        <v>5000</v>
      </c>
      <c r="L26" s="234">
        <v>15000</v>
      </c>
      <c r="M26" s="234">
        <v>10000</v>
      </c>
      <c r="N26" s="234"/>
      <c r="O26" s="234"/>
      <c r="P26" s="234">
        <f>SUM(K26:O27)</f>
        <v>30000</v>
      </c>
      <c r="Q26" s="104">
        <v>455000</v>
      </c>
      <c r="R26" s="242" t="s">
        <v>59</v>
      </c>
      <c r="U26" s="103"/>
    </row>
    <row r="27" spans="2:973" ht="21" customHeight="1">
      <c r="B27" s="225"/>
      <c r="C27" s="227"/>
      <c r="D27" s="229"/>
      <c r="E27" s="229"/>
      <c r="F27" s="229"/>
      <c r="G27" s="231"/>
      <c r="H27" s="233"/>
      <c r="I27" s="233"/>
      <c r="J27" s="239"/>
      <c r="K27" s="235"/>
      <c r="L27" s="235"/>
      <c r="M27" s="235"/>
      <c r="N27" s="235"/>
      <c r="O27" s="235"/>
      <c r="P27" s="235"/>
      <c r="Q27" s="107"/>
      <c r="R27" s="243"/>
      <c r="U27" s="103"/>
    </row>
    <row r="28" spans="2:973" ht="22.5">
      <c r="B28" s="225"/>
      <c r="C28" s="227"/>
      <c r="D28" s="228" t="s">
        <v>60</v>
      </c>
      <c r="E28" s="111" t="s">
        <v>24</v>
      </c>
      <c r="F28" s="112" t="s">
        <v>38</v>
      </c>
      <c r="G28" s="119" t="s">
        <v>61</v>
      </c>
      <c r="H28" s="109">
        <v>2710</v>
      </c>
      <c r="I28" s="109">
        <v>250</v>
      </c>
      <c r="J28" s="114">
        <f t="shared" ref="J28:J43" si="1">SUM(H28*I28)</f>
        <v>677500</v>
      </c>
      <c r="K28" s="109">
        <v>100000</v>
      </c>
      <c r="L28" s="109">
        <v>577500</v>
      </c>
      <c r="M28" s="109"/>
      <c r="N28" s="109"/>
      <c r="O28" s="109"/>
      <c r="P28" s="109">
        <f>SUM(K28:O28)</f>
        <v>677500</v>
      </c>
      <c r="Q28" s="109">
        <v>633000</v>
      </c>
      <c r="R28" s="115" t="s">
        <v>62</v>
      </c>
      <c r="U28" s="103"/>
    </row>
    <row r="29" spans="2:973">
      <c r="B29" s="225"/>
      <c r="C29" s="227"/>
      <c r="D29" s="244"/>
      <c r="E29" s="228" t="s">
        <v>24</v>
      </c>
      <c r="F29" s="228" t="s">
        <v>38</v>
      </c>
      <c r="G29" s="240" t="s">
        <v>63</v>
      </c>
      <c r="H29" s="232">
        <v>240000</v>
      </c>
      <c r="I29" s="232">
        <v>3</v>
      </c>
      <c r="J29" s="238">
        <f t="shared" si="1"/>
        <v>720000</v>
      </c>
      <c r="K29" s="234">
        <v>360000</v>
      </c>
      <c r="L29" s="234">
        <v>360000</v>
      </c>
      <c r="M29" s="234"/>
      <c r="N29" s="234"/>
      <c r="O29" s="234"/>
      <c r="P29" s="234">
        <f>SUM(K29:O30)</f>
        <v>720000</v>
      </c>
      <c r="Q29" s="104">
        <v>733000</v>
      </c>
      <c r="R29" s="246"/>
      <c r="U29" s="103"/>
    </row>
    <row r="30" spans="2:973">
      <c r="B30" s="225"/>
      <c r="C30" s="227"/>
      <c r="D30" s="229"/>
      <c r="E30" s="229"/>
      <c r="F30" s="229"/>
      <c r="G30" s="241"/>
      <c r="H30" s="233"/>
      <c r="I30" s="233"/>
      <c r="J30" s="239"/>
      <c r="K30" s="235"/>
      <c r="L30" s="235"/>
      <c r="M30" s="235"/>
      <c r="N30" s="235"/>
      <c r="O30" s="235"/>
      <c r="P30" s="235"/>
      <c r="Q30" s="107"/>
      <c r="R30" s="247"/>
      <c r="T30" s="103"/>
      <c r="U30" s="103"/>
    </row>
    <row r="31" spans="2:973" ht="30.75" customHeight="1">
      <c r="B31" s="225"/>
      <c r="C31" s="227"/>
      <c r="D31" s="120" t="s">
        <v>64</v>
      </c>
      <c r="E31" s="111" t="s">
        <v>24</v>
      </c>
      <c r="F31" s="112" t="s">
        <v>25</v>
      </c>
      <c r="G31" s="121" t="s">
        <v>26</v>
      </c>
      <c r="H31" s="109">
        <v>120</v>
      </c>
      <c r="I31" s="109">
        <v>500</v>
      </c>
      <c r="J31" s="114">
        <f t="shared" si="1"/>
        <v>60000</v>
      </c>
      <c r="K31" s="109">
        <v>20000</v>
      </c>
      <c r="L31" s="109">
        <v>20000</v>
      </c>
      <c r="M31" s="109">
        <v>20000</v>
      </c>
      <c r="N31" s="109"/>
      <c r="O31" s="109"/>
      <c r="P31" s="109">
        <f>SUM(K31:O31)</f>
        <v>60000</v>
      </c>
      <c r="Q31" s="109">
        <v>1758000</v>
      </c>
      <c r="R31" s="101" t="s">
        <v>65</v>
      </c>
      <c r="U31" s="103"/>
    </row>
    <row r="32" spans="2:973" s="125" customFormat="1">
      <c r="B32" s="225"/>
      <c r="C32" s="227"/>
      <c r="D32" s="254" t="s">
        <v>49</v>
      </c>
      <c r="E32" s="228"/>
      <c r="F32" s="228"/>
      <c r="G32" s="256"/>
      <c r="H32" s="252"/>
      <c r="I32" s="252"/>
      <c r="J32" s="258"/>
      <c r="K32" s="252"/>
      <c r="L32" s="252"/>
      <c r="M32" s="252"/>
      <c r="N32" s="252"/>
      <c r="O32" s="252"/>
      <c r="P32" s="252">
        <f>SUM(P20:P31)</f>
        <v>1589500</v>
      </c>
      <c r="Q32" s="140">
        <f>SUM(Q20:Q31)</f>
        <v>4149000</v>
      </c>
      <c r="R32" s="246"/>
      <c r="S32" s="19"/>
      <c r="T32" s="19"/>
      <c r="U32" s="103"/>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19"/>
      <c r="BL32" s="19"/>
      <c r="BM32" s="19"/>
      <c r="BN32" s="19"/>
      <c r="BO32" s="19"/>
      <c r="BP32" s="19"/>
      <c r="BQ32" s="19"/>
      <c r="BR32" s="19"/>
      <c r="BS32" s="19"/>
      <c r="BT32" s="19"/>
      <c r="BU32" s="19"/>
      <c r="BV32" s="19"/>
      <c r="BW32" s="19"/>
      <c r="BX32" s="19"/>
      <c r="BY32" s="19"/>
      <c r="BZ32" s="19"/>
      <c r="CA32" s="19"/>
      <c r="CB32" s="19"/>
      <c r="CC32" s="19"/>
      <c r="CD32" s="19"/>
      <c r="CE32" s="19"/>
      <c r="CF32" s="19"/>
      <c r="CG32" s="19"/>
      <c r="CH32" s="19"/>
      <c r="CI32" s="19"/>
      <c r="CJ32" s="19"/>
      <c r="CK32" s="19"/>
      <c r="CL32" s="19"/>
      <c r="CM32" s="19"/>
      <c r="CN32" s="19"/>
      <c r="CO32" s="19"/>
      <c r="CP32" s="19"/>
      <c r="CQ32" s="19"/>
      <c r="CR32" s="19"/>
      <c r="CS32" s="19"/>
      <c r="CT32" s="19"/>
      <c r="CU32" s="19"/>
      <c r="CV32" s="19"/>
      <c r="CW32" s="19"/>
      <c r="CX32" s="19"/>
      <c r="CY32" s="19"/>
      <c r="CZ32" s="19"/>
      <c r="DA32" s="19"/>
      <c r="DB32" s="19"/>
      <c r="DC32" s="19"/>
      <c r="DD32" s="19"/>
      <c r="DE32" s="19"/>
      <c r="DF32" s="19"/>
      <c r="DG32" s="19"/>
      <c r="DH32" s="19"/>
      <c r="DI32" s="19"/>
      <c r="DJ32" s="19"/>
      <c r="DK32" s="19"/>
      <c r="DL32" s="19"/>
      <c r="DM32" s="19"/>
      <c r="DN32" s="19"/>
      <c r="DO32" s="19"/>
      <c r="DP32" s="19"/>
      <c r="DQ32" s="19"/>
      <c r="DR32" s="19"/>
      <c r="DS32" s="19"/>
      <c r="DT32" s="19"/>
      <c r="DU32" s="19"/>
      <c r="DV32" s="19"/>
      <c r="DW32" s="19"/>
      <c r="DX32" s="19"/>
      <c r="DY32" s="19"/>
      <c r="DZ32" s="19"/>
      <c r="EA32" s="19"/>
      <c r="EB32" s="19"/>
      <c r="EC32" s="19"/>
      <c r="ED32" s="19"/>
      <c r="EE32" s="19"/>
      <c r="EF32" s="19"/>
      <c r="EG32" s="19"/>
      <c r="EH32" s="19"/>
      <c r="EI32" s="19"/>
      <c r="EJ32" s="19"/>
      <c r="EK32" s="19"/>
      <c r="EL32" s="19"/>
      <c r="EM32" s="19"/>
      <c r="EN32" s="19"/>
      <c r="EO32" s="19"/>
      <c r="EP32" s="19"/>
      <c r="EQ32" s="19"/>
      <c r="ER32" s="19"/>
      <c r="ES32" s="19"/>
      <c r="ET32" s="19"/>
      <c r="EU32" s="19"/>
      <c r="EV32" s="19"/>
      <c r="EW32" s="19"/>
      <c r="EX32" s="19"/>
      <c r="EY32" s="19"/>
      <c r="EZ32" s="19"/>
      <c r="FA32" s="19"/>
      <c r="FB32" s="19"/>
      <c r="FC32" s="19"/>
      <c r="FD32" s="19"/>
      <c r="FE32" s="19"/>
      <c r="FF32" s="19"/>
      <c r="FG32" s="19"/>
      <c r="FH32" s="19"/>
      <c r="FI32" s="19"/>
      <c r="FJ32" s="19"/>
      <c r="FK32" s="19"/>
      <c r="FL32" s="19"/>
      <c r="FM32" s="19"/>
      <c r="FN32" s="19"/>
      <c r="FO32" s="19"/>
      <c r="FP32" s="19"/>
      <c r="FQ32" s="19"/>
      <c r="FR32" s="19"/>
      <c r="FS32" s="19"/>
      <c r="FT32" s="19"/>
      <c r="FU32" s="19"/>
      <c r="FV32" s="19"/>
      <c r="FW32" s="19"/>
      <c r="FX32" s="19"/>
      <c r="FY32" s="19"/>
      <c r="FZ32" s="19"/>
      <c r="GA32" s="19"/>
      <c r="GB32" s="19"/>
      <c r="GC32" s="19"/>
      <c r="GD32" s="19"/>
      <c r="GE32" s="19"/>
      <c r="GF32" s="19"/>
      <c r="GG32" s="19"/>
      <c r="GH32" s="19"/>
      <c r="GI32" s="19"/>
      <c r="GJ32" s="19"/>
      <c r="GK32" s="19"/>
      <c r="GL32" s="19"/>
      <c r="GM32" s="19"/>
      <c r="GN32" s="19"/>
      <c r="GO32" s="19"/>
      <c r="GP32" s="19"/>
      <c r="GQ32" s="19"/>
      <c r="GR32" s="19"/>
      <c r="GS32" s="19"/>
      <c r="GT32" s="19"/>
      <c r="GU32" s="19"/>
      <c r="GV32" s="19"/>
      <c r="GW32" s="19"/>
      <c r="GX32" s="19"/>
      <c r="GY32" s="19"/>
      <c r="GZ32" s="19"/>
      <c r="HA32" s="19"/>
      <c r="HB32" s="19"/>
      <c r="HC32" s="19"/>
      <c r="HD32" s="19"/>
      <c r="HE32" s="19"/>
      <c r="HF32" s="19"/>
      <c r="HG32" s="19"/>
      <c r="HH32" s="19"/>
      <c r="HI32" s="19"/>
      <c r="HJ32" s="19"/>
      <c r="HK32" s="19"/>
      <c r="HL32" s="19"/>
      <c r="HM32" s="19"/>
      <c r="HN32" s="19"/>
      <c r="HO32" s="19"/>
      <c r="HP32" s="19"/>
      <c r="HQ32" s="19"/>
      <c r="HR32" s="19"/>
      <c r="HS32" s="19"/>
      <c r="HT32" s="19"/>
      <c r="HU32" s="19"/>
      <c r="HV32" s="19"/>
      <c r="HW32" s="19"/>
      <c r="HX32" s="19"/>
      <c r="HY32" s="19"/>
      <c r="HZ32" s="19"/>
      <c r="IA32" s="19"/>
      <c r="IB32" s="19"/>
      <c r="IC32" s="19"/>
      <c r="ID32" s="19"/>
      <c r="IE32" s="19"/>
      <c r="IF32" s="19"/>
      <c r="IG32" s="19"/>
      <c r="IH32" s="19"/>
      <c r="II32" s="19"/>
      <c r="IJ32" s="19"/>
      <c r="IK32" s="19"/>
      <c r="IL32" s="19"/>
      <c r="IM32" s="19"/>
      <c r="IN32" s="19"/>
      <c r="IO32" s="19"/>
      <c r="IP32" s="19"/>
      <c r="IQ32" s="19"/>
      <c r="IR32" s="19"/>
      <c r="IS32" s="19"/>
      <c r="IT32" s="19"/>
      <c r="IU32" s="19"/>
      <c r="IV32" s="19"/>
      <c r="IW32" s="19"/>
      <c r="IX32" s="19"/>
      <c r="IY32" s="19"/>
      <c r="IZ32" s="19"/>
      <c r="JA32" s="19"/>
      <c r="JB32" s="19"/>
      <c r="JC32" s="19"/>
      <c r="JD32" s="19"/>
      <c r="JE32" s="19"/>
      <c r="JF32" s="19"/>
      <c r="JG32" s="19"/>
      <c r="JH32" s="19"/>
      <c r="JI32" s="19"/>
      <c r="JJ32" s="19"/>
      <c r="JK32" s="19"/>
      <c r="JL32" s="19"/>
      <c r="JM32" s="19"/>
      <c r="JN32" s="19"/>
      <c r="JO32" s="19"/>
      <c r="JP32" s="19"/>
      <c r="JQ32" s="19"/>
      <c r="JR32" s="19"/>
      <c r="JS32" s="19"/>
      <c r="JT32" s="19"/>
      <c r="JU32" s="19"/>
      <c r="JV32" s="19"/>
      <c r="JW32" s="19"/>
      <c r="JX32" s="19"/>
      <c r="JY32" s="19"/>
      <c r="JZ32" s="19"/>
      <c r="KA32" s="19"/>
      <c r="KB32" s="19"/>
      <c r="KC32" s="19"/>
      <c r="KD32" s="19"/>
      <c r="KE32" s="19"/>
      <c r="KF32" s="19"/>
      <c r="KG32" s="19"/>
      <c r="KH32" s="19"/>
      <c r="KI32" s="19"/>
      <c r="KJ32" s="19"/>
      <c r="KK32" s="19"/>
      <c r="KL32" s="19"/>
      <c r="KM32" s="19"/>
      <c r="KN32" s="19"/>
      <c r="KO32" s="19"/>
      <c r="KP32" s="19"/>
      <c r="KQ32" s="19"/>
      <c r="KR32" s="19"/>
      <c r="KS32" s="19"/>
      <c r="KT32" s="19"/>
      <c r="KU32" s="19"/>
      <c r="KV32" s="19"/>
      <c r="KW32" s="19"/>
      <c r="KX32" s="19"/>
      <c r="KY32" s="19"/>
      <c r="KZ32" s="19"/>
      <c r="LA32" s="19"/>
      <c r="LB32" s="19"/>
      <c r="LC32" s="19"/>
      <c r="LD32" s="19"/>
      <c r="LE32" s="19"/>
      <c r="LF32" s="19"/>
      <c r="LG32" s="19"/>
      <c r="LH32" s="19"/>
      <c r="LI32" s="19"/>
      <c r="LJ32" s="19"/>
      <c r="LK32" s="19"/>
      <c r="LL32" s="19"/>
      <c r="LM32" s="19"/>
      <c r="LN32" s="19"/>
      <c r="LO32" s="19"/>
      <c r="LP32" s="19"/>
      <c r="LQ32" s="19"/>
      <c r="LR32" s="19"/>
      <c r="LS32" s="19"/>
      <c r="LT32" s="19"/>
      <c r="LU32" s="19"/>
      <c r="LV32" s="19"/>
      <c r="LW32" s="19"/>
      <c r="LX32" s="19"/>
      <c r="LY32" s="19"/>
      <c r="LZ32" s="19"/>
      <c r="MA32" s="19"/>
      <c r="MB32" s="19"/>
      <c r="MC32" s="19"/>
      <c r="MD32" s="19"/>
      <c r="ME32" s="19"/>
      <c r="MF32" s="19"/>
      <c r="MG32" s="19"/>
      <c r="MH32" s="19"/>
      <c r="MI32" s="19"/>
      <c r="MJ32" s="19"/>
      <c r="MK32" s="19"/>
      <c r="ML32" s="19"/>
      <c r="MM32" s="19"/>
      <c r="MN32" s="19"/>
      <c r="MO32" s="19"/>
      <c r="MP32" s="19"/>
      <c r="MQ32" s="19"/>
      <c r="MR32" s="19"/>
      <c r="MS32" s="19"/>
      <c r="MT32" s="19"/>
      <c r="MU32" s="19"/>
      <c r="MV32" s="19"/>
      <c r="MW32" s="19"/>
      <c r="MX32" s="19"/>
      <c r="MY32" s="19"/>
      <c r="MZ32" s="19"/>
      <c r="NA32" s="19"/>
      <c r="NB32" s="19"/>
      <c r="NC32" s="19"/>
      <c r="ND32" s="19"/>
      <c r="NE32" s="19"/>
      <c r="NF32" s="19"/>
      <c r="NG32" s="19"/>
      <c r="NH32" s="19"/>
      <c r="NI32" s="19"/>
      <c r="NJ32" s="19"/>
      <c r="NK32" s="19"/>
      <c r="NL32" s="19"/>
      <c r="NM32" s="19"/>
      <c r="NN32" s="19"/>
      <c r="NO32" s="19"/>
      <c r="NP32" s="19"/>
      <c r="NQ32" s="19"/>
      <c r="NR32" s="19"/>
      <c r="NS32" s="19"/>
      <c r="NT32" s="19"/>
      <c r="NU32" s="19"/>
      <c r="NV32" s="19"/>
      <c r="NW32" s="19"/>
      <c r="NX32" s="19"/>
      <c r="NY32" s="19"/>
      <c r="NZ32" s="19"/>
      <c r="OA32" s="19"/>
      <c r="OB32" s="19"/>
      <c r="OC32" s="19"/>
      <c r="OD32" s="19"/>
      <c r="OE32" s="19"/>
      <c r="OF32" s="19"/>
      <c r="OG32" s="19"/>
      <c r="OH32" s="19"/>
      <c r="OI32" s="19"/>
      <c r="OJ32" s="19"/>
      <c r="OK32" s="19"/>
      <c r="OL32" s="19"/>
      <c r="OM32" s="19"/>
      <c r="ON32" s="19"/>
      <c r="OO32" s="19"/>
      <c r="OP32" s="19"/>
      <c r="OQ32" s="19"/>
      <c r="OR32" s="19"/>
      <c r="OS32" s="19"/>
      <c r="OT32" s="19"/>
      <c r="OU32" s="19"/>
      <c r="OV32" s="19"/>
      <c r="OW32" s="19"/>
      <c r="OX32" s="19"/>
      <c r="OY32" s="19"/>
      <c r="OZ32" s="19"/>
      <c r="PA32" s="19"/>
      <c r="PB32" s="19"/>
      <c r="PC32" s="19"/>
      <c r="PD32" s="19"/>
      <c r="PE32" s="19"/>
      <c r="PF32" s="19"/>
      <c r="PG32" s="19"/>
      <c r="PH32" s="19"/>
      <c r="PI32" s="19"/>
      <c r="PJ32" s="19"/>
      <c r="PK32" s="19"/>
      <c r="PL32" s="19"/>
      <c r="PM32" s="19"/>
      <c r="PN32" s="19"/>
      <c r="PO32" s="19"/>
      <c r="PP32" s="19"/>
      <c r="PQ32" s="19"/>
      <c r="PR32" s="19"/>
      <c r="PS32" s="19"/>
      <c r="PT32" s="19"/>
      <c r="PU32" s="19"/>
      <c r="PV32" s="19"/>
      <c r="PW32" s="19"/>
      <c r="PX32" s="19"/>
      <c r="PY32" s="19"/>
      <c r="PZ32" s="19"/>
      <c r="QA32" s="19"/>
      <c r="QB32" s="19"/>
      <c r="QC32" s="19"/>
      <c r="QD32" s="19"/>
      <c r="QE32" s="19"/>
      <c r="QF32" s="19"/>
      <c r="QG32" s="19"/>
      <c r="QH32" s="19"/>
      <c r="QI32" s="19"/>
      <c r="QJ32" s="19"/>
      <c r="QK32" s="19"/>
      <c r="QL32" s="19"/>
      <c r="QM32" s="19"/>
      <c r="QN32" s="19"/>
      <c r="QO32" s="19"/>
      <c r="QP32" s="19"/>
      <c r="QQ32" s="19"/>
      <c r="QR32" s="19"/>
      <c r="QS32" s="19"/>
      <c r="QT32" s="19"/>
      <c r="QU32" s="19"/>
      <c r="QV32" s="19"/>
      <c r="QW32" s="19"/>
      <c r="QX32" s="19"/>
      <c r="QY32" s="19"/>
      <c r="QZ32" s="19"/>
      <c r="RA32" s="19"/>
      <c r="RB32" s="19"/>
      <c r="RC32" s="19"/>
      <c r="RD32" s="19"/>
      <c r="RE32" s="19"/>
      <c r="RF32" s="19"/>
      <c r="RG32" s="19"/>
      <c r="RH32" s="19"/>
      <c r="RI32" s="19"/>
      <c r="RJ32" s="19"/>
      <c r="RK32" s="19"/>
      <c r="RL32" s="19"/>
      <c r="RM32" s="19"/>
      <c r="RN32" s="19"/>
      <c r="RO32" s="19"/>
      <c r="RP32" s="19"/>
      <c r="RQ32" s="19"/>
      <c r="RR32" s="19"/>
      <c r="RS32" s="19"/>
      <c r="RT32" s="19"/>
      <c r="RU32" s="19"/>
      <c r="RV32" s="19"/>
      <c r="RW32" s="19"/>
      <c r="RX32" s="19"/>
      <c r="RY32" s="19"/>
      <c r="RZ32" s="19"/>
      <c r="SA32" s="19"/>
      <c r="SB32" s="19"/>
      <c r="SC32" s="19"/>
      <c r="SD32" s="19"/>
      <c r="SE32" s="19"/>
      <c r="SF32" s="19"/>
      <c r="SG32" s="19"/>
      <c r="SH32" s="19"/>
      <c r="SI32" s="19"/>
      <c r="SJ32" s="19"/>
      <c r="SK32" s="19"/>
      <c r="SL32" s="19"/>
      <c r="SM32" s="19"/>
      <c r="SN32" s="19"/>
      <c r="SO32" s="19"/>
      <c r="SP32" s="19"/>
      <c r="SQ32" s="19"/>
      <c r="SR32" s="19"/>
      <c r="SS32" s="19"/>
      <c r="ST32" s="19"/>
      <c r="SU32" s="19"/>
      <c r="SV32" s="19"/>
      <c r="SW32" s="19"/>
      <c r="SX32" s="19"/>
      <c r="SY32" s="19"/>
      <c r="SZ32" s="19"/>
      <c r="TA32" s="19"/>
      <c r="TB32" s="19"/>
      <c r="TC32" s="19"/>
      <c r="TD32" s="19"/>
      <c r="TE32" s="19"/>
      <c r="TF32" s="19"/>
      <c r="TG32" s="19"/>
      <c r="TH32" s="19"/>
      <c r="TI32" s="19"/>
      <c r="TJ32" s="19"/>
      <c r="TK32" s="19"/>
      <c r="TL32" s="19"/>
      <c r="TM32" s="19"/>
      <c r="TN32" s="19"/>
      <c r="TO32" s="19"/>
      <c r="TP32" s="19"/>
      <c r="TQ32" s="19"/>
      <c r="TR32" s="19"/>
      <c r="TS32" s="19"/>
      <c r="TT32" s="19"/>
      <c r="TU32" s="19"/>
      <c r="TV32" s="19"/>
      <c r="TW32" s="19"/>
      <c r="TX32" s="19"/>
      <c r="TY32" s="19"/>
      <c r="TZ32" s="19"/>
      <c r="UA32" s="19"/>
      <c r="UB32" s="19"/>
      <c r="UC32" s="19"/>
      <c r="UD32" s="19"/>
      <c r="UE32" s="19"/>
      <c r="UF32" s="19"/>
      <c r="UG32" s="19"/>
      <c r="UH32" s="19"/>
      <c r="UI32" s="19"/>
      <c r="UJ32" s="19"/>
      <c r="UK32" s="19"/>
      <c r="UL32" s="19"/>
      <c r="UM32" s="19"/>
      <c r="UN32" s="19"/>
      <c r="UO32" s="19"/>
      <c r="UP32" s="19"/>
      <c r="UQ32" s="19"/>
      <c r="UR32" s="19"/>
      <c r="US32" s="19"/>
      <c r="UT32" s="19"/>
      <c r="UU32" s="19"/>
      <c r="UV32" s="19"/>
      <c r="UW32" s="19"/>
      <c r="UX32" s="19"/>
      <c r="UY32" s="19"/>
      <c r="UZ32" s="19"/>
      <c r="VA32" s="19"/>
      <c r="VB32" s="19"/>
      <c r="VC32" s="19"/>
      <c r="VD32" s="19"/>
      <c r="VE32" s="19"/>
      <c r="VF32" s="19"/>
      <c r="VG32" s="19"/>
      <c r="VH32" s="19"/>
      <c r="VI32" s="19"/>
      <c r="VJ32" s="19"/>
      <c r="VK32" s="19"/>
      <c r="VL32" s="19"/>
      <c r="VM32" s="19"/>
      <c r="VN32" s="19"/>
      <c r="VO32" s="19"/>
      <c r="VP32" s="19"/>
      <c r="VQ32" s="19"/>
      <c r="VR32" s="19"/>
      <c r="VS32" s="19"/>
      <c r="VT32" s="19"/>
      <c r="VU32" s="19"/>
      <c r="VV32" s="19"/>
      <c r="VW32" s="19"/>
      <c r="VX32" s="19"/>
      <c r="VY32" s="19"/>
      <c r="VZ32" s="19"/>
      <c r="WA32" s="19"/>
      <c r="WB32" s="19"/>
      <c r="WC32" s="19"/>
      <c r="WD32" s="19"/>
      <c r="WE32" s="19"/>
      <c r="WF32" s="19"/>
      <c r="WG32" s="19"/>
      <c r="WH32" s="19"/>
      <c r="WI32" s="19"/>
      <c r="WJ32" s="19"/>
      <c r="WK32" s="19"/>
      <c r="WL32" s="19"/>
      <c r="WM32" s="19"/>
      <c r="WN32" s="19"/>
      <c r="WO32" s="19"/>
      <c r="WP32" s="19"/>
      <c r="WQ32" s="19"/>
      <c r="WR32" s="19"/>
      <c r="WS32" s="19"/>
      <c r="WT32" s="19"/>
      <c r="WU32" s="19"/>
      <c r="WV32" s="19"/>
      <c r="WW32" s="19"/>
      <c r="WX32" s="19"/>
      <c r="WY32" s="19"/>
      <c r="WZ32" s="19"/>
      <c r="XA32" s="19"/>
      <c r="XB32" s="19"/>
      <c r="XC32" s="19"/>
      <c r="XD32" s="19"/>
      <c r="XE32" s="19"/>
      <c r="XF32" s="19"/>
      <c r="XG32" s="19"/>
      <c r="XH32" s="19"/>
      <c r="XI32" s="19"/>
      <c r="XJ32" s="19"/>
      <c r="XK32" s="19"/>
      <c r="XL32" s="19"/>
      <c r="XM32" s="19"/>
      <c r="XN32" s="19"/>
      <c r="XO32" s="19"/>
      <c r="XP32" s="19"/>
      <c r="XQ32" s="19"/>
      <c r="XR32" s="19"/>
      <c r="XS32" s="19"/>
      <c r="XT32" s="19"/>
      <c r="XU32" s="19"/>
      <c r="XV32" s="19"/>
      <c r="XW32" s="19"/>
      <c r="XX32" s="19"/>
      <c r="XY32" s="19"/>
      <c r="XZ32" s="19"/>
      <c r="YA32" s="19"/>
      <c r="YB32" s="19"/>
      <c r="YC32" s="19"/>
      <c r="YD32" s="19"/>
      <c r="YE32" s="19"/>
      <c r="YF32" s="19"/>
      <c r="YG32" s="19"/>
      <c r="YH32" s="19"/>
      <c r="YI32" s="19"/>
      <c r="YJ32" s="19"/>
      <c r="YK32" s="19"/>
      <c r="YL32" s="19"/>
      <c r="YM32" s="19"/>
      <c r="YN32" s="19"/>
      <c r="YO32" s="19"/>
      <c r="YP32" s="19"/>
      <c r="YQ32" s="19"/>
      <c r="YR32" s="19"/>
      <c r="YS32" s="19"/>
      <c r="YT32" s="19"/>
      <c r="YU32" s="19"/>
      <c r="YV32" s="19"/>
      <c r="YW32" s="19"/>
      <c r="YX32" s="19"/>
      <c r="YY32" s="19"/>
      <c r="YZ32" s="19"/>
      <c r="ZA32" s="19"/>
      <c r="ZB32" s="19"/>
      <c r="ZC32" s="19"/>
      <c r="ZD32" s="19"/>
      <c r="ZE32" s="19"/>
      <c r="ZF32" s="19"/>
      <c r="ZG32" s="19"/>
      <c r="ZH32" s="19"/>
      <c r="ZI32" s="19"/>
      <c r="ZJ32" s="19"/>
      <c r="ZK32" s="19"/>
      <c r="ZL32" s="19"/>
      <c r="ZM32" s="19"/>
      <c r="ZN32" s="19"/>
      <c r="ZO32" s="19"/>
      <c r="ZP32" s="19"/>
      <c r="ZQ32" s="19"/>
      <c r="ZR32" s="19"/>
      <c r="ZS32" s="19"/>
      <c r="ZT32" s="19"/>
      <c r="ZU32" s="19"/>
      <c r="ZV32" s="19"/>
      <c r="ZW32" s="19"/>
      <c r="ZX32" s="19"/>
      <c r="ZY32" s="19"/>
      <c r="ZZ32" s="19"/>
      <c r="AAA32" s="19"/>
      <c r="AAB32" s="19"/>
      <c r="AAC32" s="19"/>
      <c r="AAD32" s="19"/>
      <c r="AAE32" s="19"/>
      <c r="AAF32" s="19"/>
      <c r="AAG32" s="19"/>
      <c r="AAH32" s="19"/>
      <c r="AAI32" s="19"/>
      <c r="AAJ32" s="19"/>
      <c r="AAK32" s="19"/>
      <c r="AAL32" s="19"/>
      <c r="AAM32" s="19"/>
      <c r="AAN32" s="19"/>
      <c r="AAO32" s="19"/>
      <c r="AAP32" s="19"/>
      <c r="AAQ32" s="19"/>
      <c r="AAR32" s="19"/>
      <c r="AAS32" s="19"/>
      <c r="AAT32" s="19"/>
      <c r="AAU32" s="19"/>
      <c r="AAV32" s="19"/>
      <c r="AAW32" s="19"/>
      <c r="AAX32" s="19"/>
      <c r="AAY32" s="19"/>
      <c r="AAZ32" s="19"/>
      <c r="ABA32" s="19"/>
      <c r="ABB32" s="19"/>
      <c r="ABC32" s="19"/>
      <c r="ABD32" s="19"/>
      <c r="ABE32" s="19"/>
      <c r="ABF32" s="19"/>
      <c r="ABG32" s="19"/>
      <c r="ABH32" s="19"/>
      <c r="ABI32" s="19"/>
      <c r="ABJ32" s="19"/>
      <c r="ABK32" s="19"/>
      <c r="ABL32" s="19"/>
      <c r="ABM32" s="19"/>
      <c r="ABN32" s="19"/>
      <c r="ABO32" s="19"/>
      <c r="ABP32" s="19"/>
      <c r="ABQ32" s="19"/>
      <c r="ABR32" s="19"/>
      <c r="ABS32" s="19"/>
      <c r="ABT32" s="19"/>
      <c r="ABU32" s="19"/>
      <c r="ABV32" s="19"/>
      <c r="ABW32" s="19"/>
      <c r="ABX32" s="19"/>
      <c r="ABY32" s="19"/>
      <c r="ABZ32" s="19"/>
      <c r="ACA32" s="19"/>
      <c r="ACB32" s="19"/>
      <c r="ACC32" s="19"/>
      <c r="ACD32" s="19"/>
      <c r="ACE32" s="19"/>
      <c r="ACF32" s="19"/>
      <c r="ACG32" s="19"/>
      <c r="ACH32" s="19"/>
      <c r="ACI32" s="19"/>
      <c r="ACJ32" s="19"/>
      <c r="ACK32" s="19"/>
      <c r="ACL32" s="19"/>
      <c r="ACM32" s="19"/>
      <c r="ACN32" s="19"/>
      <c r="ACO32" s="19"/>
      <c r="ACP32" s="19"/>
      <c r="ACQ32" s="19"/>
      <c r="ACR32" s="19"/>
      <c r="ACS32" s="19"/>
      <c r="ACT32" s="19"/>
      <c r="ACU32" s="19"/>
      <c r="ACV32" s="19"/>
      <c r="ACW32" s="19"/>
      <c r="ACX32" s="19"/>
      <c r="ACY32" s="19"/>
      <c r="ACZ32" s="19"/>
      <c r="ADA32" s="19"/>
      <c r="ADB32" s="19"/>
      <c r="ADC32" s="19"/>
      <c r="ADD32" s="19"/>
      <c r="ADE32" s="19"/>
      <c r="ADF32" s="19"/>
      <c r="ADG32" s="19"/>
      <c r="ADH32" s="19"/>
      <c r="ADI32" s="19"/>
      <c r="ADJ32" s="19"/>
      <c r="ADK32" s="19"/>
      <c r="ADL32" s="19"/>
      <c r="ADM32" s="19"/>
      <c r="ADN32" s="19"/>
      <c r="ADO32" s="19"/>
      <c r="ADP32" s="19"/>
      <c r="ADQ32" s="19"/>
      <c r="ADR32" s="19"/>
      <c r="ADS32" s="19"/>
      <c r="ADT32" s="19"/>
      <c r="ADU32" s="19"/>
      <c r="ADV32" s="19"/>
      <c r="ADW32" s="19"/>
      <c r="ADX32" s="19"/>
      <c r="ADY32" s="19"/>
      <c r="ADZ32" s="19"/>
      <c r="AEA32" s="19"/>
      <c r="AEB32" s="19"/>
      <c r="AEC32" s="19"/>
      <c r="AED32" s="19"/>
      <c r="AEE32" s="19"/>
      <c r="AEF32" s="19"/>
      <c r="AEG32" s="19"/>
      <c r="AEH32" s="19"/>
      <c r="AEI32" s="19"/>
      <c r="AEJ32" s="19"/>
      <c r="AEK32" s="19"/>
      <c r="AEL32" s="19"/>
      <c r="AEM32" s="19"/>
      <c r="AEN32" s="19"/>
      <c r="AEO32" s="19"/>
      <c r="AEP32" s="19"/>
      <c r="AEQ32" s="19"/>
      <c r="AER32" s="19"/>
      <c r="AES32" s="19"/>
      <c r="AET32" s="19"/>
      <c r="AEU32" s="19"/>
      <c r="AEV32" s="19"/>
      <c r="AEW32" s="19"/>
      <c r="AEX32" s="19"/>
      <c r="AEY32" s="19"/>
      <c r="AEZ32" s="19"/>
      <c r="AFA32" s="19"/>
      <c r="AFB32" s="19"/>
      <c r="AFC32" s="19"/>
      <c r="AFD32" s="19"/>
      <c r="AFE32" s="19"/>
      <c r="AFF32" s="19"/>
      <c r="AFG32" s="19"/>
      <c r="AFH32" s="19"/>
      <c r="AFI32" s="19"/>
      <c r="AFJ32" s="19"/>
      <c r="AFK32" s="19"/>
      <c r="AFL32" s="19"/>
      <c r="AFM32" s="19"/>
      <c r="AFN32" s="19"/>
      <c r="AFO32" s="19"/>
      <c r="AFP32" s="19"/>
      <c r="AFQ32" s="19"/>
      <c r="AFR32" s="19"/>
      <c r="AFS32" s="19"/>
      <c r="AFT32" s="19"/>
      <c r="AFU32" s="19"/>
      <c r="AFV32" s="19"/>
      <c r="AFW32" s="19"/>
      <c r="AFX32" s="19"/>
      <c r="AFY32" s="19"/>
      <c r="AFZ32" s="19"/>
      <c r="AGA32" s="19"/>
      <c r="AGB32" s="19"/>
      <c r="AGC32" s="19"/>
      <c r="AGD32" s="19"/>
      <c r="AGE32" s="19"/>
      <c r="AGF32" s="19"/>
      <c r="AGG32" s="19"/>
      <c r="AGH32" s="19"/>
      <c r="AGI32" s="19"/>
      <c r="AGJ32" s="19"/>
      <c r="AGK32" s="19"/>
      <c r="AGL32" s="19"/>
      <c r="AGM32" s="19"/>
      <c r="AGN32" s="19"/>
      <c r="AGO32" s="19"/>
      <c r="AGP32" s="19"/>
      <c r="AGQ32" s="19"/>
      <c r="AGR32" s="19"/>
      <c r="AGS32" s="19"/>
      <c r="AGT32" s="19"/>
      <c r="AGU32" s="19"/>
      <c r="AGV32" s="19"/>
      <c r="AGW32" s="19"/>
      <c r="AGX32" s="19"/>
      <c r="AGY32" s="19"/>
      <c r="AGZ32" s="19"/>
      <c r="AHA32" s="19"/>
      <c r="AHB32" s="19"/>
      <c r="AHC32" s="19"/>
      <c r="AHD32" s="19"/>
      <c r="AHE32" s="19"/>
      <c r="AHF32" s="19"/>
      <c r="AHG32" s="19"/>
      <c r="AHH32" s="19"/>
      <c r="AHI32" s="19"/>
      <c r="AHJ32" s="19"/>
      <c r="AHK32" s="19"/>
      <c r="AHL32" s="19"/>
      <c r="AHM32" s="19"/>
      <c r="AHN32" s="19"/>
      <c r="AHO32" s="19"/>
      <c r="AHP32" s="19"/>
      <c r="AHQ32" s="19"/>
      <c r="AHR32" s="19"/>
      <c r="AHS32" s="19"/>
      <c r="AHT32" s="19"/>
      <c r="AHU32" s="19"/>
      <c r="AHV32" s="19"/>
      <c r="AHW32" s="19"/>
      <c r="AHX32" s="19"/>
      <c r="AHY32" s="19"/>
      <c r="AHZ32" s="19"/>
      <c r="AIA32" s="19"/>
      <c r="AIB32" s="19"/>
      <c r="AIC32" s="19"/>
      <c r="AID32" s="19"/>
      <c r="AIE32" s="19"/>
      <c r="AIF32" s="19"/>
      <c r="AIG32" s="19"/>
      <c r="AIH32" s="19"/>
      <c r="AII32" s="19"/>
      <c r="AIJ32" s="19"/>
      <c r="AIK32" s="19"/>
      <c r="AIL32" s="19"/>
      <c r="AIM32" s="19"/>
      <c r="AIN32" s="19"/>
      <c r="AIO32" s="19"/>
      <c r="AIP32" s="19"/>
      <c r="AIQ32" s="19"/>
      <c r="AIR32" s="19"/>
      <c r="AIS32" s="19"/>
      <c r="AIT32" s="19"/>
      <c r="AIU32" s="19"/>
      <c r="AIV32" s="19"/>
      <c r="AIW32" s="19"/>
      <c r="AIX32" s="19"/>
      <c r="AIY32" s="19"/>
      <c r="AIZ32" s="19"/>
      <c r="AJA32" s="19"/>
      <c r="AJB32" s="19"/>
      <c r="AJC32" s="19"/>
      <c r="AJD32" s="19"/>
      <c r="AJE32" s="19"/>
      <c r="AJF32" s="19"/>
      <c r="AJG32" s="19"/>
      <c r="AJH32" s="19"/>
      <c r="AJI32" s="19"/>
      <c r="AJJ32" s="19"/>
      <c r="AJK32" s="19"/>
      <c r="AJL32" s="19"/>
      <c r="AJM32" s="19"/>
      <c r="AJN32" s="19"/>
      <c r="AJO32" s="19"/>
      <c r="AJP32" s="19"/>
      <c r="AJQ32" s="19"/>
      <c r="AJR32" s="19"/>
      <c r="AJS32" s="19"/>
      <c r="AJT32" s="19"/>
      <c r="AJU32" s="19"/>
      <c r="AJV32" s="19"/>
      <c r="AJW32" s="19"/>
      <c r="AJX32" s="19"/>
      <c r="AJY32" s="19"/>
      <c r="AJZ32" s="19"/>
      <c r="AKA32" s="19"/>
      <c r="AKB32" s="19"/>
      <c r="AKC32" s="19"/>
      <c r="AKD32" s="19"/>
      <c r="AKE32" s="19"/>
      <c r="AKF32" s="19"/>
      <c r="AKG32" s="19"/>
      <c r="AKH32" s="19"/>
      <c r="AKI32" s="19"/>
      <c r="AKJ32" s="19"/>
      <c r="AKK32" s="19"/>
    </row>
    <row r="33" spans="2:973" s="125" customFormat="1">
      <c r="B33" s="225"/>
      <c r="C33" s="227"/>
      <c r="D33" s="255"/>
      <c r="E33" s="229"/>
      <c r="F33" s="229"/>
      <c r="G33" s="257"/>
      <c r="H33" s="253"/>
      <c r="I33" s="253"/>
      <c r="J33" s="259"/>
      <c r="K33" s="253"/>
      <c r="L33" s="253"/>
      <c r="M33" s="253"/>
      <c r="N33" s="253"/>
      <c r="O33" s="253"/>
      <c r="P33" s="253"/>
      <c r="Q33" s="127"/>
      <c r="R33" s="247"/>
      <c r="S33" s="19"/>
      <c r="T33" s="19"/>
      <c r="U33" s="103"/>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c r="DJ33" s="19"/>
      <c r="DK33" s="19"/>
      <c r="DL33" s="19"/>
      <c r="DM33" s="19"/>
      <c r="DN33" s="19"/>
      <c r="DO33" s="19"/>
      <c r="DP33" s="19"/>
      <c r="DQ33" s="19"/>
      <c r="DR33" s="19"/>
      <c r="DS33" s="19"/>
      <c r="DT33" s="19"/>
      <c r="DU33" s="19"/>
      <c r="DV33" s="19"/>
      <c r="DW33" s="19"/>
      <c r="DX33" s="19"/>
      <c r="DY33" s="19"/>
      <c r="DZ33" s="19"/>
      <c r="EA33" s="19"/>
      <c r="EB33" s="19"/>
      <c r="EC33" s="19"/>
      <c r="ED33" s="19"/>
      <c r="EE33" s="19"/>
      <c r="EF33" s="19"/>
      <c r="EG33" s="19"/>
      <c r="EH33" s="19"/>
      <c r="EI33" s="19"/>
      <c r="EJ33" s="19"/>
      <c r="EK33" s="19"/>
      <c r="EL33" s="19"/>
      <c r="EM33" s="19"/>
      <c r="EN33" s="19"/>
      <c r="EO33" s="19"/>
      <c r="EP33" s="19"/>
      <c r="EQ33" s="19"/>
      <c r="ER33" s="19"/>
      <c r="ES33" s="19"/>
      <c r="ET33" s="19"/>
      <c r="EU33" s="19"/>
      <c r="EV33" s="19"/>
      <c r="EW33" s="19"/>
      <c r="EX33" s="19"/>
      <c r="EY33" s="19"/>
      <c r="EZ33" s="19"/>
      <c r="FA33" s="19"/>
      <c r="FB33" s="19"/>
      <c r="FC33" s="19"/>
      <c r="FD33" s="19"/>
      <c r="FE33" s="19"/>
      <c r="FF33" s="19"/>
      <c r="FG33" s="19"/>
      <c r="FH33" s="19"/>
      <c r="FI33" s="19"/>
      <c r="FJ33" s="19"/>
      <c r="FK33" s="19"/>
      <c r="FL33" s="19"/>
      <c r="FM33" s="19"/>
      <c r="FN33" s="19"/>
      <c r="FO33" s="19"/>
      <c r="FP33" s="19"/>
      <c r="FQ33" s="19"/>
      <c r="FR33" s="19"/>
      <c r="FS33" s="19"/>
      <c r="FT33" s="19"/>
      <c r="FU33" s="19"/>
      <c r="FV33" s="19"/>
      <c r="FW33" s="19"/>
      <c r="FX33" s="19"/>
      <c r="FY33" s="19"/>
      <c r="FZ33" s="19"/>
      <c r="GA33" s="19"/>
      <c r="GB33" s="19"/>
      <c r="GC33" s="19"/>
      <c r="GD33" s="19"/>
      <c r="GE33" s="19"/>
      <c r="GF33" s="19"/>
      <c r="GG33" s="19"/>
      <c r="GH33" s="19"/>
      <c r="GI33" s="19"/>
      <c r="GJ33" s="19"/>
      <c r="GK33" s="19"/>
      <c r="GL33" s="19"/>
      <c r="GM33" s="19"/>
      <c r="GN33" s="19"/>
      <c r="GO33" s="19"/>
      <c r="GP33" s="19"/>
      <c r="GQ33" s="19"/>
      <c r="GR33" s="19"/>
      <c r="GS33" s="19"/>
      <c r="GT33" s="19"/>
      <c r="GU33" s="19"/>
      <c r="GV33" s="19"/>
      <c r="GW33" s="19"/>
      <c r="GX33" s="19"/>
      <c r="GY33" s="19"/>
      <c r="GZ33" s="19"/>
      <c r="HA33" s="19"/>
      <c r="HB33" s="19"/>
      <c r="HC33" s="19"/>
      <c r="HD33" s="19"/>
      <c r="HE33" s="19"/>
      <c r="HF33" s="19"/>
      <c r="HG33" s="19"/>
      <c r="HH33" s="19"/>
      <c r="HI33" s="19"/>
      <c r="HJ33" s="19"/>
      <c r="HK33" s="19"/>
      <c r="HL33" s="19"/>
      <c r="HM33" s="19"/>
      <c r="HN33" s="19"/>
      <c r="HO33" s="19"/>
      <c r="HP33" s="19"/>
      <c r="HQ33" s="19"/>
      <c r="HR33" s="19"/>
      <c r="HS33" s="19"/>
      <c r="HT33" s="19"/>
      <c r="HU33" s="19"/>
      <c r="HV33" s="19"/>
      <c r="HW33" s="19"/>
      <c r="HX33" s="19"/>
      <c r="HY33" s="19"/>
      <c r="HZ33" s="19"/>
      <c r="IA33" s="19"/>
      <c r="IB33" s="19"/>
      <c r="IC33" s="19"/>
      <c r="ID33" s="19"/>
      <c r="IE33" s="19"/>
      <c r="IF33" s="19"/>
      <c r="IG33" s="19"/>
      <c r="IH33" s="19"/>
      <c r="II33" s="19"/>
      <c r="IJ33" s="19"/>
      <c r="IK33" s="19"/>
      <c r="IL33" s="19"/>
      <c r="IM33" s="19"/>
      <c r="IN33" s="19"/>
      <c r="IO33" s="19"/>
      <c r="IP33" s="19"/>
      <c r="IQ33" s="19"/>
      <c r="IR33" s="19"/>
      <c r="IS33" s="19"/>
      <c r="IT33" s="19"/>
      <c r="IU33" s="19"/>
      <c r="IV33" s="19"/>
      <c r="IW33" s="19"/>
      <c r="IX33" s="19"/>
      <c r="IY33" s="19"/>
      <c r="IZ33" s="19"/>
      <c r="JA33" s="19"/>
      <c r="JB33" s="19"/>
      <c r="JC33" s="19"/>
      <c r="JD33" s="19"/>
      <c r="JE33" s="19"/>
      <c r="JF33" s="19"/>
      <c r="JG33" s="19"/>
      <c r="JH33" s="19"/>
      <c r="JI33" s="19"/>
      <c r="JJ33" s="19"/>
      <c r="JK33" s="19"/>
      <c r="JL33" s="19"/>
      <c r="JM33" s="19"/>
      <c r="JN33" s="19"/>
      <c r="JO33" s="19"/>
      <c r="JP33" s="19"/>
      <c r="JQ33" s="19"/>
      <c r="JR33" s="19"/>
      <c r="JS33" s="19"/>
      <c r="JT33" s="19"/>
      <c r="JU33" s="19"/>
      <c r="JV33" s="19"/>
      <c r="JW33" s="19"/>
      <c r="JX33" s="19"/>
      <c r="JY33" s="19"/>
      <c r="JZ33" s="19"/>
      <c r="KA33" s="19"/>
      <c r="KB33" s="19"/>
      <c r="KC33" s="19"/>
      <c r="KD33" s="19"/>
      <c r="KE33" s="19"/>
      <c r="KF33" s="19"/>
      <c r="KG33" s="19"/>
      <c r="KH33" s="19"/>
      <c r="KI33" s="19"/>
      <c r="KJ33" s="19"/>
      <c r="KK33" s="19"/>
      <c r="KL33" s="19"/>
      <c r="KM33" s="19"/>
      <c r="KN33" s="19"/>
      <c r="KO33" s="19"/>
      <c r="KP33" s="19"/>
      <c r="KQ33" s="19"/>
      <c r="KR33" s="19"/>
      <c r="KS33" s="19"/>
      <c r="KT33" s="19"/>
      <c r="KU33" s="19"/>
      <c r="KV33" s="19"/>
      <c r="KW33" s="19"/>
      <c r="KX33" s="19"/>
      <c r="KY33" s="19"/>
      <c r="KZ33" s="19"/>
      <c r="LA33" s="19"/>
      <c r="LB33" s="19"/>
      <c r="LC33" s="19"/>
      <c r="LD33" s="19"/>
      <c r="LE33" s="19"/>
      <c r="LF33" s="19"/>
      <c r="LG33" s="19"/>
      <c r="LH33" s="19"/>
      <c r="LI33" s="19"/>
      <c r="LJ33" s="19"/>
      <c r="LK33" s="19"/>
      <c r="LL33" s="19"/>
      <c r="LM33" s="19"/>
      <c r="LN33" s="19"/>
      <c r="LO33" s="19"/>
      <c r="LP33" s="19"/>
      <c r="LQ33" s="19"/>
      <c r="LR33" s="19"/>
      <c r="LS33" s="19"/>
      <c r="LT33" s="19"/>
      <c r="LU33" s="19"/>
      <c r="LV33" s="19"/>
      <c r="LW33" s="19"/>
      <c r="LX33" s="19"/>
      <c r="LY33" s="19"/>
      <c r="LZ33" s="19"/>
      <c r="MA33" s="19"/>
      <c r="MB33" s="19"/>
      <c r="MC33" s="19"/>
      <c r="MD33" s="19"/>
      <c r="ME33" s="19"/>
      <c r="MF33" s="19"/>
      <c r="MG33" s="19"/>
      <c r="MH33" s="19"/>
      <c r="MI33" s="19"/>
      <c r="MJ33" s="19"/>
      <c r="MK33" s="19"/>
      <c r="ML33" s="19"/>
      <c r="MM33" s="19"/>
      <c r="MN33" s="19"/>
      <c r="MO33" s="19"/>
      <c r="MP33" s="19"/>
      <c r="MQ33" s="19"/>
      <c r="MR33" s="19"/>
      <c r="MS33" s="19"/>
      <c r="MT33" s="19"/>
      <c r="MU33" s="19"/>
      <c r="MV33" s="19"/>
      <c r="MW33" s="19"/>
      <c r="MX33" s="19"/>
      <c r="MY33" s="19"/>
      <c r="MZ33" s="19"/>
      <c r="NA33" s="19"/>
      <c r="NB33" s="19"/>
      <c r="NC33" s="19"/>
      <c r="ND33" s="19"/>
      <c r="NE33" s="19"/>
      <c r="NF33" s="19"/>
      <c r="NG33" s="19"/>
      <c r="NH33" s="19"/>
      <c r="NI33" s="19"/>
      <c r="NJ33" s="19"/>
      <c r="NK33" s="19"/>
      <c r="NL33" s="19"/>
      <c r="NM33" s="19"/>
      <c r="NN33" s="19"/>
      <c r="NO33" s="19"/>
      <c r="NP33" s="19"/>
      <c r="NQ33" s="19"/>
      <c r="NR33" s="19"/>
      <c r="NS33" s="19"/>
      <c r="NT33" s="19"/>
      <c r="NU33" s="19"/>
      <c r="NV33" s="19"/>
      <c r="NW33" s="19"/>
      <c r="NX33" s="19"/>
      <c r="NY33" s="19"/>
      <c r="NZ33" s="19"/>
      <c r="OA33" s="19"/>
      <c r="OB33" s="19"/>
      <c r="OC33" s="19"/>
      <c r="OD33" s="19"/>
      <c r="OE33" s="19"/>
      <c r="OF33" s="19"/>
      <c r="OG33" s="19"/>
      <c r="OH33" s="19"/>
      <c r="OI33" s="19"/>
      <c r="OJ33" s="19"/>
      <c r="OK33" s="19"/>
      <c r="OL33" s="19"/>
      <c r="OM33" s="19"/>
      <c r="ON33" s="19"/>
      <c r="OO33" s="19"/>
      <c r="OP33" s="19"/>
      <c r="OQ33" s="19"/>
      <c r="OR33" s="19"/>
      <c r="OS33" s="19"/>
      <c r="OT33" s="19"/>
      <c r="OU33" s="19"/>
      <c r="OV33" s="19"/>
      <c r="OW33" s="19"/>
      <c r="OX33" s="19"/>
      <c r="OY33" s="19"/>
      <c r="OZ33" s="19"/>
      <c r="PA33" s="19"/>
      <c r="PB33" s="19"/>
      <c r="PC33" s="19"/>
      <c r="PD33" s="19"/>
      <c r="PE33" s="19"/>
      <c r="PF33" s="19"/>
      <c r="PG33" s="19"/>
      <c r="PH33" s="19"/>
      <c r="PI33" s="19"/>
      <c r="PJ33" s="19"/>
      <c r="PK33" s="19"/>
      <c r="PL33" s="19"/>
      <c r="PM33" s="19"/>
      <c r="PN33" s="19"/>
      <c r="PO33" s="19"/>
      <c r="PP33" s="19"/>
      <c r="PQ33" s="19"/>
      <c r="PR33" s="19"/>
      <c r="PS33" s="19"/>
      <c r="PT33" s="19"/>
      <c r="PU33" s="19"/>
      <c r="PV33" s="19"/>
      <c r="PW33" s="19"/>
      <c r="PX33" s="19"/>
      <c r="PY33" s="19"/>
      <c r="PZ33" s="19"/>
      <c r="QA33" s="19"/>
      <c r="QB33" s="19"/>
      <c r="QC33" s="19"/>
      <c r="QD33" s="19"/>
      <c r="QE33" s="19"/>
      <c r="QF33" s="19"/>
      <c r="QG33" s="19"/>
      <c r="QH33" s="19"/>
      <c r="QI33" s="19"/>
      <c r="QJ33" s="19"/>
      <c r="QK33" s="19"/>
      <c r="QL33" s="19"/>
      <c r="QM33" s="19"/>
      <c r="QN33" s="19"/>
      <c r="QO33" s="19"/>
      <c r="QP33" s="19"/>
      <c r="QQ33" s="19"/>
      <c r="QR33" s="19"/>
      <c r="QS33" s="19"/>
      <c r="QT33" s="19"/>
      <c r="QU33" s="19"/>
      <c r="QV33" s="19"/>
      <c r="QW33" s="19"/>
      <c r="QX33" s="19"/>
      <c r="QY33" s="19"/>
      <c r="QZ33" s="19"/>
      <c r="RA33" s="19"/>
      <c r="RB33" s="19"/>
      <c r="RC33" s="19"/>
      <c r="RD33" s="19"/>
      <c r="RE33" s="19"/>
      <c r="RF33" s="19"/>
      <c r="RG33" s="19"/>
      <c r="RH33" s="19"/>
      <c r="RI33" s="19"/>
      <c r="RJ33" s="19"/>
      <c r="RK33" s="19"/>
      <c r="RL33" s="19"/>
      <c r="RM33" s="19"/>
      <c r="RN33" s="19"/>
      <c r="RO33" s="19"/>
      <c r="RP33" s="19"/>
      <c r="RQ33" s="19"/>
      <c r="RR33" s="19"/>
      <c r="RS33" s="19"/>
      <c r="RT33" s="19"/>
      <c r="RU33" s="19"/>
      <c r="RV33" s="19"/>
      <c r="RW33" s="19"/>
      <c r="RX33" s="19"/>
      <c r="RY33" s="19"/>
      <c r="RZ33" s="19"/>
      <c r="SA33" s="19"/>
      <c r="SB33" s="19"/>
      <c r="SC33" s="19"/>
      <c r="SD33" s="19"/>
      <c r="SE33" s="19"/>
      <c r="SF33" s="19"/>
      <c r="SG33" s="19"/>
      <c r="SH33" s="19"/>
      <c r="SI33" s="19"/>
      <c r="SJ33" s="19"/>
      <c r="SK33" s="19"/>
      <c r="SL33" s="19"/>
      <c r="SM33" s="19"/>
      <c r="SN33" s="19"/>
      <c r="SO33" s="19"/>
      <c r="SP33" s="19"/>
      <c r="SQ33" s="19"/>
      <c r="SR33" s="19"/>
      <c r="SS33" s="19"/>
      <c r="ST33" s="19"/>
      <c r="SU33" s="19"/>
      <c r="SV33" s="19"/>
      <c r="SW33" s="19"/>
      <c r="SX33" s="19"/>
      <c r="SY33" s="19"/>
      <c r="SZ33" s="19"/>
      <c r="TA33" s="19"/>
      <c r="TB33" s="19"/>
      <c r="TC33" s="19"/>
      <c r="TD33" s="19"/>
      <c r="TE33" s="19"/>
      <c r="TF33" s="19"/>
      <c r="TG33" s="19"/>
      <c r="TH33" s="19"/>
      <c r="TI33" s="19"/>
      <c r="TJ33" s="19"/>
      <c r="TK33" s="19"/>
      <c r="TL33" s="19"/>
      <c r="TM33" s="19"/>
      <c r="TN33" s="19"/>
      <c r="TO33" s="19"/>
      <c r="TP33" s="19"/>
      <c r="TQ33" s="19"/>
      <c r="TR33" s="19"/>
      <c r="TS33" s="19"/>
      <c r="TT33" s="19"/>
      <c r="TU33" s="19"/>
      <c r="TV33" s="19"/>
      <c r="TW33" s="19"/>
      <c r="TX33" s="19"/>
      <c r="TY33" s="19"/>
      <c r="TZ33" s="19"/>
      <c r="UA33" s="19"/>
      <c r="UB33" s="19"/>
      <c r="UC33" s="19"/>
      <c r="UD33" s="19"/>
      <c r="UE33" s="19"/>
      <c r="UF33" s="19"/>
      <c r="UG33" s="19"/>
      <c r="UH33" s="19"/>
      <c r="UI33" s="19"/>
      <c r="UJ33" s="19"/>
      <c r="UK33" s="19"/>
      <c r="UL33" s="19"/>
      <c r="UM33" s="19"/>
      <c r="UN33" s="19"/>
      <c r="UO33" s="19"/>
      <c r="UP33" s="19"/>
      <c r="UQ33" s="19"/>
      <c r="UR33" s="19"/>
      <c r="US33" s="19"/>
      <c r="UT33" s="19"/>
      <c r="UU33" s="19"/>
      <c r="UV33" s="19"/>
      <c r="UW33" s="19"/>
      <c r="UX33" s="19"/>
      <c r="UY33" s="19"/>
      <c r="UZ33" s="19"/>
      <c r="VA33" s="19"/>
      <c r="VB33" s="19"/>
      <c r="VC33" s="19"/>
      <c r="VD33" s="19"/>
      <c r="VE33" s="19"/>
      <c r="VF33" s="19"/>
      <c r="VG33" s="19"/>
      <c r="VH33" s="19"/>
      <c r="VI33" s="19"/>
      <c r="VJ33" s="19"/>
      <c r="VK33" s="19"/>
      <c r="VL33" s="19"/>
      <c r="VM33" s="19"/>
      <c r="VN33" s="19"/>
      <c r="VO33" s="19"/>
      <c r="VP33" s="19"/>
      <c r="VQ33" s="19"/>
      <c r="VR33" s="19"/>
      <c r="VS33" s="19"/>
      <c r="VT33" s="19"/>
      <c r="VU33" s="19"/>
      <c r="VV33" s="19"/>
      <c r="VW33" s="19"/>
      <c r="VX33" s="19"/>
      <c r="VY33" s="19"/>
      <c r="VZ33" s="19"/>
      <c r="WA33" s="19"/>
      <c r="WB33" s="19"/>
      <c r="WC33" s="19"/>
      <c r="WD33" s="19"/>
      <c r="WE33" s="19"/>
      <c r="WF33" s="19"/>
      <c r="WG33" s="19"/>
      <c r="WH33" s="19"/>
      <c r="WI33" s="19"/>
      <c r="WJ33" s="19"/>
      <c r="WK33" s="19"/>
      <c r="WL33" s="19"/>
      <c r="WM33" s="19"/>
      <c r="WN33" s="19"/>
      <c r="WO33" s="19"/>
      <c r="WP33" s="19"/>
      <c r="WQ33" s="19"/>
      <c r="WR33" s="19"/>
      <c r="WS33" s="19"/>
      <c r="WT33" s="19"/>
      <c r="WU33" s="19"/>
      <c r="WV33" s="19"/>
      <c r="WW33" s="19"/>
      <c r="WX33" s="19"/>
      <c r="WY33" s="19"/>
      <c r="WZ33" s="19"/>
      <c r="XA33" s="19"/>
      <c r="XB33" s="19"/>
      <c r="XC33" s="19"/>
      <c r="XD33" s="19"/>
      <c r="XE33" s="19"/>
      <c r="XF33" s="19"/>
      <c r="XG33" s="19"/>
      <c r="XH33" s="19"/>
      <c r="XI33" s="19"/>
      <c r="XJ33" s="19"/>
      <c r="XK33" s="19"/>
      <c r="XL33" s="19"/>
      <c r="XM33" s="19"/>
      <c r="XN33" s="19"/>
      <c r="XO33" s="19"/>
      <c r="XP33" s="19"/>
      <c r="XQ33" s="19"/>
      <c r="XR33" s="19"/>
      <c r="XS33" s="19"/>
      <c r="XT33" s="19"/>
      <c r="XU33" s="19"/>
      <c r="XV33" s="19"/>
      <c r="XW33" s="19"/>
      <c r="XX33" s="19"/>
      <c r="XY33" s="19"/>
      <c r="XZ33" s="19"/>
      <c r="YA33" s="19"/>
      <c r="YB33" s="19"/>
      <c r="YC33" s="19"/>
      <c r="YD33" s="19"/>
      <c r="YE33" s="19"/>
      <c r="YF33" s="19"/>
      <c r="YG33" s="19"/>
      <c r="YH33" s="19"/>
      <c r="YI33" s="19"/>
      <c r="YJ33" s="19"/>
      <c r="YK33" s="19"/>
      <c r="YL33" s="19"/>
      <c r="YM33" s="19"/>
      <c r="YN33" s="19"/>
      <c r="YO33" s="19"/>
      <c r="YP33" s="19"/>
      <c r="YQ33" s="19"/>
      <c r="YR33" s="19"/>
      <c r="YS33" s="19"/>
      <c r="YT33" s="19"/>
      <c r="YU33" s="19"/>
      <c r="YV33" s="19"/>
      <c r="YW33" s="19"/>
      <c r="YX33" s="19"/>
      <c r="YY33" s="19"/>
      <c r="YZ33" s="19"/>
      <c r="ZA33" s="19"/>
      <c r="ZB33" s="19"/>
      <c r="ZC33" s="19"/>
      <c r="ZD33" s="19"/>
      <c r="ZE33" s="19"/>
      <c r="ZF33" s="19"/>
      <c r="ZG33" s="19"/>
      <c r="ZH33" s="19"/>
      <c r="ZI33" s="19"/>
      <c r="ZJ33" s="19"/>
      <c r="ZK33" s="19"/>
      <c r="ZL33" s="19"/>
      <c r="ZM33" s="19"/>
      <c r="ZN33" s="19"/>
      <c r="ZO33" s="19"/>
      <c r="ZP33" s="19"/>
      <c r="ZQ33" s="19"/>
      <c r="ZR33" s="19"/>
      <c r="ZS33" s="19"/>
      <c r="ZT33" s="19"/>
      <c r="ZU33" s="19"/>
      <c r="ZV33" s="19"/>
      <c r="ZW33" s="19"/>
      <c r="ZX33" s="19"/>
      <c r="ZY33" s="19"/>
      <c r="ZZ33" s="19"/>
      <c r="AAA33" s="19"/>
      <c r="AAB33" s="19"/>
      <c r="AAC33" s="19"/>
      <c r="AAD33" s="19"/>
      <c r="AAE33" s="19"/>
      <c r="AAF33" s="19"/>
      <c r="AAG33" s="19"/>
      <c r="AAH33" s="19"/>
      <c r="AAI33" s="19"/>
      <c r="AAJ33" s="19"/>
      <c r="AAK33" s="19"/>
      <c r="AAL33" s="19"/>
      <c r="AAM33" s="19"/>
      <c r="AAN33" s="19"/>
      <c r="AAO33" s="19"/>
      <c r="AAP33" s="19"/>
      <c r="AAQ33" s="19"/>
      <c r="AAR33" s="19"/>
      <c r="AAS33" s="19"/>
      <c r="AAT33" s="19"/>
      <c r="AAU33" s="19"/>
      <c r="AAV33" s="19"/>
      <c r="AAW33" s="19"/>
      <c r="AAX33" s="19"/>
      <c r="AAY33" s="19"/>
      <c r="AAZ33" s="19"/>
      <c r="ABA33" s="19"/>
      <c r="ABB33" s="19"/>
      <c r="ABC33" s="19"/>
      <c r="ABD33" s="19"/>
      <c r="ABE33" s="19"/>
      <c r="ABF33" s="19"/>
      <c r="ABG33" s="19"/>
      <c r="ABH33" s="19"/>
      <c r="ABI33" s="19"/>
      <c r="ABJ33" s="19"/>
      <c r="ABK33" s="19"/>
      <c r="ABL33" s="19"/>
      <c r="ABM33" s="19"/>
      <c r="ABN33" s="19"/>
      <c r="ABO33" s="19"/>
      <c r="ABP33" s="19"/>
      <c r="ABQ33" s="19"/>
      <c r="ABR33" s="19"/>
      <c r="ABS33" s="19"/>
      <c r="ABT33" s="19"/>
      <c r="ABU33" s="19"/>
      <c r="ABV33" s="19"/>
      <c r="ABW33" s="19"/>
      <c r="ABX33" s="19"/>
      <c r="ABY33" s="19"/>
      <c r="ABZ33" s="19"/>
      <c r="ACA33" s="19"/>
      <c r="ACB33" s="19"/>
      <c r="ACC33" s="19"/>
      <c r="ACD33" s="19"/>
      <c r="ACE33" s="19"/>
      <c r="ACF33" s="19"/>
      <c r="ACG33" s="19"/>
      <c r="ACH33" s="19"/>
      <c r="ACI33" s="19"/>
      <c r="ACJ33" s="19"/>
      <c r="ACK33" s="19"/>
      <c r="ACL33" s="19"/>
      <c r="ACM33" s="19"/>
      <c r="ACN33" s="19"/>
      <c r="ACO33" s="19"/>
      <c r="ACP33" s="19"/>
      <c r="ACQ33" s="19"/>
      <c r="ACR33" s="19"/>
      <c r="ACS33" s="19"/>
      <c r="ACT33" s="19"/>
      <c r="ACU33" s="19"/>
      <c r="ACV33" s="19"/>
      <c r="ACW33" s="19"/>
      <c r="ACX33" s="19"/>
      <c r="ACY33" s="19"/>
      <c r="ACZ33" s="19"/>
      <c r="ADA33" s="19"/>
      <c r="ADB33" s="19"/>
      <c r="ADC33" s="19"/>
      <c r="ADD33" s="19"/>
      <c r="ADE33" s="19"/>
      <c r="ADF33" s="19"/>
      <c r="ADG33" s="19"/>
      <c r="ADH33" s="19"/>
      <c r="ADI33" s="19"/>
      <c r="ADJ33" s="19"/>
      <c r="ADK33" s="19"/>
      <c r="ADL33" s="19"/>
      <c r="ADM33" s="19"/>
      <c r="ADN33" s="19"/>
      <c r="ADO33" s="19"/>
      <c r="ADP33" s="19"/>
      <c r="ADQ33" s="19"/>
      <c r="ADR33" s="19"/>
      <c r="ADS33" s="19"/>
      <c r="ADT33" s="19"/>
      <c r="ADU33" s="19"/>
      <c r="ADV33" s="19"/>
      <c r="ADW33" s="19"/>
      <c r="ADX33" s="19"/>
      <c r="ADY33" s="19"/>
      <c r="ADZ33" s="19"/>
      <c r="AEA33" s="19"/>
      <c r="AEB33" s="19"/>
      <c r="AEC33" s="19"/>
      <c r="AED33" s="19"/>
      <c r="AEE33" s="19"/>
      <c r="AEF33" s="19"/>
      <c r="AEG33" s="19"/>
      <c r="AEH33" s="19"/>
      <c r="AEI33" s="19"/>
      <c r="AEJ33" s="19"/>
      <c r="AEK33" s="19"/>
      <c r="AEL33" s="19"/>
      <c r="AEM33" s="19"/>
      <c r="AEN33" s="19"/>
      <c r="AEO33" s="19"/>
      <c r="AEP33" s="19"/>
      <c r="AEQ33" s="19"/>
      <c r="AER33" s="19"/>
      <c r="AES33" s="19"/>
      <c r="AET33" s="19"/>
      <c r="AEU33" s="19"/>
      <c r="AEV33" s="19"/>
      <c r="AEW33" s="19"/>
      <c r="AEX33" s="19"/>
      <c r="AEY33" s="19"/>
      <c r="AEZ33" s="19"/>
      <c r="AFA33" s="19"/>
      <c r="AFB33" s="19"/>
      <c r="AFC33" s="19"/>
      <c r="AFD33" s="19"/>
      <c r="AFE33" s="19"/>
      <c r="AFF33" s="19"/>
      <c r="AFG33" s="19"/>
      <c r="AFH33" s="19"/>
      <c r="AFI33" s="19"/>
      <c r="AFJ33" s="19"/>
      <c r="AFK33" s="19"/>
      <c r="AFL33" s="19"/>
      <c r="AFM33" s="19"/>
      <c r="AFN33" s="19"/>
      <c r="AFO33" s="19"/>
      <c r="AFP33" s="19"/>
      <c r="AFQ33" s="19"/>
      <c r="AFR33" s="19"/>
      <c r="AFS33" s="19"/>
      <c r="AFT33" s="19"/>
      <c r="AFU33" s="19"/>
      <c r="AFV33" s="19"/>
      <c r="AFW33" s="19"/>
      <c r="AFX33" s="19"/>
      <c r="AFY33" s="19"/>
      <c r="AFZ33" s="19"/>
      <c r="AGA33" s="19"/>
      <c r="AGB33" s="19"/>
      <c r="AGC33" s="19"/>
      <c r="AGD33" s="19"/>
      <c r="AGE33" s="19"/>
      <c r="AGF33" s="19"/>
      <c r="AGG33" s="19"/>
      <c r="AGH33" s="19"/>
      <c r="AGI33" s="19"/>
      <c r="AGJ33" s="19"/>
      <c r="AGK33" s="19"/>
      <c r="AGL33" s="19"/>
      <c r="AGM33" s="19"/>
      <c r="AGN33" s="19"/>
      <c r="AGO33" s="19"/>
      <c r="AGP33" s="19"/>
      <c r="AGQ33" s="19"/>
      <c r="AGR33" s="19"/>
      <c r="AGS33" s="19"/>
      <c r="AGT33" s="19"/>
      <c r="AGU33" s="19"/>
      <c r="AGV33" s="19"/>
      <c r="AGW33" s="19"/>
      <c r="AGX33" s="19"/>
      <c r="AGY33" s="19"/>
      <c r="AGZ33" s="19"/>
      <c r="AHA33" s="19"/>
      <c r="AHB33" s="19"/>
      <c r="AHC33" s="19"/>
      <c r="AHD33" s="19"/>
      <c r="AHE33" s="19"/>
      <c r="AHF33" s="19"/>
      <c r="AHG33" s="19"/>
      <c r="AHH33" s="19"/>
      <c r="AHI33" s="19"/>
      <c r="AHJ33" s="19"/>
      <c r="AHK33" s="19"/>
      <c r="AHL33" s="19"/>
      <c r="AHM33" s="19"/>
      <c r="AHN33" s="19"/>
      <c r="AHO33" s="19"/>
      <c r="AHP33" s="19"/>
      <c r="AHQ33" s="19"/>
      <c r="AHR33" s="19"/>
      <c r="AHS33" s="19"/>
      <c r="AHT33" s="19"/>
      <c r="AHU33" s="19"/>
      <c r="AHV33" s="19"/>
      <c r="AHW33" s="19"/>
      <c r="AHX33" s="19"/>
      <c r="AHY33" s="19"/>
      <c r="AHZ33" s="19"/>
      <c r="AIA33" s="19"/>
      <c r="AIB33" s="19"/>
      <c r="AIC33" s="19"/>
      <c r="AID33" s="19"/>
      <c r="AIE33" s="19"/>
      <c r="AIF33" s="19"/>
      <c r="AIG33" s="19"/>
      <c r="AIH33" s="19"/>
      <c r="AII33" s="19"/>
      <c r="AIJ33" s="19"/>
      <c r="AIK33" s="19"/>
      <c r="AIL33" s="19"/>
      <c r="AIM33" s="19"/>
      <c r="AIN33" s="19"/>
      <c r="AIO33" s="19"/>
      <c r="AIP33" s="19"/>
      <c r="AIQ33" s="19"/>
      <c r="AIR33" s="19"/>
      <c r="AIS33" s="19"/>
      <c r="AIT33" s="19"/>
      <c r="AIU33" s="19"/>
      <c r="AIV33" s="19"/>
      <c r="AIW33" s="19"/>
      <c r="AIX33" s="19"/>
      <c r="AIY33" s="19"/>
      <c r="AIZ33" s="19"/>
      <c r="AJA33" s="19"/>
      <c r="AJB33" s="19"/>
      <c r="AJC33" s="19"/>
      <c r="AJD33" s="19"/>
      <c r="AJE33" s="19"/>
      <c r="AJF33" s="19"/>
      <c r="AJG33" s="19"/>
      <c r="AJH33" s="19"/>
      <c r="AJI33" s="19"/>
      <c r="AJJ33" s="19"/>
      <c r="AJK33" s="19"/>
      <c r="AJL33" s="19"/>
      <c r="AJM33" s="19"/>
      <c r="AJN33" s="19"/>
      <c r="AJO33" s="19"/>
      <c r="AJP33" s="19"/>
      <c r="AJQ33" s="19"/>
      <c r="AJR33" s="19"/>
      <c r="AJS33" s="19"/>
      <c r="AJT33" s="19"/>
      <c r="AJU33" s="19"/>
      <c r="AJV33" s="19"/>
      <c r="AJW33" s="19"/>
      <c r="AJX33" s="19"/>
      <c r="AJY33" s="19"/>
      <c r="AJZ33" s="19"/>
      <c r="AKA33" s="19"/>
      <c r="AKB33" s="19"/>
      <c r="AKC33" s="19"/>
      <c r="AKD33" s="19"/>
      <c r="AKE33" s="19"/>
      <c r="AKF33" s="19"/>
      <c r="AKG33" s="19"/>
      <c r="AKH33" s="19"/>
      <c r="AKI33" s="19"/>
      <c r="AKJ33" s="19"/>
      <c r="AKK33" s="19"/>
    </row>
    <row r="34" spans="2:973" ht="21" customHeight="1">
      <c r="B34" s="225"/>
      <c r="C34" s="245" t="s">
        <v>66</v>
      </c>
      <c r="D34" s="110" t="s">
        <v>67</v>
      </c>
      <c r="E34" s="120" t="s">
        <v>24</v>
      </c>
      <c r="F34" s="120" t="s">
        <v>38</v>
      </c>
      <c r="G34" s="128" t="s">
        <v>68</v>
      </c>
      <c r="H34" s="129">
        <v>3500</v>
      </c>
      <c r="I34" s="129">
        <v>500</v>
      </c>
      <c r="J34" s="130">
        <f>SUM(H34*I34)</f>
        <v>1750000</v>
      </c>
      <c r="K34" s="129">
        <v>500000</v>
      </c>
      <c r="L34" s="129">
        <v>500000</v>
      </c>
      <c r="M34" s="131">
        <v>750000</v>
      </c>
      <c r="N34" s="127"/>
      <c r="O34" s="127"/>
      <c r="P34" s="127">
        <f>SUM(K34:O34)</f>
        <v>1750000</v>
      </c>
      <c r="Q34" s="132">
        <v>750000</v>
      </c>
      <c r="R34" s="133" t="s">
        <v>69</v>
      </c>
      <c r="T34" s="103"/>
      <c r="U34" s="103"/>
      <c r="V34" s="103"/>
    </row>
    <row r="35" spans="2:973" ht="21" customHeight="1">
      <c r="B35" s="225"/>
      <c r="C35" s="227"/>
      <c r="D35" s="112"/>
      <c r="E35" s="111" t="s">
        <v>24</v>
      </c>
      <c r="F35" s="112" t="s">
        <v>38</v>
      </c>
      <c r="G35" s="122" t="s">
        <v>70</v>
      </c>
      <c r="H35" s="123">
        <v>5010</v>
      </c>
      <c r="I35" s="123">
        <v>100</v>
      </c>
      <c r="J35" s="124">
        <f t="shared" si="1"/>
        <v>501000</v>
      </c>
      <c r="K35" s="123">
        <v>200000</v>
      </c>
      <c r="L35" s="123">
        <v>200000</v>
      </c>
      <c r="M35" s="123">
        <v>101000</v>
      </c>
      <c r="N35" s="123"/>
      <c r="O35" s="123"/>
      <c r="P35" s="123">
        <f>SUM(K35:O35)</f>
        <v>501000</v>
      </c>
      <c r="Q35" s="123">
        <v>400000</v>
      </c>
      <c r="R35" s="115"/>
      <c r="U35" s="103"/>
    </row>
    <row r="36" spans="2:973" ht="21" customHeight="1">
      <c r="B36" s="225"/>
      <c r="C36" s="227"/>
      <c r="D36" s="228" t="s">
        <v>71</v>
      </c>
      <c r="E36" s="111" t="s">
        <v>24</v>
      </c>
      <c r="F36" s="112" t="s">
        <v>29</v>
      </c>
      <c r="G36" s="122" t="s">
        <v>26</v>
      </c>
      <c r="H36" s="123">
        <v>160</v>
      </c>
      <c r="I36" s="123">
        <v>250</v>
      </c>
      <c r="J36" s="124">
        <f>SUM(H36*I36)</f>
        <v>40000</v>
      </c>
      <c r="K36" s="123">
        <v>10000</v>
      </c>
      <c r="L36" s="123">
        <v>10000</v>
      </c>
      <c r="M36" s="123">
        <v>10000</v>
      </c>
      <c r="N36" s="123">
        <v>10000</v>
      </c>
      <c r="O36" s="123"/>
      <c r="P36" s="123">
        <f>SUM(K36:O36)</f>
        <v>40000</v>
      </c>
      <c r="Q36" s="123">
        <v>40000</v>
      </c>
      <c r="R36" s="115" t="s">
        <v>72</v>
      </c>
      <c r="U36" s="103"/>
    </row>
    <row r="37" spans="2:973" ht="21" customHeight="1">
      <c r="B37" s="225"/>
      <c r="C37" s="227"/>
      <c r="D37" s="229"/>
      <c r="E37" s="111" t="s">
        <v>24</v>
      </c>
      <c r="F37" s="112" t="s">
        <v>73</v>
      </c>
      <c r="G37" s="122" t="s">
        <v>74</v>
      </c>
      <c r="H37" s="123">
        <v>15</v>
      </c>
      <c r="I37" s="123">
        <v>5000</v>
      </c>
      <c r="J37" s="124">
        <f>SUM(H37*I37)</f>
        <v>75000</v>
      </c>
      <c r="K37" s="123">
        <v>15000</v>
      </c>
      <c r="L37" s="123">
        <v>30000</v>
      </c>
      <c r="M37" s="123">
        <v>30000</v>
      </c>
      <c r="N37" s="123"/>
      <c r="O37" s="123"/>
      <c r="P37" s="123">
        <f>SUM(K37:O37)</f>
        <v>75000</v>
      </c>
      <c r="Q37" s="123">
        <v>30000</v>
      </c>
      <c r="R37" s="115"/>
      <c r="U37" s="103"/>
    </row>
    <row r="38" spans="2:973" s="125" customFormat="1">
      <c r="B38" s="225"/>
      <c r="C38" s="227"/>
      <c r="D38" s="110" t="s">
        <v>49</v>
      </c>
      <c r="E38" s="120"/>
      <c r="F38" s="120"/>
      <c r="G38" s="134"/>
      <c r="H38" s="134"/>
      <c r="I38" s="134"/>
      <c r="J38" s="134"/>
      <c r="K38" s="134"/>
      <c r="L38" s="134"/>
      <c r="M38" s="134"/>
      <c r="N38" s="134"/>
      <c r="O38" s="134"/>
      <c r="P38" s="123">
        <f>SUM(P34:P37)</f>
        <v>2366000</v>
      </c>
      <c r="Q38" s="123">
        <f>SUM(Q34:Q37)</f>
        <v>1220000</v>
      </c>
      <c r="R38" s="134"/>
      <c r="S38" s="19"/>
      <c r="T38" s="19"/>
      <c r="U38" s="103"/>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9"/>
      <c r="DJ38" s="19"/>
      <c r="DK38" s="19"/>
      <c r="DL38" s="19"/>
      <c r="DM38" s="19"/>
      <c r="DN38" s="19"/>
      <c r="DO38" s="19"/>
      <c r="DP38" s="19"/>
      <c r="DQ38" s="19"/>
      <c r="DR38" s="19"/>
      <c r="DS38" s="19"/>
      <c r="DT38" s="19"/>
      <c r="DU38" s="19"/>
      <c r="DV38" s="19"/>
      <c r="DW38" s="19"/>
      <c r="DX38" s="19"/>
      <c r="DY38" s="19"/>
      <c r="DZ38" s="19"/>
      <c r="EA38" s="19"/>
      <c r="EB38" s="19"/>
      <c r="EC38" s="19"/>
      <c r="ED38" s="19"/>
      <c r="EE38" s="19"/>
      <c r="EF38" s="19"/>
      <c r="EG38" s="19"/>
      <c r="EH38" s="19"/>
      <c r="EI38" s="19"/>
      <c r="EJ38" s="19"/>
      <c r="EK38" s="19"/>
      <c r="EL38" s="19"/>
      <c r="EM38" s="19"/>
      <c r="EN38" s="19"/>
      <c r="EO38" s="19"/>
      <c r="EP38" s="19"/>
      <c r="EQ38" s="19"/>
      <c r="ER38" s="19"/>
      <c r="ES38" s="19"/>
      <c r="ET38" s="19"/>
      <c r="EU38" s="19"/>
      <c r="EV38" s="19"/>
      <c r="EW38" s="19"/>
      <c r="EX38" s="19"/>
      <c r="EY38" s="19"/>
      <c r="EZ38" s="19"/>
      <c r="FA38" s="19"/>
      <c r="FB38" s="19"/>
      <c r="FC38" s="19"/>
      <c r="FD38" s="19"/>
      <c r="FE38" s="19"/>
      <c r="FF38" s="19"/>
      <c r="FG38" s="19"/>
      <c r="FH38" s="19"/>
      <c r="FI38" s="19"/>
      <c r="FJ38" s="19"/>
      <c r="FK38" s="19"/>
      <c r="FL38" s="19"/>
      <c r="FM38" s="19"/>
      <c r="FN38" s="19"/>
      <c r="FO38" s="19"/>
      <c r="FP38" s="19"/>
      <c r="FQ38" s="19"/>
      <c r="FR38" s="19"/>
      <c r="FS38" s="19"/>
      <c r="FT38" s="19"/>
      <c r="FU38" s="19"/>
      <c r="FV38" s="19"/>
      <c r="FW38" s="19"/>
      <c r="FX38" s="19"/>
      <c r="FY38" s="19"/>
      <c r="FZ38" s="19"/>
      <c r="GA38" s="19"/>
      <c r="GB38" s="19"/>
      <c r="GC38" s="19"/>
      <c r="GD38" s="19"/>
      <c r="GE38" s="19"/>
      <c r="GF38" s="19"/>
      <c r="GG38" s="19"/>
      <c r="GH38" s="19"/>
      <c r="GI38" s="19"/>
      <c r="GJ38" s="19"/>
      <c r="GK38" s="19"/>
      <c r="GL38" s="19"/>
      <c r="GM38" s="19"/>
      <c r="GN38" s="19"/>
      <c r="GO38" s="19"/>
      <c r="GP38" s="19"/>
      <c r="GQ38" s="19"/>
      <c r="GR38" s="19"/>
      <c r="GS38" s="19"/>
      <c r="GT38" s="19"/>
      <c r="GU38" s="19"/>
      <c r="GV38" s="19"/>
      <c r="GW38" s="19"/>
      <c r="GX38" s="19"/>
      <c r="GY38" s="19"/>
      <c r="GZ38" s="19"/>
      <c r="HA38" s="19"/>
      <c r="HB38" s="19"/>
      <c r="HC38" s="19"/>
      <c r="HD38" s="19"/>
      <c r="HE38" s="19"/>
      <c r="HF38" s="19"/>
      <c r="HG38" s="19"/>
      <c r="HH38" s="19"/>
      <c r="HI38" s="19"/>
      <c r="HJ38" s="19"/>
      <c r="HK38" s="19"/>
      <c r="HL38" s="19"/>
      <c r="HM38" s="19"/>
      <c r="HN38" s="19"/>
      <c r="HO38" s="19"/>
      <c r="HP38" s="19"/>
      <c r="HQ38" s="19"/>
      <c r="HR38" s="19"/>
      <c r="HS38" s="19"/>
      <c r="HT38" s="19"/>
      <c r="HU38" s="19"/>
      <c r="HV38" s="19"/>
      <c r="HW38" s="19"/>
      <c r="HX38" s="19"/>
      <c r="HY38" s="19"/>
      <c r="HZ38" s="19"/>
      <c r="IA38" s="19"/>
      <c r="IB38" s="19"/>
      <c r="IC38" s="19"/>
      <c r="ID38" s="19"/>
      <c r="IE38" s="19"/>
      <c r="IF38" s="19"/>
      <c r="IG38" s="19"/>
      <c r="IH38" s="19"/>
      <c r="II38" s="19"/>
      <c r="IJ38" s="19"/>
      <c r="IK38" s="19"/>
      <c r="IL38" s="19"/>
      <c r="IM38" s="19"/>
      <c r="IN38" s="19"/>
      <c r="IO38" s="19"/>
      <c r="IP38" s="19"/>
      <c r="IQ38" s="19"/>
      <c r="IR38" s="19"/>
      <c r="IS38" s="19"/>
      <c r="IT38" s="19"/>
      <c r="IU38" s="19"/>
      <c r="IV38" s="19"/>
      <c r="IW38" s="19"/>
      <c r="IX38" s="19"/>
      <c r="IY38" s="19"/>
      <c r="IZ38" s="19"/>
      <c r="JA38" s="19"/>
      <c r="JB38" s="19"/>
      <c r="JC38" s="19"/>
      <c r="JD38" s="19"/>
      <c r="JE38" s="19"/>
      <c r="JF38" s="19"/>
      <c r="JG38" s="19"/>
      <c r="JH38" s="19"/>
      <c r="JI38" s="19"/>
      <c r="JJ38" s="19"/>
      <c r="JK38" s="19"/>
      <c r="JL38" s="19"/>
      <c r="JM38" s="19"/>
      <c r="JN38" s="19"/>
      <c r="JO38" s="19"/>
      <c r="JP38" s="19"/>
      <c r="JQ38" s="19"/>
      <c r="JR38" s="19"/>
      <c r="JS38" s="19"/>
      <c r="JT38" s="19"/>
      <c r="JU38" s="19"/>
      <c r="JV38" s="19"/>
      <c r="JW38" s="19"/>
      <c r="JX38" s="19"/>
      <c r="JY38" s="19"/>
      <c r="JZ38" s="19"/>
      <c r="KA38" s="19"/>
      <c r="KB38" s="19"/>
      <c r="KC38" s="19"/>
      <c r="KD38" s="19"/>
      <c r="KE38" s="19"/>
      <c r="KF38" s="19"/>
      <c r="KG38" s="19"/>
      <c r="KH38" s="19"/>
      <c r="KI38" s="19"/>
      <c r="KJ38" s="19"/>
      <c r="KK38" s="19"/>
      <c r="KL38" s="19"/>
      <c r="KM38" s="19"/>
      <c r="KN38" s="19"/>
      <c r="KO38" s="19"/>
      <c r="KP38" s="19"/>
      <c r="KQ38" s="19"/>
      <c r="KR38" s="19"/>
      <c r="KS38" s="19"/>
      <c r="KT38" s="19"/>
      <c r="KU38" s="19"/>
      <c r="KV38" s="19"/>
      <c r="KW38" s="19"/>
      <c r="KX38" s="19"/>
      <c r="KY38" s="19"/>
      <c r="KZ38" s="19"/>
      <c r="LA38" s="19"/>
      <c r="LB38" s="19"/>
      <c r="LC38" s="19"/>
      <c r="LD38" s="19"/>
      <c r="LE38" s="19"/>
      <c r="LF38" s="19"/>
      <c r="LG38" s="19"/>
      <c r="LH38" s="19"/>
      <c r="LI38" s="19"/>
      <c r="LJ38" s="19"/>
      <c r="LK38" s="19"/>
      <c r="LL38" s="19"/>
      <c r="LM38" s="19"/>
      <c r="LN38" s="19"/>
      <c r="LO38" s="19"/>
      <c r="LP38" s="19"/>
      <c r="LQ38" s="19"/>
      <c r="LR38" s="19"/>
      <c r="LS38" s="19"/>
      <c r="LT38" s="19"/>
      <c r="LU38" s="19"/>
      <c r="LV38" s="19"/>
      <c r="LW38" s="19"/>
      <c r="LX38" s="19"/>
      <c r="LY38" s="19"/>
      <c r="LZ38" s="19"/>
      <c r="MA38" s="19"/>
      <c r="MB38" s="19"/>
      <c r="MC38" s="19"/>
      <c r="MD38" s="19"/>
      <c r="ME38" s="19"/>
      <c r="MF38" s="19"/>
      <c r="MG38" s="19"/>
      <c r="MH38" s="19"/>
      <c r="MI38" s="19"/>
      <c r="MJ38" s="19"/>
      <c r="MK38" s="19"/>
      <c r="ML38" s="19"/>
      <c r="MM38" s="19"/>
      <c r="MN38" s="19"/>
      <c r="MO38" s="19"/>
      <c r="MP38" s="19"/>
      <c r="MQ38" s="19"/>
      <c r="MR38" s="19"/>
      <c r="MS38" s="19"/>
      <c r="MT38" s="19"/>
      <c r="MU38" s="19"/>
      <c r="MV38" s="19"/>
      <c r="MW38" s="19"/>
      <c r="MX38" s="19"/>
      <c r="MY38" s="19"/>
      <c r="MZ38" s="19"/>
      <c r="NA38" s="19"/>
      <c r="NB38" s="19"/>
      <c r="NC38" s="19"/>
      <c r="ND38" s="19"/>
      <c r="NE38" s="19"/>
      <c r="NF38" s="19"/>
      <c r="NG38" s="19"/>
      <c r="NH38" s="19"/>
      <c r="NI38" s="19"/>
      <c r="NJ38" s="19"/>
      <c r="NK38" s="19"/>
      <c r="NL38" s="19"/>
      <c r="NM38" s="19"/>
      <c r="NN38" s="19"/>
      <c r="NO38" s="19"/>
      <c r="NP38" s="19"/>
      <c r="NQ38" s="19"/>
      <c r="NR38" s="19"/>
      <c r="NS38" s="19"/>
      <c r="NT38" s="19"/>
      <c r="NU38" s="19"/>
      <c r="NV38" s="19"/>
      <c r="NW38" s="19"/>
      <c r="NX38" s="19"/>
      <c r="NY38" s="19"/>
      <c r="NZ38" s="19"/>
      <c r="OA38" s="19"/>
      <c r="OB38" s="19"/>
      <c r="OC38" s="19"/>
      <c r="OD38" s="19"/>
      <c r="OE38" s="19"/>
      <c r="OF38" s="19"/>
      <c r="OG38" s="19"/>
      <c r="OH38" s="19"/>
      <c r="OI38" s="19"/>
      <c r="OJ38" s="19"/>
      <c r="OK38" s="19"/>
      <c r="OL38" s="19"/>
      <c r="OM38" s="19"/>
      <c r="ON38" s="19"/>
      <c r="OO38" s="19"/>
      <c r="OP38" s="19"/>
      <c r="OQ38" s="19"/>
      <c r="OR38" s="19"/>
      <c r="OS38" s="19"/>
      <c r="OT38" s="19"/>
      <c r="OU38" s="19"/>
      <c r="OV38" s="19"/>
      <c r="OW38" s="19"/>
      <c r="OX38" s="19"/>
      <c r="OY38" s="19"/>
      <c r="OZ38" s="19"/>
      <c r="PA38" s="19"/>
      <c r="PB38" s="19"/>
      <c r="PC38" s="19"/>
      <c r="PD38" s="19"/>
      <c r="PE38" s="19"/>
      <c r="PF38" s="19"/>
      <c r="PG38" s="19"/>
      <c r="PH38" s="19"/>
      <c r="PI38" s="19"/>
      <c r="PJ38" s="19"/>
      <c r="PK38" s="19"/>
      <c r="PL38" s="19"/>
      <c r="PM38" s="19"/>
      <c r="PN38" s="19"/>
      <c r="PO38" s="19"/>
      <c r="PP38" s="19"/>
      <c r="PQ38" s="19"/>
      <c r="PR38" s="19"/>
      <c r="PS38" s="19"/>
      <c r="PT38" s="19"/>
      <c r="PU38" s="19"/>
      <c r="PV38" s="19"/>
      <c r="PW38" s="19"/>
      <c r="PX38" s="19"/>
      <c r="PY38" s="19"/>
      <c r="PZ38" s="19"/>
      <c r="QA38" s="19"/>
      <c r="QB38" s="19"/>
      <c r="QC38" s="19"/>
      <c r="QD38" s="19"/>
      <c r="QE38" s="19"/>
      <c r="QF38" s="19"/>
      <c r="QG38" s="19"/>
      <c r="QH38" s="19"/>
      <c r="QI38" s="19"/>
      <c r="QJ38" s="19"/>
      <c r="QK38" s="19"/>
      <c r="QL38" s="19"/>
      <c r="QM38" s="19"/>
      <c r="QN38" s="19"/>
      <c r="QO38" s="19"/>
      <c r="QP38" s="19"/>
      <c r="QQ38" s="19"/>
      <c r="QR38" s="19"/>
      <c r="QS38" s="19"/>
      <c r="QT38" s="19"/>
      <c r="QU38" s="19"/>
      <c r="QV38" s="19"/>
      <c r="QW38" s="19"/>
      <c r="QX38" s="19"/>
      <c r="QY38" s="19"/>
      <c r="QZ38" s="19"/>
      <c r="RA38" s="19"/>
      <c r="RB38" s="19"/>
      <c r="RC38" s="19"/>
      <c r="RD38" s="19"/>
      <c r="RE38" s="19"/>
      <c r="RF38" s="19"/>
      <c r="RG38" s="19"/>
      <c r="RH38" s="19"/>
      <c r="RI38" s="19"/>
      <c r="RJ38" s="19"/>
      <c r="RK38" s="19"/>
      <c r="RL38" s="19"/>
      <c r="RM38" s="19"/>
      <c r="RN38" s="19"/>
      <c r="RO38" s="19"/>
      <c r="RP38" s="19"/>
      <c r="RQ38" s="19"/>
      <c r="RR38" s="19"/>
      <c r="RS38" s="19"/>
      <c r="RT38" s="19"/>
      <c r="RU38" s="19"/>
      <c r="RV38" s="19"/>
      <c r="RW38" s="19"/>
      <c r="RX38" s="19"/>
      <c r="RY38" s="19"/>
      <c r="RZ38" s="19"/>
      <c r="SA38" s="19"/>
      <c r="SB38" s="19"/>
      <c r="SC38" s="19"/>
      <c r="SD38" s="19"/>
      <c r="SE38" s="19"/>
      <c r="SF38" s="19"/>
      <c r="SG38" s="19"/>
      <c r="SH38" s="19"/>
      <c r="SI38" s="19"/>
      <c r="SJ38" s="19"/>
      <c r="SK38" s="19"/>
      <c r="SL38" s="19"/>
      <c r="SM38" s="19"/>
      <c r="SN38" s="19"/>
      <c r="SO38" s="19"/>
      <c r="SP38" s="19"/>
      <c r="SQ38" s="19"/>
      <c r="SR38" s="19"/>
      <c r="SS38" s="19"/>
      <c r="ST38" s="19"/>
      <c r="SU38" s="19"/>
      <c r="SV38" s="19"/>
      <c r="SW38" s="19"/>
      <c r="SX38" s="19"/>
      <c r="SY38" s="19"/>
      <c r="SZ38" s="19"/>
      <c r="TA38" s="19"/>
      <c r="TB38" s="19"/>
      <c r="TC38" s="19"/>
      <c r="TD38" s="19"/>
      <c r="TE38" s="19"/>
      <c r="TF38" s="19"/>
      <c r="TG38" s="19"/>
      <c r="TH38" s="19"/>
      <c r="TI38" s="19"/>
      <c r="TJ38" s="19"/>
      <c r="TK38" s="19"/>
      <c r="TL38" s="19"/>
      <c r="TM38" s="19"/>
      <c r="TN38" s="19"/>
      <c r="TO38" s="19"/>
      <c r="TP38" s="19"/>
      <c r="TQ38" s="19"/>
      <c r="TR38" s="19"/>
      <c r="TS38" s="19"/>
      <c r="TT38" s="19"/>
      <c r="TU38" s="19"/>
      <c r="TV38" s="19"/>
      <c r="TW38" s="19"/>
      <c r="TX38" s="19"/>
      <c r="TY38" s="19"/>
      <c r="TZ38" s="19"/>
      <c r="UA38" s="19"/>
      <c r="UB38" s="19"/>
      <c r="UC38" s="19"/>
      <c r="UD38" s="19"/>
      <c r="UE38" s="19"/>
      <c r="UF38" s="19"/>
      <c r="UG38" s="19"/>
      <c r="UH38" s="19"/>
      <c r="UI38" s="19"/>
      <c r="UJ38" s="19"/>
      <c r="UK38" s="19"/>
      <c r="UL38" s="19"/>
      <c r="UM38" s="19"/>
      <c r="UN38" s="19"/>
      <c r="UO38" s="19"/>
      <c r="UP38" s="19"/>
      <c r="UQ38" s="19"/>
      <c r="UR38" s="19"/>
      <c r="US38" s="19"/>
      <c r="UT38" s="19"/>
      <c r="UU38" s="19"/>
      <c r="UV38" s="19"/>
      <c r="UW38" s="19"/>
      <c r="UX38" s="19"/>
      <c r="UY38" s="19"/>
      <c r="UZ38" s="19"/>
      <c r="VA38" s="19"/>
      <c r="VB38" s="19"/>
      <c r="VC38" s="19"/>
      <c r="VD38" s="19"/>
      <c r="VE38" s="19"/>
      <c r="VF38" s="19"/>
      <c r="VG38" s="19"/>
      <c r="VH38" s="19"/>
      <c r="VI38" s="19"/>
      <c r="VJ38" s="19"/>
      <c r="VK38" s="19"/>
      <c r="VL38" s="19"/>
      <c r="VM38" s="19"/>
      <c r="VN38" s="19"/>
      <c r="VO38" s="19"/>
      <c r="VP38" s="19"/>
      <c r="VQ38" s="19"/>
      <c r="VR38" s="19"/>
      <c r="VS38" s="19"/>
      <c r="VT38" s="19"/>
      <c r="VU38" s="19"/>
      <c r="VV38" s="19"/>
      <c r="VW38" s="19"/>
      <c r="VX38" s="19"/>
      <c r="VY38" s="19"/>
      <c r="VZ38" s="19"/>
      <c r="WA38" s="19"/>
      <c r="WB38" s="19"/>
      <c r="WC38" s="19"/>
      <c r="WD38" s="19"/>
      <c r="WE38" s="19"/>
      <c r="WF38" s="19"/>
      <c r="WG38" s="19"/>
      <c r="WH38" s="19"/>
      <c r="WI38" s="19"/>
      <c r="WJ38" s="19"/>
      <c r="WK38" s="19"/>
      <c r="WL38" s="19"/>
      <c r="WM38" s="19"/>
      <c r="WN38" s="19"/>
      <c r="WO38" s="19"/>
      <c r="WP38" s="19"/>
      <c r="WQ38" s="19"/>
      <c r="WR38" s="19"/>
      <c r="WS38" s="19"/>
      <c r="WT38" s="19"/>
      <c r="WU38" s="19"/>
      <c r="WV38" s="19"/>
      <c r="WW38" s="19"/>
      <c r="WX38" s="19"/>
      <c r="WY38" s="19"/>
      <c r="WZ38" s="19"/>
      <c r="XA38" s="19"/>
      <c r="XB38" s="19"/>
      <c r="XC38" s="19"/>
      <c r="XD38" s="19"/>
      <c r="XE38" s="19"/>
      <c r="XF38" s="19"/>
      <c r="XG38" s="19"/>
      <c r="XH38" s="19"/>
      <c r="XI38" s="19"/>
      <c r="XJ38" s="19"/>
      <c r="XK38" s="19"/>
      <c r="XL38" s="19"/>
      <c r="XM38" s="19"/>
      <c r="XN38" s="19"/>
      <c r="XO38" s="19"/>
      <c r="XP38" s="19"/>
      <c r="XQ38" s="19"/>
      <c r="XR38" s="19"/>
      <c r="XS38" s="19"/>
      <c r="XT38" s="19"/>
      <c r="XU38" s="19"/>
      <c r="XV38" s="19"/>
      <c r="XW38" s="19"/>
      <c r="XX38" s="19"/>
      <c r="XY38" s="19"/>
      <c r="XZ38" s="19"/>
      <c r="YA38" s="19"/>
      <c r="YB38" s="19"/>
      <c r="YC38" s="19"/>
      <c r="YD38" s="19"/>
      <c r="YE38" s="19"/>
      <c r="YF38" s="19"/>
      <c r="YG38" s="19"/>
      <c r="YH38" s="19"/>
      <c r="YI38" s="19"/>
      <c r="YJ38" s="19"/>
      <c r="YK38" s="19"/>
      <c r="YL38" s="19"/>
      <c r="YM38" s="19"/>
      <c r="YN38" s="19"/>
      <c r="YO38" s="19"/>
      <c r="YP38" s="19"/>
      <c r="YQ38" s="19"/>
      <c r="YR38" s="19"/>
      <c r="YS38" s="19"/>
      <c r="YT38" s="19"/>
      <c r="YU38" s="19"/>
      <c r="YV38" s="19"/>
      <c r="YW38" s="19"/>
      <c r="YX38" s="19"/>
      <c r="YY38" s="19"/>
      <c r="YZ38" s="19"/>
      <c r="ZA38" s="19"/>
      <c r="ZB38" s="19"/>
      <c r="ZC38" s="19"/>
      <c r="ZD38" s="19"/>
      <c r="ZE38" s="19"/>
      <c r="ZF38" s="19"/>
      <c r="ZG38" s="19"/>
      <c r="ZH38" s="19"/>
      <c r="ZI38" s="19"/>
      <c r="ZJ38" s="19"/>
      <c r="ZK38" s="19"/>
      <c r="ZL38" s="19"/>
      <c r="ZM38" s="19"/>
      <c r="ZN38" s="19"/>
      <c r="ZO38" s="19"/>
      <c r="ZP38" s="19"/>
      <c r="ZQ38" s="19"/>
      <c r="ZR38" s="19"/>
      <c r="ZS38" s="19"/>
      <c r="ZT38" s="19"/>
      <c r="ZU38" s="19"/>
      <c r="ZV38" s="19"/>
      <c r="ZW38" s="19"/>
      <c r="ZX38" s="19"/>
      <c r="ZY38" s="19"/>
      <c r="ZZ38" s="19"/>
      <c r="AAA38" s="19"/>
      <c r="AAB38" s="19"/>
      <c r="AAC38" s="19"/>
      <c r="AAD38" s="19"/>
      <c r="AAE38" s="19"/>
      <c r="AAF38" s="19"/>
      <c r="AAG38" s="19"/>
      <c r="AAH38" s="19"/>
      <c r="AAI38" s="19"/>
      <c r="AAJ38" s="19"/>
      <c r="AAK38" s="19"/>
      <c r="AAL38" s="19"/>
      <c r="AAM38" s="19"/>
      <c r="AAN38" s="19"/>
      <c r="AAO38" s="19"/>
      <c r="AAP38" s="19"/>
      <c r="AAQ38" s="19"/>
      <c r="AAR38" s="19"/>
      <c r="AAS38" s="19"/>
      <c r="AAT38" s="19"/>
      <c r="AAU38" s="19"/>
      <c r="AAV38" s="19"/>
      <c r="AAW38" s="19"/>
      <c r="AAX38" s="19"/>
      <c r="AAY38" s="19"/>
      <c r="AAZ38" s="19"/>
      <c r="ABA38" s="19"/>
      <c r="ABB38" s="19"/>
      <c r="ABC38" s="19"/>
      <c r="ABD38" s="19"/>
      <c r="ABE38" s="19"/>
      <c r="ABF38" s="19"/>
      <c r="ABG38" s="19"/>
      <c r="ABH38" s="19"/>
      <c r="ABI38" s="19"/>
      <c r="ABJ38" s="19"/>
      <c r="ABK38" s="19"/>
      <c r="ABL38" s="19"/>
      <c r="ABM38" s="19"/>
      <c r="ABN38" s="19"/>
      <c r="ABO38" s="19"/>
      <c r="ABP38" s="19"/>
      <c r="ABQ38" s="19"/>
      <c r="ABR38" s="19"/>
      <c r="ABS38" s="19"/>
      <c r="ABT38" s="19"/>
      <c r="ABU38" s="19"/>
      <c r="ABV38" s="19"/>
      <c r="ABW38" s="19"/>
      <c r="ABX38" s="19"/>
      <c r="ABY38" s="19"/>
      <c r="ABZ38" s="19"/>
      <c r="ACA38" s="19"/>
      <c r="ACB38" s="19"/>
      <c r="ACC38" s="19"/>
      <c r="ACD38" s="19"/>
      <c r="ACE38" s="19"/>
      <c r="ACF38" s="19"/>
      <c r="ACG38" s="19"/>
      <c r="ACH38" s="19"/>
      <c r="ACI38" s="19"/>
      <c r="ACJ38" s="19"/>
      <c r="ACK38" s="19"/>
      <c r="ACL38" s="19"/>
      <c r="ACM38" s="19"/>
      <c r="ACN38" s="19"/>
      <c r="ACO38" s="19"/>
      <c r="ACP38" s="19"/>
      <c r="ACQ38" s="19"/>
      <c r="ACR38" s="19"/>
      <c r="ACS38" s="19"/>
      <c r="ACT38" s="19"/>
      <c r="ACU38" s="19"/>
      <c r="ACV38" s="19"/>
      <c r="ACW38" s="19"/>
      <c r="ACX38" s="19"/>
      <c r="ACY38" s="19"/>
      <c r="ACZ38" s="19"/>
      <c r="ADA38" s="19"/>
      <c r="ADB38" s="19"/>
      <c r="ADC38" s="19"/>
      <c r="ADD38" s="19"/>
      <c r="ADE38" s="19"/>
      <c r="ADF38" s="19"/>
      <c r="ADG38" s="19"/>
      <c r="ADH38" s="19"/>
      <c r="ADI38" s="19"/>
      <c r="ADJ38" s="19"/>
      <c r="ADK38" s="19"/>
      <c r="ADL38" s="19"/>
      <c r="ADM38" s="19"/>
      <c r="ADN38" s="19"/>
      <c r="ADO38" s="19"/>
      <c r="ADP38" s="19"/>
      <c r="ADQ38" s="19"/>
      <c r="ADR38" s="19"/>
      <c r="ADS38" s="19"/>
      <c r="ADT38" s="19"/>
      <c r="ADU38" s="19"/>
      <c r="ADV38" s="19"/>
      <c r="ADW38" s="19"/>
      <c r="ADX38" s="19"/>
      <c r="ADY38" s="19"/>
      <c r="ADZ38" s="19"/>
      <c r="AEA38" s="19"/>
      <c r="AEB38" s="19"/>
      <c r="AEC38" s="19"/>
      <c r="AED38" s="19"/>
      <c r="AEE38" s="19"/>
      <c r="AEF38" s="19"/>
      <c r="AEG38" s="19"/>
      <c r="AEH38" s="19"/>
      <c r="AEI38" s="19"/>
      <c r="AEJ38" s="19"/>
      <c r="AEK38" s="19"/>
      <c r="AEL38" s="19"/>
      <c r="AEM38" s="19"/>
      <c r="AEN38" s="19"/>
      <c r="AEO38" s="19"/>
      <c r="AEP38" s="19"/>
      <c r="AEQ38" s="19"/>
      <c r="AER38" s="19"/>
      <c r="AES38" s="19"/>
      <c r="AET38" s="19"/>
      <c r="AEU38" s="19"/>
      <c r="AEV38" s="19"/>
      <c r="AEW38" s="19"/>
      <c r="AEX38" s="19"/>
      <c r="AEY38" s="19"/>
      <c r="AEZ38" s="19"/>
      <c r="AFA38" s="19"/>
      <c r="AFB38" s="19"/>
      <c r="AFC38" s="19"/>
      <c r="AFD38" s="19"/>
      <c r="AFE38" s="19"/>
      <c r="AFF38" s="19"/>
      <c r="AFG38" s="19"/>
      <c r="AFH38" s="19"/>
      <c r="AFI38" s="19"/>
      <c r="AFJ38" s="19"/>
      <c r="AFK38" s="19"/>
      <c r="AFL38" s="19"/>
      <c r="AFM38" s="19"/>
      <c r="AFN38" s="19"/>
      <c r="AFO38" s="19"/>
      <c r="AFP38" s="19"/>
      <c r="AFQ38" s="19"/>
      <c r="AFR38" s="19"/>
      <c r="AFS38" s="19"/>
      <c r="AFT38" s="19"/>
      <c r="AFU38" s="19"/>
      <c r="AFV38" s="19"/>
      <c r="AFW38" s="19"/>
      <c r="AFX38" s="19"/>
      <c r="AFY38" s="19"/>
      <c r="AFZ38" s="19"/>
      <c r="AGA38" s="19"/>
      <c r="AGB38" s="19"/>
      <c r="AGC38" s="19"/>
      <c r="AGD38" s="19"/>
      <c r="AGE38" s="19"/>
      <c r="AGF38" s="19"/>
      <c r="AGG38" s="19"/>
      <c r="AGH38" s="19"/>
      <c r="AGI38" s="19"/>
      <c r="AGJ38" s="19"/>
      <c r="AGK38" s="19"/>
      <c r="AGL38" s="19"/>
      <c r="AGM38" s="19"/>
      <c r="AGN38" s="19"/>
      <c r="AGO38" s="19"/>
      <c r="AGP38" s="19"/>
      <c r="AGQ38" s="19"/>
      <c r="AGR38" s="19"/>
      <c r="AGS38" s="19"/>
      <c r="AGT38" s="19"/>
      <c r="AGU38" s="19"/>
      <c r="AGV38" s="19"/>
      <c r="AGW38" s="19"/>
      <c r="AGX38" s="19"/>
      <c r="AGY38" s="19"/>
      <c r="AGZ38" s="19"/>
      <c r="AHA38" s="19"/>
      <c r="AHB38" s="19"/>
      <c r="AHC38" s="19"/>
      <c r="AHD38" s="19"/>
      <c r="AHE38" s="19"/>
      <c r="AHF38" s="19"/>
      <c r="AHG38" s="19"/>
      <c r="AHH38" s="19"/>
      <c r="AHI38" s="19"/>
      <c r="AHJ38" s="19"/>
      <c r="AHK38" s="19"/>
      <c r="AHL38" s="19"/>
      <c r="AHM38" s="19"/>
      <c r="AHN38" s="19"/>
      <c r="AHO38" s="19"/>
      <c r="AHP38" s="19"/>
      <c r="AHQ38" s="19"/>
      <c r="AHR38" s="19"/>
      <c r="AHS38" s="19"/>
      <c r="AHT38" s="19"/>
      <c r="AHU38" s="19"/>
      <c r="AHV38" s="19"/>
      <c r="AHW38" s="19"/>
      <c r="AHX38" s="19"/>
      <c r="AHY38" s="19"/>
      <c r="AHZ38" s="19"/>
      <c r="AIA38" s="19"/>
      <c r="AIB38" s="19"/>
      <c r="AIC38" s="19"/>
      <c r="AID38" s="19"/>
      <c r="AIE38" s="19"/>
      <c r="AIF38" s="19"/>
      <c r="AIG38" s="19"/>
      <c r="AIH38" s="19"/>
      <c r="AII38" s="19"/>
      <c r="AIJ38" s="19"/>
      <c r="AIK38" s="19"/>
      <c r="AIL38" s="19"/>
      <c r="AIM38" s="19"/>
      <c r="AIN38" s="19"/>
      <c r="AIO38" s="19"/>
      <c r="AIP38" s="19"/>
      <c r="AIQ38" s="19"/>
      <c r="AIR38" s="19"/>
      <c r="AIS38" s="19"/>
      <c r="AIT38" s="19"/>
      <c r="AIU38" s="19"/>
      <c r="AIV38" s="19"/>
      <c r="AIW38" s="19"/>
      <c r="AIX38" s="19"/>
      <c r="AIY38" s="19"/>
      <c r="AIZ38" s="19"/>
      <c r="AJA38" s="19"/>
      <c r="AJB38" s="19"/>
      <c r="AJC38" s="19"/>
      <c r="AJD38" s="19"/>
      <c r="AJE38" s="19"/>
      <c r="AJF38" s="19"/>
      <c r="AJG38" s="19"/>
      <c r="AJH38" s="19"/>
      <c r="AJI38" s="19"/>
      <c r="AJJ38" s="19"/>
      <c r="AJK38" s="19"/>
      <c r="AJL38" s="19"/>
      <c r="AJM38" s="19"/>
      <c r="AJN38" s="19"/>
      <c r="AJO38" s="19"/>
      <c r="AJP38" s="19"/>
      <c r="AJQ38" s="19"/>
      <c r="AJR38" s="19"/>
      <c r="AJS38" s="19"/>
      <c r="AJT38" s="19"/>
      <c r="AJU38" s="19"/>
      <c r="AJV38" s="19"/>
      <c r="AJW38" s="19"/>
      <c r="AJX38" s="19"/>
      <c r="AJY38" s="19"/>
      <c r="AJZ38" s="19"/>
      <c r="AKA38" s="19"/>
      <c r="AKB38" s="19"/>
      <c r="AKC38" s="19"/>
      <c r="AKD38" s="19"/>
      <c r="AKE38" s="19"/>
      <c r="AKF38" s="19"/>
      <c r="AKG38" s="19"/>
      <c r="AKH38" s="19"/>
      <c r="AKI38" s="19"/>
      <c r="AKJ38" s="19"/>
      <c r="AKK38" s="19"/>
    </row>
    <row r="39" spans="2:973" ht="31.5" customHeight="1">
      <c r="B39" s="248" t="s">
        <v>75</v>
      </c>
      <c r="C39" s="249" t="s">
        <v>76</v>
      </c>
      <c r="D39" s="244" t="s">
        <v>77</v>
      </c>
      <c r="E39" s="112" t="s">
        <v>24</v>
      </c>
      <c r="F39" s="112" t="s">
        <v>25</v>
      </c>
      <c r="G39" s="122" t="s">
        <v>26</v>
      </c>
      <c r="H39" s="123">
        <v>60</v>
      </c>
      <c r="I39" s="123">
        <v>500</v>
      </c>
      <c r="J39" s="124">
        <f>SUM(H39*I39)</f>
        <v>30000</v>
      </c>
      <c r="K39" s="123">
        <v>10000</v>
      </c>
      <c r="L39" s="123">
        <v>20000</v>
      </c>
      <c r="M39" s="123"/>
      <c r="N39" s="123"/>
      <c r="O39" s="123"/>
      <c r="P39" s="123">
        <f>SUM(K39:O39)</f>
        <v>30000</v>
      </c>
      <c r="Q39" s="123">
        <v>250000</v>
      </c>
      <c r="R39" s="115" t="s">
        <v>78</v>
      </c>
      <c r="U39" s="103"/>
    </row>
    <row r="40" spans="2:973" ht="15" customHeight="1">
      <c r="B40" s="248"/>
      <c r="C40" s="250"/>
      <c r="D40" s="229"/>
      <c r="E40" s="120" t="s">
        <v>24</v>
      </c>
      <c r="F40" s="120" t="s">
        <v>54</v>
      </c>
      <c r="G40" s="128" t="s">
        <v>55</v>
      </c>
      <c r="H40" s="129">
        <v>4</v>
      </c>
      <c r="I40" s="129">
        <v>1000</v>
      </c>
      <c r="J40" s="130">
        <f t="shared" ref="J40" si="2">SUM(H40*I40)</f>
        <v>4000</v>
      </c>
      <c r="K40" s="123">
        <v>2000</v>
      </c>
      <c r="L40" s="123">
        <v>2000</v>
      </c>
      <c r="M40" s="123"/>
      <c r="N40" s="123"/>
      <c r="O40" s="123"/>
      <c r="P40" s="123">
        <f>SUM(K40:O40)</f>
        <v>4000</v>
      </c>
      <c r="Q40" s="123" t="s">
        <v>79</v>
      </c>
      <c r="R40" s="115"/>
      <c r="T40" s="103"/>
      <c r="U40" s="103"/>
      <c r="V40" s="103"/>
    </row>
    <row r="41" spans="2:973" ht="25.5" customHeight="1">
      <c r="B41" s="248"/>
      <c r="C41" s="250"/>
      <c r="D41" s="110" t="s">
        <v>80</v>
      </c>
      <c r="E41" s="110" t="s">
        <v>24</v>
      </c>
      <c r="F41" s="110" t="s">
        <v>29</v>
      </c>
      <c r="G41" s="135" t="s">
        <v>26</v>
      </c>
      <c r="H41" s="136">
        <v>120</v>
      </c>
      <c r="I41" s="136">
        <v>250</v>
      </c>
      <c r="J41" s="137">
        <f>SUM(H41*I41)</f>
        <v>30000</v>
      </c>
      <c r="K41" s="138">
        <v>10000</v>
      </c>
      <c r="L41" s="138">
        <v>10000</v>
      </c>
      <c r="M41" s="138">
        <v>10000</v>
      </c>
      <c r="N41" s="138"/>
      <c r="O41" s="138"/>
      <c r="P41" s="138">
        <f>SUM(K41:O41)</f>
        <v>30000</v>
      </c>
      <c r="Q41" s="138">
        <v>140000</v>
      </c>
      <c r="R41" s="133" t="s">
        <v>81</v>
      </c>
      <c r="T41" s="103"/>
      <c r="U41" s="103"/>
      <c r="V41" s="103"/>
    </row>
    <row r="42" spans="2:973" s="125" customFormat="1" ht="19.5" customHeight="1">
      <c r="B42" s="248"/>
      <c r="C42" s="251"/>
      <c r="D42" s="139" t="s">
        <v>49</v>
      </c>
      <c r="E42" s="120"/>
      <c r="F42" s="120"/>
      <c r="G42" s="134"/>
      <c r="H42" s="134"/>
      <c r="I42" s="134"/>
      <c r="J42" s="134"/>
      <c r="K42" s="134"/>
      <c r="L42" s="134"/>
      <c r="M42" s="134"/>
      <c r="N42" s="134"/>
      <c r="O42" s="134"/>
      <c r="P42" s="129">
        <f>SUM(P39:P41)</f>
        <v>64000</v>
      </c>
      <c r="Q42" s="129">
        <f>SUM(Q39:Q41)</f>
        <v>390000</v>
      </c>
      <c r="R42" s="134"/>
      <c r="S42" s="19"/>
      <c r="T42" s="19"/>
      <c r="U42" s="103"/>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c r="BI42" s="19"/>
      <c r="BJ42" s="19"/>
      <c r="BK42" s="19"/>
      <c r="BL42" s="19"/>
      <c r="BM42" s="19"/>
      <c r="BN42" s="19"/>
      <c r="BO42" s="19"/>
      <c r="BP42" s="19"/>
      <c r="BQ42" s="19"/>
      <c r="BR42" s="19"/>
      <c r="BS42" s="19"/>
      <c r="BT42" s="19"/>
      <c r="BU42" s="19"/>
      <c r="BV42" s="19"/>
      <c r="BW42" s="19"/>
      <c r="BX42" s="19"/>
      <c r="BY42" s="19"/>
      <c r="BZ42" s="19"/>
      <c r="CA42" s="19"/>
      <c r="CB42" s="19"/>
      <c r="CC42" s="19"/>
      <c r="CD42" s="19"/>
      <c r="CE42" s="19"/>
      <c r="CF42" s="19"/>
      <c r="CG42" s="19"/>
      <c r="CH42" s="19"/>
      <c r="CI42" s="19"/>
      <c r="CJ42" s="19"/>
      <c r="CK42" s="19"/>
      <c r="CL42" s="19"/>
      <c r="CM42" s="19"/>
      <c r="CN42" s="19"/>
      <c r="CO42" s="19"/>
      <c r="CP42" s="19"/>
      <c r="CQ42" s="19"/>
      <c r="CR42" s="19"/>
      <c r="CS42" s="19"/>
      <c r="CT42" s="19"/>
      <c r="CU42" s="19"/>
      <c r="CV42" s="19"/>
      <c r="CW42" s="19"/>
      <c r="CX42" s="19"/>
      <c r="CY42" s="19"/>
      <c r="CZ42" s="19"/>
      <c r="DA42" s="19"/>
      <c r="DB42" s="19"/>
      <c r="DC42" s="19"/>
      <c r="DD42" s="19"/>
      <c r="DE42" s="19"/>
      <c r="DF42" s="19"/>
      <c r="DG42" s="19"/>
      <c r="DH42" s="19"/>
      <c r="DI42" s="19"/>
      <c r="DJ42" s="19"/>
      <c r="DK42" s="19"/>
      <c r="DL42" s="19"/>
      <c r="DM42" s="19"/>
      <c r="DN42" s="19"/>
      <c r="DO42" s="19"/>
      <c r="DP42" s="19"/>
      <c r="DQ42" s="19"/>
      <c r="DR42" s="19"/>
      <c r="DS42" s="19"/>
      <c r="DT42" s="19"/>
      <c r="DU42" s="19"/>
      <c r="DV42" s="19"/>
      <c r="DW42" s="19"/>
      <c r="DX42" s="19"/>
      <c r="DY42" s="19"/>
      <c r="DZ42" s="19"/>
      <c r="EA42" s="19"/>
      <c r="EB42" s="19"/>
      <c r="EC42" s="19"/>
      <c r="ED42" s="19"/>
      <c r="EE42" s="19"/>
      <c r="EF42" s="19"/>
      <c r="EG42" s="19"/>
      <c r="EH42" s="19"/>
      <c r="EI42" s="19"/>
      <c r="EJ42" s="19"/>
      <c r="EK42" s="19"/>
      <c r="EL42" s="19"/>
      <c r="EM42" s="19"/>
      <c r="EN42" s="19"/>
      <c r="EO42" s="19"/>
      <c r="EP42" s="19"/>
      <c r="EQ42" s="19"/>
      <c r="ER42" s="19"/>
      <c r="ES42" s="19"/>
      <c r="ET42" s="19"/>
      <c r="EU42" s="19"/>
      <c r="EV42" s="19"/>
      <c r="EW42" s="19"/>
      <c r="EX42" s="19"/>
      <c r="EY42" s="19"/>
      <c r="EZ42" s="19"/>
      <c r="FA42" s="19"/>
      <c r="FB42" s="19"/>
      <c r="FC42" s="19"/>
      <c r="FD42" s="19"/>
      <c r="FE42" s="19"/>
      <c r="FF42" s="19"/>
      <c r="FG42" s="19"/>
      <c r="FH42" s="19"/>
      <c r="FI42" s="19"/>
      <c r="FJ42" s="19"/>
      <c r="FK42" s="19"/>
      <c r="FL42" s="19"/>
      <c r="FM42" s="19"/>
      <c r="FN42" s="19"/>
      <c r="FO42" s="19"/>
      <c r="FP42" s="19"/>
      <c r="FQ42" s="19"/>
      <c r="FR42" s="19"/>
      <c r="FS42" s="19"/>
      <c r="FT42" s="19"/>
      <c r="FU42" s="19"/>
      <c r="FV42" s="19"/>
      <c r="FW42" s="19"/>
      <c r="FX42" s="19"/>
      <c r="FY42" s="19"/>
      <c r="FZ42" s="19"/>
      <c r="GA42" s="19"/>
      <c r="GB42" s="19"/>
      <c r="GC42" s="19"/>
      <c r="GD42" s="19"/>
      <c r="GE42" s="19"/>
      <c r="GF42" s="19"/>
      <c r="GG42" s="19"/>
      <c r="GH42" s="19"/>
      <c r="GI42" s="19"/>
      <c r="GJ42" s="19"/>
      <c r="GK42" s="19"/>
      <c r="GL42" s="19"/>
      <c r="GM42" s="19"/>
      <c r="GN42" s="19"/>
      <c r="GO42" s="19"/>
      <c r="GP42" s="19"/>
      <c r="GQ42" s="19"/>
      <c r="GR42" s="19"/>
      <c r="GS42" s="19"/>
      <c r="GT42" s="19"/>
      <c r="GU42" s="19"/>
      <c r="GV42" s="19"/>
      <c r="GW42" s="19"/>
      <c r="GX42" s="19"/>
      <c r="GY42" s="19"/>
      <c r="GZ42" s="19"/>
      <c r="HA42" s="19"/>
      <c r="HB42" s="19"/>
      <c r="HC42" s="19"/>
      <c r="HD42" s="19"/>
      <c r="HE42" s="19"/>
      <c r="HF42" s="19"/>
      <c r="HG42" s="19"/>
      <c r="HH42" s="19"/>
      <c r="HI42" s="19"/>
      <c r="HJ42" s="19"/>
      <c r="HK42" s="19"/>
      <c r="HL42" s="19"/>
      <c r="HM42" s="19"/>
      <c r="HN42" s="19"/>
      <c r="HO42" s="19"/>
      <c r="HP42" s="19"/>
      <c r="HQ42" s="19"/>
      <c r="HR42" s="19"/>
      <c r="HS42" s="19"/>
      <c r="HT42" s="19"/>
      <c r="HU42" s="19"/>
      <c r="HV42" s="19"/>
      <c r="HW42" s="19"/>
      <c r="HX42" s="19"/>
      <c r="HY42" s="19"/>
      <c r="HZ42" s="19"/>
      <c r="IA42" s="19"/>
      <c r="IB42" s="19"/>
      <c r="IC42" s="19"/>
      <c r="ID42" s="19"/>
      <c r="IE42" s="19"/>
      <c r="IF42" s="19"/>
      <c r="IG42" s="19"/>
      <c r="IH42" s="19"/>
      <c r="II42" s="19"/>
      <c r="IJ42" s="19"/>
      <c r="IK42" s="19"/>
      <c r="IL42" s="19"/>
      <c r="IM42" s="19"/>
      <c r="IN42" s="19"/>
      <c r="IO42" s="19"/>
      <c r="IP42" s="19"/>
      <c r="IQ42" s="19"/>
      <c r="IR42" s="19"/>
      <c r="IS42" s="19"/>
      <c r="IT42" s="19"/>
      <c r="IU42" s="19"/>
      <c r="IV42" s="19"/>
      <c r="IW42" s="19"/>
      <c r="IX42" s="19"/>
      <c r="IY42" s="19"/>
      <c r="IZ42" s="19"/>
      <c r="JA42" s="19"/>
      <c r="JB42" s="19"/>
      <c r="JC42" s="19"/>
      <c r="JD42" s="19"/>
      <c r="JE42" s="19"/>
      <c r="JF42" s="19"/>
      <c r="JG42" s="19"/>
      <c r="JH42" s="19"/>
      <c r="JI42" s="19"/>
      <c r="JJ42" s="19"/>
      <c r="JK42" s="19"/>
      <c r="JL42" s="19"/>
      <c r="JM42" s="19"/>
      <c r="JN42" s="19"/>
      <c r="JO42" s="19"/>
      <c r="JP42" s="19"/>
      <c r="JQ42" s="19"/>
      <c r="JR42" s="19"/>
      <c r="JS42" s="19"/>
      <c r="JT42" s="19"/>
      <c r="JU42" s="19"/>
      <c r="JV42" s="19"/>
      <c r="JW42" s="19"/>
      <c r="JX42" s="19"/>
      <c r="JY42" s="19"/>
      <c r="JZ42" s="19"/>
      <c r="KA42" s="19"/>
      <c r="KB42" s="19"/>
      <c r="KC42" s="19"/>
      <c r="KD42" s="19"/>
      <c r="KE42" s="19"/>
      <c r="KF42" s="19"/>
      <c r="KG42" s="19"/>
      <c r="KH42" s="19"/>
      <c r="KI42" s="19"/>
      <c r="KJ42" s="19"/>
      <c r="KK42" s="19"/>
      <c r="KL42" s="19"/>
      <c r="KM42" s="19"/>
      <c r="KN42" s="19"/>
      <c r="KO42" s="19"/>
      <c r="KP42" s="19"/>
      <c r="KQ42" s="19"/>
      <c r="KR42" s="19"/>
      <c r="KS42" s="19"/>
      <c r="KT42" s="19"/>
      <c r="KU42" s="19"/>
      <c r="KV42" s="19"/>
      <c r="KW42" s="19"/>
      <c r="KX42" s="19"/>
      <c r="KY42" s="19"/>
      <c r="KZ42" s="19"/>
      <c r="LA42" s="19"/>
      <c r="LB42" s="19"/>
      <c r="LC42" s="19"/>
      <c r="LD42" s="19"/>
      <c r="LE42" s="19"/>
      <c r="LF42" s="19"/>
      <c r="LG42" s="19"/>
      <c r="LH42" s="19"/>
      <c r="LI42" s="19"/>
      <c r="LJ42" s="19"/>
      <c r="LK42" s="19"/>
      <c r="LL42" s="19"/>
      <c r="LM42" s="19"/>
      <c r="LN42" s="19"/>
      <c r="LO42" s="19"/>
      <c r="LP42" s="19"/>
      <c r="LQ42" s="19"/>
      <c r="LR42" s="19"/>
      <c r="LS42" s="19"/>
      <c r="LT42" s="19"/>
      <c r="LU42" s="19"/>
      <c r="LV42" s="19"/>
      <c r="LW42" s="19"/>
      <c r="LX42" s="19"/>
      <c r="LY42" s="19"/>
      <c r="LZ42" s="19"/>
      <c r="MA42" s="19"/>
      <c r="MB42" s="19"/>
      <c r="MC42" s="19"/>
      <c r="MD42" s="19"/>
      <c r="ME42" s="19"/>
      <c r="MF42" s="19"/>
      <c r="MG42" s="19"/>
      <c r="MH42" s="19"/>
      <c r="MI42" s="19"/>
      <c r="MJ42" s="19"/>
      <c r="MK42" s="19"/>
      <c r="ML42" s="19"/>
      <c r="MM42" s="19"/>
      <c r="MN42" s="19"/>
      <c r="MO42" s="19"/>
      <c r="MP42" s="19"/>
      <c r="MQ42" s="19"/>
      <c r="MR42" s="19"/>
      <c r="MS42" s="19"/>
      <c r="MT42" s="19"/>
      <c r="MU42" s="19"/>
      <c r="MV42" s="19"/>
      <c r="MW42" s="19"/>
      <c r="MX42" s="19"/>
      <c r="MY42" s="19"/>
      <c r="MZ42" s="19"/>
      <c r="NA42" s="19"/>
      <c r="NB42" s="19"/>
      <c r="NC42" s="19"/>
      <c r="ND42" s="19"/>
      <c r="NE42" s="19"/>
      <c r="NF42" s="19"/>
      <c r="NG42" s="19"/>
      <c r="NH42" s="19"/>
      <c r="NI42" s="19"/>
      <c r="NJ42" s="19"/>
      <c r="NK42" s="19"/>
      <c r="NL42" s="19"/>
      <c r="NM42" s="19"/>
      <c r="NN42" s="19"/>
      <c r="NO42" s="19"/>
      <c r="NP42" s="19"/>
      <c r="NQ42" s="19"/>
      <c r="NR42" s="19"/>
      <c r="NS42" s="19"/>
      <c r="NT42" s="19"/>
      <c r="NU42" s="19"/>
      <c r="NV42" s="19"/>
      <c r="NW42" s="19"/>
      <c r="NX42" s="19"/>
      <c r="NY42" s="19"/>
      <c r="NZ42" s="19"/>
      <c r="OA42" s="19"/>
      <c r="OB42" s="19"/>
      <c r="OC42" s="19"/>
      <c r="OD42" s="19"/>
      <c r="OE42" s="19"/>
      <c r="OF42" s="19"/>
      <c r="OG42" s="19"/>
      <c r="OH42" s="19"/>
      <c r="OI42" s="19"/>
      <c r="OJ42" s="19"/>
      <c r="OK42" s="19"/>
      <c r="OL42" s="19"/>
      <c r="OM42" s="19"/>
      <c r="ON42" s="19"/>
      <c r="OO42" s="19"/>
      <c r="OP42" s="19"/>
      <c r="OQ42" s="19"/>
      <c r="OR42" s="19"/>
      <c r="OS42" s="19"/>
      <c r="OT42" s="19"/>
      <c r="OU42" s="19"/>
      <c r="OV42" s="19"/>
      <c r="OW42" s="19"/>
      <c r="OX42" s="19"/>
      <c r="OY42" s="19"/>
      <c r="OZ42" s="19"/>
      <c r="PA42" s="19"/>
      <c r="PB42" s="19"/>
      <c r="PC42" s="19"/>
      <c r="PD42" s="19"/>
      <c r="PE42" s="19"/>
      <c r="PF42" s="19"/>
      <c r="PG42" s="19"/>
      <c r="PH42" s="19"/>
      <c r="PI42" s="19"/>
      <c r="PJ42" s="19"/>
      <c r="PK42" s="19"/>
      <c r="PL42" s="19"/>
      <c r="PM42" s="19"/>
      <c r="PN42" s="19"/>
      <c r="PO42" s="19"/>
      <c r="PP42" s="19"/>
      <c r="PQ42" s="19"/>
      <c r="PR42" s="19"/>
      <c r="PS42" s="19"/>
      <c r="PT42" s="19"/>
      <c r="PU42" s="19"/>
      <c r="PV42" s="19"/>
      <c r="PW42" s="19"/>
      <c r="PX42" s="19"/>
      <c r="PY42" s="19"/>
      <c r="PZ42" s="19"/>
      <c r="QA42" s="19"/>
      <c r="QB42" s="19"/>
      <c r="QC42" s="19"/>
      <c r="QD42" s="19"/>
      <c r="QE42" s="19"/>
      <c r="QF42" s="19"/>
      <c r="QG42" s="19"/>
      <c r="QH42" s="19"/>
      <c r="QI42" s="19"/>
      <c r="QJ42" s="19"/>
      <c r="QK42" s="19"/>
      <c r="QL42" s="19"/>
      <c r="QM42" s="19"/>
      <c r="QN42" s="19"/>
      <c r="QO42" s="19"/>
      <c r="QP42" s="19"/>
      <c r="QQ42" s="19"/>
      <c r="QR42" s="19"/>
      <c r="QS42" s="19"/>
      <c r="QT42" s="19"/>
      <c r="QU42" s="19"/>
      <c r="QV42" s="19"/>
      <c r="QW42" s="19"/>
      <c r="QX42" s="19"/>
      <c r="QY42" s="19"/>
      <c r="QZ42" s="19"/>
      <c r="RA42" s="19"/>
      <c r="RB42" s="19"/>
      <c r="RC42" s="19"/>
      <c r="RD42" s="19"/>
      <c r="RE42" s="19"/>
      <c r="RF42" s="19"/>
      <c r="RG42" s="19"/>
      <c r="RH42" s="19"/>
      <c r="RI42" s="19"/>
      <c r="RJ42" s="19"/>
      <c r="RK42" s="19"/>
      <c r="RL42" s="19"/>
      <c r="RM42" s="19"/>
      <c r="RN42" s="19"/>
      <c r="RO42" s="19"/>
      <c r="RP42" s="19"/>
      <c r="RQ42" s="19"/>
      <c r="RR42" s="19"/>
      <c r="RS42" s="19"/>
      <c r="RT42" s="19"/>
      <c r="RU42" s="19"/>
      <c r="RV42" s="19"/>
      <c r="RW42" s="19"/>
      <c r="RX42" s="19"/>
      <c r="RY42" s="19"/>
      <c r="RZ42" s="19"/>
      <c r="SA42" s="19"/>
      <c r="SB42" s="19"/>
      <c r="SC42" s="19"/>
      <c r="SD42" s="19"/>
      <c r="SE42" s="19"/>
      <c r="SF42" s="19"/>
      <c r="SG42" s="19"/>
      <c r="SH42" s="19"/>
      <c r="SI42" s="19"/>
      <c r="SJ42" s="19"/>
      <c r="SK42" s="19"/>
      <c r="SL42" s="19"/>
      <c r="SM42" s="19"/>
      <c r="SN42" s="19"/>
      <c r="SO42" s="19"/>
      <c r="SP42" s="19"/>
      <c r="SQ42" s="19"/>
      <c r="SR42" s="19"/>
      <c r="SS42" s="19"/>
      <c r="ST42" s="19"/>
      <c r="SU42" s="19"/>
      <c r="SV42" s="19"/>
      <c r="SW42" s="19"/>
      <c r="SX42" s="19"/>
      <c r="SY42" s="19"/>
      <c r="SZ42" s="19"/>
      <c r="TA42" s="19"/>
      <c r="TB42" s="19"/>
      <c r="TC42" s="19"/>
      <c r="TD42" s="19"/>
      <c r="TE42" s="19"/>
      <c r="TF42" s="19"/>
      <c r="TG42" s="19"/>
      <c r="TH42" s="19"/>
      <c r="TI42" s="19"/>
      <c r="TJ42" s="19"/>
      <c r="TK42" s="19"/>
      <c r="TL42" s="19"/>
      <c r="TM42" s="19"/>
      <c r="TN42" s="19"/>
      <c r="TO42" s="19"/>
      <c r="TP42" s="19"/>
      <c r="TQ42" s="19"/>
      <c r="TR42" s="19"/>
      <c r="TS42" s="19"/>
      <c r="TT42" s="19"/>
      <c r="TU42" s="19"/>
      <c r="TV42" s="19"/>
      <c r="TW42" s="19"/>
      <c r="TX42" s="19"/>
      <c r="TY42" s="19"/>
      <c r="TZ42" s="19"/>
      <c r="UA42" s="19"/>
      <c r="UB42" s="19"/>
      <c r="UC42" s="19"/>
      <c r="UD42" s="19"/>
      <c r="UE42" s="19"/>
      <c r="UF42" s="19"/>
      <c r="UG42" s="19"/>
      <c r="UH42" s="19"/>
      <c r="UI42" s="19"/>
      <c r="UJ42" s="19"/>
      <c r="UK42" s="19"/>
      <c r="UL42" s="19"/>
      <c r="UM42" s="19"/>
      <c r="UN42" s="19"/>
      <c r="UO42" s="19"/>
      <c r="UP42" s="19"/>
      <c r="UQ42" s="19"/>
      <c r="UR42" s="19"/>
      <c r="US42" s="19"/>
      <c r="UT42" s="19"/>
      <c r="UU42" s="19"/>
      <c r="UV42" s="19"/>
      <c r="UW42" s="19"/>
      <c r="UX42" s="19"/>
      <c r="UY42" s="19"/>
      <c r="UZ42" s="19"/>
      <c r="VA42" s="19"/>
      <c r="VB42" s="19"/>
      <c r="VC42" s="19"/>
      <c r="VD42" s="19"/>
      <c r="VE42" s="19"/>
      <c r="VF42" s="19"/>
      <c r="VG42" s="19"/>
      <c r="VH42" s="19"/>
      <c r="VI42" s="19"/>
      <c r="VJ42" s="19"/>
      <c r="VK42" s="19"/>
      <c r="VL42" s="19"/>
      <c r="VM42" s="19"/>
      <c r="VN42" s="19"/>
      <c r="VO42" s="19"/>
      <c r="VP42" s="19"/>
      <c r="VQ42" s="19"/>
      <c r="VR42" s="19"/>
      <c r="VS42" s="19"/>
      <c r="VT42" s="19"/>
      <c r="VU42" s="19"/>
      <c r="VV42" s="19"/>
      <c r="VW42" s="19"/>
      <c r="VX42" s="19"/>
      <c r="VY42" s="19"/>
      <c r="VZ42" s="19"/>
      <c r="WA42" s="19"/>
      <c r="WB42" s="19"/>
      <c r="WC42" s="19"/>
      <c r="WD42" s="19"/>
      <c r="WE42" s="19"/>
      <c r="WF42" s="19"/>
      <c r="WG42" s="19"/>
      <c r="WH42" s="19"/>
      <c r="WI42" s="19"/>
      <c r="WJ42" s="19"/>
      <c r="WK42" s="19"/>
      <c r="WL42" s="19"/>
      <c r="WM42" s="19"/>
      <c r="WN42" s="19"/>
      <c r="WO42" s="19"/>
      <c r="WP42" s="19"/>
      <c r="WQ42" s="19"/>
      <c r="WR42" s="19"/>
      <c r="WS42" s="19"/>
      <c r="WT42" s="19"/>
      <c r="WU42" s="19"/>
      <c r="WV42" s="19"/>
      <c r="WW42" s="19"/>
      <c r="WX42" s="19"/>
      <c r="WY42" s="19"/>
      <c r="WZ42" s="19"/>
      <c r="XA42" s="19"/>
      <c r="XB42" s="19"/>
      <c r="XC42" s="19"/>
      <c r="XD42" s="19"/>
      <c r="XE42" s="19"/>
      <c r="XF42" s="19"/>
      <c r="XG42" s="19"/>
      <c r="XH42" s="19"/>
      <c r="XI42" s="19"/>
      <c r="XJ42" s="19"/>
      <c r="XK42" s="19"/>
      <c r="XL42" s="19"/>
      <c r="XM42" s="19"/>
      <c r="XN42" s="19"/>
      <c r="XO42" s="19"/>
      <c r="XP42" s="19"/>
      <c r="XQ42" s="19"/>
      <c r="XR42" s="19"/>
      <c r="XS42" s="19"/>
      <c r="XT42" s="19"/>
      <c r="XU42" s="19"/>
      <c r="XV42" s="19"/>
      <c r="XW42" s="19"/>
      <c r="XX42" s="19"/>
      <c r="XY42" s="19"/>
      <c r="XZ42" s="19"/>
      <c r="YA42" s="19"/>
      <c r="YB42" s="19"/>
      <c r="YC42" s="19"/>
      <c r="YD42" s="19"/>
      <c r="YE42" s="19"/>
      <c r="YF42" s="19"/>
      <c r="YG42" s="19"/>
      <c r="YH42" s="19"/>
      <c r="YI42" s="19"/>
      <c r="YJ42" s="19"/>
      <c r="YK42" s="19"/>
      <c r="YL42" s="19"/>
      <c r="YM42" s="19"/>
      <c r="YN42" s="19"/>
      <c r="YO42" s="19"/>
      <c r="YP42" s="19"/>
      <c r="YQ42" s="19"/>
      <c r="YR42" s="19"/>
      <c r="YS42" s="19"/>
      <c r="YT42" s="19"/>
      <c r="YU42" s="19"/>
      <c r="YV42" s="19"/>
      <c r="YW42" s="19"/>
      <c r="YX42" s="19"/>
      <c r="YY42" s="19"/>
      <c r="YZ42" s="19"/>
      <c r="ZA42" s="19"/>
      <c r="ZB42" s="19"/>
      <c r="ZC42" s="19"/>
      <c r="ZD42" s="19"/>
      <c r="ZE42" s="19"/>
      <c r="ZF42" s="19"/>
      <c r="ZG42" s="19"/>
      <c r="ZH42" s="19"/>
      <c r="ZI42" s="19"/>
      <c r="ZJ42" s="19"/>
      <c r="ZK42" s="19"/>
      <c r="ZL42" s="19"/>
      <c r="ZM42" s="19"/>
      <c r="ZN42" s="19"/>
      <c r="ZO42" s="19"/>
      <c r="ZP42" s="19"/>
      <c r="ZQ42" s="19"/>
      <c r="ZR42" s="19"/>
      <c r="ZS42" s="19"/>
      <c r="ZT42" s="19"/>
      <c r="ZU42" s="19"/>
      <c r="ZV42" s="19"/>
      <c r="ZW42" s="19"/>
      <c r="ZX42" s="19"/>
      <c r="ZY42" s="19"/>
      <c r="ZZ42" s="19"/>
      <c r="AAA42" s="19"/>
      <c r="AAB42" s="19"/>
      <c r="AAC42" s="19"/>
      <c r="AAD42" s="19"/>
      <c r="AAE42" s="19"/>
      <c r="AAF42" s="19"/>
      <c r="AAG42" s="19"/>
      <c r="AAH42" s="19"/>
      <c r="AAI42" s="19"/>
      <c r="AAJ42" s="19"/>
      <c r="AAK42" s="19"/>
      <c r="AAL42" s="19"/>
      <c r="AAM42" s="19"/>
      <c r="AAN42" s="19"/>
      <c r="AAO42" s="19"/>
      <c r="AAP42" s="19"/>
      <c r="AAQ42" s="19"/>
      <c r="AAR42" s="19"/>
      <c r="AAS42" s="19"/>
      <c r="AAT42" s="19"/>
      <c r="AAU42" s="19"/>
      <c r="AAV42" s="19"/>
      <c r="AAW42" s="19"/>
      <c r="AAX42" s="19"/>
      <c r="AAY42" s="19"/>
      <c r="AAZ42" s="19"/>
      <c r="ABA42" s="19"/>
      <c r="ABB42" s="19"/>
      <c r="ABC42" s="19"/>
      <c r="ABD42" s="19"/>
      <c r="ABE42" s="19"/>
      <c r="ABF42" s="19"/>
      <c r="ABG42" s="19"/>
      <c r="ABH42" s="19"/>
      <c r="ABI42" s="19"/>
      <c r="ABJ42" s="19"/>
      <c r="ABK42" s="19"/>
      <c r="ABL42" s="19"/>
      <c r="ABM42" s="19"/>
      <c r="ABN42" s="19"/>
      <c r="ABO42" s="19"/>
      <c r="ABP42" s="19"/>
      <c r="ABQ42" s="19"/>
      <c r="ABR42" s="19"/>
      <c r="ABS42" s="19"/>
      <c r="ABT42" s="19"/>
      <c r="ABU42" s="19"/>
      <c r="ABV42" s="19"/>
      <c r="ABW42" s="19"/>
      <c r="ABX42" s="19"/>
      <c r="ABY42" s="19"/>
      <c r="ABZ42" s="19"/>
      <c r="ACA42" s="19"/>
      <c r="ACB42" s="19"/>
      <c r="ACC42" s="19"/>
      <c r="ACD42" s="19"/>
      <c r="ACE42" s="19"/>
      <c r="ACF42" s="19"/>
      <c r="ACG42" s="19"/>
      <c r="ACH42" s="19"/>
      <c r="ACI42" s="19"/>
      <c r="ACJ42" s="19"/>
      <c r="ACK42" s="19"/>
      <c r="ACL42" s="19"/>
      <c r="ACM42" s="19"/>
      <c r="ACN42" s="19"/>
      <c r="ACO42" s="19"/>
      <c r="ACP42" s="19"/>
      <c r="ACQ42" s="19"/>
      <c r="ACR42" s="19"/>
      <c r="ACS42" s="19"/>
      <c r="ACT42" s="19"/>
      <c r="ACU42" s="19"/>
      <c r="ACV42" s="19"/>
      <c r="ACW42" s="19"/>
      <c r="ACX42" s="19"/>
      <c r="ACY42" s="19"/>
      <c r="ACZ42" s="19"/>
      <c r="ADA42" s="19"/>
      <c r="ADB42" s="19"/>
      <c r="ADC42" s="19"/>
      <c r="ADD42" s="19"/>
      <c r="ADE42" s="19"/>
      <c r="ADF42" s="19"/>
      <c r="ADG42" s="19"/>
      <c r="ADH42" s="19"/>
      <c r="ADI42" s="19"/>
      <c r="ADJ42" s="19"/>
      <c r="ADK42" s="19"/>
      <c r="ADL42" s="19"/>
      <c r="ADM42" s="19"/>
      <c r="ADN42" s="19"/>
      <c r="ADO42" s="19"/>
      <c r="ADP42" s="19"/>
      <c r="ADQ42" s="19"/>
      <c r="ADR42" s="19"/>
      <c r="ADS42" s="19"/>
      <c r="ADT42" s="19"/>
      <c r="ADU42" s="19"/>
      <c r="ADV42" s="19"/>
      <c r="ADW42" s="19"/>
      <c r="ADX42" s="19"/>
      <c r="ADY42" s="19"/>
      <c r="ADZ42" s="19"/>
      <c r="AEA42" s="19"/>
      <c r="AEB42" s="19"/>
      <c r="AEC42" s="19"/>
      <c r="AED42" s="19"/>
      <c r="AEE42" s="19"/>
      <c r="AEF42" s="19"/>
      <c r="AEG42" s="19"/>
      <c r="AEH42" s="19"/>
      <c r="AEI42" s="19"/>
      <c r="AEJ42" s="19"/>
      <c r="AEK42" s="19"/>
      <c r="AEL42" s="19"/>
      <c r="AEM42" s="19"/>
      <c r="AEN42" s="19"/>
      <c r="AEO42" s="19"/>
      <c r="AEP42" s="19"/>
      <c r="AEQ42" s="19"/>
      <c r="AER42" s="19"/>
      <c r="AES42" s="19"/>
      <c r="AET42" s="19"/>
      <c r="AEU42" s="19"/>
      <c r="AEV42" s="19"/>
      <c r="AEW42" s="19"/>
      <c r="AEX42" s="19"/>
      <c r="AEY42" s="19"/>
      <c r="AEZ42" s="19"/>
      <c r="AFA42" s="19"/>
      <c r="AFB42" s="19"/>
      <c r="AFC42" s="19"/>
      <c r="AFD42" s="19"/>
      <c r="AFE42" s="19"/>
      <c r="AFF42" s="19"/>
      <c r="AFG42" s="19"/>
      <c r="AFH42" s="19"/>
      <c r="AFI42" s="19"/>
      <c r="AFJ42" s="19"/>
      <c r="AFK42" s="19"/>
      <c r="AFL42" s="19"/>
      <c r="AFM42" s="19"/>
      <c r="AFN42" s="19"/>
      <c r="AFO42" s="19"/>
      <c r="AFP42" s="19"/>
      <c r="AFQ42" s="19"/>
      <c r="AFR42" s="19"/>
      <c r="AFS42" s="19"/>
      <c r="AFT42" s="19"/>
      <c r="AFU42" s="19"/>
      <c r="AFV42" s="19"/>
      <c r="AFW42" s="19"/>
      <c r="AFX42" s="19"/>
      <c r="AFY42" s="19"/>
      <c r="AFZ42" s="19"/>
      <c r="AGA42" s="19"/>
      <c r="AGB42" s="19"/>
      <c r="AGC42" s="19"/>
      <c r="AGD42" s="19"/>
      <c r="AGE42" s="19"/>
      <c r="AGF42" s="19"/>
      <c r="AGG42" s="19"/>
      <c r="AGH42" s="19"/>
      <c r="AGI42" s="19"/>
      <c r="AGJ42" s="19"/>
      <c r="AGK42" s="19"/>
      <c r="AGL42" s="19"/>
      <c r="AGM42" s="19"/>
      <c r="AGN42" s="19"/>
      <c r="AGO42" s="19"/>
      <c r="AGP42" s="19"/>
      <c r="AGQ42" s="19"/>
      <c r="AGR42" s="19"/>
      <c r="AGS42" s="19"/>
      <c r="AGT42" s="19"/>
      <c r="AGU42" s="19"/>
      <c r="AGV42" s="19"/>
      <c r="AGW42" s="19"/>
      <c r="AGX42" s="19"/>
      <c r="AGY42" s="19"/>
      <c r="AGZ42" s="19"/>
      <c r="AHA42" s="19"/>
      <c r="AHB42" s="19"/>
      <c r="AHC42" s="19"/>
      <c r="AHD42" s="19"/>
      <c r="AHE42" s="19"/>
      <c r="AHF42" s="19"/>
      <c r="AHG42" s="19"/>
      <c r="AHH42" s="19"/>
      <c r="AHI42" s="19"/>
      <c r="AHJ42" s="19"/>
      <c r="AHK42" s="19"/>
      <c r="AHL42" s="19"/>
      <c r="AHM42" s="19"/>
      <c r="AHN42" s="19"/>
      <c r="AHO42" s="19"/>
      <c r="AHP42" s="19"/>
      <c r="AHQ42" s="19"/>
      <c r="AHR42" s="19"/>
      <c r="AHS42" s="19"/>
      <c r="AHT42" s="19"/>
      <c r="AHU42" s="19"/>
      <c r="AHV42" s="19"/>
      <c r="AHW42" s="19"/>
      <c r="AHX42" s="19"/>
      <c r="AHY42" s="19"/>
      <c r="AHZ42" s="19"/>
      <c r="AIA42" s="19"/>
      <c r="AIB42" s="19"/>
      <c r="AIC42" s="19"/>
      <c r="AID42" s="19"/>
      <c r="AIE42" s="19"/>
      <c r="AIF42" s="19"/>
      <c r="AIG42" s="19"/>
      <c r="AIH42" s="19"/>
      <c r="AII42" s="19"/>
      <c r="AIJ42" s="19"/>
      <c r="AIK42" s="19"/>
      <c r="AIL42" s="19"/>
      <c r="AIM42" s="19"/>
      <c r="AIN42" s="19"/>
      <c r="AIO42" s="19"/>
      <c r="AIP42" s="19"/>
      <c r="AIQ42" s="19"/>
      <c r="AIR42" s="19"/>
      <c r="AIS42" s="19"/>
      <c r="AIT42" s="19"/>
      <c r="AIU42" s="19"/>
      <c r="AIV42" s="19"/>
      <c r="AIW42" s="19"/>
      <c r="AIX42" s="19"/>
      <c r="AIY42" s="19"/>
      <c r="AIZ42" s="19"/>
      <c r="AJA42" s="19"/>
      <c r="AJB42" s="19"/>
      <c r="AJC42" s="19"/>
      <c r="AJD42" s="19"/>
      <c r="AJE42" s="19"/>
      <c r="AJF42" s="19"/>
      <c r="AJG42" s="19"/>
      <c r="AJH42" s="19"/>
      <c r="AJI42" s="19"/>
      <c r="AJJ42" s="19"/>
      <c r="AJK42" s="19"/>
      <c r="AJL42" s="19"/>
      <c r="AJM42" s="19"/>
      <c r="AJN42" s="19"/>
      <c r="AJO42" s="19"/>
      <c r="AJP42" s="19"/>
      <c r="AJQ42" s="19"/>
      <c r="AJR42" s="19"/>
      <c r="AJS42" s="19"/>
      <c r="AJT42" s="19"/>
      <c r="AJU42" s="19"/>
      <c r="AJV42" s="19"/>
      <c r="AJW42" s="19"/>
      <c r="AJX42" s="19"/>
      <c r="AJY42" s="19"/>
      <c r="AJZ42" s="19"/>
      <c r="AKA42" s="19"/>
      <c r="AKB42" s="19"/>
      <c r="AKC42" s="19"/>
      <c r="AKD42" s="19"/>
      <c r="AKE42" s="19"/>
      <c r="AKF42" s="19"/>
      <c r="AKG42" s="19"/>
      <c r="AKH42" s="19"/>
      <c r="AKI42" s="19"/>
      <c r="AKJ42" s="19"/>
      <c r="AKK42" s="19"/>
    </row>
    <row r="43" spans="2:973" ht="23.25" customHeight="1">
      <c r="B43" s="224" t="s">
        <v>82</v>
      </c>
      <c r="C43" s="245" t="s">
        <v>83</v>
      </c>
      <c r="D43" s="112" t="s">
        <v>84</v>
      </c>
      <c r="E43" s="111" t="s">
        <v>24</v>
      </c>
      <c r="F43" s="112" t="s">
        <v>29</v>
      </c>
      <c r="G43" s="122" t="s">
        <v>26</v>
      </c>
      <c r="H43" s="123">
        <v>30</v>
      </c>
      <c r="I43" s="123">
        <v>250</v>
      </c>
      <c r="J43" s="124">
        <f t="shared" si="1"/>
        <v>7500</v>
      </c>
      <c r="K43" s="123">
        <v>3500</v>
      </c>
      <c r="L43" s="123">
        <v>4000</v>
      </c>
      <c r="M43" s="123"/>
      <c r="N43" s="123"/>
      <c r="O43" s="123"/>
      <c r="P43" s="123">
        <f>SUM(K43:O43)</f>
        <v>7500</v>
      </c>
      <c r="Q43" s="123">
        <v>220000</v>
      </c>
      <c r="R43" s="115" t="s">
        <v>85</v>
      </c>
      <c r="U43" s="103"/>
    </row>
    <row r="44" spans="2:973" ht="17.25" customHeight="1">
      <c r="B44" s="225"/>
      <c r="C44" s="227"/>
      <c r="D44" s="228" t="s">
        <v>86</v>
      </c>
      <c r="E44" s="228" t="s">
        <v>24</v>
      </c>
      <c r="F44" s="228" t="s">
        <v>29</v>
      </c>
      <c r="G44" s="260" t="s">
        <v>26</v>
      </c>
      <c r="H44" s="236">
        <v>60</v>
      </c>
      <c r="I44" s="236">
        <v>250</v>
      </c>
      <c r="J44" s="262">
        <f>SUM(H44*I44)</f>
        <v>15000</v>
      </c>
      <c r="K44" s="252">
        <v>5000</v>
      </c>
      <c r="L44" s="252">
        <v>10000</v>
      </c>
      <c r="M44" s="252"/>
      <c r="N44" s="252"/>
      <c r="O44" s="252"/>
      <c r="P44" s="252">
        <f>SUM(K44:O45)</f>
        <v>15000</v>
      </c>
      <c r="Q44" s="140">
        <v>125000</v>
      </c>
      <c r="R44" s="246" t="s">
        <v>87</v>
      </c>
      <c r="U44" s="103"/>
    </row>
    <row r="45" spans="2:973" ht="22.5" customHeight="1">
      <c r="B45" s="225"/>
      <c r="C45" s="227"/>
      <c r="D45" s="229"/>
      <c r="E45" s="229"/>
      <c r="F45" s="229"/>
      <c r="G45" s="261"/>
      <c r="H45" s="237"/>
      <c r="I45" s="237"/>
      <c r="J45" s="263"/>
      <c r="K45" s="253"/>
      <c r="L45" s="253"/>
      <c r="M45" s="253"/>
      <c r="N45" s="253"/>
      <c r="O45" s="253"/>
      <c r="P45" s="253"/>
      <c r="Q45" s="127">
        <f>J45-P45</f>
        <v>0</v>
      </c>
      <c r="R45" s="247"/>
      <c r="U45" s="103"/>
    </row>
    <row r="46" spans="2:973" s="125" customFormat="1" ht="21" customHeight="1">
      <c r="B46" s="225"/>
      <c r="C46" s="227"/>
      <c r="D46" s="141" t="s">
        <v>49</v>
      </c>
      <c r="E46" s="120"/>
      <c r="F46" s="120"/>
      <c r="G46" s="134"/>
      <c r="H46" s="134"/>
      <c r="I46" s="134"/>
      <c r="J46" s="134"/>
      <c r="K46" s="134"/>
      <c r="L46" s="134"/>
      <c r="M46" s="134"/>
      <c r="N46" s="134"/>
      <c r="O46" s="123"/>
      <c r="P46" s="129">
        <f>SUM(P43:P45)</f>
        <v>22500</v>
      </c>
      <c r="Q46" s="129">
        <f>SUM(Q43:Q45)</f>
        <v>345000</v>
      </c>
      <c r="R46" s="134"/>
      <c r="S46" s="19"/>
      <c r="T46" s="103"/>
      <c r="U46" s="103"/>
      <c r="V46" s="103"/>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c r="BI46" s="19"/>
      <c r="BJ46" s="19"/>
      <c r="BK46" s="19"/>
      <c r="BL46" s="19"/>
      <c r="BM46" s="19"/>
      <c r="BN46" s="19"/>
      <c r="BO46" s="19"/>
      <c r="BP46" s="19"/>
      <c r="BQ46" s="19"/>
      <c r="BR46" s="19"/>
      <c r="BS46" s="19"/>
      <c r="BT46" s="19"/>
      <c r="BU46" s="19"/>
      <c r="BV46" s="19"/>
      <c r="BW46" s="19"/>
      <c r="BX46" s="19"/>
      <c r="BY46" s="19"/>
      <c r="BZ46" s="19"/>
      <c r="CA46" s="19"/>
      <c r="CB46" s="19"/>
      <c r="CC46" s="19"/>
      <c r="CD46" s="19"/>
      <c r="CE46" s="19"/>
      <c r="CF46" s="19"/>
      <c r="CG46" s="19"/>
      <c r="CH46" s="19"/>
      <c r="CI46" s="19"/>
      <c r="CJ46" s="19"/>
      <c r="CK46" s="19"/>
      <c r="CL46" s="19"/>
      <c r="CM46" s="19"/>
      <c r="CN46" s="19"/>
      <c r="CO46" s="19"/>
      <c r="CP46" s="19"/>
      <c r="CQ46" s="19"/>
      <c r="CR46" s="19"/>
      <c r="CS46" s="19"/>
      <c r="CT46" s="19"/>
      <c r="CU46" s="19"/>
      <c r="CV46" s="19"/>
      <c r="CW46" s="19"/>
      <c r="CX46" s="19"/>
      <c r="CY46" s="19"/>
      <c r="CZ46" s="19"/>
      <c r="DA46" s="19"/>
      <c r="DB46" s="19"/>
      <c r="DC46" s="19"/>
      <c r="DD46" s="19"/>
      <c r="DE46" s="19"/>
      <c r="DF46" s="19"/>
      <c r="DG46" s="19"/>
      <c r="DH46" s="19"/>
      <c r="DI46" s="19"/>
      <c r="DJ46" s="19"/>
      <c r="DK46" s="19"/>
      <c r="DL46" s="19"/>
      <c r="DM46" s="19"/>
      <c r="DN46" s="19"/>
      <c r="DO46" s="19"/>
      <c r="DP46" s="19"/>
      <c r="DQ46" s="19"/>
      <c r="DR46" s="19"/>
      <c r="DS46" s="19"/>
      <c r="DT46" s="19"/>
      <c r="DU46" s="19"/>
      <c r="DV46" s="19"/>
      <c r="DW46" s="19"/>
      <c r="DX46" s="19"/>
      <c r="DY46" s="19"/>
      <c r="DZ46" s="19"/>
      <c r="EA46" s="19"/>
      <c r="EB46" s="19"/>
      <c r="EC46" s="19"/>
      <c r="ED46" s="19"/>
      <c r="EE46" s="19"/>
      <c r="EF46" s="19"/>
      <c r="EG46" s="19"/>
      <c r="EH46" s="19"/>
      <c r="EI46" s="19"/>
      <c r="EJ46" s="19"/>
      <c r="EK46" s="19"/>
      <c r="EL46" s="19"/>
      <c r="EM46" s="19"/>
      <c r="EN46" s="19"/>
      <c r="EO46" s="19"/>
      <c r="EP46" s="19"/>
      <c r="EQ46" s="19"/>
      <c r="ER46" s="19"/>
      <c r="ES46" s="19"/>
      <c r="ET46" s="19"/>
      <c r="EU46" s="19"/>
      <c r="EV46" s="19"/>
      <c r="EW46" s="19"/>
      <c r="EX46" s="19"/>
      <c r="EY46" s="19"/>
      <c r="EZ46" s="19"/>
      <c r="FA46" s="19"/>
      <c r="FB46" s="19"/>
      <c r="FC46" s="19"/>
      <c r="FD46" s="19"/>
      <c r="FE46" s="19"/>
      <c r="FF46" s="19"/>
      <c r="FG46" s="19"/>
      <c r="FH46" s="19"/>
      <c r="FI46" s="19"/>
      <c r="FJ46" s="19"/>
      <c r="FK46" s="19"/>
      <c r="FL46" s="19"/>
      <c r="FM46" s="19"/>
      <c r="FN46" s="19"/>
      <c r="FO46" s="19"/>
      <c r="FP46" s="19"/>
      <c r="FQ46" s="19"/>
      <c r="FR46" s="19"/>
      <c r="FS46" s="19"/>
      <c r="FT46" s="19"/>
      <c r="FU46" s="19"/>
      <c r="FV46" s="19"/>
      <c r="FW46" s="19"/>
      <c r="FX46" s="19"/>
      <c r="FY46" s="19"/>
      <c r="FZ46" s="19"/>
      <c r="GA46" s="19"/>
      <c r="GB46" s="19"/>
      <c r="GC46" s="19"/>
      <c r="GD46" s="19"/>
      <c r="GE46" s="19"/>
      <c r="GF46" s="19"/>
      <c r="GG46" s="19"/>
      <c r="GH46" s="19"/>
      <c r="GI46" s="19"/>
      <c r="GJ46" s="19"/>
      <c r="GK46" s="19"/>
      <c r="GL46" s="19"/>
      <c r="GM46" s="19"/>
      <c r="GN46" s="19"/>
      <c r="GO46" s="19"/>
      <c r="GP46" s="19"/>
      <c r="GQ46" s="19"/>
      <c r="GR46" s="19"/>
      <c r="GS46" s="19"/>
      <c r="GT46" s="19"/>
      <c r="GU46" s="19"/>
      <c r="GV46" s="19"/>
      <c r="GW46" s="19"/>
      <c r="GX46" s="19"/>
      <c r="GY46" s="19"/>
      <c r="GZ46" s="19"/>
      <c r="HA46" s="19"/>
      <c r="HB46" s="19"/>
      <c r="HC46" s="19"/>
      <c r="HD46" s="19"/>
      <c r="HE46" s="19"/>
      <c r="HF46" s="19"/>
      <c r="HG46" s="19"/>
      <c r="HH46" s="19"/>
      <c r="HI46" s="19"/>
      <c r="HJ46" s="19"/>
      <c r="HK46" s="19"/>
      <c r="HL46" s="19"/>
      <c r="HM46" s="19"/>
      <c r="HN46" s="19"/>
      <c r="HO46" s="19"/>
      <c r="HP46" s="19"/>
      <c r="HQ46" s="19"/>
      <c r="HR46" s="19"/>
      <c r="HS46" s="19"/>
      <c r="HT46" s="19"/>
      <c r="HU46" s="19"/>
      <c r="HV46" s="19"/>
      <c r="HW46" s="19"/>
      <c r="HX46" s="19"/>
      <c r="HY46" s="19"/>
      <c r="HZ46" s="19"/>
      <c r="IA46" s="19"/>
      <c r="IB46" s="19"/>
      <c r="IC46" s="19"/>
      <c r="ID46" s="19"/>
      <c r="IE46" s="19"/>
      <c r="IF46" s="19"/>
      <c r="IG46" s="19"/>
      <c r="IH46" s="19"/>
      <c r="II46" s="19"/>
      <c r="IJ46" s="19"/>
      <c r="IK46" s="19"/>
      <c r="IL46" s="19"/>
      <c r="IM46" s="19"/>
      <c r="IN46" s="19"/>
      <c r="IO46" s="19"/>
      <c r="IP46" s="19"/>
      <c r="IQ46" s="19"/>
      <c r="IR46" s="19"/>
      <c r="IS46" s="19"/>
      <c r="IT46" s="19"/>
      <c r="IU46" s="19"/>
      <c r="IV46" s="19"/>
      <c r="IW46" s="19"/>
      <c r="IX46" s="19"/>
      <c r="IY46" s="19"/>
      <c r="IZ46" s="19"/>
      <c r="JA46" s="19"/>
      <c r="JB46" s="19"/>
      <c r="JC46" s="19"/>
      <c r="JD46" s="19"/>
      <c r="JE46" s="19"/>
      <c r="JF46" s="19"/>
      <c r="JG46" s="19"/>
      <c r="JH46" s="19"/>
      <c r="JI46" s="19"/>
      <c r="JJ46" s="19"/>
      <c r="JK46" s="19"/>
      <c r="JL46" s="19"/>
      <c r="JM46" s="19"/>
      <c r="JN46" s="19"/>
      <c r="JO46" s="19"/>
      <c r="JP46" s="19"/>
      <c r="JQ46" s="19"/>
      <c r="JR46" s="19"/>
      <c r="JS46" s="19"/>
      <c r="JT46" s="19"/>
      <c r="JU46" s="19"/>
      <c r="JV46" s="19"/>
      <c r="JW46" s="19"/>
      <c r="JX46" s="19"/>
      <c r="JY46" s="19"/>
      <c r="JZ46" s="19"/>
      <c r="KA46" s="19"/>
      <c r="KB46" s="19"/>
      <c r="KC46" s="19"/>
      <c r="KD46" s="19"/>
      <c r="KE46" s="19"/>
      <c r="KF46" s="19"/>
      <c r="KG46" s="19"/>
      <c r="KH46" s="19"/>
      <c r="KI46" s="19"/>
      <c r="KJ46" s="19"/>
      <c r="KK46" s="19"/>
      <c r="KL46" s="19"/>
      <c r="KM46" s="19"/>
      <c r="KN46" s="19"/>
      <c r="KO46" s="19"/>
      <c r="KP46" s="19"/>
      <c r="KQ46" s="19"/>
      <c r="KR46" s="19"/>
      <c r="KS46" s="19"/>
      <c r="KT46" s="19"/>
      <c r="KU46" s="19"/>
      <c r="KV46" s="19"/>
      <c r="KW46" s="19"/>
      <c r="KX46" s="19"/>
      <c r="KY46" s="19"/>
      <c r="KZ46" s="19"/>
      <c r="LA46" s="19"/>
      <c r="LB46" s="19"/>
      <c r="LC46" s="19"/>
      <c r="LD46" s="19"/>
      <c r="LE46" s="19"/>
      <c r="LF46" s="19"/>
      <c r="LG46" s="19"/>
      <c r="LH46" s="19"/>
      <c r="LI46" s="19"/>
      <c r="LJ46" s="19"/>
      <c r="LK46" s="19"/>
      <c r="LL46" s="19"/>
      <c r="LM46" s="19"/>
      <c r="LN46" s="19"/>
      <c r="LO46" s="19"/>
      <c r="LP46" s="19"/>
      <c r="LQ46" s="19"/>
      <c r="LR46" s="19"/>
      <c r="LS46" s="19"/>
      <c r="LT46" s="19"/>
      <c r="LU46" s="19"/>
      <c r="LV46" s="19"/>
      <c r="LW46" s="19"/>
      <c r="LX46" s="19"/>
      <c r="LY46" s="19"/>
      <c r="LZ46" s="19"/>
      <c r="MA46" s="19"/>
      <c r="MB46" s="19"/>
      <c r="MC46" s="19"/>
      <c r="MD46" s="19"/>
      <c r="ME46" s="19"/>
      <c r="MF46" s="19"/>
      <c r="MG46" s="19"/>
      <c r="MH46" s="19"/>
      <c r="MI46" s="19"/>
      <c r="MJ46" s="19"/>
      <c r="MK46" s="19"/>
      <c r="ML46" s="19"/>
      <c r="MM46" s="19"/>
      <c r="MN46" s="19"/>
      <c r="MO46" s="19"/>
      <c r="MP46" s="19"/>
      <c r="MQ46" s="19"/>
      <c r="MR46" s="19"/>
      <c r="MS46" s="19"/>
      <c r="MT46" s="19"/>
      <c r="MU46" s="19"/>
      <c r="MV46" s="19"/>
      <c r="MW46" s="19"/>
      <c r="MX46" s="19"/>
      <c r="MY46" s="19"/>
      <c r="MZ46" s="19"/>
      <c r="NA46" s="19"/>
      <c r="NB46" s="19"/>
      <c r="NC46" s="19"/>
      <c r="ND46" s="19"/>
      <c r="NE46" s="19"/>
      <c r="NF46" s="19"/>
      <c r="NG46" s="19"/>
      <c r="NH46" s="19"/>
      <c r="NI46" s="19"/>
      <c r="NJ46" s="19"/>
      <c r="NK46" s="19"/>
      <c r="NL46" s="19"/>
      <c r="NM46" s="19"/>
      <c r="NN46" s="19"/>
      <c r="NO46" s="19"/>
      <c r="NP46" s="19"/>
      <c r="NQ46" s="19"/>
      <c r="NR46" s="19"/>
      <c r="NS46" s="19"/>
      <c r="NT46" s="19"/>
      <c r="NU46" s="19"/>
      <c r="NV46" s="19"/>
      <c r="NW46" s="19"/>
      <c r="NX46" s="19"/>
      <c r="NY46" s="19"/>
      <c r="NZ46" s="19"/>
      <c r="OA46" s="19"/>
      <c r="OB46" s="19"/>
      <c r="OC46" s="19"/>
      <c r="OD46" s="19"/>
      <c r="OE46" s="19"/>
      <c r="OF46" s="19"/>
      <c r="OG46" s="19"/>
      <c r="OH46" s="19"/>
      <c r="OI46" s="19"/>
      <c r="OJ46" s="19"/>
      <c r="OK46" s="19"/>
      <c r="OL46" s="19"/>
      <c r="OM46" s="19"/>
      <c r="ON46" s="19"/>
      <c r="OO46" s="19"/>
      <c r="OP46" s="19"/>
      <c r="OQ46" s="19"/>
      <c r="OR46" s="19"/>
      <c r="OS46" s="19"/>
      <c r="OT46" s="19"/>
      <c r="OU46" s="19"/>
      <c r="OV46" s="19"/>
      <c r="OW46" s="19"/>
      <c r="OX46" s="19"/>
      <c r="OY46" s="19"/>
      <c r="OZ46" s="19"/>
      <c r="PA46" s="19"/>
      <c r="PB46" s="19"/>
      <c r="PC46" s="19"/>
      <c r="PD46" s="19"/>
      <c r="PE46" s="19"/>
      <c r="PF46" s="19"/>
      <c r="PG46" s="19"/>
      <c r="PH46" s="19"/>
      <c r="PI46" s="19"/>
      <c r="PJ46" s="19"/>
      <c r="PK46" s="19"/>
      <c r="PL46" s="19"/>
      <c r="PM46" s="19"/>
      <c r="PN46" s="19"/>
      <c r="PO46" s="19"/>
      <c r="PP46" s="19"/>
      <c r="PQ46" s="19"/>
      <c r="PR46" s="19"/>
      <c r="PS46" s="19"/>
      <c r="PT46" s="19"/>
      <c r="PU46" s="19"/>
      <c r="PV46" s="19"/>
      <c r="PW46" s="19"/>
      <c r="PX46" s="19"/>
      <c r="PY46" s="19"/>
      <c r="PZ46" s="19"/>
      <c r="QA46" s="19"/>
      <c r="QB46" s="19"/>
      <c r="QC46" s="19"/>
      <c r="QD46" s="19"/>
      <c r="QE46" s="19"/>
      <c r="QF46" s="19"/>
      <c r="QG46" s="19"/>
      <c r="QH46" s="19"/>
      <c r="QI46" s="19"/>
      <c r="QJ46" s="19"/>
      <c r="QK46" s="19"/>
      <c r="QL46" s="19"/>
      <c r="QM46" s="19"/>
      <c r="QN46" s="19"/>
      <c r="QO46" s="19"/>
      <c r="QP46" s="19"/>
      <c r="QQ46" s="19"/>
      <c r="QR46" s="19"/>
      <c r="QS46" s="19"/>
      <c r="QT46" s="19"/>
      <c r="QU46" s="19"/>
      <c r="QV46" s="19"/>
      <c r="QW46" s="19"/>
      <c r="QX46" s="19"/>
      <c r="QY46" s="19"/>
      <c r="QZ46" s="19"/>
      <c r="RA46" s="19"/>
      <c r="RB46" s="19"/>
      <c r="RC46" s="19"/>
      <c r="RD46" s="19"/>
      <c r="RE46" s="19"/>
      <c r="RF46" s="19"/>
      <c r="RG46" s="19"/>
      <c r="RH46" s="19"/>
      <c r="RI46" s="19"/>
      <c r="RJ46" s="19"/>
      <c r="RK46" s="19"/>
      <c r="RL46" s="19"/>
      <c r="RM46" s="19"/>
      <c r="RN46" s="19"/>
      <c r="RO46" s="19"/>
      <c r="RP46" s="19"/>
      <c r="RQ46" s="19"/>
      <c r="RR46" s="19"/>
      <c r="RS46" s="19"/>
      <c r="RT46" s="19"/>
      <c r="RU46" s="19"/>
      <c r="RV46" s="19"/>
      <c r="RW46" s="19"/>
      <c r="RX46" s="19"/>
      <c r="RY46" s="19"/>
      <c r="RZ46" s="19"/>
      <c r="SA46" s="19"/>
      <c r="SB46" s="19"/>
      <c r="SC46" s="19"/>
      <c r="SD46" s="19"/>
      <c r="SE46" s="19"/>
      <c r="SF46" s="19"/>
      <c r="SG46" s="19"/>
      <c r="SH46" s="19"/>
      <c r="SI46" s="19"/>
      <c r="SJ46" s="19"/>
      <c r="SK46" s="19"/>
      <c r="SL46" s="19"/>
      <c r="SM46" s="19"/>
      <c r="SN46" s="19"/>
      <c r="SO46" s="19"/>
      <c r="SP46" s="19"/>
      <c r="SQ46" s="19"/>
      <c r="SR46" s="19"/>
      <c r="SS46" s="19"/>
      <c r="ST46" s="19"/>
      <c r="SU46" s="19"/>
      <c r="SV46" s="19"/>
      <c r="SW46" s="19"/>
      <c r="SX46" s="19"/>
      <c r="SY46" s="19"/>
      <c r="SZ46" s="19"/>
      <c r="TA46" s="19"/>
      <c r="TB46" s="19"/>
      <c r="TC46" s="19"/>
      <c r="TD46" s="19"/>
      <c r="TE46" s="19"/>
      <c r="TF46" s="19"/>
      <c r="TG46" s="19"/>
      <c r="TH46" s="19"/>
      <c r="TI46" s="19"/>
      <c r="TJ46" s="19"/>
      <c r="TK46" s="19"/>
      <c r="TL46" s="19"/>
      <c r="TM46" s="19"/>
      <c r="TN46" s="19"/>
      <c r="TO46" s="19"/>
      <c r="TP46" s="19"/>
      <c r="TQ46" s="19"/>
      <c r="TR46" s="19"/>
      <c r="TS46" s="19"/>
      <c r="TT46" s="19"/>
      <c r="TU46" s="19"/>
      <c r="TV46" s="19"/>
      <c r="TW46" s="19"/>
      <c r="TX46" s="19"/>
      <c r="TY46" s="19"/>
      <c r="TZ46" s="19"/>
      <c r="UA46" s="19"/>
      <c r="UB46" s="19"/>
      <c r="UC46" s="19"/>
      <c r="UD46" s="19"/>
      <c r="UE46" s="19"/>
      <c r="UF46" s="19"/>
      <c r="UG46" s="19"/>
      <c r="UH46" s="19"/>
      <c r="UI46" s="19"/>
      <c r="UJ46" s="19"/>
      <c r="UK46" s="19"/>
      <c r="UL46" s="19"/>
      <c r="UM46" s="19"/>
      <c r="UN46" s="19"/>
      <c r="UO46" s="19"/>
      <c r="UP46" s="19"/>
      <c r="UQ46" s="19"/>
      <c r="UR46" s="19"/>
      <c r="US46" s="19"/>
      <c r="UT46" s="19"/>
      <c r="UU46" s="19"/>
      <c r="UV46" s="19"/>
      <c r="UW46" s="19"/>
      <c r="UX46" s="19"/>
      <c r="UY46" s="19"/>
      <c r="UZ46" s="19"/>
      <c r="VA46" s="19"/>
      <c r="VB46" s="19"/>
      <c r="VC46" s="19"/>
      <c r="VD46" s="19"/>
      <c r="VE46" s="19"/>
      <c r="VF46" s="19"/>
      <c r="VG46" s="19"/>
      <c r="VH46" s="19"/>
      <c r="VI46" s="19"/>
      <c r="VJ46" s="19"/>
      <c r="VK46" s="19"/>
      <c r="VL46" s="19"/>
      <c r="VM46" s="19"/>
      <c r="VN46" s="19"/>
      <c r="VO46" s="19"/>
      <c r="VP46" s="19"/>
      <c r="VQ46" s="19"/>
      <c r="VR46" s="19"/>
      <c r="VS46" s="19"/>
      <c r="VT46" s="19"/>
      <c r="VU46" s="19"/>
      <c r="VV46" s="19"/>
      <c r="VW46" s="19"/>
      <c r="VX46" s="19"/>
      <c r="VY46" s="19"/>
      <c r="VZ46" s="19"/>
      <c r="WA46" s="19"/>
      <c r="WB46" s="19"/>
      <c r="WC46" s="19"/>
      <c r="WD46" s="19"/>
      <c r="WE46" s="19"/>
      <c r="WF46" s="19"/>
      <c r="WG46" s="19"/>
      <c r="WH46" s="19"/>
      <c r="WI46" s="19"/>
      <c r="WJ46" s="19"/>
      <c r="WK46" s="19"/>
      <c r="WL46" s="19"/>
      <c r="WM46" s="19"/>
      <c r="WN46" s="19"/>
      <c r="WO46" s="19"/>
      <c r="WP46" s="19"/>
      <c r="WQ46" s="19"/>
      <c r="WR46" s="19"/>
      <c r="WS46" s="19"/>
      <c r="WT46" s="19"/>
      <c r="WU46" s="19"/>
      <c r="WV46" s="19"/>
      <c r="WW46" s="19"/>
      <c r="WX46" s="19"/>
      <c r="WY46" s="19"/>
      <c r="WZ46" s="19"/>
      <c r="XA46" s="19"/>
      <c r="XB46" s="19"/>
      <c r="XC46" s="19"/>
      <c r="XD46" s="19"/>
      <c r="XE46" s="19"/>
      <c r="XF46" s="19"/>
      <c r="XG46" s="19"/>
      <c r="XH46" s="19"/>
      <c r="XI46" s="19"/>
      <c r="XJ46" s="19"/>
      <c r="XK46" s="19"/>
      <c r="XL46" s="19"/>
      <c r="XM46" s="19"/>
      <c r="XN46" s="19"/>
      <c r="XO46" s="19"/>
      <c r="XP46" s="19"/>
      <c r="XQ46" s="19"/>
      <c r="XR46" s="19"/>
      <c r="XS46" s="19"/>
      <c r="XT46" s="19"/>
      <c r="XU46" s="19"/>
      <c r="XV46" s="19"/>
      <c r="XW46" s="19"/>
      <c r="XX46" s="19"/>
      <c r="XY46" s="19"/>
      <c r="XZ46" s="19"/>
      <c r="YA46" s="19"/>
      <c r="YB46" s="19"/>
      <c r="YC46" s="19"/>
      <c r="YD46" s="19"/>
      <c r="YE46" s="19"/>
      <c r="YF46" s="19"/>
      <c r="YG46" s="19"/>
      <c r="YH46" s="19"/>
      <c r="YI46" s="19"/>
      <c r="YJ46" s="19"/>
      <c r="YK46" s="19"/>
      <c r="YL46" s="19"/>
      <c r="YM46" s="19"/>
      <c r="YN46" s="19"/>
      <c r="YO46" s="19"/>
      <c r="YP46" s="19"/>
      <c r="YQ46" s="19"/>
      <c r="YR46" s="19"/>
      <c r="YS46" s="19"/>
      <c r="YT46" s="19"/>
      <c r="YU46" s="19"/>
      <c r="YV46" s="19"/>
      <c r="YW46" s="19"/>
      <c r="YX46" s="19"/>
      <c r="YY46" s="19"/>
      <c r="YZ46" s="19"/>
      <c r="ZA46" s="19"/>
      <c r="ZB46" s="19"/>
      <c r="ZC46" s="19"/>
      <c r="ZD46" s="19"/>
      <c r="ZE46" s="19"/>
      <c r="ZF46" s="19"/>
      <c r="ZG46" s="19"/>
      <c r="ZH46" s="19"/>
      <c r="ZI46" s="19"/>
      <c r="ZJ46" s="19"/>
      <c r="ZK46" s="19"/>
      <c r="ZL46" s="19"/>
      <c r="ZM46" s="19"/>
      <c r="ZN46" s="19"/>
      <c r="ZO46" s="19"/>
      <c r="ZP46" s="19"/>
      <c r="ZQ46" s="19"/>
      <c r="ZR46" s="19"/>
      <c r="ZS46" s="19"/>
      <c r="ZT46" s="19"/>
      <c r="ZU46" s="19"/>
      <c r="ZV46" s="19"/>
      <c r="ZW46" s="19"/>
      <c r="ZX46" s="19"/>
      <c r="ZY46" s="19"/>
      <c r="ZZ46" s="19"/>
      <c r="AAA46" s="19"/>
      <c r="AAB46" s="19"/>
      <c r="AAC46" s="19"/>
      <c r="AAD46" s="19"/>
      <c r="AAE46" s="19"/>
      <c r="AAF46" s="19"/>
      <c r="AAG46" s="19"/>
      <c r="AAH46" s="19"/>
      <c r="AAI46" s="19"/>
      <c r="AAJ46" s="19"/>
      <c r="AAK46" s="19"/>
      <c r="AAL46" s="19"/>
      <c r="AAM46" s="19"/>
      <c r="AAN46" s="19"/>
      <c r="AAO46" s="19"/>
      <c r="AAP46" s="19"/>
      <c r="AAQ46" s="19"/>
      <c r="AAR46" s="19"/>
      <c r="AAS46" s="19"/>
      <c r="AAT46" s="19"/>
      <c r="AAU46" s="19"/>
      <c r="AAV46" s="19"/>
      <c r="AAW46" s="19"/>
      <c r="AAX46" s="19"/>
      <c r="AAY46" s="19"/>
      <c r="AAZ46" s="19"/>
      <c r="ABA46" s="19"/>
      <c r="ABB46" s="19"/>
      <c r="ABC46" s="19"/>
      <c r="ABD46" s="19"/>
      <c r="ABE46" s="19"/>
      <c r="ABF46" s="19"/>
      <c r="ABG46" s="19"/>
      <c r="ABH46" s="19"/>
      <c r="ABI46" s="19"/>
      <c r="ABJ46" s="19"/>
      <c r="ABK46" s="19"/>
      <c r="ABL46" s="19"/>
      <c r="ABM46" s="19"/>
      <c r="ABN46" s="19"/>
      <c r="ABO46" s="19"/>
      <c r="ABP46" s="19"/>
      <c r="ABQ46" s="19"/>
      <c r="ABR46" s="19"/>
      <c r="ABS46" s="19"/>
      <c r="ABT46" s="19"/>
      <c r="ABU46" s="19"/>
      <c r="ABV46" s="19"/>
      <c r="ABW46" s="19"/>
      <c r="ABX46" s="19"/>
      <c r="ABY46" s="19"/>
      <c r="ABZ46" s="19"/>
      <c r="ACA46" s="19"/>
      <c r="ACB46" s="19"/>
      <c r="ACC46" s="19"/>
      <c r="ACD46" s="19"/>
      <c r="ACE46" s="19"/>
      <c r="ACF46" s="19"/>
      <c r="ACG46" s="19"/>
      <c r="ACH46" s="19"/>
      <c r="ACI46" s="19"/>
      <c r="ACJ46" s="19"/>
      <c r="ACK46" s="19"/>
      <c r="ACL46" s="19"/>
      <c r="ACM46" s="19"/>
      <c r="ACN46" s="19"/>
      <c r="ACO46" s="19"/>
      <c r="ACP46" s="19"/>
      <c r="ACQ46" s="19"/>
      <c r="ACR46" s="19"/>
      <c r="ACS46" s="19"/>
      <c r="ACT46" s="19"/>
      <c r="ACU46" s="19"/>
      <c r="ACV46" s="19"/>
      <c r="ACW46" s="19"/>
      <c r="ACX46" s="19"/>
      <c r="ACY46" s="19"/>
      <c r="ACZ46" s="19"/>
      <c r="ADA46" s="19"/>
      <c r="ADB46" s="19"/>
      <c r="ADC46" s="19"/>
      <c r="ADD46" s="19"/>
      <c r="ADE46" s="19"/>
      <c r="ADF46" s="19"/>
      <c r="ADG46" s="19"/>
      <c r="ADH46" s="19"/>
      <c r="ADI46" s="19"/>
      <c r="ADJ46" s="19"/>
      <c r="ADK46" s="19"/>
      <c r="ADL46" s="19"/>
      <c r="ADM46" s="19"/>
      <c r="ADN46" s="19"/>
      <c r="ADO46" s="19"/>
      <c r="ADP46" s="19"/>
      <c r="ADQ46" s="19"/>
      <c r="ADR46" s="19"/>
      <c r="ADS46" s="19"/>
      <c r="ADT46" s="19"/>
      <c r="ADU46" s="19"/>
      <c r="ADV46" s="19"/>
      <c r="ADW46" s="19"/>
      <c r="ADX46" s="19"/>
      <c r="ADY46" s="19"/>
      <c r="ADZ46" s="19"/>
      <c r="AEA46" s="19"/>
      <c r="AEB46" s="19"/>
      <c r="AEC46" s="19"/>
      <c r="AED46" s="19"/>
      <c r="AEE46" s="19"/>
      <c r="AEF46" s="19"/>
      <c r="AEG46" s="19"/>
      <c r="AEH46" s="19"/>
      <c r="AEI46" s="19"/>
      <c r="AEJ46" s="19"/>
      <c r="AEK46" s="19"/>
      <c r="AEL46" s="19"/>
      <c r="AEM46" s="19"/>
      <c r="AEN46" s="19"/>
      <c r="AEO46" s="19"/>
      <c r="AEP46" s="19"/>
      <c r="AEQ46" s="19"/>
      <c r="AER46" s="19"/>
      <c r="AES46" s="19"/>
      <c r="AET46" s="19"/>
      <c r="AEU46" s="19"/>
      <c r="AEV46" s="19"/>
      <c r="AEW46" s="19"/>
      <c r="AEX46" s="19"/>
      <c r="AEY46" s="19"/>
      <c r="AEZ46" s="19"/>
      <c r="AFA46" s="19"/>
      <c r="AFB46" s="19"/>
      <c r="AFC46" s="19"/>
      <c r="AFD46" s="19"/>
      <c r="AFE46" s="19"/>
      <c r="AFF46" s="19"/>
      <c r="AFG46" s="19"/>
      <c r="AFH46" s="19"/>
      <c r="AFI46" s="19"/>
      <c r="AFJ46" s="19"/>
      <c r="AFK46" s="19"/>
      <c r="AFL46" s="19"/>
      <c r="AFM46" s="19"/>
      <c r="AFN46" s="19"/>
      <c r="AFO46" s="19"/>
      <c r="AFP46" s="19"/>
      <c r="AFQ46" s="19"/>
      <c r="AFR46" s="19"/>
      <c r="AFS46" s="19"/>
      <c r="AFT46" s="19"/>
      <c r="AFU46" s="19"/>
      <c r="AFV46" s="19"/>
      <c r="AFW46" s="19"/>
      <c r="AFX46" s="19"/>
      <c r="AFY46" s="19"/>
      <c r="AFZ46" s="19"/>
      <c r="AGA46" s="19"/>
      <c r="AGB46" s="19"/>
      <c r="AGC46" s="19"/>
      <c r="AGD46" s="19"/>
      <c r="AGE46" s="19"/>
      <c r="AGF46" s="19"/>
      <c r="AGG46" s="19"/>
      <c r="AGH46" s="19"/>
      <c r="AGI46" s="19"/>
      <c r="AGJ46" s="19"/>
      <c r="AGK46" s="19"/>
      <c r="AGL46" s="19"/>
      <c r="AGM46" s="19"/>
      <c r="AGN46" s="19"/>
      <c r="AGO46" s="19"/>
      <c r="AGP46" s="19"/>
      <c r="AGQ46" s="19"/>
      <c r="AGR46" s="19"/>
      <c r="AGS46" s="19"/>
      <c r="AGT46" s="19"/>
      <c r="AGU46" s="19"/>
      <c r="AGV46" s="19"/>
      <c r="AGW46" s="19"/>
      <c r="AGX46" s="19"/>
      <c r="AGY46" s="19"/>
      <c r="AGZ46" s="19"/>
      <c r="AHA46" s="19"/>
      <c r="AHB46" s="19"/>
      <c r="AHC46" s="19"/>
      <c r="AHD46" s="19"/>
      <c r="AHE46" s="19"/>
      <c r="AHF46" s="19"/>
      <c r="AHG46" s="19"/>
      <c r="AHH46" s="19"/>
      <c r="AHI46" s="19"/>
      <c r="AHJ46" s="19"/>
      <c r="AHK46" s="19"/>
      <c r="AHL46" s="19"/>
      <c r="AHM46" s="19"/>
      <c r="AHN46" s="19"/>
      <c r="AHO46" s="19"/>
      <c r="AHP46" s="19"/>
      <c r="AHQ46" s="19"/>
      <c r="AHR46" s="19"/>
      <c r="AHS46" s="19"/>
      <c r="AHT46" s="19"/>
      <c r="AHU46" s="19"/>
      <c r="AHV46" s="19"/>
      <c r="AHW46" s="19"/>
      <c r="AHX46" s="19"/>
      <c r="AHY46" s="19"/>
      <c r="AHZ46" s="19"/>
      <c r="AIA46" s="19"/>
      <c r="AIB46" s="19"/>
      <c r="AIC46" s="19"/>
      <c r="AID46" s="19"/>
      <c r="AIE46" s="19"/>
      <c r="AIF46" s="19"/>
      <c r="AIG46" s="19"/>
      <c r="AIH46" s="19"/>
      <c r="AII46" s="19"/>
      <c r="AIJ46" s="19"/>
      <c r="AIK46" s="19"/>
      <c r="AIL46" s="19"/>
      <c r="AIM46" s="19"/>
      <c r="AIN46" s="19"/>
      <c r="AIO46" s="19"/>
      <c r="AIP46" s="19"/>
      <c r="AIQ46" s="19"/>
      <c r="AIR46" s="19"/>
      <c r="AIS46" s="19"/>
      <c r="AIT46" s="19"/>
      <c r="AIU46" s="19"/>
      <c r="AIV46" s="19"/>
      <c r="AIW46" s="19"/>
      <c r="AIX46" s="19"/>
      <c r="AIY46" s="19"/>
      <c r="AIZ46" s="19"/>
      <c r="AJA46" s="19"/>
      <c r="AJB46" s="19"/>
      <c r="AJC46" s="19"/>
      <c r="AJD46" s="19"/>
      <c r="AJE46" s="19"/>
      <c r="AJF46" s="19"/>
      <c r="AJG46" s="19"/>
      <c r="AJH46" s="19"/>
      <c r="AJI46" s="19"/>
      <c r="AJJ46" s="19"/>
      <c r="AJK46" s="19"/>
      <c r="AJL46" s="19"/>
      <c r="AJM46" s="19"/>
      <c r="AJN46" s="19"/>
      <c r="AJO46" s="19"/>
      <c r="AJP46" s="19"/>
      <c r="AJQ46" s="19"/>
      <c r="AJR46" s="19"/>
      <c r="AJS46" s="19"/>
      <c r="AJT46" s="19"/>
      <c r="AJU46" s="19"/>
      <c r="AJV46" s="19"/>
      <c r="AJW46" s="19"/>
      <c r="AJX46" s="19"/>
      <c r="AJY46" s="19"/>
      <c r="AJZ46" s="19"/>
      <c r="AKA46" s="19"/>
      <c r="AKB46" s="19"/>
      <c r="AKC46" s="19"/>
      <c r="AKD46" s="19"/>
      <c r="AKE46" s="19"/>
      <c r="AKF46" s="19"/>
      <c r="AKG46" s="19"/>
      <c r="AKH46" s="19"/>
      <c r="AKI46" s="19"/>
      <c r="AKJ46" s="19"/>
      <c r="AKK46" s="19"/>
    </row>
    <row r="47" spans="2:973" s="118" customFormat="1" ht="42.95" customHeight="1">
      <c r="B47" s="225"/>
      <c r="C47" s="141" t="s">
        <v>88</v>
      </c>
      <c r="D47" s="228" t="s">
        <v>89</v>
      </c>
      <c r="E47" s="228" t="s">
        <v>24</v>
      </c>
      <c r="F47" s="228" t="s">
        <v>25</v>
      </c>
      <c r="G47" s="260" t="s">
        <v>26</v>
      </c>
      <c r="H47" s="236">
        <v>60</v>
      </c>
      <c r="I47" s="236">
        <v>500</v>
      </c>
      <c r="J47" s="262">
        <f>SUM(H47*I47)</f>
        <v>30000</v>
      </c>
      <c r="K47" s="236">
        <v>10000</v>
      </c>
      <c r="L47" s="236">
        <v>10000</v>
      </c>
      <c r="M47" s="252">
        <v>10000</v>
      </c>
      <c r="N47" s="252"/>
      <c r="O47" s="252"/>
      <c r="P47" s="252">
        <f>SUM(K47:O48)</f>
        <v>30000</v>
      </c>
      <c r="Q47" s="140">
        <v>2020000</v>
      </c>
      <c r="R47" s="246" t="s">
        <v>90</v>
      </c>
      <c r="S47" s="142"/>
      <c r="T47" s="116"/>
      <c r="U47" s="117"/>
      <c r="V47" s="116"/>
      <c r="W47" s="116"/>
      <c r="X47" s="116"/>
      <c r="Y47" s="116"/>
      <c r="Z47" s="116"/>
      <c r="AA47" s="116"/>
      <c r="AB47" s="116"/>
      <c r="AC47" s="116"/>
      <c r="AD47" s="116"/>
      <c r="AE47" s="116"/>
      <c r="AF47" s="116"/>
      <c r="AG47" s="116"/>
      <c r="AH47" s="116"/>
      <c r="AI47" s="116"/>
      <c r="AJ47" s="116"/>
      <c r="AK47" s="116"/>
      <c r="AL47" s="116"/>
      <c r="AM47" s="116"/>
      <c r="AN47" s="116"/>
      <c r="AO47" s="116"/>
      <c r="AP47" s="116"/>
      <c r="AQ47" s="116"/>
      <c r="AR47" s="116"/>
      <c r="AS47" s="116"/>
      <c r="AT47" s="116"/>
      <c r="AU47" s="116"/>
      <c r="AV47" s="116"/>
      <c r="AW47" s="116"/>
      <c r="AX47" s="116"/>
      <c r="AY47" s="116"/>
      <c r="AZ47" s="116"/>
      <c r="BA47" s="116"/>
      <c r="BB47" s="116"/>
      <c r="BC47" s="116"/>
      <c r="BD47" s="116"/>
      <c r="BE47" s="116"/>
      <c r="BF47" s="116"/>
      <c r="BG47" s="116"/>
      <c r="BH47" s="116"/>
      <c r="BI47" s="116"/>
      <c r="BJ47" s="116"/>
      <c r="BK47" s="116"/>
      <c r="BL47" s="116"/>
      <c r="BM47" s="116"/>
      <c r="BN47" s="116"/>
      <c r="BO47" s="116"/>
      <c r="BP47" s="116"/>
      <c r="BQ47" s="116"/>
      <c r="BR47" s="116"/>
      <c r="BS47" s="116"/>
      <c r="BT47" s="116"/>
      <c r="BU47" s="116"/>
      <c r="BV47" s="116"/>
      <c r="BW47" s="116"/>
      <c r="BX47" s="116"/>
      <c r="BY47" s="116"/>
      <c r="BZ47" s="116"/>
      <c r="CA47" s="116"/>
      <c r="CB47" s="116"/>
      <c r="CC47" s="116"/>
      <c r="CD47" s="116"/>
      <c r="CE47" s="116"/>
      <c r="CF47" s="116"/>
      <c r="CG47" s="116"/>
      <c r="CH47" s="116"/>
      <c r="CI47" s="116"/>
      <c r="CJ47" s="116"/>
      <c r="CK47" s="116"/>
      <c r="CL47" s="116"/>
      <c r="CM47" s="116"/>
      <c r="CN47" s="116"/>
      <c r="CO47" s="116"/>
      <c r="CP47" s="116"/>
      <c r="CQ47" s="116"/>
      <c r="CR47" s="116"/>
      <c r="CS47" s="116"/>
      <c r="CT47" s="116"/>
      <c r="CU47" s="116"/>
      <c r="CV47" s="116"/>
      <c r="CW47" s="116"/>
      <c r="CX47" s="116"/>
      <c r="CY47" s="116"/>
      <c r="CZ47" s="116"/>
      <c r="DA47" s="116"/>
      <c r="DB47" s="116"/>
      <c r="DC47" s="116"/>
      <c r="DD47" s="116"/>
      <c r="DE47" s="116"/>
      <c r="DF47" s="116"/>
      <c r="DG47" s="116"/>
      <c r="DH47" s="116"/>
      <c r="DI47" s="116"/>
      <c r="DJ47" s="116"/>
      <c r="DK47" s="116"/>
      <c r="DL47" s="116"/>
      <c r="DM47" s="116"/>
      <c r="DN47" s="116"/>
      <c r="DO47" s="116"/>
      <c r="DP47" s="116"/>
      <c r="DQ47" s="116"/>
      <c r="DR47" s="116"/>
      <c r="DS47" s="116"/>
      <c r="DT47" s="116"/>
      <c r="DU47" s="116"/>
      <c r="DV47" s="116"/>
      <c r="DW47" s="116"/>
      <c r="DX47" s="116"/>
      <c r="DY47" s="116"/>
      <c r="DZ47" s="116"/>
      <c r="EA47" s="116"/>
      <c r="EB47" s="116"/>
      <c r="EC47" s="116"/>
      <c r="ED47" s="116"/>
      <c r="EE47" s="116"/>
      <c r="EF47" s="116"/>
      <c r="EG47" s="116"/>
      <c r="EH47" s="116"/>
      <c r="EI47" s="116"/>
      <c r="EJ47" s="116"/>
      <c r="EK47" s="116"/>
      <c r="EL47" s="116"/>
      <c r="EM47" s="116"/>
      <c r="EN47" s="116"/>
      <c r="EO47" s="116"/>
      <c r="EP47" s="116"/>
      <c r="EQ47" s="116"/>
      <c r="ER47" s="116"/>
      <c r="ES47" s="116"/>
      <c r="ET47" s="116"/>
      <c r="EU47" s="116"/>
      <c r="EV47" s="116"/>
      <c r="EW47" s="116"/>
      <c r="EX47" s="116"/>
      <c r="EY47" s="116"/>
      <c r="EZ47" s="116"/>
      <c r="FA47" s="116"/>
      <c r="FB47" s="116"/>
      <c r="FC47" s="116"/>
      <c r="FD47" s="116"/>
      <c r="FE47" s="116"/>
      <c r="FF47" s="116"/>
      <c r="FG47" s="116"/>
      <c r="FH47" s="116"/>
      <c r="FI47" s="116"/>
      <c r="FJ47" s="116"/>
      <c r="FK47" s="116"/>
      <c r="FL47" s="116"/>
      <c r="FM47" s="116"/>
      <c r="FN47" s="116"/>
      <c r="FO47" s="116"/>
      <c r="FP47" s="116"/>
      <c r="FQ47" s="116"/>
      <c r="FR47" s="116"/>
      <c r="FS47" s="116"/>
      <c r="FT47" s="116"/>
      <c r="FU47" s="116"/>
      <c r="FV47" s="116"/>
      <c r="FW47" s="116"/>
      <c r="FX47" s="116"/>
      <c r="FY47" s="116"/>
      <c r="FZ47" s="116"/>
      <c r="GA47" s="116"/>
      <c r="GB47" s="116"/>
      <c r="GC47" s="116"/>
      <c r="GD47" s="116"/>
      <c r="GE47" s="116"/>
      <c r="GF47" s="116"/>
      <c r="GG47" s="116"/>
      <c r="GH47" s="116"/>
      <c r="GI47" s="116"/>
      <c r="GJ47" s="116"/>
      <c r="GK47" s="116"/>
      <c r="GL47" s="116"/>
      <c r="GM47" s="116"/>
      <c r="GN47" s="116"/>
      <c r="GO47" s="116"/>
      <c r="GP47" s="116"/>
      <c r="GQ47" s="116"/>
      <c r="GR47" s="116"/>
      <c r="GS47" s="116"/>
      <c r="GT47" s="116"/>
      <c r="GU47" s="116"/>
      <c r="GV47" s="116"/>
      <c r="GW47" s="116"/>
      <c r="GX47" s="116"/>
      <c r="GY47" s="116"/>
      <c r="GZ47" s="116"/>
      <c r="HA47" s="116"/>
      <c r="HB47" s="116"/>
      <c r="HC47" s="116"/>
      <c r="HD47" s="116"/>
      <c r="HE47" s="116"/>
      <c r="HF47" s="116"/>
      <c r="HG47" s="116"/>
      <c r="HH47" s="116"/>
      <c r="HI47" s="116"/>
      <c r="HJ47" s="116"/>
      <c r="HK47" s="116"/>
      <c r="HL47" s="116"/>
      <c r="HM47" s="116"/>
      <c r="HN47" s="116"/>
      <c r="HO47" s="116"/>
      <c r="HP47" s="116"/>
      <c r="HQ47" s="116"/>
      <c r="HR47" s="116"/>
      <c r="HS47" s="116"/>
      <c r="HT47" s="116"/>
      <c r="HU47" s="116"/>
      <c r="HV47" s="116"/>
      <c r="HW47" s="116"/>
      <c r="HX47" s="116"/>
      <c r="HY47" s="116"/>
      <c r="HZ47" s="116"/>
      <c r="IA47" s="116"/>
      <c r="IB47" s="116"/>
      <c r="IC47" s="116"/>
      <c r="ID47" s="116"/>
      <c r="IE47" s="116"/>
      <c r="IF47" s="116"/>
      <c r="IG47" s="116"/>
      <c r="IH47" s="116"/>
      <c r="II47" s="116"/>
      <c r="IJ47" s="116"/>
      <c r="IK47" s="116"/>
      <c r="IL47" s="116"/>
      <c r="IM47" s="116"/>
      <c r="IN47" s="116"/>
      <c r="IO47" s="116"/>
      <c r="IP47" s="116"/>
      <c r="IQ47" s="116"/>
      <c r="IR47" s="116"/>
      <c r="IS47" s="116"/>
      <c r="IT47" s="116"/>
      <c r="IU47" s="116"/>
      <c r="IV47" s="116"/>
      <c r="IW47" s="116"/>
      <c r="IX47" s="116"/>
      <c r="IY47" s="116"/>
      <c r="IZ47" s="116"/>
      <c r="JA47" s="116"/>
      <c r="JB47" s="116"/>
      <c r="JC47" s="116"/>
      <c r="JD47" s="116"/>
      <c r="JE47" s="116"/>
      <c r="JF47" s="116"/>
      <c r="JG47" s="116"/>
      <c r="JH47" s="116"/>
      <c r="JI47" s="116"/>
      <c r="JJ47" s="116"/>
      <c r="JK47" s="116"/>
      <c r="JL47" s="116"/>
      <c r="JM47" s="116"/>
      <c r="JN47" s="116"/>
      <c r="JO47" s="116"/>
      <c r="JP47" s="116"/>
      <c r="JQ47" s="116"/>
      <c r="JR47" s="116"/>
      <c r="JS47" s="116"/>
      <c r="JT47" s="116"/>
      <c r="JU47" s="116"/>
      <c r="JV47" s="116"/>
      <c r="JW47" s="116"/>
      <c r="JX47" s="116"/>
      <c r="JY47" s="116"/>
      <c r="JZ47" s="116"/>
      <c r="KA47" s="116"/>
      <c r="KB47" s="116"/>
      <c r="KC47" s="116"/>
      <c r="KD47" s="116"/>
      <c r="KE47" s="116"/>
      <c r="KF47" s="116"/>
      <c r="KG47" s="116"/>
      <c r="KH47" s="116"/>
      <c r="KI47" s="116"/>
      <c r="KJ47" s="116"/>
      <c r="KK47" s="116"/>
      <c r="KL47" s="116"/>
      <c r="KM47" s="116"/>
      <c r="KN47" s="116"/>
      <c r="KO47" s="116"/>
      <c r="KP47" s="116"/>
      <c r="KQ47" s="116"/>
      <c r="KR47" s="116"/>
      <c r="KS47" s="116"/>
      <c r="KT47" s="116"/>
      <c r="KU47" s="116"/>
      <c r="KV47" s="116"/>
      <c r="KW47" s="116"/>
      <c r="KX47" s="116"/>
      <c r="KY47" s="116"/>
      <c r="KZ47" s="116"/>
      <c r="LA47" s="116"/>
      <c r="LB47" s="116"/>
      <c r="LC47" s="116"/>
      <c r="LD47" s="116"/>
      <c r="LE47" s="116"/>
      <c r="LF47" s="116"/>
      <c r="LG47" s="116"/>
      <c r="LH47" s="116"/>
      <c r="LI47" s="116"/>
      <c r="LJ47" s="116"/>
      <c r="LK47" s="116"/>
      <c r="LL47" s="116"/>
      <c r="LM47" s="116"/>
      <c r="LN47" s="116"/>
      <c r="LO47" s="116"/>
      <c r="LP47" s="116"/>
      <c r="LQ47" s="116"/>
      <c r="LR47" s="116"/>
      <c r="LS47" s="116"/>
      <c r="LT47" s="116"/>
      <c r="LU47" s="116"/>
      <c r="LV47" s="116"/>
      <c r="LW47" s="116"/>
      <c r="LX47" s="116"/>
      <c r="LY47" s="116"/>
      <c r="LZ47" s="116"/>
      <c r="MA47" s="116"/>
      <c r="MB47" s="116"/>
      <c r="MC47" s="116"/>
      <c r="MD47" s="116"/>
      <c r="ME47" s="116"/>
      <c r="MF47" s="116"/>
      <c r="MG47" s="116"/>
      <c r="MH47" s="116"/>
      <c r="MI47" s="116"/>
      <c r="MJ47" s="116"/>
      <c r="MK47" s="116"/>
      <c r="ML47" s="116"/>
      <c r="MM47" s="116"/>
      <c r="MN47" s="116"/>
      <c r="MO47" s="116"/>
      <c r="MP47" s="116"/>
      <c r="MQ47" s="116"/>
      <c r="MR47" s="116"/>
      <c r="MS47" s="116"/>
      <c r="MT47" s="116"/>
      <c r="MU47" s="116"/>
      <c r="MV47" s="116"/>
      <c r="MW47" s="116"/>
      <c r="MX47" s="116"/>
      <c r="MY47" s="116"/>
      <c r="MZ47" s="116"/>
      <c r="NA47" s="116"/>
      <c r="NB47" s="116"/>
      <c r="NC47" s="116"/>
      <c r="ND47" s="116"/>
      <c r="NE47" s="116"/>
      <c r="NF47" s="116"/>
      <c r="NG47" s="116"/>
      <c r="NH47" s="116"/>
      <c r="NI47" s="116"/>
      <c r="NJ47" s="116"/>
      <c r="NK47" s="116"/>
      <c r="NL47" s="116"/>
      <c r="NM47" s="116"/>
      <c r="NN47" s="116"/>
      <c r="NO47" s="116"/>
      <c r="NP47" s="116"/>
      <c r="NQ47" s="116"/>
      <c r="NR47" s="116"/>
      <c r="NS47" s="116"/>
      <c r="NT47" s="116"/>
      <c r="NU47" s="116"/>
      <c r="NV47" s="116"/>
      <c r="NW47" s="116"/>
      <c r="NX47" s="116"/>
      <c r="NY47" s="116"/>
      <c r="NZ47" s="116"/>
      <c r="OA47" s="116"/>
      <c r="OB47" s="116"/>
      <c r="OC47" s="116"/>
      <c r="OD47" s="116"/>
      <c r="OE47" s="116"/>
      <c r="OF47" s="116"/>
      <c r="OG47" s="116"/>
      <c r="OH47" s="116"/>
      <c r="OI47" s="116"/>
      <c r="OJ47" s="116"/>
      <c r="OK47" s="116"/>
      <c r="OL47" s="116"/>
      <c r="OM47" s="116"/>
      <c r="ON47" s="116"/>
      <c r="OO47" s="116"/>
      <c r="OP47" s="116"/>
      <c r="OQ47" s="116"/>
      <c r="OR47" s="116"/>
      <c r="OS47" s="116"/>
      <c r="OT47" s="116"/>
      <c r="OU47" s="116"/>
      <c r="OV47" s="116"/>
      <c r="OW47" s="116"/>
      <c r="OX47" s="116"/>
      <c r="OY47" s="116"/>
      <c r="OZ47" s="116"/>
      <c r="PA47" s="116"/>
      <c r="PB47" s="116"/>
      <c r="PC47" s="116"/>
      <c r="PD47" s="116"/>
      <c r="PE47" s="116"/>
      <c r="PF47" s="116"/>
      <c r="PG47" s="116"/>
      <c r="PH47" s="116"/>
      <c r="PI47" s="116"/>
      <c r="PJ47" s="116"/>
      <c r="PK47" s="116"/>
      <c r="PL47" s="116"/>
      <c r="PM47" s="116"/>
      <c r="PN47" s="116"/>
      <c r="PO47" s="116"/>
      <c r="PP47" s="116"/>
      <c r="PQ47" s="116"/>
      <c r="PR47" s="116"/>
      <c r="PS47" s="116"/>
      <c r="PT47" s="116"/>
      <c r="PU47" s="116"/>
      <c r="PV47" s="116"/>
      <c r="PW47" s="116"/>
      <c r="PX47" s="116"/>
      <c r="PY47" s="116"/>
      <c r="PZ47" s="116"/>
      <c r="QA47" s="116"/>
      <c r="QB47" s="116"/>
      <c r="QC47" s="116"/>
      <c r="QD47" s="116"/>
      <c r="QE47" s="116"/>
      <c r="QF47" s="116"/>
      <c r="QG47" s="116"/>
      <c r="QH47" s="116"/>
      <c r="QI47" s="116"/>
      <c r="QJ47" s="116"/>
      <c r="QK47" s="116"/>
      <c r="QL47" s="116"/>
      <c r="QM47" s="116"/>
      <c r="QN47" s="116"/>
      <c r="QO47" s="116"/>
      <c r="QP47" s="116"/>
      <c r="QQ47" s="116"/>
      <c r="QR47" s="116"/>
      <c r="QS47" s="116"/>
      <c r="QT47" s="116"/>
      <c r="QU47" s="116"/>
      <c r="QV47" s="116"/>
      <c r="QW47" s="116"/>
      <c r="QX47" s="116"/>
      <c r="QY47" s="116"/>
      <c r="QZ47" s="116"/>
      <c r="RA47" s="116"/>
      <c r="RB47" s="116"/>
      <c r="RC47" s="116"/>
      <c r="RD47" s="116"/>
      <c r="RE47" s="116"/>
      <c r="RF47" s="116"/>
      <c r="RG47" s="116"/>
      <c r="RH47" s="116"/>
      <c r="RI47" s="116"/>
      <c r="RJ47" s="116"/>
      <c r="RK47" s="116"/>
      <c r="RL47" s="116"/>
      <c r="RM47" s="116"/>
      <c r="RN47" s="116"/>
      <c r="RO47" s="116"/>
      <c r="RP47" s="116"/>
      <c r="RQ47" s="116"/>
      <c r="RR47" s="116"/>
      <c r="RS47" s="116"/>
      <c r="RT47" s="116"/>
      <c r="RU47" s="116"/>
      <c r="RV47" s="116"/>
      <c r="RW47" s="116"/>
      <c r="RX47" s="116"/>
      <c r="RY47" s="116"/>
      <c r="RZ47" s="116"/>
      <c r="SA47" s="116"/>
      <c r="SB47" s="116"/>
      <c r="SC47" s="116"/>
      <c r="SD47" s="116"/>
      <c r="SE47" s="116"/>
      <c r="SF47" s="116"/>
      <c r="SG47" s="116"/>
      <c r="SH47" s="116"/>
      <c r="SI47" s="116"/>
      <c r="SJ47" s="116"/>
      <c r="SK47" s="116"/>
      <c r="SL47" s="116"/>
      <c r="SM47" s="116"/>
      <c r="SN47" s="116"/>
      <c r="SO47" s="116"/>
      <c r="SP47" s="116"/>
      <c r="SQ47" s="116"/>
      <c r="SR47" s="116"/>
      <c r="SS47" s="116"/>
      <c r="ST47" s="116"/>
      <c r="SU47" s="116"/>
      <c r="SV47" s="116"/>
      <c r="SW47" s="116"/>
      <c r="SX47" s="116"/>
      <c r="SY47" s="116"/>
      <c r="SZ47" s="116"/>
      <c r="TA47" s="116"/>
      <c r="TB47" s="116"/>
      <c r="TC47" s="116"/>
      <c r="TD47" s="116"/>
      <c r="TE47" s="116"/>
      <c r="TF47" s="116"/>
      <c r="TG47" s="116"/>
      <c r="TH47" s="116"/>
      <c r="TI47" s="116"/>
      <c r="TJ47" s="116"/>
      <c r="TK47" s="116"/>
      <c r="TL47" s="116"/>
      <c r="TM47" s="116"/>
      <c r="TN47" s="116"/>
      <c r="TO47" s="116"/>
      <c r="TP47" s="116"/>
      <c r="TQ47" s="116"/>
      <c r="TR47" s="116"/>
      <c r="TS47" s="116"/>
      <c r="TT47" s="116"/>
      <c r="TU47" s="116"/>
      <c r="TV47" s="116"/>
      <c r="TW47" s="116"/>
      <c r="TX47" s="116"/>
      <c r="TY47" s="116"/>
      <c r="TZ47" s="116"/>
      <c r="UA47" s="116"/>
      <c r="UB47" s="116"/>
      <c r="UC47" s="116"/>
      <c r="UD47" s="116"/>
      <c r="UE47" s="116"/>
      <c r="UF47" s="116"/>
      <c r="UG47" s="116"/>
      <c r="UH47" s="116"/>
      <c r="UI47" s="116"/>
      <c r="UJ47" s="116"/>
      <c r="UK47" s="116"/>
      <c r="UL47" s="116"/>
      <c r="UM47" s="116"/>
      <c r="UN47" s="116"/>
      <c r="UO47" s="116"/>
      <c r="UP47" s="116"/>
      <c r="UQ47" s="116"/>
      <c r="UR47" s="116"/>
      <c r="US47" s="116"/>
      <c r="UT47" s="116"/>
      <c r="UU47" s="116"/>
      <c r="UV47" s="116"/>
      <c r="UW47" s="116"/>
      <c r="UX47" s="116"/>
      <c r="UY47" s="116"/>
      <c r="UZ47" s="116"/>
      <c r="VA47" s="116"/>
      <c r="VB47" s="116"/>
      <c r="VC47" s="116"/>
      <c r="VD47" s="116"/>
      <c r="VE47" s="116"/>
      <c r="VF47" s="116"/>
      <c r="VG47" s="116"/>
      <c r="VH47" s="116"/>
      <c r="VI47" s="116"/>
      <c r="VJ47" s="116"/>
      <c r="VK47" s="116"/>
      <c r="VL47" s="116"/>
      <c r="VM47" s="116"/>
      <c r="VN47" s="116"/>
      <c r="VO47" s="116"/>
      <c r="VP47" s="116"/>
      <c r="VQ47" s="116"/>
      <c r="VR47" s="116"/>
      <c r="VS47" s="116"/>
      <c r="VT47" s="116"/>
      <c r="VU47" s="116"/>
      <c r="VV47" s="116"/>
      <c r="VW47" s="116"/>
      <c r="VX47" s="116"/>
      <c r="VY47" s="116"/>
      <c r="VZ47" s="116"/>
      <c r="WA47" s="116"/>
      <c r="WB47" s="116"/>
      <c r="WC47" s="116"/>
      <c r="WD47" s="116"/>
      <c r="WE47" s="116"/>
      <c r="WF47" s="116"/>
      <c r="WG47" s="116"/>
      <c r="WH47" s="116"/>
      <c r="WI47" s="116"/>
      <c r="WJ47" s="116"/>
      <c r="WK47" s="116"/>
      <c r="WL47" s="116"/>
      <c r="WM47" s="116"/>
      <c r="WN47" s="116"/>
      <c r="WO47" s="116"/>
      <c r="WP47" s="116"/>
      <c r="WQ47" s="116"/>
      <c r="WR47" s="116"/>
      <c r="WS47" s="116"/>
      <c r="WT47" s="116"/>
      <c r="WU47" s="116"/>
      <c r="WV47" s="116"/>
      <c r="WW47" s="116"/>
      <c r="WX47" s="116"/>
      <c r="WY47" s="116"/>
      <c r="WZ47" s="116"/>
      <c r="XA47" s="116"/>
      <c r="XB47" s="116"/>
      <c r="XC47" s="116"/>
      <c r="XD47" s="116"/>
      <c r="XE47" s="116"/>
      <c r="XF47" s="116"/>
      <c r="XG47" s="116"/>
      <c r="XH47" s="116"/>
      <c r="XI47" s="116"/>
      <c r="XJ47" s="116"/>
      <c r="XK47" s="116"/>
      <c r="XL47" s="116"/>
      <c r="XM47" s="116"/>
      <c r="XN47" s="116"/>
      <c r="XO47" s="116"/>
      <c r="XP47" s="116"/>
      <c r="XQ47" s="116"/>
      <c r="XR47" s="116"/>
      <c r="XS47" s="116"/>
      <c r="XT47" s="116"/>
      <c r="XU47" s="116"/>
      <c r="XV47" s="116"/>
      <c r="XW47" s="116"/>
      <c r="XX47" s="116"/>
      <c r="XY47" s="116"/>
      <c r="XZ47" s="116"/>
      <c r="YA47" s="116"/>
      <c r="YB47" s="116"/>
      <c r="YC47" s="116"/>
      <c r="YD47" s="116"/>
      <c r="YE47" s="116"/>
      <c r="YF47" s="116"/>
      <c r="YG47" s="116"/>
      <c r="YH47" s="116"/>
      <c r="YI47" s="116"/>
      <c r="YJ47" s="116"/>
      <c r="YK47" s="116"/>
      <c r="YL47" s="116"/>
      <c r="YM47" s="116"/>
      <c r="YN47" s="116"/>
      <c r="YO47" s="116"/>
      <c r="YP47" s="116"/>
      <c r="YQ47" s="116"/>
      <c r="YR47" s="116"/>
      <c r="YS47" s="116"/>
      <c r="YT47" s="116"/>
      <c r="YU47" s="116"/>
      <c r="YV47" s="116"/>
      <c r="YW47" s="116"/>
      <c r="YX47" s="116"/>
      <c r="YY47" s="116"/>
      <c r="YZ47" s="116"/>
      <c r="ZA47" s="116"/>
      <c r="ZB47" s="116"/>
      <c r="ZC47" s="116"/>
      <c r="ZD47" s="116"/>
      <c r="ZE47" s="116"/>
      <c r="ZF47" s="116"/>
      <c r="ZG47" s="116"/>
      <c r="ZH47" s="116"/>
      <c r="ZI47" s="116"/>
      <c r="ZJ47" s="116"/>
      <c r="ZK47" s="116"/>
      <c r="ZL47" s="116"/>
      <c r="ZM47" s="116"/>
      <c r="ZN47" s="116"/>
      <c r="ZO47" s="116"/>
      <c r="ZP47" s="116"/>
      <c r="ZQ47" s="116"/>
      <c r="ZR47" s="116"/>
      <c r="ZS47" s="116"/>
      <c r="ZT47" s="116"/>
      <c r="ZU47" s="116"/>
      <c r="ZV47" s="116"/>
      <c r="ZW47" s="116"/>
      <c r="ZX47" s="116"/>
      <c r="ZY47" s="116"/>
      <c r="ZZ47" s="116"/>
      <c r="AAA47" s="116"/>
      <c r="AAB47" s="116"/>
      <c r="AAC47" s="116"/>
      <c r="AAD47" s="116"/>
      <c r="AAE47" s="116"/>
      <c r="AAF47" s="116"/>
      <c r="AAG47" s="116"/>
      <c r="AAH47" s="116"/>
      <c r="AAI47" s="116"/>
      <c r="AAJ47" s="116"/>
      <c r="AAK47" s="116"/>
      <c r="AAL47" s="116"/>
      <c r="AAM47" s="116"/>
      <c r="AAN47" s="116"/>
      <c r="AAO47" s="116"/>
      <c r="AAP47" s="116"/>
      <c r="AAQ47" s="116"/>
      <c r="AAR47" s="116"/>
      <c r="AAS47" s="116"/>
      <c r="AAT47" s="116"/>
      <c r="AAU47" s="116"/>
      <c r="AAV47" s="116"/>
      <c r="AAW47" s="116"/>
      <c r="AAX47" s="116"/>
      <c r="AAY47" s="116"/>
      <c r="AAZ47" s="116"/>
      <c r="ABA47" s="116"/>
      <c r="ABB47" s="116"/>
      <c r="ABC47" s="116"/>
      <c r="ABD47" s="116"/>
      <c r="ABE47" s="116"/>
      <c r="ABF47" s="116"/>
      <c r="ABG47" s="116"/>
      <c r="ABH47" s="116"/>
      <c r="ABI47" s="116"/>
      <c r="ABJ47" s="116"/>
      <c r="ABK47" s="116"/>
      <c r="ABL47" s="116"/>
      <c r="ABM47" s="116"/>
      <c r="ABN47" s="116"/>
      <c r="ABO47" s="116"/>
      <c r="ABP47" s="116"/>
      <c r="ABQ47" s="116"/>
      <c r="ABR47" s="116"/>
      <c r="ABS47" s="116"/>
      <c r="ABT47" s="116"/>
      <c r="ABU47" s="116"/>
      <c r="ABV47" s="116"/>
      <c r="ABW47" s="116"/>
      <c r="ABX47" s="116"/>
      <c r="ABY47" s="116"/>
      <c r="ABZ47" s="116"/>
      <c r="ACA47" s="116"/>
      <c r="ACB47" s="116"/>
      <c r="ACC47" s="116"/>
      <c r="ACD47" s="116"/>
      <c r="ACE47" s="116"/>
      <c r="ACF47" s="116"/>
      <c r="ACG47" s="116"/>
      <c r="ACH47" s="116"/>
      <c r="ACI47" s="116"/>
      <c r="ACJ47" s="116"/>
      <c r="ACK47" s="116"/>
      <c r="ACL47" s="116"/>
      <c r="ACM47" s="116"/>
      <c r="ACN47" s="116"/>
      <c r="ACO47" s="116"/>
      <c r="ACP47" s="116"/>
      <c r="ACQ47" s="116"/>
      <c r="ACR47" s="116"/>
      <c r="ACS47" s="116"/>
      <c r="ACT47" s="116"/>
      <c r="ACU47" s="116"/>
      <c r="ACV47" s="116"/>
      <c r="ACW47" s="116"/>
      <c r="ACX47" s="116"/>
      <c r="ACY47" s="116"/>
      <c r="ACZ47" s="116"/>
      <c r="ADA47" s="116"/>
      <c r="ADB47" s="116"/>
      <c r="ADC47" s="116"/>
      <c r="ADD47" s="116"/>
      <c r="ADE47" s="116"/>
      <c r="ADF47" s="116"/>
      <c r="ADG47" s="116"/>
      <c r="ADH47" s="116"/>
      <c r="ADI47" s="116"/>
      <c r="ADJ47" s="116"/>
      <c r="ADK47" s="116"/>
      <c r="ADL47" s="116"/>
      <c r="ADM47" s="116"/>
      <c r="ADN47" s="116"/>
      <c r="ADO47" s="116"/>
      <c r="ADP47" s="116"/>
      <c r="ADQ47" s="116"/>
      <c r="ADR47" s="116"/>
      <c r="ADS47" s="116"/>
      <c r="ADT47" s="116"/>
      <c r="ADU47" s="116"/>
      <c r="ADV47" s="116"/>
      <c r="ADW47" s="116"/>
      <c r="ADX47" s="116"/>
      <c r="ADY47" s="116"/>
      <c r="ADZ47" s="116"/>
      <c r="AEA47" s="116"/>
      <c r="AEB47" s="116"/>
      <c r="AEC47" s="116"/>
      <c r="AED47" s="116"/>
      <c r="AEE47" s="116"/>
      <c r="AEF47" s="116"/>
      <c r="AEG47" s="116"/>
      <c r="AEH47" s="116"/>
      <c r="AEI47" s="116"/>
      <c r="AEJ47" s="116"/>
      <c r="AEK47" s="116"/>
      <c r="AEL47" s="116"/>
      <c r="AEM47" s="116"/>
      <c r="AEN47" s="116"/>
      <c r="AEO47" s="116"/>
      <c r="AEP47" s="116"/>
      <c r="AEQ47" s="116"/>
      <c r="AER47" s="116"/>
      <c r="AES47" s="116"/>
      <c r="AET47" s="116"/>
      <c r="AEU47" s="116"/>
      <c r="AEV47" s="116"/>
      <c r="AEW47" s="116"/>
      <c r="AEX47" s="116"/>
      <c r="AEY47" s="116"/>
      <c r="AEZ47" s="116"/>
      <c r="AFA47" s="116"/>
      <c r="AFB47" s="116"/>
      <c r="AFC47" s="116"/>
      <c r="AFD47" s="116"/>
      <c r="AFE47" s="116"/>
      <c r="AFF47" s="116"/>
      <c r="AFG47" s="116"/>
      <c r="AFH47" s="116"/>
      <c r="AFI47" s="116"/>
      <c r="AFJ47" s="116"/>
      <c r="AFK47" s="116"/>
      <c r="AFL47" s="116"/>
      <c r="AFM47" s="116"/>
      <c r="AFN47" s="116"/>
      <c r="AFO47" s="116"/>
      <c r="AFP47" s="116"/>
      <c r="AFQ47" s="116"/>
      <c r="AFR47" s="116"/>
      <c r="AFS47" s="116"/>
      <c r="AFT47" s="116"/>
      <c r="AFU47" s="116"/>
      <c r="AFV47" s="116"/>
      <c r="AFW47" s="116"/>
      <c r="AFX47" s="116"/>
      <c r="AFY47" s="116"/>
      <c r="AFZ47" s="116"/>
      <c r="AGA47" s="116"/>
      <c r="AGB47" s="116"/>
      <c r="AGC47" s="116"/>
      <c r="AGD47" s="116"/>
      <c r="AGE47" s="116"/>
      <c r="AGF47" s="116"/>
      <c r="AGG47" s="116"/>
      <c r="AGH47" s="116"/>
      <c r="AGI47" s="116"/>
      <c r="AGJ47" s="116"/>
      <c r="AGK47" s="116"/>
      <c r="AGL47" s="116"/>
      <c r="AGM47" s="116"/>
      <c r="AGN47" s="116"/>
      <c r="AGO47" s="116"/>
      <c r="AGP47" s="116"/>
      <c r="AGQ47" s="116"/>
      <c r="AGR47" s="116"/>
      <c r="AGS47" s="116"/>
      <c r="AGT47" s="116"/>
      <c r="AGU47" s="116"/>
      <c r="AGV47" s="116"/>
      <c r="AGW47" s="116"/>
      <c r="AGX47" s="116"/>
      <c r="AGY47" s="116"/>
      <c r="AGZ47" s="116"/>
      <c r="AHA47" s="116"/>
      <c r="AHB47" s="116"/>
      <c r="AHC47" s="116"/>
      <c r="AHD47" s="116"/>
      <c r="AHE47" s="116"/>
      <c r="AHF47" s="116"/>
      <c r="AHG47" s="116"/>
      <c r="AHH47" s="116"/>
      <c r="AHI47" s="116"/>
      <c r="AHJ47" s="116"/>
      <c r="AHK47" s="116"/>
      <c r="AHL47" s="116"/>
      <c r="AHM47" s="116"/>
      <c r="AHN47" s="116"/>
      <c r="AHO47" s="116"/>
      <c r="AHP47" s="116"/>
      <c r="AHQ47" s="116"/>
      <c r="AHR47" s="116"/>
      <c r="AHS47" s="116"/>
      <c r="AHT47" s="116"/>
      <c r="AHU47" s="116"/>
      <c r="AHV47" s="116"/>
      <c r="AHW47" s="116"/>
      <c r="AHX47" s="116"/>
      <c r="AHY47" s="116"/>
      <c r="AHZ47" s="116"/>
      <c r="AIA47" s="116"/>
      <c r="AIB47" s="116"/>
      <c r="AIC47" s="116"/>
      <c r="AID47" s="116"/>
      <c r="AIE47" s="116"/>
      <c r="AIF47" s="116"/>
      <c r="AIG47" s="116"/>
      <c r="AIH47" s="116"/>
      <c r="AII47" s="116"/>
      <c r="AIJ47" s="116"/>
      <c r="AIK47" s="116"/>
      <c r="AIL47" s="116"/>
      <c r="AIM47" s="116"/>
      <c r="AIN47" s="116"/>
      <c r="AIO47" s="116"/>
      <c r="AIP47" s="116"/>
      <c r="AIQ47" s="116"/>
      <c r="AIR47" s="116"/>
      <c r="AIS47" s="116"/>
      <c r="AIT47" s="116"/>
      <c r="AIU47" s="116"/>
      <c r="AIV47" s="116"/>
      <c r="AIW47" s="116"/>
      <c r="AIX47" s="116"/>
      <c r="AIY47" s="116"/>
      <c r="AIZ47" s="116"/>
      <c r="AJA47" s="116"/>
      <c r="AJB47" s="116"/>
      <c r="AJC47" s="116"/>
      <c r="AJD47" s="116"/>
      <c r="AJE47" s="116"/>
      <c r="AJF47" s="116"/>
      <c r="AJG47" s="116"/>
      <c r="AJH47" s="116"/>
      <c r="AJI47" s="116"/>
      <c r="AJJ47" s="116"/>
      <c r="AJK47" s="116"/>
      <c r="AJL47" s="116"/>
      <c r="AJM47" s="116"/>
      <c r="AJN47" s="116"/>
      <c r="AJO47" s="116"/>
      <c r="AJP47" s="116"/>
      <c r="AJQ47" s="116"/>
      <c r="AJR47" s="116"/>
      <c r="AJS47" s="116"/>
      <c r="AJT47" s="116"/>
      <c r="AJU47" s="116"/>
      <c r="AJV47" s="116"/>
      <c r="AJW47" s="116"/>
      <c r="AJX47" s="116"/>
      <c r="AJY47" s="116"/>
      <c r="AJZ47" s="116"/>
      <c r="AKA47" s="116"/>
      <c r="AKB47" s="116"/>
      <c r="AKC47" s="116"/>
      <c r="AKD47" s="116"/>
      <c r="AKE47" s="116"/>
      <c r="AKF47" s="116"/>
      <c r="AKG47" s="116"/>
      <c r="AKH47" s="116"/>
      <c r="AKI47" s="116"/>
      <c r="AKJ47" s="116"/>
      <c r="AKK47" s="116"/>
    </row>
    <row r="48" spans="2:973" ht="18" customHeight="1">
      <c r="B48" s="225"/>
      <c r="C48" s="143"/>
      <c r="D48" s="229"/>
      <c r="E48" s="229"/>
      <c r="F48" s="229"/>
      <c r="G48" s="261"/>
      <c r="H48" s="237"/>
      <c r="I48" s="237"/>
      <c r="J48" s="263"/>
      <c r="K48" s="237"/>
      <c r="L48" s="237"/>
      <c r="M48" s="253"/>
      <c r="N48" s="253"/>
      <c r="O48" s="253"/>
      <c r="P48" s="253"/>
      <c r="Q48" s="127"/>
      <c r="R48" s="247"/>
      <c r="U48" s="103"/>
    </row>
    <row r="49" spans="2:973" s="125" customFormat="1" ht="21" customHeight="1">
      <c r="B49" s="225"/>
      <c r="C49" s="143"/>
      <c r="D49" s="141" t="s">
        <v>49</v>
      </c>
      <c r="E49" s="120"/>
      <c r="F49" s="120"/>
      <c r="G49" s="128"/>
      <c r="H49" s="129"/>
      <c r="I49" s="129"/>
      <c r="J49" s="130"/>
      <c r="K49" s="129"/>
      <c r="L49" s="129"/>
      <c r="M49" s="131"/>
      <c r="N49" s="131"/>
      <c r="O49" s="131"/>
      <c r="P49" s="131">
        <f>SUM(P47)</f>
        <v>30000</v>
      </c>
      <c r="Q49" s="131">
        <f>SUM(Q47:Q48)</f>
        <v>2020000</v>
      </c>
      <c r="R49" s="144"/>
      <c r="S49" s="19"/>
      <c r="T49" s="19"/>
      <c r="U49" s="103"/>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19"/>
      <c r="AT49" s="19"/>
      <c r="AU49" s="19"/>
      <c r="AV49" s="19"/>
      <c r="AW49" s="19"/>
      <c r="AX49" s="19"/>
      <c r="AY49" s="19"/>
      <c r="AZ49" s="19"/>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c r="CE49" s="19"/>
      <c r="CF49" s="19"/>
      <c r="CG49" s="19"/>
      <c r="CH49" s="19"/>
      <c r="CI49" s="19"/>
      <c r="CJ49" s="19"/>
      <c r="CK49" s="19"/>
      <c r="CL49" s="19"/>
      <c r="CM49" s="19"/>
      <c r="CN49" s="19"/>
      <c r="CO49" s="19"/>
      <c r="CP49" s="19"/>
      <c r="CQ49" s="19"/>
      <c r="CR49" s="19"/>
      <c r="CS49" s="19"/>
      <c r="CT49" s="19"/>
      <c r="CU49" s="19"/>
      <c r="CV49" s="19"/>
      <c r="CW49" s="19"/>
      <c r="CX49" s="19"/>
      <c r="CY49" s="19"/>
      <c r="CZ49" s="19"/>
      <c r="DA49" s="19"/>
      <c r="DB49" s="19"/>
      <c r="DC49" s="19"/>
      <c r="DD49" s="19"/>
      <c r="DE49" s="19"/>
      <c r="DF49" s="19"/>
      <c r="DG49" s="19"/>
      <c r="DH49" s="19"/>
      <c r="DI49" s="19"/>
      <c r="DJ49" s="19"/>
      <c r="DK49" s="19"/>
      <c r="DL49" s="19"/>
      <c r="DM49" s="19"/>
      <c r="DN49" s="19"/>
      <c r="DO49" s="19"/>
      <c r="DP49" s="19"/>
      <c r="DQ49" s="19"/>
      <c r="DR49" s="19"/>
      <c r="DS49" s="19"/>
      <c r="DT49" s="19"/>
      <c r="DU49" s="19"/>
      <c r="DV49" s="19"/>
      <c r="DW49" s="19"/>
      <c r="DX49" s="19"/>
      <c r="DY49" s="19"/>
      <c r="DZ49" s="19"/>
      <c r="EA49" s="19"/>
      <c r="EB49" s="19"/>
      <c r="EC49" s="19"/>
      <c r="ED49" s="19"/>
      <c r="EE49" s="19"/>
      <c r="EF49" s="19"/>
      <c r="EG49" s="19"/>
      <c r="EH49" s="19"/>
      <c r="EI49" s="19"/>
      <c r="EJ49" s="19"/>
      <c r="EK49" s="19"/>
      <c r="EL49" s="19"/>
      <c r="EM49" s="19"/>
      <c r="EN49" s="19"/>
      <c r="EO49" s="19"/>
      <c r="EP49" s="19"/>
      <c r="EQ49" s="19"/>
      <c r="ER49" s="19"/>
      <c r="ES49" s="19"/>
      <c r="ET49" s="19"/>
      <c r="EU49" s="19"/>
      <c r="EV49" s="19"/>
      <c r="EW49" s="19"/>
      <c r="EX49" s="19"/>
      <c r="EY49" s="19"/>
      <c r="EZ49" s="19"/>
      <c r="FA49" s="19"/>
      <c r="FB49" s="19"/>
      <c r="FC49" s="19"/>
      <c r="FD49" s="19"/>
      <c r="FE49" s="19"/>
      <c r="FF49" s="19"/>
      <c r="FG49" s="19"/>
      <c r="FH49" s="19"/>
      <c r="FI49" s="19"/>
      <c r="FJ49" s="19"/>
      <c r="FK49" s="19"/>
      <c r="FL49" s="19"/>
      <c r="FM49" s="19"/>
      <c r="FN49" s="19"/>
      <c r="FO49" s="19"/>
      <c r="FP49" s="19"/>
      <c r="FQ49" s="19"/>
      <c r="FR49" s="19"/>
      <c r="FS49" s="19"/>
      <c r="FT49" s="19"/>
      <c r="FU49" s="19"/>
      <c r="FV49" s="19"/>
      <c r="FW49" s="19"/>
      <c r="FX49" s="19"/>
      <c r="FY49" s="19"/>
      <c r="FZ49" s="19"/>
      <c r="GA49" s="19"/>
      <c r="GB49" s="19"/>
      <c r="GC49" s="19"/>
      <c r="GD49" s="19"/>
      <c r="GE49" s="19"/>
      <c r="GF49" s="19"/>
      <c r="GG49" s="19"/>
      <c r="GH49" s="19"/>
      <c r="GI49" s="19"/>
      <c r="GJ49" s="19"/>
      <c r="GK49" s="19"/>
      <c r="GL49" s="19"/>
      <c r="GM49" s="19"/>
      <c r="GN49" s="19"/>
      <c r="GO49" s="19"/>
      <c r="GP49" s="19"/>
      <c r="GQ49" s="19"/>
      <c r="GR49" s="19"/>
      <c r="GS49" s="19"/>
      <c r="GT49" s="19"/>
      <c r="GU49" s="19"/>
      <c r="GV49" s="19"/>
      <c r="GW49" s="19"/>
      <c r="GX49" s="19"/>
      <c r="GY49" s="19"/>
      <c r="GZ49" s="19"/>
      <c r="HA49" s="19"/>
      <c r="HB49" s="19"/>
      <c r="HC49" s="19"/>
      <c r="HD49" s="19"/>
      <c r="HE49" s="19"/>
      <c r="HF49" s="19"/>
      <c r="HG49" s="19"/>
      <c r="HH49" s="19"/>
      <c r="HI49" s="19"/>
      <c r="HJ49" s="19"/>
      <c r="HK49" s="19"/>
      <c r="HL49" s="19"/>
      <c r="HM49" s="19"/>
      <c r="HN49" s="19"/>
      <c r="HO49" s="19"/>
      <c r="HP49" s="19"/>
      <c r="HQ49" s="19"/>
      <c r="HR49" s="19"/>
      <c r="HS49" s="19"/>
      <c r="HT49" s="19"/>
      <c r="HU49" s="19"/>
      <c r="HV49" s="19"/>
      <c r="HW49" s="19"/>
      <c r="HX49" s="19"/>
      <c r="HY49" s="19"/>
      <c r="HZ49" s="19"/>
      <c r="IA49" s="19"/>
      <c r="IB49" s="19"/>
      <c r="IC49" s="19"/>
      <c r="ID49" s="19"/>
      <c r="IE49" s="19"/>
      <c r="IF49" s="19"/>
      <c r="IG49" s="19"/>
      <c r="IH49" s="19"/>
      <c r="II49" s="19"/>
      <c r="IJ49" s="19"/>
      <c r="IK49" s="19"/>
      <c r="IL49" s="19"/>
      <c r="IM49" s="19"/>
      <c r="IN49" s="19"/>
      <c r="IO49" s="19"/>
      <c r="IP49" s="19"/>
      <c r="IQ49" s="19"/>
      <c r="IR49" s="19"/>
      <c r="IS49" s="19"/>
      <c r="IT49" s="19"/>
      <c r="IU49" s="19"/>
      <c r="IV49" s="19"/>
      <c r="IW49" s="19"/>
      <c r="IX49" s="19"/>
      <c r="IY49" s="19"/>
      <c r="IZ49" s="19"/>
      <c r="JA49" s="19"/>
      <c r="JB49" s="19"/>
      <c r="JC49" s="19"/>
      <c r="JD49" s="19"/>
      <c r="JE49" s="19"/>
      <c r="JF49" s="19"/>
      <c r="JG49" s="19"/>
      <c r="JH49" s="19"/>
      <c r="JI49" s="19"/>
      <c r="JJ49" s="19"/>
      <c r="JK49" s="19"/>
      <c r="JL49" s="19"/>
      <c r="JM49" s="19"/>
      <c r="JN49" s="19"/>
      <c r="JO49" s="19"/>
      <c r="JP49" s="19"/>
      <c r="JQ49" s="19"/>
      <c r="JR49" s="19"/>
      <c r="JS49" s="19"/>
      <c r="JT49" s="19"/>
      <c r="JU49" s="19"/>
      <c r="JV49" s="19"/>
      <c r="JW49" s="19"/>
      <c r="JX49" s="19"/>
      <c r="JY49" s="19"/>
      <c r="JZ49" s="19"/>
      <c r="KA49" s="19"/>
      <c r="KB49" s="19"/>
      <c r="KC49" s="19"/>
      <c r="KD49" s="19"/>
      <c r="KE49" s="19"/>
      <c r="KF49" s="19"/>
      <c r="KG49" s="19"/>
      <c r="KH49" s="19"/>
      <c r="KI49" s="19"/>
      <c r="KJ49" s="19"/>
      <c r="KK49" s="19"/>
      <c r="KL49" s="19"/>
      <c r="KM49" s="19"/>
      <c r="KN49" s="19"/>
      <c r="KO49" s="19"/>
      <c r="KP49" s="19"/>
      <c r="KQ49" s="19"/>
      <c r="KR49" s="19"/>
      <c r="KS49" s="19"/>
      <c r="KT49" s="19"/>
      <c r="KU49" s="19"/>
      <c r="KV49" s="19"/>
      <c r="KW49" s="19"/>
      <c r="KX49" s="19"/>
      <c r="KY49" s="19"/>
      <c r="KZ49" s="19"/>
      <c r="LA49" s="19"/>
      <c r="LB49" s="19"/>
      <c r="LC49" s="19"/>
      <c r="LD49" s="19"/>
      <c r="LE49" s="19"/>
      <c r="LF49" s="19"/>
      <c r="LG49" s="19"/>
      <c r="LH49" s="19"/>
      <c r="LI49" s="19"/>
      <c r="LJ49" s="19"/>
      <c r="LK49" s="19"/>
      <c r="LL49" s="19"/>
      <c r="LM49" s="19"/>
      <c r="LN49" s="19"/>
      <c r="LO49" s="19"/>
      <c r="LP49" s="19"/>
      <c r="LQ49" s="19"/>
      <c r="LR49" s="19"/>
      <c r="LS49" s="19"/>
      <c r="LT49" s="19"/>
      <c r="LU49" s="19"/>
      <c r="LV49" s="19"/>
      <c r="LW49" s="19"/>
      <c r="LX49" s="19"/>
      <c r="LY49" s="19"/>
      <c r="LZ49" s="19"/>
      <c r="MA49" s="19"/>
      <c r="MB49" s="19"/>
      <c r="MC49" s="19"/>
      <c r="MD49" s="19"/>
      <c r="ME49" s="19"/>
      <c r="MF49" s="19"/>
      <c r="MG49" s="19"/>
      <c r="MH49" s="19"/>
      <c r="MI49" s="19"/>
      <c r="MJ49" s="19"/>
      <c r="MK49" s="19"/>
      <c r="ML49" s="19"/>
      <c r="MM49" s="19"/>
      <c r="MN49" s="19"/>
      <c r="MO49" s="19"/>
      <c r="MP49" s="19"/>
      <c r="MQ49" s="19"/>
      <c r="MR49" s="19"/>
      <c r="MS49" s="19"/>
      <c r="MT49" s="19"/>
      <c r="MU49" s="19"/>
      <c r="MV49" s="19"/>
      <c r="MW49" s="19"/>
      <c r="MX49" s="19"/>
      <c r="MY49" s="19"/>
      <c r="MZ49" s="19"/>
      <c r="NA49" s="19"/>
      <c r="NB49" s="19"/>
      <c r="NC49" s="19"/>
      <c r="ND49" s="19"/>
      <c r="NE49" s="19"/>
      <c r="NF49" s="19"/>
      <c r="NG49" s="19"/>
      <c r="NH49" s="19"/>
      <c r="NI49" s="19"/>
      <c r="NJ49" s="19"/>
      <c r="NK49" s="19"/>
      <c r="NL49" s="19"/>
      <c r="NM49" s="19"/>
      <c r="NN49" s="19"/>
      <c r="NO49" s="19"/>
      <c r="NP49" s="19"/>
      <c r="NQ49" s="19"/>
      <c r="NR49" s="19"/>
      <c r="NS49" s="19"/>
      <c r="NT49" s="19"/>
      <c r="NU49" s="19"/>
      <c r="NV49" s="19"/>
      <c r="NW49" s="19"/>
      <c r="NX49" s="19"/>
      <c r="NY49" s="19"/>
      <c r="NZ49" s="19"/>
      <c r="OA49" s="19"/>
      <c r="OB49" s="19"/>
      <c r="OC49" s="19"/>
      <c r="OD49" s="19"/>
      <c r="OE49" s="19"/>
      <c r="OF49" s="19"/>
      <c r="OG49" s="19"/>
      <c r="OH49" s="19"/>
      <c r="OI49" s="19"/>
      <c r="OJ49" s="19"/>
      <c r="OK49" s="19"/>
      <c r="OL49" s="19"/>
      <c r="OM49" s="19"/>
      <c r="ON49" s="19"/>
      <c r="OO49" s="19"/>
      <c r="OP49" s="19"/>
      <c r="OQ49" s="19"/>
      <c r="OR49" s="19"/>
      <c r="OS49" s="19"/>
      <c r="OT49" s="19"/>
      <c r="OU49" s="19"/>
      <c r="OV49" s="19"/>
      <c r="OW49" s="19"/>
      <c r="OX49" s="19"/>
      <c r="OY49" s="19"/>
      <c r="OZ49" s="19"/>
      <c r="PA49" s="19"/>
      <c r="PB49" s="19"/>
      <c r="PC49" s="19"/>
      <c r="PD49" s="19"/>
      <c r="PE49" s="19"/>
      <c r="PF49" s="19"/>
      <c r="PG49" s="19"/>
      <c r="PH49" s="19"/>
      <c r="PI49" s="19"/>
      <c r="PJ49" s="19"/>
      <c r="PK49" s="19"/>
      <c r="PL49" s="19"/>
      <c r="PM49" s="19"/>
      <c r="PN49" s="19"/>
      <c r="PO49" s="19"/>
      <c r="PP49" s="19"/>
      <c r="PQ49" s="19"/>
      <c r="PR49" s="19"/>
      <c r="PS49" s="19"/>
      <c r="PT49" s="19"/>
      <c r="PU49" s="19"/>
      <c r="PV49" s="19"/>
      <c r="PW49" s="19"/>
      <c r="PX49" s="19"/>
      <c r="PY49" s="19"/>
      <c r="PZ49" s="19"/>
      <c r="QA49" s="19"/>
      <c r="QB49" s="19"/>
      <c r="QC49" s="19"/>
      <c r="QD49" s="19"/>
      <c r="QE49" s="19"/>
      <c r="QF49" s="19"/>
      <c r="QG49" s="19"/>
      <c r="QH49" s="19"/>
      <c r="QI49" s="19"/>
      <c r="QJ49" s="19"/>
      <c r="QK49" s="19"/>
      <c r="QL49" s="19"/>
      <c r="QM49" s="19"/>
      <c r="QN49" s="19"/>
      <c r="QO49" s="19"/>
      <c r="QP49" s="19"/>
      <c r="QQ49" s="19"/>
      <c r="QR49" s="19"/>
      <c r="QS49" s="19"/>
      <c r="QT49" s="19"/>
      <c r="QU49" s="19"/>
      <c r="QV49" s="19"/>
      <c r="QW49" s="19"/>
      <c r="QX49" s="19"/>
      <c r="QY49" s="19"/>
      <c r="QZ49" s="19"/>
      <c r="RA49" s="19"/>
      <c r="RB49" s="19"/>
      <c r="RC49" s="19"/>
      <c r="RD49" s="19"/>
      <c r="RE49" s="19"/>
      <c r="RF49" s="19"/>
      <c r="RG49" s="19"/>
      <c r="RH49" s="19"/>
      <c r="RI49" s="19"/>
      <c r="RJ49" s="19"/>
      <c r="RK49" s="19"/>
      <c r="RL49" s="19"/>
      <c r="RM49" s="19"/>
      <c r="RN49" s="19"/>
      <c r="RO49" s="19"/>
      <c r="RP49" s="19"/>
      <c r="RQ49" s="19"/>
      <c r="RR49" s="19"/>
      <c r="RS49" s="19"/>
      <c r="RT49" s="19"/>
      <c r="RU49" s="19"/>
      <c r="RV49" s="19"/>
      <c r="RW49" s="19"/>
      <c r="RX49" s="19"/>
      <c r="RY49" s="19"/>
      <c r="RZ49" s="19"/>
      <c r="SA49" s="19"/>
      <c r="SB49" s="19"/>
      <c r="SC49" s="19"/>
      <c r="SD49" s="19"/>
      <c r="SE49" s="19"/>
      <c r="SF49" s="19"/>
      <c r="SG49" s="19"/>
      <c r="SH49" s="19"/>
      <c r="SI49" s="19"/>
      <c r="SJ49" s="19"/>
      <c r="SK49" s="19"/>
      <c r="SL49" s="19"/>
      <c r="SM49" s="19"/>
      <c r="SN49" s="19"/>
      <c r="SO49" s="19"/>
      <c r="SP49" s="19"/>
      <c r="SQ49" s="19"/>
      <c r="SR49" s="19"/>
      <c r="SS49" s="19"/>
      <c r="ST49" s="19"/>
      <c r="SU49" s="19"/>
      <c r="SV49" s="19"/>
      <c r="SW49" s="19"/>
      <c r="SX49" s="19"/>
      <c r="SY49" s="19"/>
      <c r="SZ49" s="19"/>
      <c r="TA49" s="19"/>
      <c r="TB49" s="19"/>
      <c r="TC49" s="19"/>
      <c r="TD49" s="19"/>
      <c r="TE49" s="19"/>
      <c r="TF49" s="19"/>
      <c r="TG49" s="19"/>
      <c r="TH49" s="19"/>
      <c r="TI49" s="19"/>
      <c r="TJ49" s="19"/>
      <c r="TK49" s="19"/>
      <c r="TL49" s="19"/>
      <c r="TM49" s="19"/>
      <c r="TN49" s="19"/>
      <c r="TO49" s="19"/>
      <c r="TP49" s="19"/>
      <c r="TQ49" s="19"/>
      <c r="TR49" s="19"/>
      <c r="TS49" s="19"/>
      <c r="TT49" s="19"/>
      <c r="TU49" s="19"/>
      <c r="TV49" s="19"/>
      <c r="TW49" s="19"/>
      <c r="TX49" s="19"/>
      <c r="TY49" s="19"/>
      <c r="TZ49" s="19"/>
      <c r="UA49" s="19"/>
      <c r="UB49" s="19"/>
      <c r="UC49" s="19"/>
      <c r="UD49" s="19"/>
      <c r="UE49" s="19"/>
      <c r="UF49" s="19"/>
      <c r="UG49" s="19"/>
      <c r="UH49" s="19"/>
      <c r="UI49" s="19"/>
      <c r="UJ49" s="19"/>
      <c r="UK49" s="19"/>
      <c r="UL49" s="19"/>
      <c r="UM49" s="19"/>
      <c r="UN49" s="19"/>
      <c r="UO49" s="19"/>
      <c r="UP49" s="19"/>
      <c r="UQ49" s="19"/>
      <c r="UR49" s="19"/>
      <c r="US49" s="19"/>
      <c r="UT49" s="19"/>
      <c r="UU49" s="19"/>
      <c r="UV49" s="19"/>
      <c r="UW49" s="19"/>
      <c r="UX49" s="19"/>
      <c r="UY49" s="19"/>
      <c r="UZ49" s="19"/>
      <c r="VA49" s="19"/>
      <c r="VB49" s="19"/>
      <c r="VC49" s="19"/>
      <c r="VD49" s="19"/>
      <c r="VE49" s="19"/>
      <c r="VF49" s="19"/>
      <c r="VG49" s="19"/>
      <c r="VH49" s="19"/>
      <c r="VI49" s="19"/>
      <c r="VJ49" s="19"/>
      <c r="VK49" s="19"/>
      <c r="VL49" s="19"/>
      <c r="VM49" s="19"/>
      <c r="VN49" s="19"/>
      <c r="VO49" s="19"/>
      <c r="VP49" s="19"/>
      <c r="VQ49" s="19"/>
      <c r="VR49" s="19"/>
      <c r="VS49" s="19"/>
      <c r="VT49" s="19"/>
      <c r="VU49" s="19"/>
      <c r="VV49" s="19"/>
      <c r="VW49" s="19"/>
      <c r="VX49" s="19"/>
      <c r="VY49" s="19"/>
      <c r="VZ49" s="19"/>
      <c r="WA49" s="19"/>
      <c r="WB49" s="19"/>
      <c r="WC49" s="19"/>
      <c r="WD49" s="19"/>
      <c r="WE49" s="19"/>
      <c r="WF49" s="19"/>
      <c r="WG49" s="19"/>
      <c r="WH49" s="19"/>
      <c r="WI49" s="19"/>
      <c r="WJ49" s="19"/>
      <c r="WK49" s="19"/>
      <c r="WL49" s="19"/>
      <c r="WM49" s="19"/>
      <c r="WN49" s="19"/>
      <c r="WO49" s="19"/>
      <c r="WP49" s="19"/>
      <c r="WQ49" s="19"/>
      <c r="WR49" s="19"/>
      <c r="WS49" s="19"/>
      <c r="WT49" s="19"/>
      <c r="WU49" s="19"/>
      <c r="WV49" s="19"/>
      <c r="WW49" s="19"/>
      <c r="WX49" s="19"/>
      <c r="WY49" s="19"/>
      <c r="WZ49" s="19"/>
      <c r="XA49" s="19"/>
      <c r="XB49" s="19"/>
      <c r="XC49" s="19"/>
      <c r="XD49" s="19"/>
      <c r="XE49" s="19"/>
      <c r="XF49" s="19"/>
      <c r="XG49" s="19"/>
      <c r="XH49" s="19"/>
      <c r="XI49" s="19"/>
      <c r="XJ49" s="19"/>
      <c r="XK49" s="19"/>
      <c r="XL49" s="19"/>
      <c r="XM49" s="19"/>
      <c r="XN49" s="19"/>
      <c r="XO49" s="19"/>
      <c r="XP49" s="19"/>
      <c r="XQ49" s="19"/>
      <c r="XR49" s="19"/>
      <c r="XS49" s="19"/>
      <c r="XT49" s="19"/>
      <c r="XU49" s="19"/>
      <c r="XV49" s="19"/>
      <c r="XW49" s="19"/>
      <c r="XX49" s="19"/>
      <c r="XY49" s="19"/>
      <c r="XZ49" s="19"/>
      <c r="YA49" s="19"/>
      <c r="YB49" s="19"/>
      <c r="YC49" s="19"/>
      <c r="YD49" s="19"/>
      <c r="YE49" s="19"/>
      <c r="YF49" s="19"/>
      <c r="YG49" s="19"/>
      <c r="YH49" s="19"/>
      <c r="YI49" s="19"/>
      <c r="YJ49" s="19"/>
      <c r="YK49" s="19"/>
      <c r="YL49" s="19"/>
      <c r="YM49" s="19"/>
      <c r="YN49" s="19"/>
      <c r="YO49" s="19"/>
      <c r="YP49" s="19"/>
      <c r="YQ49" s="19"/>
      <c r="YR49" s="19"/>
      <c r="YS49" s="19"/>
      <c r="YT49" s="19"/>
      <c r="YU49" s="19"/>
      <c r="YV49" s="19"/>
      <c r="YW49" s="19"/>
      <c r="YX49" s="19"/>
      <c r="YY49" s="19"/>
      <c r="YZ49" s="19"/>
      <c r="ZA49" s="19"/>
      <c r="ZB49" s="19"/>
      <c r="ZC49" s="19"/>
      <c r="ZD49" s="19"/>
      <c r="ZE49" s="19"/>
      <c r="ZF49" s="19"/>
      <c r="ZG49" s="19"/>
      <c r="ZH49" s="19"/>
      <c r="ZI49" s="19"/>
      <c r="ZJ49" s="19"/>
      <c r="ZK49" s="19"/>
      <c r="ZL49" s="19"/>
      <c r="ZM49" s="19"/>
      <c r="ZN49" s="19"/>
      <c r="ZO49" s="19"/>
      <c r="ZP49" s="19"/>
      <c r="ZQ49" s="19"/>
      <c r="ZR49" s="19"/>
      <c r="ZS49" s="19"/>
      <c r="ZT49" s="19"/>
      <c r="ZU49" s="19"/>
      <c r="ZV49" s="19"/>
      <c r="ZW49" s="19"/>
      <c r="ZX49" s="19"/>
      <c r="ZY49" s="19"/>
      <c r="ZZ49" s="19"/>
      <c r="AAA49" s="19"/>
      <c r="AAB49" s="19"/>
      <c r="AAC49" s="19"/>
      <c r="AAD49" s="19"/>
      <c r="AAE49" s="19"/>
      <c r="AAF49" s="19"/>
      <c r="AAG49" s="19"/>
      <c r="AAH49" s="19"/>
      <c r="AAI49" s="19"/>
      <c r="AAJ49" s="19"/>
      <c r="AAK49" s="19"/>
      <c r="AAL49" s="19"/>
      <c r="AAM49" s="19"/>
      <c r="AAN49" s="19"/>
      <c r="AAO49" s="19"/>
      <c r="AAP49" s="19"/>
      <c r="AAQ49" s="19"/>
      <c r="AAR49" s="19"/>
      <c r="AAS49" s="19"/>
      <c r="AAT49" s="19"/>
      <c r="AAU49" s="19"/>
      <c r="AAV49" s="19"/>
      <c r="AAW49" s="19"/>
      <c r="AAX49" s="19"/>
      <c r="AAY49" s="19"/>
      <c r="AAZ49" s="19"/>
      <c r="ABA49" s="19"/>
      <c r="ABB49" s="19"/>
      <c r="ABC49" s="19"/>
      <c r="ABD49" s="19"/>
      <c r="ABE49" s="19"/>
      <c r="ABF49" s="19"/>
      <c r="ABG49" s="19"/>
      <c r="ABH49" s="19"/>
      <c r="ABI49" s="19"/>
      <c r="ABJ49" s="19"/>
      <c r="ABK49" s="19"/>
      <c r="ABL49" s="19"/>
      <c r="ABM49" s="19"/>
      <c r="ABN49" s="19"/>
      <c r="ABO49" s="19"/>
      <c r="ABP49" s="19"/>
      <c r="ABQ49" s="19"/>
      <c r="ABR49" s="19"/>
      <c r="ABS49" s="19"/>
      <c r="ABT49" s="19"/>
      <c r="ABU49" s="19"/>
      <c r="ABV49" s="19"/>
      <c r="ABW49" s="19"/>
      <c r="ABX49" s="19"/>
      <c r="ABY49" s="19"/>
      <c r="ABZ49" s="19"/>
      <c r="ACA49" s="19"/>
      <c r="ACB49" s="19"/>
      <c r="ACC49" s="19"/>
      <c r="ACD49" s="19"/>
      <c r="ACE49" s="19"/>
      <c r="ACF49" s="19"/>
      <c r="ACG49" s="19"/>
      <c r="ACH49" s="19"/>
      <c r="ACI49" s="19"/>
      <c r="ACJ49" s="19"/>
      <c r="ACK49" s="19"/>
      <c r="ACL49" s="19"/>
      <c r="ACM49" s="19"/>
      <c r="ACN49" s="19"/>
      <c r="ACO49" s="19"/>
      <c r="ACP49" s="19"/>
      <c r="ACQ49" s="19"/>
      <c r="ACR49" s="19"/>
      <c r="ACS49" s="19"/>
      <c r="ACT49" s="19"/>
      <c r="ACU49" s="19"/>
      <c r="ACV49" s="19"/>
      <c r="ACW49" s="19"/>
      <c r="ACX49" s="19"/>
      <c r="ACY49" s="19"/>
      <c r="ACZ49" s="19"/>
      <c r="ADA49" s="19"/>
      <c r="ADB49" s="19"/>
      <c r="ADC49" s="19"/>
      <c r="ADD49" s="19"/>
      <c r="ADE49" s="19"/>
      <c r="ADF49" s="19"/>
      <c r="ADG49" s="19"/>
      <c r="ADH49" s="19"/>
      <c r="ADI49" s="19"/>
      <c r="ADJ49" s="19"/>
      <c r="ADK49" s="19"/>
      <c r="ADL49" s="19"/>
      <c r="ADM49" s="19"/>
      <c r="ADN49" s="19"/>
      <c r="ADO49" s="19"/>
      <c r="ADP49" s="19"/>
      <c r="ADQ49" s="19"/>
      <c r="ADR49" s="19"/>
      <c r="ADS49" s="19"/>
      <c r="ADT49" s="19"/>
      <c r="ADU49" s="19"/>
      <c r="ADV49" s="19"/>
      <c r="ADW49" s="19"/>
      <c r="ADX49" s="19"/>
      <c r="ADY49" s="19"/>
      <c r="ADZ49" s="19"/>
      <c r="AEA49" s="19"/>
      <c r="AEB49" s="19"/>
      <c r="AEC49" s="19"/>
      <c r="AED49" s="19"/>
      <c r="AEE49" s="19"/>
      <c r="AEF49" s="19"/>
      <c r="AEG49" s="19"/>
      <c r="AEH49" s="19"/>
      <c r="AEI49" s="19"/>
      <c r="AEJ49" s="19"/>
      <c r="AEK49" s="19"/>
      <c r="AEL49" s="19"/>
      <c r="AEM49" s="19"/>
      <c r="AEN49" s="19"/>
      <c r="AEO49" s="19"/>
      <c r="AEP49" s="19"/>
      <c r="AEQ49" s="19"/>
      <c r="AER49" s="19"/>
      <c r="AES49" s="19"/>
      <c r="AET49" s="19"/>
      <c r="AEU49" s="19"/>
      <c r="AEV49" s="19"/>
      <c r="AEW49" s="19"/>
      <c r="AEX49" s="19"/>
      <c r="AEY49" s="19"/>
      <c r="AEZ49" s="19"/>
      <c r="AFA49" s="19"/>
      <c r="AFB49" s="19"/>
      <c r="AFC49" s="19"/>
      <c r="AFD49" s="19"/>
      <c r="AFE49" s="19"/>
      <c r="AFF49" s="19"/>
      <c r="AFG49" s="19"/>
      <c r="AFH49" s="19"/>
      <c r="AFI49" s="19"/>
      <c r="AFJ49" s="19"/>
      <c r="AFK49" s="19"/>
      <c r="AFL49" s="19"/>
      <c r="AFM49" s="19"/>
      <c r="AFN49" s="19"/>
      <c r="AFO49" s="19"/>
      <c r="AFP49" s="19"/>
      <c r="AFQ49" s="19"/>
      <c r="AFR49" s="19"/>
      <c r="AFS49" s="19"/>
      <c r="AFT49" s="19"/>
      <c r="AFU49" s="19"/>
      <c r="AFV49" s="19"/>
      <c r="AFW49" s="19"/>
      <c r="AFX49" s="19"/>
      <c r="AFY49" s="19"/>
      <c r="AFZ49" s="19"/>
      <c r="AGA49" s="19"/>
      <c r="AGB49" s="19"/>
      <c r="AGC49" s="19"/>
      <c r="AGD49" s="19"/>
      <c r="AGE49" s="19"/>
      <c r="AGF49" s="19"/>
      <c r="AGG49" s="19"/>
      <c r="AGH49" s="19"/>
      <c r="AGI49" s="19"/>
      <c r="AGJ49" s="19"/>
      <c r="AGK49" s="19"/>
      <c r="AGL49" s="19"/>
      <c r="AGM49" s="19"/>
      <c r="AGN49" s="19"/>
      <c r="AGO49" s="19"/>
      <c r="AGP49" s="19"/>
      <c r="AGQ49" s="19"/>
      <c r="AGR49" s="19"/>
      <c r="AGS49" s="19"/>
      <c r="AGT49" s="19"/>
      <c r="AGU49" s="19"/>
      <c r="AGV49" s="19"/>
      <c r="AGW49" s="19"/>
      <c r="AGX49" s="19"/>
      <c r="AGY49" s="19"/>
      <c r="AGZ49" s="19"/>
      <c r="AHA49" s="19"/>
      <c r="AHB49" s="19"/>
      <c r="AHC49" s="19"/>
      <c r="AHD49" s="19"/>
      <c r="AHE49" s="19"/>
      <c r="AHF49" s="19"/>
      <c r="AHG49" s="19"/>
      <c r="AHH49" s="19"/>
      <c r="AHI49" s="19"/>
      <c r="AHJ49" s="19"/>
      <c r="AHK49" s="19"/>
      <c r="AHL49" s="19"/>
      <c r="AHM49" s="19"/>
      <c r="AHN49" s="19"/>
      <c r="AHO49" s="19"/>
      <c r="AHP49" s="19"/>
      <c r="AHQ49" s="19"/>
      <c r="AHR49" s="19"/>
      <c r="AHS49" s="19"/>
      <c r="AHT49" s="19"/>
      <c r="AHU49" s="19"/>
      <c r="AHV49" s="19"/>
      <c r="AHW49" s="19"/>
      <c r="AHX49" s="19"/>
      <c r="AHY49" s="19"/>
      <c r="AHZ49" s="19"/>
      <c r="AIA49" s="19"/>
      <c r="AIB49" s="19"/>
      <c r="AIC49" s="19"/>
      <c r="AID49" s="19"/>
      <c r="AIE49" s="19"/>
      <c r="AIF49" s="19"/>
      <c r="AIG49" s="19"/>
      <c r="AIH49" s="19"/>
      <c r="AII49" s="19"/>
      <c r="AIJ49" s="19"/>
      <c r="AIK49" s="19"/>
      <c r="AIL49" s="19"/>
      <c r="AIM49" s="19"/>
      <c r="AIN49" s="19"/>
      <c r="AIO49" s="19"/>
      <c r="AIP49" s="19"/>
      <c r="AIQ49" s="19"/>
      <c r="AIR49" s="19"/>
      <c r="AIS49" s="19"/>
      <c r="AIT49" s="19"/>
      <c r="AIU49" s="19"/>
      <c r="AIV49" s="19"/>
      <c r="AIW49" s="19"/>
      <c r="AIX49" s="19"/>
      <c r="AIY49" s="19"/>
      <c r="AIZ49" s="19"/>
      <c r="AJA49" s="19"/>
      <c r="AJB49" s="19"/>
      <c r="AJC49" s="19"/>
      <c r="AJD49" s="19"/>
      <c r="AJE49" s="19"/>
      <c r="AJF49" s="19"/>
      <c r="AJG49" s="19"/>
      <c r="AJH49" s="19"/>
      <c r="AJI49" s="19"/>
      <c r="AJJ49" s="19"/>
      <c r="AJK49" s="19"/>
      <c r="AJL49" s="19"/>
      <c r="AJM49" s="19"/>
      <c r="AJN49" s="19"/>
      <c r="AJO49" s="19"/>
      <c r="AJP49" s="19"/>
      <c r="AJQ49" s="19"/>
      <c r="AJR49" s="19"/>
      <c r="AJS49" s="19"/>
      <c r="AJT49" s="19"/>
      <c r="AJU49" s="19"/>
      <c r="AJV49" s="19"/>
      <c r="AJW49" s="19"/>
      <c r="AJX49" s="19"/>
      <c r="AJY49" s="19"/>
      <c r="AJZ49" s="19"/>
      <c r="AKA49" s="19"/>
      <c r="AKB49" s="19"/>
      <c r="AKC49" s="19"/>
      <c r="AKD49" s="19"/>
      <c r="AKE49" s="19"/>
      <c r="AKF49" s="19"/>
      <c r="AKG49" s="19"/>
      <c r="AKH49" s="19"/>
      <c r="AKI49" s="19"/>
      <c r="AKJ49" s="19"/>
      <c r="AKK49" s="19"/>
    </row>
    <row r="50" spans="2:973">
      <c r="B50" s="225"/>
      <c r="C50" s="266" t="s">
        <v>76</v>
      </c>
      <c r="D50" s="228" t="s">
        <v>91</v>
      </c>
      <c r="E50" s="228" t="s">
        <v>24</v>
      </c>
      <c r="F50" s="228" t="s">
        <v>29</v>
      </c>
      <c r="G50" s="260" t="s">
        <v>26</v>
      </c>
      <c r="H50" s="236">
        <v>60</v>
      </c>
      <c r="I50" s="236">
        <v>250</v>
      </c>
      <c r="J50" s="262">
        <f>SUM(H50*I50)</f>
        <v>15000</v>
      </c>
      <c r="K50" s="236">
        <v>5000</v>
      </c>
      <c r="L50" s="236">
        <v>5000</v>
      </c>
      <c r="M50" s="252">
        <v>5000</v>
      </c>
      <c r="N50" s="252"/>
      <c r="O50" s="252"/>
      <c r="P50" s="252">
        <f>SUM(K50:O51)</f>
        <v>15000</v>
      </c>
      <c r="Q50" s="140">
        <v>3048000</v>
      </c>
      <c r="R50" s="246" t="s">
        <v>92</v>
      </c>
      <c r="U50" s="103"/>
    </row>
    <row r="51" spans="2:973" ht="22.5" customHeight="1">
      <c r="B51" s="225"/>
      <c r="C51" s="266"/>
      <c r="D51" s="229"/>
      <c r="E51" s="229"/>
      <c r="F51" s="229"/>
      <c r="G51" s="261"/>
      <c r="H51" s="237"/>
      <c r="I51" s="237"/>
      <c r="J51" s="263"/>
      <c r="K51" s="237"/>
      <c r="L51" s="237"/>
      <c r="M51" s="253"/>
      <c r="N51" s="253"/>
      <c r="O51" s="253"/>
      <c r="P51" s="253"/>
      <c r="Q51" s="127"/>
      <c r="R51" s="247"/>
      <c r="U51" s="103"/>
    </row>
    <row r="52" spans="2:973" ht="27.75" customHeight="1">
      <c r="B52" s="225"/>
      <c r="C52" s="266"/>
      <c r="D52" s="110" t="s">
        <v>93</v>
      </c>
      <c r="E52" s="120" t="s">
        <v>24</v>
      </c>
      <c r="F52" s="120" t="s">
        <v>52</v>
      </c>
      <c r="G52" s="128" t="s">
        <v>34</v>
      </c>
      <c r="H52" s="129">
        <v>180</v>
      </c>
      <c r="I52" s="129">
        <v>500</v>
      </c>
      <c r="J52" s="130">
        <f>SUM(H52*I52)</f>
        <v>90000</v>
      </c>
      <c r="K52" s="129">
        <v>10000</v>
      </c>
      <c r="L52" s="129">
        <v>30000</v>
      </c>
      <c r="M52" s="129">
        <v>30000</v>
      </c>
      <c r="N52" s="129">
        <v>20000</v>
      </c>
      <c r="O52" s="129"/>
      <c r="P52" s="129">
        <f>SUM(K52:N52)</f>
        <v>90000</v>
      </c>
      <c r="Q52" s="129">
        <v>2619000</v>
      </c>
      <c r="R52" s="144" t="s">
        <v>94</v>
      </c>
      <c r="U52" s="103"/>
    </row>
    <row r="53" spans="2:973" s="125" customFormat="1" ht="16.5" customHeight="1" thickBot="1">
      <c r="B53" s="225"/>
      <c r="C53" s="266"/>
      <c r="D53" s="145" t="s">
        <v>49</v>
      </c>
      <c r="E53" s="146"/>
      <c r="F53" s="120"/>
      <c r="G53" s="134"/>
      <c r="H53" s="134"/>
      <c r="I53" s="134"/>
      <c r="J53" s="134"/>
      <c r="K53" s="134"/>
      <c r="L53" s="134"/>
      <c r="M53" s="134"/>
      <c r="N53" s="134"/>
      <c r="O53" s="134"/>
      <c r="P53" s="129">
        <f>SUM(P50:P52)</f>
        <v>105000</v>
      </c>
      <c r="Q53" s="129">
        <f>SUM(Q50:Q52)</f>
        <v>5667000</v>
      </c>
      <c r="R53" s="134"/>
      <c r="S53" s="19"/>
      <c r="T53" s="103"/>
      <c r="U53" s="103"/>
      <c r="V53" s="103"/>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c r="CE53" s="19"/>
      <c r="CF53" s="19"/>
      <c r="CG53" s="19"/>
      <c r="CH53" s="19"/>
      <c r="CI53" s="19"/>
      <c r="CJ53" s="19"/>
      <c r="CK53" s="19"/>
      <c r="CL53" s="19"/>
      <c r="CM53" s="19"/>
      <c r="CN53" s="19"/>
      <c r="CO53" s="19"/>
      <c r="CP53" s="19"/>
      <c r="CQ53" s="19"/>
      <c r="CR53" s="19"/>
      <c r="CS53" s="19"/>
      <c r="CT53" s="19"/>
      <c r="CU53" s="19"/>
      <c r="CV53" s="19"/>
      <c r="CW53" s="19"/>
      <c r="CX53" s="19"/>
      <c r="CY53" s="19"/>
      <c r="CZ53" s="19"/>
      <c r="DA53" s="19"/>
      <c r="DB53" s="19"/>
      <c r="DC53" s="19"/>
      <c r="DD53" s="19"/>
      <c r="DE53" s="19"/>
      <c r="DF53" s="19"/>
      <c r="DG53" s="19"/>
      <c r="DH53" s="19"/>
      <c r="DI53" s="19"/>
      <c r="DJ53" s="19"/>
      <c r="DK53" s="19"/>
      <c r="DL53" s="19"/>
      <c r="DM53" s="19"/>
      <c r="DN53" s="19"/>
      <c r="DO53" s="19"/>
      <c r="DP53" s="19"/>
      <c r="DQ53" s="19"/>
      <c r="DR53" s="19"/>
      <c r="DS53" s="19"/>
      <c r="DT53" s="19"/>
      <c r="DU53" s="19"/>
      <c r="DV53" s="19"/>
      <c r="DW53" s="19"/>
      <c r="DX53" s="19"/>
      <c r="DY53" s="19"/>
      <c r="DZ53" s="19"/>
      <c r="EA53" s="19"/>
      <c r="EB53" s="19"/>
      <c r="EC53" s="19"/>
      <c r="ED53" s="19"/>
      <c r="EE53" s="19"/>
      <c r="EF53" s="19"/>
      <c r="EG53" s="19"/>
      <c r="EH53" s="19"/>
      <c r="EI53" s="19"/>
      <c r="EJ53" s="19"/>
      <c r="EK53" s="19"/>
      <c r="EL53" s="19"/>
      <c r="EM53" s="19"/>
      <c r="EN53" s="19"/>
      <c r="EO53" s="19"/>
      <c r="EP53" s="19"/>
      <c r="EQ53" s="19"/>
      <c r="ER53" s="19"/>
      <c r="ES53" s="19"/>
      <c r="ET53" s="19"/>
      <c r="EU53" s="19"/>
      <c r="EV53" s="19"/>
      <c r="EW53" s="19"/>
      <c r="EX53" s="19"/>
      <c r="EY53" s="19"/>
      <c r="EZ53" s="19"/>
      <c r="FA53" s="19"/>
      <c r="FB53" s="19"/>
      <c r="FC53" s="19"/>
      <c r="FD53" s="19"/>
      <c r="FE53" s="19"/>
      <c r="FF53" s="19"/>
      <c r="FG53" s="19"/>
      <c r="FH53" s="19"/>
      <c r="FI53" s="19"/>
      <c r="FJ53" s="19"/>
      <c r="FK53" s="19"/>
      <c r="FL53" s="19"/>
      <c r="FM53" s="19"/>
      <c r="FN53" s="19"/>
      <c r="FO53" s="19"/>
      <c r="FP53" s="19"/>
      <c r="FQ53" s="19"/>
      <c r="FR53" s="19"/>
      <c r="FS53" s="19"/>
      <c r="FT53" s="19"/>
      <c r="FU53" s="19"/>
      <c r="FV53" s="19"/>
      <c r="FW53" s="19"/>
      <c r="FX53" s="19"/>
      <c r="FY53" s="19"/>
      <c r="FZ53" s="19"/>
      <c r="GA53" s="19"/>
      <c r="GB53" s="19"/>
      <c r="GC53" s="19"/>
      <c r="GD53" s="19"/>
      <c r="GE53" s="19"/>
      <c r="GF53" s="19"/>
      <c r="GG53" s="19"/>
      <c r="GH53" s="19"/>
      <c r="GI53" s="19"/>
      <c r="GJ53" s="19"/>
      <c r="GK53" s="19"/>
      <c r="GL53" s="19"/>
      <c r="GM53" s="19"/>
      <c r="GN53" s="19"/>
      <c r="GO53" s="19"/>
      <c r="GP53" s="19"/>
      <c r="GQ53" s="19"/>
      <c r="GR53" s="19"/>
      <c r="GS53" s="19"/>
      <c r="GT53" s="19"/>
      <c r="GU53" s="19"/>
      <c r="GV53" s="19"/>
      <c r="GW53" s="19"/>
      <c r="GX53" s="19"/>
      <c r="GY53" s="19"/>
      <c r="GZ53" s="19"/>
      <c r="HA53" s="19"/>
      <c r="HB53" s="19"/>
      <c r="HC53" s="19"/>
      <c r="HD53" s="19"/>
      <c r="HE53" s="19"/>
      <c r="HF53" s="19"/>
      <c r="HG53" s="19"/>
      <c r="HH53" s="19"/>
      <c r="HI53" s="19"/>
      <c r="HJ53" s="19"/>
      <c r="HK53" s="19"/>
      <c r="HL53" s="19"/>
      <c r="HM53" s="19"/>
      <c r="HN53" s="19"/>
      <c r="HO53" s="19"/>
      <c r="HP53" s="19"/>
      <c r="HQ53" s="19"/>
      <c r="HR53" s="19"/>
      <c r="HS53" s="19"/>
      <c r="HT53" s="19"/>
      <c r="HU53" s="19"/>
      <c r="HV53" s="19"/>
      <c r="HW53" s="19"/>
      <c r="HX53" s="19"/>
      <c r="HY53" s="19"/>
      <c r="HZ53" s="19"/>
      <c r="IA53" s="19"/>
      <c r="IB53" s="19"/>
      <c r="IC53" s="19"/>
      <c r="ID53" s="19"/>
      <c r="IE53" s="19"/>
      <c r="IF53" s="19"/>
      <c r="IG53" s="19"/>
      <c r="IH53" s="19"/>
      <c r="II53" s="19"/>
      <c r="IJ53" s="19"/>
      <c r="IK53" s="19"/>
      <c r="IL53" s="19"/>
      <c r="IM53" s="19"/>
      <c r="IN53" s="19"/>
      <c r="IO53" s="19"/>
      <c r="IP53" s="19"/>
      <c r="IQ53" s="19"/>
      <c r="IR53" s="19"/>
      <c r="IS53" s="19"/>
      <c r="IT53" s="19"/>
      <c r="IU53" s="19"/>
      <c r="IV53" s="19"/>
      <c r="IW53" s="19"/>
      <c r="IX53" s="19"/>
      <c r="IY53" s="19"/>
      <c r="IZ53" s="19"/>
      <c r="JA53" s="19"/>
      <c r="JB53" s="19"/>
      <c r="JC53" s="19"/>
      <c r="JD53" s="19"/>
      <c r="JE53" s="19"/>
      <c r="JF53" s="19"/>
      <c r="JG53" s="19"/>
      <c r="JH53" s="19"/>
      <c r="JI53" s="19"/>
      <c r="JJ53" s="19"/>
      <c r="JK53" s="19"/>
      <c r="JL53" s="19"/>
      <c r="JM53" s="19"/>
      <c r="JN53" s="19"/>
      <c r="JO53" s="19"/>
      <c r="JP53" s="19"/>
      <c r="JQ53" s="19"/>
      <c r="JR53" s="19"/>
      <c r="JS53" s="19"/>
      <c r="JT53" s="19"/>
      <c r="JU53" s="19"/>
      <c r="JV53" s="19"/>
      <c r="JW53" s="19"/>
      <c r="JX53" s="19"/>
      <c r="JY53" s="19"/>
      <c r="JZ53" s="19"/>
      <c r="KA53" s="19"/>
      <c r="KB53" s="19"/>
      <c r="KC53" s="19"/>
      <c r="KD53" s="19"/>
      <c r="KE53" s="19"/>
      <c r="KF53" s="19"/>
      <c r="KG53" s="19"/>
      <c r="KH53" s="19"/>
      <c r="KI53" s="19"/>
      <c r="KJ53" s="19"/>
      <c r="KK53" s="19"/>
      <c r="KL53" s="19"/>
      <c r="KM53" s="19"/>
      <c r="KN53" s="19"/>
      <c r="KO53" s="19"/>
      <c r="KP53" s="19"/>
      <c r="KQ53" s="19"/>
      <c r="KR53" s="19"/>
      <c r="KS53" s="19"/>
      <c r="KT53" s="19"/>
      <c r="KU53" s="19"/>
      <c r="KV53" s="19"/>
      <c r="KW53" s="19"/>
      <c r="KX53" s="19"/>
      <c r="KY53" s="19"/>
      <c r="KZ53" s="19"/>
      <c r="LA53" s="19"/>
      <c r="LB53" s="19"/>
      <c r="LC53" s="19"/>
      <c r="LD53" s="19"/>
      <c r="LE53" s="19"/>
      <c r="LF53" s="19"/>
      <c r="LG53" s="19"/>
      <c r="LH53" s="19"/>
      <c r="LI53" s="19"/>
      <c r="LJ53" s="19"/>
      <c r="LK53" s="19"/>
      <c r="LL53" s="19"/>
      <c r="LM53" s="19"/>
      <c r="LN53" s="19"/>
      <c r="LO53" s="19"/>
      <c r="LP53" s="19"/>
      <c r="LQ53" s="19"/>
      <c r="LR53" s="19"/>
      <c r="LS53" s="19"/>
      <c r="LT53" s="19"/>
      <c r="LU53" s="19"/>
      <c r="LV53" s="19"/>
      <c r="LW53" s="19"/>
      <c r="LX53" s="19"/>
      <c r="LY53" s="19"/>
      <c r="LZ53" s="19"/>
      <c r="MA53" s="19"/>
      <c r="MB53" s="19"/>
      <c r="MC53" s="19"/>
      <c r="MD53" s="19"/>
      <c r="ME53" s="19"/>
      <c r="MF53" s="19"/>
      <c r="MG53" s="19"/>
      <c r="MH53" s="19"/>
      <c r="MI53" s="19"/>
      <c r="MJ53" s="19"/>
      <c r="MK53" s="19"/>
      <c r="ML53" s="19"/>
      <c r="MM53" s="19"/>
      <c r="MN53" s="19"/>
      <c r="MO53" s="19"/>
      <c r="MP53" s="19"/>
      <c r="MQ53" s="19"/>
      <c r="MR53" s="19"/>
      <c r="MS53" s="19"/>
      <c r="MT53" s="19"/>
      <c r="MU53" s="19"/>
      <c r="MV53" s="19"/>
      <c r="MW53" s="19"/>
      <c r="MX53" s="19"/>
      <c r="MY53" s="19"/>
      <c r="MZ53" s="19"/>
      <c r="NA53" s="19"/>
      <c r="NB53" s="19"/>
      <c r="NC53" s="19"/>
      <c r="ND53" s="19"/>
      <c r="NE53" s="19"/>
      <c r="NF53" s="19"/>
      <c r="NG53" s="19"/>
      <c r="NH53" s="19"/>
      <c r="NI53" s="19"/>
      <c r="NJ53" s="19"/>
      <c r="NK53" s="19"/>
      <c r="NL53" s="19"/>
      <c r="NM53" s="19"/>
      <c r="NN53" s="19"/>
      <c r="NO53" s="19"/>
      <c r="NP53" s="19"/>
      <c r="NQ53" s="19"/>
      <c r="NR53" s="19"/>
      <c r="NS53" s="19"/>
      <c r="NT53" s="19"/>
      <c r="NU53" s="19"/>
      <c r="NV53" s="19"/>
      <c r="NW53" s="19"/>
      <c r="NX53" s="19"/>
      <c r="NY53" s="19"/>
      <c r="NZ53" s="19"/>
      <c r="OA53" s="19"/>
      <c r="OB53" s="19"/>
      <c r="OC53" s="19"/>
      <c r="OD53" s="19"/>
      <c r="OE53" s="19"/>
      <c r="OF53" s="19"/>
      <c r="OG53" s="19"/>
      <c r="OH53" s="19"/>
      <c r="OI53" s="19"/>
      <c r="OJ53" s="19"/>
      <c r="OK53" s="19"/>
      <c r="OL53" s="19"/>
      <c r="OM53" s="19"/>
      <c r="ON53" s="19"/>
      <c r="OO53" s="19"/>
      <c r="OP53" s="19"/>
      <c r="OQ53" s="19"/>
      <c r="OR53" s="19"/>
      <c r="OS53" s="19"/>
      <c r="OT53" s="19"/>
      <c r="OU53" s="19"/>
      <c r="OV53" s="19"/>
      <c r="OW53" s="19"/>
      <c r="OX53" s="19"/>
      <c r="OY53" s="19"/>
      <c r="OZ53" s="19"/>
      <c r="PA53" s="19"/>
      <c r="PB53" s="19"/>
      <c r="PC53" s="19"/>
      <c r="PD53" s="19"/>
      <c r="PE53" s="19"/>
      <c r="PF53" s="19"/>
      <c r="PG53" s="19"/>
      <c r="PH53" s="19"/>
      <c r="PI53" s="19"/>
      <c r="PJ53" s="19"/>
      <c r="PK53" s="19"/>
      <c r="PL53" s="19"/>
      <c r="PM53" s="19"/>
      <c r="PN53" s="19"/>
      <c r="PO53" s="19"/>
      <c r="PP53" s="19"/>
      <c r="PQ53" s="19"/>
      <c r="PR53" s="19"/>
      <c r="PS53" s="19"/>
      <c r="PT53" s="19"/>
      <c r="PU53" s="19"/>
      <c r="PV53" s="19"/>
      <c r="PW53" s="19"/>
      <c r="PX53" s="19"/>
      <c r="PY53" s="19"/>
      <c r="PZ53" s="19"/>
      <c r="QA53" s="19"/>
      <c r="QB53" s="19"/>
      <c r="QC53" s="19"/>
      <c r="QD53" s="19"/>
      <c r="QE53" s="19"/>
      <c r="QF53" s="19"/>
      <c r="QG53" s="19"/>
      <c r="QH53" s="19"/>
      <c r="QI53" s="19"/>
      <c r="QJ53" s="19"/>
      <c r="QK53" s="19"/>
      <c r="QL53" s="19"/>
      <c r="QM53" s="19"/>
      <c r="QN53" s="19"/>
      <c r="QO53" s="19"/>
      <c r="QP53" s="19"/>
      <c r="QQ53" s="19"/>
      <c r="QR53" s="19"/>
      <c r="QS53" s="19"/>
      <c r="QT53" s="19"/>
      <c r="QU53" s="19"/>
      <c r="QV53" s="19"/>
      <c r="QW53" s="19"/>
      <c r="QX53" s="19"/>
      <c r="QY53" s="19"/>
      <c r="QZ53" s="19"/>
      <c r="RA53" s="19"/>
      <c r="RB53" s="19"/>
      <c r="RC53" s="19"/>
      <c r="RD53" s="19"/>
      <c r="RE53" s="19"/>
      <c r="RF53" s="19"/>
      <c r="RG53" s="19"/>
      <c r="RH53" s="19"/>
      <c r="RI53" s="19"/>
      <c r="RJ53" s="19"/>
      <c r="RK53" s="19"/>
      <c r="RL53" s="19"/>
      <c r="RM53" s="19"/>
      <c r="RN53" s="19"/>
      <c r="RO53" s="19"/>
      <c r="RP53" s="19"/>
      <c r="RQ53" s="19"/>
      <c r="RR53" s="19"/>
      <c r="RS53" s="19"/>
      <c r="RT53" s="19"/>
      <c r="RU53" s="19"/>
      <c r="RV53" s="19"/>
      <c r="RW53" s="19"/>
      <c r="RX53" s="19"/>
      <c r="RY53" s="19"/>
      <c r="RZ53" s="19"/>
      <c r="SA53" s="19"/>
      <c r="SB53" s="19"/>
      <c r="SC53" s="19"/>
      <c r="SD53" s="19"/>
      <c r="SE53" s="19"/>
      <c r="SF53" s="19"/>
      <c r="SG53" s="19"/>
      <c r="SH53" s="19"/>
      <c r="SI53" s="19"/>
      <c r="SJ53" s="19"/>
      <c r="SK53" s="19"/>
      <c r="SL53" s="19"/>
      <c r="SM53" s="19"/>
      <c r="SN53" s="19"/>
      <c r="SO53" s="19"/>
      <c r="SP53" s="19"/>
      <c r="SQ53" s="19"/>
      <c r="SR53" s="19"/>
      <c r="SS53" s="19"/>
      <c r="ST53" s="19"/>
      <c r="SU53" s="19"/>
      <c r="SV53" s="19"/>
      <c r="SW53" s="19"/>
      <c r="SX53" s="19"/>
      <c r="SY53" s="19"/>
      <c r="SZ53" s="19"/>
      <c r="TA53" s="19"/>
      <c r="TB53" s="19"/>
      <c r="TC53" s="19"/>
      <c r="TD53" s="19"/>
      <c r="TE53" s="19"/>
      <c r="TF53" s="19"/>
      <c r="TG53" s="19"/>
      <c r="TH53" s="19"/>
      <c r="TI53" s="19"/>
      <c r="TJ53" s="19"/>
      <c r="TK53" s="19"/>
      <c r="TL53" s="19"/>
      <c r="TM53" s="19"/>
      <c r="TN53" s="19"/>
      <c r="TO53" s="19"/>
      <c r="TP53" s="19"/>
      <c r="TQ53" s="19"/>
      <c r="TR53" s="19"/>
      <c r="TS53" s="19"/>
      <c r="TT53" s="19"/>
      <c r="TU53" s="19"/>
      <c r="TV53" s="19"/>
      <c r="TW53" s="19"/>
      <c r="TX53" s="19"/>
      <c r="TY53" s="19"/>
      <c r="TZ53" s="19"/>
      <c r="UA53" s="19"/>
      <c r="UB53" s="19"/>
      <c r="UC53" s="19"/>
      <c r="UD53" s="19"/>
      <c r="UE53" s="19"/>
      <c r="UF53" s="19"/>
      <c r="UG53" s="19"/>
      <c r="UH53" s="19"/>
      <c r="UI53" s="19"/>
      <c r="UJ53" s="19"/>
      <c r="UK53" s="19"/>
      <c r="UL53" s="19"/>
      <c r="UM53" s="19"/>
      <c r="UN53" s="19"/>
      <c r="UO53" s="19"/>
      <c r="UP53" s="19"/>
      <c r="UQ53" s="19"/>
      <c r="UR53" s="19"/>
      <c r="US53" s="19"/>
      <c r="UT53" s="19"/>
      <c r="UU53" s="19"/>
      <c r="UV53" s="19"/>
      <c r="UW53" s="19"/>
      <c r="UX53" s="19"/>
      <c r="UY53" s="19"/>
      <c r="UZ53" s="19"/>
      <c r="VA53" s="19"/>
      <c r="VB53" s="19"/>
      <c r="VC53" s="19"/>
      <c r="VD53" s="19"/>
      <c r="VE53" s="19"/>
      <c r="VF53" s="19"/>
      <c r="VG53" s="19"/>
      <c r="VH53" s="19"/>
      <c r="VI53" s="19"/>
      <c r="VJ53" s="19"/>
      <c r="VK53" s="19"/>
      <c r="VL53" s="19"/>
      <c r="VM53" s="19"/>
      <c r="VN53" s="19"/>
      <c r="VO53" s="19"/>
      <c r="VP53" s="19"/>
      <c r="VQ53" s="19"/>
      <c r="VR53" s="19"/>
      <c r="VS53" s="19"/>
      <c r="VT53" s="19"/>
      <c r="VU53" s="19"/>
      <c r="VV53" s="19"/>
      <c r="VW53" s="19"/>
      <c r="VX53" s="19"/>
      <c r="VY53" s="19"/>
      <c r="VZ53" s="19"/>
      <c r="WA53" s="19"/>
      <c r="WB53" s="19"/>
      <c r="WC53" s="19"/>
      <c r="WD53" s="19"/>
      <c r="WE53" s="19"/>
      <c r="WF53" s="19"/>
      <c r="WG53" s="19"/>
      <c r="WH53" s="19"/>
      <c r="WI53" s="19"/>
      <c r="WJ53" s="19"/>
      <c r="WK53" s="19"/>
      <c r="WL53" s="19"/>
      <c r="WM53" s="19"/>
      <c r="WN53" s="19"/>
      <c r="WO53" s="19"/>
      <c r="WP53" s="19"/>
      <c r="WQ53" s="19"/>
      <c r="WR53" s="19"/>
      <c r="WS53" s="19"/>
      <c r="WT53" s="19"/>
      <c r="WU53" s="19"/>
      <c r="WV53" s="19"/>
      <c r="WW53" s="19"/>
      <c r="WX53" s="19"/>
      <c r="WY53" s="19"/>
      <c r="WZ53" s="19"/>
      <c r="XA53" s="19"/>
      <c r="XB53" s="19"/>
      <c r="XC53" s="19"/>
      <c r="XD53" s="19"/>
      <c r="XE53" s="19"/>
      <c r="XF53" s="19"/>
      <c r="XG53" s="19"/>
      <c r="XH53" s="19"/>
      <c r="XI53" s="19"/>
      <c r="XJ53" s="19"/>
      <c r="XK53" s="19"/>
      <c r="XL53" s="19"/>
      <c r="XM53" s="19"/>
      <c r="XN53" s="19"/>
      <c r="XO53" s="19"/>
      <c r="XP53" s="19"/>
      <c r="XQ53" s="19"/>
      <c r="XR53" s="19"/>
      <c r="XS53" s="19"/>
      <c r="XT53" s="19"/>
      <c r="XU53" s="19"/>
      <c r="XV53" s="19"/>
      <c r="XW53" s="19"/>
      <c r="XX53" s="19"/>
      <c r="XY53" s="19"/>
      <c r="XZ53" s="19"/>
      <c r="YA53" s="19"/>
      <c r="YB53" s="19"/>
      <c r="YC53" s="19"/>
      <c r="YD53" s="19"/>
      <c r="YE53" s="19"/>
      <c r="YF53" s="19"/>
      <c r="YG53" s="19"/>
      <c r="YH53" s="19"/>
      <c r="YI53" s="19"/>
      <c r="YJ53" s="19"/>
      <c r="YK53" s="19"/>
      <c r="YL53" s="19"/>
      <c r="YM53" s="19"/>
      <c r="YN53" s="19"/>
      <c r="YO53" s="19"/>
      <c r="YP53" s="19"/>
      <c r="YQ53" s="19"/>
      <c r="YR53" s="19"/>
      <c r="YS53" s="19"/>
      <c r="YT53" s="19"/>
      <c r="YU53" s="19"/>
      <c r="YV53" s="19"/>
      <c r="YW53" s="19"/>
      <c r="YX53" s="19"/>
      <c r="YY53" s="19"/>
      <c r="YZ53" s="19"/>
      <c r="ZA53" s="19"/>
      <c r="ZB53" s="19"/>
      <c r="ZC53" s="19"/>
      <c r="ZD53" s="19"/>
      <c r="ZE53" s="19"/>
      <c r="ZF53" s="19"/>
      <c r="ZG53" s="19"/>
      <c r="ZH53" s="19"/>
      <c r="ZI53" s="19"/>
      <c r="ZJ53" s="19"/>
      <c r="ZK53" s="19"/>
      <c r="ZL53" s="19"/>
      <c r="ZM53" s="19"/>
      <c r="ZN53" s="19"/>
      <c r="ZO53" s="19"/>
      <c r="ZP53" s="19"/>
      <c r="ZQ53" s="19"/>
      <c r="ZR53" s="19"/>
      <c r="ZS53" s="19"/>
      <c r="ZT53" s="19"/>
      <c r="ZU53" s="19"/>
      <c r="ZV53" s="19"/>
      <c r="ZW53" s="19"/>
      <c r="ZX53" s="19"/>
      <c r="ZY53" s="19"/>
      <c r="ZZ53" s="19"/>
      <c r="AAA53" s="19"/>
      <c r="AAB53" s="19"/>
      <c r="AAC53" s="19"/>
      <c r="AAD53" s="19"/>
      <c r="AAE53" s="19"/>
      <c r="AAF53" s="19"/>
      <c r="AAG53" s="19"/>
      <c r="AAH53" s="19"/>
      <c r="AAI53" s="19"/>
      <c r="AAJ53" s="19"/>
      <c r="AAK53" s="19"/>
      <c r="AAL53" s="19"/>
      <c r="AAM53" s="19"/>
      <c r="AAN53" s="19"/>
      <c r="AAO53" s="19"/>
      <c r="AAP53" s="19"/>
      <c r="AAQ53" s="19"/>
      <c r="AAR53" s="19"/>
      <c r="AAS53" s="19"/>
      <c r="AAT53" s="19"/>
      <c r="AAU53" s="19"/>
      <c r="AAV53" s="19"/>
      <c r="AAW53" s="19"/>
      <c r="AAX53" s="19"/>
      <c r="AAY53" s="19"/>
      <c r="AAZ53" s="19"/>
      <c r="ABA53" s="19"/>
      <c r="ABB53" s="19"/>
      <c r="ABC53" s="19"/>
      <c r="ABD53" s="19"/>
      <c r="ABE53" s="19"/>
      <c r="ABF53" s="19"/>
      <c r="ABG53" s="19"/>
      <c r="ABH53" s="19"/>
      <c r="ABI53" s="19"/>
      <c r="ABJ53" s="19"/>
      <c r="ABK53" s="19"/>
      <c r="ABL53" s="19"/>
      <c r="ABM53" s="19"/>
      <c r="ABN53" s="19"/>
      <c r="ABO53" s="19"/>
      <c r="ABP53" s="19"/>
      <c r="ABQ53" s="19"/>
      <c r="ABR53" s="19"/>
      <c r="ABS53" s="19"/>
      <c r="ABT53" s="19"/>
      <c r="ABU53" s="19"/>
      <c r="ABV53" s="19"/>
      <c r="ABW53" s="19"/>
      <c r="ABX53" s="19"/>
      <c r="ABY53" s="19"/>
      <c r="ABZ53" s="19"/>
      <c r="ACA53" s="19"/>
      <c r="ACB53" s="19"/>
      <c r="ACC53" s="19"/>
      <c r="ACD53" s="19"/>
      <c r="ACE53" s="19"/>
      <c r="ACF53" s="19"/>
      <c r="ACG53" s="19"/>
      <c r="ACH53" s="19"/>
      <c r="ACI53" s="19"/>
      <c r="ACJ53" s="19"/>
      <c r="ACK53" s="19"/>
      <c r="ACL53" s="19"/>
      <c r="ACM53" s="19"/>
      <c r="ACN53" s="19"/>
      <c r="ACO53" s="19"/>
      <c r="ACP53" s="19"/>
      <c r="ACQ53" s="19"/>
      <c r="ACR53" s="19"/>
      <c r="ACS53" s="19"/>
      <c r="ACT53" s="19"/>
      <c r="ACU53" s="19"/>
      <c r="ACV53" s="19"/>
      <c r="ACW53" s="19"/>
      <c r="ACX53" s="19"/>
      <c r="ACY53" s="19"/>
      <c r="ACZ53" s="19"/>
      <c r="ADA53" s="19"/>
      <c r="ADB53" s="19"/>
      <c r="ADC53" s="19"/>
      <c r="ADD53" s="19"/>
      <c r="ADE53" s="19"/>
      <c r="ADF53" s="19"/>
      <c r="ADG53" s="19"/>
      <c r="ADH53" s="19"/>
      <c r="ADI53" s="19"/>
      <c r="ADJ53" s="19"/>
      <c r="ADK53" s="19"/>
      <c r="ADL53" s="19"/>
      <c r="ADM53" s="19"/>
      <c r="ADN53" s="19"/>
      <c r="ADO53" s="19"/>
      <c r="ADP53" s="19"/>
      <c r="ADQ53" s="19"/>
      <c r="ADR53" s="19"/>
      <c r="ADS53" s="19"/>
      <c r="ADT53" s="19"/>
      <c r="ADU53" s="19"/>
      <c r="ADV53" s="19"/>
      <c r="ADW53" s="19"/>
      <c r="ADX53" s="19"/>
      <c r="ADY53" s="19"/>
      <c r="ADZ53" s="19"/>
      <c r="AEA53" s="19"/>
      <c r="AEB53" s="19"/>
      <c r="AEC53" s="19"/>
      <c r="AED53" s="19"/>
      <c r="AEE53" s="19"/>
      <c r="AEF53" s="19"/>
      <c r="AEG53" s="19"/>
      <c r="AEH53" s="19"/>
      <c r="AEI53" s="19"/>
      <c r="AEJ53" s="19"/>
      <c r="AEK53" s="19"/>
      <c r="AEL53" s="19"/>
      <c r="AEM53" s="19"/>
      <c r="AEN53" s="19"/>
      <c r="AEO53" s="19"/>
      <c r="AEP53" s="19"/>
      <c r="AEQ53" s="19"/>
      <c r="AER53" s="19"/>
      <c r="AES53" s="19"/>
      <c r="AET53" s="19"/>
      <c r="AEU53" s="19"/>
      <c r="AEV53" s="19"/>
      <c r="AEW53" s="19"/>
      <c r="AEX53" s="19"/>
      <c r="AEY53" s="19"/>
      <c r="AEZ53" s="19"/>
      <c r="AFA53" s="19"/>
      <c r="AFB53" s="19"/>
      <c r="AFC53" s="19"/>
      <c r="AFD53" s="19"/>
      <c r="AFE53" s="19"/>
      <c r="AFF53" s="19"/>
      <c r="AFG53" s="19"/>
      <c r="AFH53" s="19"/>
      <c r="AFI53" s="19"/>
      <c r="AFJ53" s="19"/>
      <c r="AFK53" s="19"/>
      <c r="AFL53" s="19"/>
      <c r="AFM53" s="19"/>
      <c r="AFN53" s="19"/>
      <c r="AFO53" s="19"/>
      <c r="AFP53" s="19"/>
      <c r="AFQ53" s="19"/>
      <c r="AFR53" s="19"/>
      <c r="AFS53" s="19"/>
      <c r="AFT53" s="19"/>
      <c r="AFU53" s="19"/>
      <c r="AFV53" s="19"/>
      <c r="AFW53" s="19"/>
      <c r="AFX53" s="19"/>
      <c r="AFY53" s="19"/>
      <c r="AFZ53" s="19"/>
      <c r="AGA53" s="19"/>
      <c r="AGB53" s="19"/>
      <c r="AGC53" s="19"/>
      <c r="AGD53" s="19"/>
      <c r="AGE53" s="19"/>
      <c r="AGF53" s="19"/>
      <c r="AGG53" s="19"/>
      <c r="AGH53" s="19"/>
      <c r="AGI53" s="19"/>
      <c r="AGJ53" s="19"/>
      <c r="AGK53" s="19"/>
      <c r="AGL53" s="19"/>
      <c r="AGM53" s="19"/>
      <c r="AGN53" s="19"/>
      <c r="AGO53" s="19"/>
      <c r="AGP53" s="19"/>
      <c r="AGQ53" s="19"/>
      <c r="AGR53" s="19"/>
      <c r="AGS53" s="19"/>
      <c r="AGT53" s="19"/>
      <c r="AGU53" s="19"/>
      <c r="AGV53" s="19"/>
      <c r="AGW53" s="19"/>
      <c r="AGX53" s="19"/>
      <c r="AGY53" s="19"/>
      <c r="AGZ53" s="19"/>
      <c r="AHA53" s="19"/>
      <c r="AHB53" s="19"/>
      <c r="AHC53" s="19"/>
      <c r="AHD53" s="19"/>
      <c r="AHE53" s="19"/>
      <c r="AHF53" s="19"/>
      <c r="AHG53" s="19"/>
      <c r="AHH53" s="19"/>
      <c r="AHI53" s="19"/>
      <c r="AHJ53" s="19"/>
      <c r="AHK53" s="19"/>
      <c r="AHL53" s="19"/>
      <c r="AHM53" s="19"/>
      <c r="AHN53" s="19"/>
      <c r="AHO53" s="19"/>
      <c r="AHP53" s="19"/>
      <c r="AHQ53" s="19"/>
      <c r="AHR53" s="19"/>
      <c r="AHS53" s="19"/>
      <c r="AHT53" s="19"/>
      <c r="AHU53" s="19"/>
      <c r="AHV53" s="19"/>
      <c r="AHW53" s="19"/>
      <c r="AHX53" s="19"/>
      <c r="AHY53" s="19"/>
      <c r="AHZ53" s="19"/>
      <c r="AIA53" s="19"/>
      <c r="AIB53" s="19"/>
      <c r="AIC53" s="19"/>
      <c r="AID53" s="19"/>
      <c r="AIE53" s="19"/>
      <c r="AIF53" s="19"/>
      <c r="AIG53" s="19"/>
      <c r="AIH53" s="19"/>
      <c r="AII53" s="19"/>
      <c r="AIJ53" s="19"/>
      <c r="AIK53" s="19"/>
      <c r="AIL53" s="19"/>
      <c r="AIM53" s="19"/>
      <c r="AIN53" s="19"/>
      <c r="AIO53" s="19"/>
      <c r="AIP53" s="19"/>
      <c r="AIQ53" s="19"/>
      <c r="AIR53" s="19"/>
      <c r="AIS53" s="19"/>
      <c r="AIT53" s="19"/>
      <c r="AIU53" s="19"/>
      <c r="AIV53" s="19"/>
      <c r="AIW53" s="19"/>
      <c r="AIX53" s="19"/>
      <c r="AIY53" s="19"/>
      <c r="AIZ53" s="19"/>
      <c r="AJA53" s="19"/>
      <c r="AJB53" s="19"/>
      <c r="AJC53" s="19"/>
      <c r="AJD53" s="19"/>
      <c r="AJE53" s="19"/>
      <c r="AJF53" s="19"/>
      <c r="AJG53" s="19"/>
      <c r="AJH53" s="19"/>
      <c r="AJI53" s="19"/>
      <c r="AJJ53" s="19"/>
      <c r="AJK53" s="19"/>
      <c r="AJL53" s="19"/>
      <c r="AJM53" s="19"/>
      <c r="AJN53" s="19"/>
      <c r="AJO53" s="19"/>
      <c r="AJP53" s="19"/>
      <c r="AJQ53" s="19"/>
      <c r="AJR53" s="19"/>
      <c r="AJS53" s="19"/>
      <c r="AJT53" s="19"/>
      <c r="AJU53" s="19"/>
      <c r="AJV53" s="19"/>
      <c r="AJW53" s="19"/>
      <c r="AJX53" s="19"/>
      <c r="AJY53" s="19"/>
      <c r="AJZ53" s="19"/>
      <c r="AKA53" s="19"/>
      <c r="AKB53" s="19"/>
      <c r="AKC53" s="19"/>
      <c r="AKD53" s="19"/>
      <c r="AKE53" s="19"/>
      <c r="AKF53" s="19"/>
      <c r="AKG53" s="19"/>
      <c r="AKH53" s="19"/>
      <c r="AKI53" s="19"/>
      <c r="AKJ53" s="19"/>
      <c r="AKK53" s="19"/>
    </row>
    <row r="54" spans="2:973" ht="15" thickTop="1">
      <c r="B54" s="264" t="s">
        <v>95</v>
      </c>
      <c r="C54" s="139" t="s">
        <v>96</v>
      </c>
      <c r="D54" s="120" t="s">
        <v>97</v>
      </c>
      <c r="E54" s="147" t="s">
        <v>24</v>
      </c>
      <c r="F54" s="120" t="s">
        <v>98</v>
      </c>
      <c r="G54" s="128" t="s">
        <v>99</v>
      </c>
      <c r="H54" s="129">
        <v>48</v>
      </c>
      <c r="I54" s="129"/>
      <c r="J54" s="124">
        <v>480000</v>
      </c>
      <c r="K54" s="129">
        <v>100000</v>
      </c>
      <c r="L54" s="129">
        <v>100000</v>
      </c>
      <c r="M54" s="129">
        <v>100000</v>
      </c>
      <c r="N54" s="129">
        <v>100000</v>
      </c>
      <c r="O54" s="129">
        <v>70000</v>
      </c>
      <c r="P54" s="148">
        <f>SUM(K54:O54)</f>
        <v>470000</v>
      </c>
      <c r="Q54" s="123">
        <v>3460000</v>
      </c>
      <c r="R54" s="115" t="s">
        <v>100</v>
      </c>
      <c r="T54" s="103"/>
      <c r="U54" s="103"/>
    </row>
    <row r="55" spans="2:973">
      <c r="B55" s="225"/>
      <c r="C55" s="149"/>
      <c r="D55" s="228" t="s">
        <v>101</v>
      </c>
      <c r="E55" s="147"/>
      <c r="F55" s="120"/>
      <c r="G55" s="128"/>
      <c r="H55" s="129"/>
      <c r="I55" s="129"/>
      <c r="J55" s="124"/>
      <c r="K55" s="129"/>
      <c r="L55" s="129"/>
      <c r="M55" s="129"/>
      <c r="N55" s="129"/>
      <c r="O55" s="129"/>
      <c r="P55" s="123"/>
      <c r="Q55" s="123"/>
      <c r="R55" s="115"/>
      <c r="U55" s="103"/>
    </row>
    <row r="56" spans="2:973" s="125" customFormat="1" ht="15" thickBot="1">
      <c r="B56" s="225"/>
      <c r="C56" s="149"/>
      <c r="D56" s="265"/>
      <c r="E56" s="147"/>
      <c r="F56" s="120"/>
      <c r="G56" s="128"/>
      <c r="H56" s="129"/>
      <c r="I56" s="129"/>
      <c r="J56" s="124"/>
      <c r="K56" s="129"/>
      <c r="L56" s="129"/>
      <c r="M56" s="129"/>
      <c r="N56" s="129"/>
      <c r="O56" s="129"/>
      <c r="P56" s="123"/>
      <c r="Q56" s="123"/>
      <c r="R56" s="115"/>
      <c r="S56" s="19"/>
      <c r="T56" s="19"/>
      <c r="U56" s="103"/>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c r="CK56" s="19"/>
      <c r="CL56" s="19"/>
      <c r="CM56" s="19"/>
      <c r="CN56" s="19"/>
      <c r="CO56" s="19"/>
      <c r="CP56" s="19"/>
      <c r="CQ56" s="19"/>
      <c r="CR56" s="19"/>
      <c r="CS56" s="19"/>
      <c r="CT56" s="19"/>
      <c r="CU56" s="19"/>
      <c r="CV56" s="19"/>
      <c r="CW56" s="19"/>
      <c r="CX56" s="19"/>
      <c r="CY56" s="19"/>
      <c r="CZ56" s="19"/>
      <c r="DA56" s="19"/>
      <c r="DB56" s="19"/>
      <c r="DC56" s="19"/>
      <c r="DD56" s="19"/>
      <c r="DE56" s="19"/>
      <c r="DF56" s="19"/>
      <c r="DG56" s="19"/>
      <c r="DH56" s="19"/>
      <c r="DI56" s="19"/>
      <c r="DJ56" s="19"/>
      <c r="DK56" s="19"/>
      <c r="DL56" s="19"/>
      <c r="DM56" s="19"/>
      <c r="DN56" s="19"/>
      <c r="DO56" s="19"/>
      <c r="DP56" s="19"/>
      <c r="DQ56" s="19"/>
      <c r="DR56" s="19"/>
      <c r="DS56" s="19"/>
      <c r="DT56" s="19"/>
      <c r="DU56" s="19"/>
      <c r="DV56" s="19"/>
      <c r="DW56" s="19"/>
      <c r="DX56" s="19"/>
      <c r="DY56" s="19"/>
      <c r="DZ56" s="19"/>
      <c r="EA56" s="19"/>
      <c r="EB56" s="19"/>
      <c r="EC56" s="19"/>
      <c r="ED56" s="19"/>
      <c r="EE56" s="19"/>
      <c r="EF56" s="19"/>
      <c r="EG56" s="19"/>
      <c r="EH56" s="19"/>
      <c r="EI56" s="19"/>
      <c r="EJ56" s="19"/>
      <c r="EK56" s="19"/>
      <c r="EL56" s="19"/>
      <c r="EM56" s="19"/>
      <c r="EN56" s="19"/>
      <c r="EO56" s="19"/>
      <c r="EP56" s="19"/>
      <c r="EQ56" s="19"/>
      <c r="ER56" s="19"/>
      <c r="ES56" s="19"/>
      <c r="ET56" s="19"/>
      <c r="EU56" s="19"/>
      <c r="EV56" s="19"/>
      <c r="EW56" s="19"/>
      <c r="EX56" s="19"/>
      <c r="EY56" s="19"/>
      <c r="EZ56" s="19"/>
      <c r="FA56" s="19"/>
      <c r="FB56" s="19"/>
      <c r="FC56" s="19"/>
      <c r="FD56" s="19"/>
      <c r="FE56" s="19"/>
      <c r="FF56" s="19"/>
      <c r="FG56" s="19"/>
      <c r="FH56" s="19"/>
      <c r="FI56" s="19"/>
      <c r="FJ56" s="19"/>
      <c r="FK56" s="19"/>
      <c r="FL56" s="19"/>
      <c r="FM56" s="19"/>
      <c r="FN56" s="19"/>
      <c r="FO56" s="19"/>
      <c r="FP56" s="19"/>
      <c r="FQ56" s="19"/>
      <c r="FR56" s="19"/>
      <c r="FS56" s="19"/>
      <c r="FT56" s="19"/>
      <c r="FU56" s="19"/>
      <c r="FV56" s="19"/>
      <c r="FW56" s="19"/>
      <c r="FX56" s="19"/>
      <c r="FY56" s="19"/>
      <c r="FZ56" s="19"/>
      <c r="GA56" s="19"/>
      <c r="GB56" s="19"/>
      <c r="GC56" s="19"/>
      <c r="GD56" s="19"/>
      <c r="GE56" s="19"/>
      <c r="GF56" s="19"/>
      <c r="GG56" s="19"/>
      <c r="GH56" s="19"/>
      <c r="GI56" s="19"/>
      <c r="GJ56" s="19"/>
      <c r="GK56" s="19"/>
      <c r="GL56" s="19"/>
      <c r="GM56" s="19"/>
      <c r="GN56" s="19"/>
      <c r="GO56" s="19"/>
      <c r="GP56" s="19"/>
      <c r="GQ56" s="19"/>
      <c r="GR56" s="19"/>
      <c r="GS56" s="19"/>
      <c r="GT56" s="19"/>
      <c r="GU56" s="19"/>
      <c r="GV56" s="19"/>
      <c r="GW56" s="19"/>
      <c r="GX56" s="19"/>
      <c r="GY56" s="19"/>
      <c r="GZ56" s="19"/>
      <c r="HA56" s="19"/>
      <c r="HB56" s="19"/>
      <c r="HC56" s="19"/>
      <c r="HD56" s="19"/>
      <c r="HE56" s="19"/>
      <c r="HF56" s="19"/>
      <c r="HG56" s="19"/>
      <c r="HH56" s="19"/>
      <c r="HI56" s="19"/>
      <c r="HJ56" s="19"/>
      <c r="HK56" s="19"/>
      <c r="HL56" s="19"/>
      <c r="HM56" s="19"/>
      <c r="HN56" s="19"/>
      <c r="HO56" s="19"/>
      <c r="HP56" s="19"/>
      <c r="HQ56" s="19"/>
      <c r="HR56" s="19"/>
      <c r="HS56" s="19"/>
      <c r="HT56" s="19"/>
      <c r="HU56" s="19"/>
      <c r="HV56" s="19"/>
      <c r="HW56" s="19"/>
      <c r="HX56" s="19"/>
      <c r="HY56" s="19"/>
      <c r="HZ56" s="19"/>
      <c r="IA56" s="19"/>
      <c r="IB56" s="19"/>
      <c r="IC56" s="19"/>
      <c r="ID56" s="19"/>
      <c r="IE56" s="19"/>
      <c r="IF56" s="19"/>
      <c r="IG56" s="19"/>
      <c r="IH56" s="19"/>
      <c r="II56" s="19"/>
      <c r="IJ56" s="19"/>
      <c r="IK56" s="19"/>
      <c r="IL56" s="19"/>
      <c r="IM56" s="19"/>
      <c r="IN56" s="19"/>
      <c r="IO56" s="19"/>
      <c r="IP56" s="19"/>
      <c r="IQ56" s="19"/>
      <c r="IR56" s="19"/>
      <c r="IS56" s="19"/>
      <c r="IT56" s="19"/>
      <c r="IU56" s="19"/>
      <c r="IV56" s="19"/>
      <c r="IW56" s="19"/>
      <c r="IX56" s="19"/>
      <c r="IY56" s="19"/>
      <c r="IZ56" s="19"/>
      <c r="JA56" s="19"/>
      <c r="JB56" s="19"/>
      <c r="JC56" s="19"/>
      <c r="JD56" s="19"/>
      <c r="JE56" s="19"/>
      <c r="JF56" s="19"/>
      <c r="JG56" s="19"/>
      <c r="JH56" s="19"/>
      <c r="JI56" s="19"/>
      <c r="JJ56" s="19"/>
      <c r="JK56" s="19"/>
      <c r="JL56" s="19"/>
      <c r="JM56" s="19"/>
      <c r="JN56" s="19"/>
      <c r="JO56" s="19"/>
      <c r="JP56" s="19"/>
      <c r="JQ56" s="19"/>
      <c r="JR56" s="19"/>
      <c r="JS56" s="19"/>
      <c r="JT56" s="19"/>
      <c r="JU56" s="19"/>
      <c r="JV56" s="19"/>
      <c r="JW56" s="19"/>
      <c r="JX56" s="19"/>
      <c r="JY56" s="19"/>
      <c r="JZ56" s="19"/>
      <c r="KA56" s="19"/>
      <c r="KB56" s="19"/>
      <c r="KC56" s="19"/>
      <c r="KD56" s="19"/>
      <c r="KE56" s="19"/>
      <c r="KF56" s="19"/>
      <c r="KG56" s="19"/>
      <c r="KH56" s="19"/>
      <c r="KI56" s="19"/>
      <c r="KJ56" s="19"/>
      <c r="KK56" s="19"/>
      <c r="KL56" s="19"/>
      <c r="KM56" s="19"/>
      <c r="KN56" s="19"/>
      <c r="KO56" s="19"/>
      <c r="KP56" s="19"/>
      <c r="KQ56" s="19"/>
      <c r="KR56" s="19"/>
      <c r="KS56" s="19"/>
      <c r="KT56" s="19"/>
      <c r="KU56" s="19"/>
      <c r="KV56" s="19"/>
      <c r="KW56" s="19"/>
      <c r="KX56" s="19"/>
      <c r="KY56" s="19"/>
      <c r="KZ56" s="19"/>
      <c r="LA56" s="19"/>
      <c r="LB56" s="19"/>
      <c r="LC56" s="19"/>
      <c r="LD56" s="19"/>
      <c r="LE56" s="19"/>
      <c r="LF56" s="19"/>
      <c r="LG56" s="19"/>
      <c r="LH56" s="19"/>
      <c r="LI56" s="19"/>
      <c r="LJ56" s="19"/>
      <c r="LK56" s="19"/>
      <c r="LL56" s="19"/>
      <c r="LM56" s="19"/>
      <c r="LN56" s="19"/>
      <c r="LO56" s="19"/>
      <c r="LP56" s="19"/>
      <c r="LQ56" s="19"/>
      <c r="LR56" s="19"/>
      <c r="LS56" s="19"/>
      <c r="LT56" s="19"/>
      <c r="LU56" s="19"/>
      <c r="LV56" s="19"/>
      <c r="LW56" s="19"/>
      <c r="LX56" s="19"/>
      <c r="LY56" s="19"/>
      <c r="LZ56" s="19"/>
      <c r="MA56" s="19"/>
      <c r="MB56" s="19"/>
      <c r="MC56" s="19"/>
      <c r="MD56" s="19"/>
      <c r="ME56" s="19"/>
      <c r="MF56" s="19"/>
      <c r="MG56" s="19"/>
      <c r="MH56" s="19"/>
      <c r="MI56" s="19"/>
      <c r="MJ56" s="19"/>
      <c r="MK56" s="19"/>
      <c r="ML56" s="19"/>
      <c r="MM56" s="19"/>
      <c r="MN56" s="19"/>
      <c r="MO56" s="19"/>
      <c r="MP56" s="19"/>
      <c r="MQ56" s="19"/>
      <c r="MR56" s="19"/>
      <c r="MS56" s="19"/>
      <c r="MT56" s="19"/>
      <c r="MU56" s="19"/>
      <c r="MV56" s="19"/>
      <c r="MW56" s="19"/>
      <c r="MX56" s="19"/>
      <c r="MY56" s="19"/>
      <c r="MZ56" s="19"/>
      <c r="NA56" s="19"/>
      <c r="NB56" s="19"/>
      <c r="NC56" s="19"/>
      <c r="ND56" s="19"/>
      <c r="NE56" s="19"/>
      <c r="NF56" s="19"/>
      <c r="NG56" s="19"/>
      <c r="NH56" s="19"/>
      <c r="NI56" s="19"/>
      <c r="NJ56" s="19"/>
      <c r="NK56" s="19"/>
      <c r="NL56" s="19"/>
      <c r="NM56" s="19"/>
      <c r="NN56" s="19"/>
      <c r="NO56" s="19"/>
      <c r="NP56" s="19"/>
      <c r="NQ56" s="19"/>
      <c r="NR56" s="19"/>
      <c r="NS56" s="19"/>
      <c r="NT56" s="19"/>
      <c r="NU56" s="19"/>
      <c r="NV56" s="19"/>
      <c r="NW56" s="19"/>
      <c r="NX56" s="19"/>
      <c r="NY56" s="19"/>
      <c r="NZ56" s="19"/>
      <c r="OA56" s="19"/>
      <c r="OB56" s="19"/>
      <c r="OC56" s="19"/>
      <c r="OD56" s="19"/>
      <c r="OE56" s="19"/>
      <c r="OF56" s="19"/>
      <c r="OG56" s="19"/>
      <c r="OH56" s="19"/>
      <c r="OI56" s="19"/>
      <c r="OJ56" s="19"/>
      <c r="OK56" s="19"/>
      <c r="OL56" s="19"/>
      <c r="OM56" s="19"/>
      <c r="ON56" s="19"/>
      <c r="OO56" s="19"/>
      <c r="OP56" s="19"/>
      <c r="OQ56" s="19"/>
      <c r="OR56" s="19"/>
      <c r="OS56" s="19"/>
      <c r="OT56" s="19"/>
      <c r="OU56" s="19"/>
      <c r="OV56" s="19"/>
      <c r="OW56" s="19"/>
      <c r="OX56" s="19"/>
      <c r="OY56" s="19"/>
      <c r="OZ56" s="19"/>
      <c r="PA56" s="19"/>
      <c r="PB56" s="19"/>
      <c r="PC56" s="19"/>
      <c r="PD56" s="19"/>
      <c r="PE56" s="19"/>
      <c r="PF56" s="19"/>
      <c r="PG56" s="19"/>
      <c r="PH56" s="19"/>
      <c r="PI56" s="19"/>
      <c r="PJ56" s="19"/>
      <c r="PK56" s="19"/>
      <c r="PL56" s="19"/>
      <c r="PM56" s="19"/>
      <c r="PN56" s="19"/>
      <c r="PO56" s="19"/>
      <c r="PP56" s="19"/>
      <c r="PQ56" s="19"/>
      <c r="PR56" s="19"/>
      <c r="PS56" s="19"/>
      <c r="PT56" s="19"/>
      <c r="PU56" s="19"/>
      <c r="PV56" s="19"/>
      <c r="PW56" s="19"/>
      <c r="PX56" s="19"/>
      <c r="PY56" s="19"/>
      <c r="PZ56" s="19"/>
      <c r="QA56" s="19"/>
      <c r="QB56" s="19"/>
      <c r="QC56" s="19"/>
      <c r="QD56" s="19"/>
      <c r="QE56" s="19"/>
      <c r="QF56" s="19"/>
      <c r="QG56" s="19"/>
      <c r="QH56" s="19"/>
      <c r="QI56" s="19"/>
      <c r="QJ56" s="19"/>
      <c r="QK56" s="19"/>
      <c r="QL56" s="19"/>
      <c r="QM56" s="19"/>
      <c r="QN56" s="19"/>
      <c r="QO56" s="19"/>
      <c r="QP56" s="19"/>
      <c r="QQ56" s="19"/>
      <c r="QR56" s="19"/>
      <c r="QS56" s="19"/>
      <c r="QT56" s="19"/>
      <c r="QU56" s="19"/>
      <c r="QV56" s="19"/>
      <c r="QW56" s="19"/>
      <c r="QX56" s="19"/>
      <c r="QY56" s="19"/>
      <c r="QZ56" s="19"/>
      <c r="RA56" s="19"/>
      <c r="RB56" s="19"/>
      <c r="RC56" s="19"/>
      <c r="RD56" s="19"/>
      <c r="RE56" s="19"/>
      <c r="RF56" s="19"/>
      <c r="RG56" s="19"/>
      <c r="RH56" s="19"/>
      <c r="RI56" s="19"/>
      <c r="RJ56" s="19"/>
      <c r="RK56" s="19"/>
      <c r="RL56" s="19"/>
      <c r="RM56" s="19"/>
      <c r="RN56" s="19"/>
      <c r="RO56" s="19"/>
      <c r="RP56" s="19"/>
      <c r="RQ56" s="19"/>
      <c r="RR56" s="19"/>
      <c r="RS56" s="19"/>
      <c r="RT56" s="19"/>
      <c r="RU56" s="19"/>
      <c r="RV56" s="19"/>
      <c r="RW56" s="19"/>
      <c r="RX56" s="19"/>
      <c r="RY56" s="19"/>
      <c r="RZ56" s="19"/>
      <c r="SA56" s="19"/>
      <c r="SB56" s="19"/>
      <c r="SC56" s="19"/>
      <c r="SD56" s="19"/>
      <c r="SE56" s="19"/>
      <c r="SF56" s="19"/>
      <c r="SG56" s="19"/>
      <c r="SH56" s="19"/>
      <c r="SI56" s="19"/>
      <c r="SJ56" s="19"/>
      <c r="SK56" s="19"/>
      <c r="SL56" s="19"/>
      <c r="SM56" s="19"/>
      <c r="SN56" s="19"/>
      <c r="SO56" s="19"/>
      <c r="SP56" s="19"/>
      <c r="SQ56" s="19"/>
      <c r="SR56" s="19"/>
      <c r="SS56" s="19"/>
      <c r="ST56" s="19"/>
      <c r="SU56" s="19"/>
      <c r="SV56" s="19"/>
      <c r="SW56" s="19"/>
      <c r="SX56" s="19"/>
      <c r="SY56" s="19"/>
      <c r="SZ56" s="19"/>
      <c r="TA56" s="19"/>
      <c r="TB56" s="19"/>
      <c r="TC56" s="19"/>
      <c r="TD56" s="19"/>
      <c r="TE56" s="19"/>
      <c r="TF56" s="19"/>
      <c r="TG56" s="19"/>
      <c r="TH56" s="19"/>
      <c r="TI56" s="19"/>
      <c r="TJ56" s="19"/>
      <c r="TK56" s="19"/>
      <c r="TL56" s="19"/>
      <c r="TM56" s="19"/>
      <c r="TN56" s="19"/>
      <c r="TO56" s="19"/>
      <c r="TP56" s="19"/>
      <c r="TQ56" s="19"/>
      <c r="TR56" s="19"/>
      <c r="TS56" s="19"/>
      <c r="TT56" s="19"/>
      <c r="TU56" s="19"/>
      <c r="TV56" s="19"/>
      <c r="TW56" s="19"/>
      <c r="TX56" s="19"/>
      <c r="TY56" s="19"/>
      <c r="TZ56" s="19"/>
      <c r="UA56" s="19"/>
      <c r="UB56" s="19"/>
      <c r="UC56" s="19"/>
      <c r="UD56" s="19"/>
      <c r="UE56" s="19"/>
      <c r="UF56" s="19"/>
      <c r="UG56" s="19"/>
      <c r="UH56" s="19"/>
      <c r="UI56" s="19"/>
      <c r="UJ56" s="19"/>
      <c r="UK56" s="19"/>
      <c r="UL56" s="19"/>
      <c r="UM56" s="19"/>
      <c r="UN56" s="19"/>
      <c r="UO56" s="19"/>
      <c r="UP56" s="19"/>
      <c r="UQ56" s="19"/>
      <c r="UR56" s="19"/>
      <c r="US56" s="19"/>
      <c r="UT56" s="19"/>
      <c r="UU56" s="19"/>
      <c r="UV56" s="19"/>
      <c r="UW56" s="19"/>
      <c r="UX56" s="19"/>
      <c r="UY56" s="19"/>
      <c r="UZ56" s="19"/>
      <c r="VA56" s="19"/>
      <c r="VB56" s="19"/>
      <c r="VC56" s="19"/>
      <c r="VD56" s="19"/>
      <c r="VE56" s="19"/>
      <c r="VF56" s="19"/>
      <c r="VG56" s="19"/>
      <c r="VH56" s="19"/>
      <c r="VI56" s="19"/>
      <c r="VJ56" s="19"/>
      <c r="VK56" s="19"/>
      <c r="VL56" s="19"/>
      <c r="VM56" s="19"/>
      <c r="VN56" s="19"/>
      <c r="VO56" s="19"/>
      <c r="VP56" s="19"/>
      <c r="VQ56" s="19"/>
      <c r="VR56" s="19"/>
      <c r="VS56" s="19"/>
      <c r="VT56" s="19"/>
      <c r="VU56" s="19"/>
      <c r="VV56" s="19"/>
      <c r="VW56" s="19"/>
      <c r="VX56" s="19"/>
      <c r="VY56" s="19"/>
      <c r="VZ56" s="19"/>
      <c r="WA56" s="19"/>
      <c r="WB56" s="19"/>
      <c r="WC56" s="19"/>
      <c r="WD56" s="19"/>
      <c r="WE56" s="19"/>
      <c r="WF56" s="19"/>
      <c r="WG56" s="19"/>
      <c r="WH56" s="19"/>
      <c r="WI56" s="19"/>
      <c r="WJ56" s="19"/>
      <c r="WK56" s="19"/>
      <c r="WL56" s="19"/>
      <c r="WM56" s="19"/>
      <c r="WN56" s="19"/>
      <c r="WO56" s="19"/>
      <c r="WP56" s="19"/>
      <c r="WQ56" s="19"/>
      <c r="WR56" s="19"/>
      <c r="WS56" s="19"/>
      <c r="WT56" s="19"/>
      <c r="WU56" s="19"/>
      <c r="WV56" s="19"/>
      <c r="WW56" s="19"/>
      <c r="WX56" s="19"/>
      <c r="WY56" s="19"/>
      <c r="WZ56" s="19"/>
      <c r="XA56" s="19"/>
      <c r="XB56" s="19"/>
      <c r="XC56" s="19"/>
      <c r="XD56" s="19"/>
      <c r="XE56" s="19"/>
      <c r="XF56" s="19"/>
      <c r="XG56" s="19"/>
      <c r="XH56" s="19"/>
      <c r="XI56" s="19"/>
      <c r="XJ56" s="19"/>
      <c r="XK56" s="19"/>
      <c r="XL56" s="19"/>
      <c r="XM56" s="19"/>
      <c r="XN56" s="19"/>
      <c r="XO56" s="19"/>
      <c r="XP56" s="19"/>
      <c r="XQ56" s="19"/>
      <c r="XR56" s="19"/>
      <c r="XS56" s="19"/>
      <c r="XT56" s="19"/>
      <c r="XU56" s="19"/>
      <c r="XV56" s="19"/>
      <c r="XW56" s="19"/>
      <c r="XX56" s="19"/>
      <c r="XY56" s="19"/>
      <c r="XZ56" s="19"/>
      <c r="YA56" s="19"/>
      <c r="YB56" s="19"/>
      <c r="YC56" s="19"/>
      <c r="YD56" s="19"/>
      <c r="YE56" s="19"/>
      <c r="YF56" s="19"/>
      <c r="YG56" s="19"/>
      <c r="YH56" s="19"/>
      <c r="YI56" s="19"/>
      <c r="YJ56" s="19"/>
      <c r="YK56" s="19"/>
      <c r="YL56" s="19"/>
      <c r="YM56" s="19"/>
      <c r="YN56" s="19"/>
      <c r="YO56" s="19"/>
      <c r="YP56" s="19"/>
      <c r="YQ56" s="19"/>
      <c r="YR56" s="19"/>
      <c r="YS56" s="19"/>
      <c r="YT56" s="19"/>
      <c r="YU56" s="19"/>
      <c r="YV56" s="19"/>
      <c r="YW56" s="19"/>
      <c r="YX56" s="19"/>
      <c r="YY56" s="19"/>
      <c r="YZ56" s="19"/>
      <c r="ZA56" s="19"/>
      <c r="ZB56" s="19"/>
      <c r="ZC56" s="19"/>
      <c r="ZD56" s="19"/>
      <c r="ZE56" s="19"/>
      <c r="ZF56" s="19"/>
      <c r="ZG56" s="19"/>
      <c r="ZH56" s="19"/>
      <c r="ZI56" s="19"/>
      <c r="ZJ56" s="19"/>
      <c r="ZK56" s="19"/>
      <c r="ZL56" s="19"/>
      <c r="ZM56" s="19"/>
      <c r="ZN56" s="19"/>
      <c r="ZO56" s="19"/>
      <c r="ZP56" s="19"/>
      <c r="ZQ56" s="19"/>
      <c r="ZR56" s="19"/>
      <c r="ZS56" s="19"/>
      <c r="ZT56" s="19"/>
      <c r="ZU56" s="19"/>
      <c r="ZV56" s="19"/>
      <c r="ZW56" s="19"/>
      <c r="ZX56" s="19"/>
      <c r="ZY56" s="19"/>
      <c r="ZZ56" s="19"/>
      <c r="AAA56" s="19"/>
      <c r="AAB56" s="19"/>
      <c r="AAC56" s="19"/>
      <c r="AAD56" s="19"/>
      <c r="AAE56" s="19"/>
      <c r="AAF56" s="19"/>
      <c r="AAG56" s="19"/>
      <c r="AAH56" s="19"/>
      <c r="AAI56" s="19"/>
      <c r="AAJ56" s="19"/>
      <c r="AAK56" s="19"/>
      <c r="AAL56" s="19"/>
      <c r="AAM56" s="19"/>
      <c r="AAN56" s="19"/>
      <c r="AAO56" s="19"/>
      <c r="AAP56" s="19"/>
      <c r="AAQ56" s="19"/>
      <c r="AAR56" s="19"/>
      <c r="AAS56" s="19"/>
      <c r="AAT56" s="19"/>
      <c r="AAU56" s="19"/>
      <c r="AAV56" s="19"/>
      <c r="AAW56" s="19"/>
      <c r="AAX56" s="19"/>
      <c r="AAY56" s="19"/>
      <c r="AAZ56" s="19"/>
      <c r="ABA56" s="19"/>
      <c r="ABB56" s="19"/>
      <c r="ABC56" s="19"/>
      <c r="ABD56" s="19"/>
      <c r="ABE56" s="19"/>
      <c r="ABF56" s="19"/>
      <c r="ABG56" s="19"/>
      <c r="ABH56" s="19"/>
      <c r="ABI56" s="19"/>
      <c r="ABJ56" s="19"/>
      <c r="ABK56" s="19"/>
      <c r="ABL56" s="19"/>
      <c r="ABM56" s="19"/>
      <c r="ABN56" s="19"/>
      <c r="ABO56" s="19"/>
      <c r="ABP56" s="19"/>
      <c r="ABQ56" s="19"/>
      <c r="ABR56" s="19"/>
      <c r="ABS56" s="19"/>
      <c r="ABT56" s="19"/>
      <c r="ABU56" s="19"/>
      <c r="ABV56" s="19"/>
      <c r="ABW56" s="19"/>
      <c r="ABX56" s="19"/>
      <c r="ABY56" s="19"/>
      <c r="ABZ56" s="19"/>
      <c r="ACA56" s="19"/>
      <c r="ACB56" s="19"/>
      <c r="ACC56" s="19"/>
      <c r="ACD56" s="19"/>
      <c r="ACE56" s="19"/>
      <c r="ACF56" s="19"/>
      <c r="ACG56" s="19"/>
      <c r="ACH56" s="19"/>
      <c r="ACI56" s="19"/>
      <c r="ACJ56" s="19"/>
      <c r="ACK56" s="19"/>
      <c r="ACL56" s="19"/>
      <c r="ACM56" s="19"/>
      <c r="ACN56" s="19"/>
      <c r="ACO56" s="19"/>
      <c r="ACP56" s="19"/>
      <c r="ACQ56" s="19"/>
      <c r="ACR56" s="19"/>
      <c r="ACS56" s="19"/>
      <c r="ACT56" s="19"/>
      <c r="ACU56" s="19"/>
      <c r="ACV56" s="19"/>
      <c r="ACW56" s="19"/>
      <c r="ACX56" s="19"/>
      <c r="ACY56" s="19"/>
      <c r="ACZ56" s="19"/>
      <c r="ADA56" s="19"/>
      <c r="ADB56" s="19"/>
      <c r="ADC56" s="19"/>
      <c r="ADD56" s="19"/>
      <c r="ADE56" s="19"/>
      <c r="ADF56" s="19"/>
      <c r="ADG56" s="19"/>
      <c r="ADH56" s="19"/>
      <c r="ADI56" s="19"/>
      <c r="ADJ56" s="19"/>
      <c r="ADK56" s="19"/>
      <c r="ADL56" s="19"/>
      <c r="ADM56" s="19"/>
      <c r="ADN56" s="19"/>
      <c r="ADO56" s="19"/>
      <c r="ADP56" s="19"/>
      <c r="ADQ56" s="19"/>
      <c r="ADR56" s="19"/>
      <c r="ADS56" s="19"/>
      <c r="ADT56" s="19"/>
      <c r="ADU56" s="19"/>
      <c r="ADV56" s="19"/>
      <c r="ADW56" s="19"/>
      <c r="ADX56" s="19"/>
      <c r="ADY56" s="19"/>
      <c r="ADZ56" s="19"/>
      <c r="AEA56" s="19"/>
      <c r="AEB56" s="19"/>
      <c r="AEC56" s="19"/>
      <c r="AED56" s="19"/>
      <c r="AEE56" s="19"/>
      <c r="AEF56" s="19"/>
      <c r="AEG56" s="19"/>
      <c r="AEH56" s="19"/>
      <c r="AEI56" s="19"/>
      <c r="AEJ56" s="19"/>
      <c r="AEK56" s="19"/>
      <c r="AEL56" s="19"/>
      <c r="AEM56" s="19"/>
      <c r="AEN56" s="19"/>
      <c r="AEO56" s="19"/>
      <c r="AEP56" s="19"/>
      <c r="AEQ56" s="19"/>
      <c r="AER56" s="19"/>
      <c r="AES56" s="19"/>
      <c r="AET56" s="19"/>
      <c r="AEU56" s="19"/>
      <c r="AEV56" s="19"/>
      <c r="AEW56" s="19"/>
      <c r="AEX56" s="19"/>
      <c r="AEY56" s="19"/>
      <c r="AEZ56" s="19"/>
      <c r="AFA56" s="19"/>
      <c r="AFB56" s="19"/>
      <c r="AFC56" s="19"/>
      <c r="AFD56" s="19"/>
      <c r="AFE56" s="19"/>
      <c r="AFF56" s="19"/>
      <c r="AFG56" s="19"/>
      <c r="AFH56" s="19"/>
      <c r="AFI56" s="19"/>
      <c r="AFJ56" s="19"/>
      <c r="AFK56" s="19"/>
      <c r="AFL56" s="19"/>
      <c r="AFM56" s="19"/>
      <c r="AFN56" s="19"/>
      <c r="AFO56" s="19"/>
      <c r="AFP56" s="19"/>
      <c r="AFQ56" s="19"/>
      <c r="AFR56" s="19"/>
      <c r="AFS56" s="19"/>
      <c r="AFT56" s="19"/>
      <c r="AFU56" s="19"/>
      <c r="AFV56" s="19"/>
      <c r="AFW56" s="19"/>
      <c r="AFX56" s="19"/>
      <c r="AFY56" s="19"/>
      <c r="AFZ56" s="19"/>
      <c r="AGA56" s="19"/>
      <c r="AGB56" s="19"/>
      <c r="AGC56" s="19"/>
      <c r="AGD56" s="19"/>
      <c r="AGE56" s="19"/>
      <c r="AGF56" s="19"/>
      <c r="AGG56" s="19"/>
      <c r="AGH56" s="19"/>
      <c r="AGI56" s="19"/>
      <c r="AGJ56" s="19"/>
      <c r="AGK56" s="19"/>
      <c r="AGL56" s="19"/>
      <c r="AGM56" s="19"/>
      <c r="AGN56" s="19"/>
      <c r="AGO56" s="19"/>
      <c r="AGP56" s="19"/>
      <c r="AGQ56" s="19"/>
      <c r="AGR56" s="19"/>
      <c r="AGS56" s="19"/>
      <c r="AGT56" s="19"/>
      <c r="AGU56" s="19"/>
      <c r="AGV56" s="19"/>
      <c r="AGW56" s="19"/>
      <c r="AGX56" s="19"/>
      <c r="AGY56" s="19"/>
      <c r="AGZ56" s="19"/>
      <c r="AHA56" s="19"/>
      <c r="AHB56" s="19"/>
      <c r="AHC56" s="19"/>
      <c r="AHD56" s="19"/>
      <c r="AHE56" s="19"/>
      <c r="AHF56" s="19"/>
      <c r="AHG56" s="19"/>
      <c r="AHH56" s="19"/>
      <c r="AHI56" s="19"/>
      <c r="AHJ56" s="19"/>
      <c r="AHK56" s="19"/>
      <c r="AHL56" s="19"/>
      <c r="AHM56" s="19"/>
      <c r="AHN56" s="19"/>
      <c r="AHO56" s="19"/>
      <c r="AHP56" s="19"/>
      <c r="AHQ56" s="19"/>
      <c r="AHR56" s="19"/>
      <c r="AHS56" s="19"/>
      <c r="AHT56" s="19"/>
      <c r="AHU56" s="19"/>
      <c r="AHV56" s="19"/>
      <c r="AHW56" s="19"/>
      <c r="AHX56" s="19"/>
      <c r="AHY56" s="19"/>
      <c r="AHZ56" s="19"/>
      <c r="AIA56" s="19"/>
      <c r="AIB56" s="19"/>
      <c r="AIC56" s="19"/>
      <c r="AID56" s="19"/>
      <c r="AIE56" s="19"/>
      <c r="AIF56" s="19"/>
      <c r="AIG56" s="19"/>
      <c r="AIH56" s="19"/>
      <c r="AII56" s="19"/>
      <c r="AIJ56" s="19"/>
      <c r="AIK56" s="19"/>
      <c r="AIL56" s="19"/>
      <c r="AIM56" s="19"/>
      <c r="AIN56" s="19"/>
      <c r="AIO56" s="19"/>
      <c r="AIP56" s="19"/>
      <c r="AIQ56" s="19"/>
      <c r="AIR56" s="19"/>
      <c r="AIS56" s="19"/>
      <c r="AIT56" s="19"/>
      <c r="AIU56" s="19"/>
      <c r="AIV56" s="19"/>
      <c r="AIW56" s="19"/>
      <c r="AIX56" s="19"/>
      <c r="AIY56" s="19"/>
      <c r="AIZ56" s="19"/>
      <c r="AJA56" s="19"/>
      <c r="AJB56" s="19"/>
      <c r="AJC56" s="19"/>
      <c r="AJD56" s="19"/>
      <c r="AJE56" s="19"/>
      <c r="AJF56" s="19"/>
      <c r="AJG56" s="19"/>
      <c r="AJH56" s="19"/>
      <c r="AJI56" s="19"/>
      <c r="AJJ56" s="19"/>
      <c r="AJK56" s="19"/>
      <c r="AJL56" s="19"/>
      <c r="AJM56" s="19"/>
      <c r="AJN56" s="19"/>
      <c r="AJO56" s="19"/>
      <c r="AJP56" s="19"/>
      <c r="AJQ56" s="19"/>
      <c r="AJR56" s="19"/>
      <c r="AJS56" s="19"/>
      <c r="AJT56" s="19"/>
      <c r="AJU56" s="19"/>
      <c r="AJV56" s="19"/>
      <c r="AJW56" s="19"/>
      <c r="AJX56" s="19"/>
      <c r="AJY56" s="19"/>
      <c r="AJZ56" s="19"/>
      <c r="AKA56" s="19"/>
      <c r="AKB56" s="19"/>
      <c r="AKC56" s="19"/>
      <c r="AKD56" s="19"/>
      <c r="AKE56" s="19"/>
      <c r="AKF56" s="19"/>
      <c r="AKG56" s="19"/>
      <c r="AKH56" s="19"/>
      <c r="AKI56" s="19"/>
      <c r="AKJ56" s="19"/>
      <c r="AKK56" s="19"/>
    </row>
    <row r="57" spans="2:973" ht="15.75" thickTop="1" thickBot="1">
      <c r="B57" s="225"/>
      <c r="C57" s="150" t="s">
        <v>102</v>
      </c>
      <c r="D57" s="151"/>
      <c r="E57" s="152"/>
      <c r="F57" s="153"/>
      <c r="G57" s="154"/>
      <c r="H57" s="155"/>
      <c r="I57" s="155"/>
      <c r="J57" s="156">
        <f>SUM(J54:J56)</f>
        <v>480000</v>
      </c>
      <c r="K57" s="156"/>
      <c r="L57" s="156"/>
      <c r="M57" s="156"/>
      <c r="N57" s="156"/>
      <c r="O57" s="156"/>
      <c r="P57" s="156">
        <f>SUM(P54:P55)</f>
        <v>470000</v>
      </c>
      <c r="Q57" s="156">
        <f>SUM(Q54:Q55)</f>
        <v>3460000</v>
      </c>
      <c r="R57" s="157"/>
      <c r="U57" s="103"/>
    </row>
    <row r="58" spans="2:973" ht="22.5" customHeight="1" thickBot="1">
      <c r="B58" s="158"/>
      <c r="C58" s="159" t="s">
        <v>103</v>
      </c>
      <c r="D58" s="160"/>
      <c r="E58" s="161"/>
      <c r="F58" s="161"/>
      <c r="G58" s="162"/>
      <c r="H58" s="163"/>
      <c r="I58" s="163"/>
      <c r="J58" s="164">
        <f>SUM(J57,J52,J50,J47,J44,J43,J41,J40,J39,J37,J36,J35,J34,J31,J29,J28,J26,J24,J23,J21,J20,J16,J14,J13,J12,J10,J8,J7)</f>
        <v>10004500</v>
      </c>
      <c r="K58" s="163"/>
      <c r="L58" s="163"/>
      <c r="M58" s="163"/>
      <c r="N58" s="163"/>
      <c r="O58" s="163"/>
      <c r="P58" s="165">
        <f>P57+P53+P49+P46+P42+P38+P32+P17</f>
        <v>9994500</v>
      </c>
      <c r="Q58" s="165">
        <f>Q17+Q32+Q38+Q42+Q46+Q49+Q53+Q57</f>
        <v>21727000</v>
      </c>
      <c r="R58" s="166"/>
      <c r="T58" s="103"/>
      <c r="U58" s="103"/>
      <c r="V58" s="103"/>
    </row>
    <row r="59" spans="2:973">
      <c r="B59" s="167"/>
      <c r="C59" s="167"/>
      <c r="D59" s="168"/>
      <c r="E59" s="169"/>
      <c r="F59" s="169"/>
      <c r="G59" s="170"/>
      <c r="H59" s="171"/>
      <c r="I59" s="171"/>
      <c r="J59" s="172"/>
      <c r="K59" s="171"/>
      <c r="L59" s="171"/>
      <c r="M59" s="171"/>
      <c r="N59" s="171"/>
      <c r="O59" s="171"/>
      <c r="P59" s="171"/>
      <c r="Q59" s="171"/>
      <c r="R59" s="173"/>
      <c r="T59" s="103"/>
      <c r="U59" s="103"/>
    </row>
    <row r="60" spans="2:973">
      <c r="B60" s="167"/>
      <c r="C60" s="174"/>
      <c r="D60" s="175"/>
      <c r="E60" s="169"/>
      <c r="F60" s="169"/>
      <c r="G60" s="170"/>
      <c r="H60" s="171"/>
      <c r="I60" s="171"/>
      <c r="J60" s="176"/>
      <c r="K60" s="171"/>
      <c r="L60" s="171"/>
      <c r="M60" s="171"/>
      <c r="N60" s="171"/>
      <c r="O60" s="177"/>
      <c r="P60" s="171"/>
      <c r="Q60" s="171"/>
      <c r="R60" s="173"/>
      <c r="U60" s="103"/>
    </row>
    <row r="61" spans="2:973">
      <c r="B61" s="167"/>
      <c r="C61" s="167"/>
      <c r="D61" s="175"/>
      <c r="E61" s="169"/>
      <c r="F61" s="169"/>
      <c r="G61" s="170"/>
      <c r="H61" s="171"/>
      <c r="I61" s="171"/>
      <c r="J61" s="172"/>
      <c r="K61" s="171"/>
      <c r="L61" s="171"/>
      <c r="M61" s="171"/>
      <c r="N61" s="171"/>
      <c r="O61" s="171"/>
      <c r="P61" s="171"/>
      <c r="Q61" s="171"/>
      <c r="R61" s="173"/>
      <c r="T61" s="103"/>
      <c r="U61" s="103"/>
      <c r="V61" s="103"/>
    </row>
    <row r="62" spans="2:973">
      <c r="B62" s="167"/>
      <c r="C62" s="167"/>
      <c r="D62" s="178"/>
      <c r="E62" s="179"/>
      <c r="F62" s="62"/>
      <c r="G62" s="62"/>
      <c r="H62" s="62"/>
      <c r="I62" s="62"/>
      <c r="J62" s="62"/>
      <c r="K62" s="62"/>
      <c r="L62" s="62"/>
      <c r="M62" s="62"/>
      <c r="N62" s="62"/>
      <c r="O62" s="62"/>
      <c r="P62" s="62"/>
      <c r="Q62" s="62"/>
      <c r="R62" s="62"/>
    </row>
    <row r="63" spans="2:973">
      <c r="B63" s="167"/>
      <c r="C63" s="167"/>
      <c r="D63" s="178"/>
      <c r="E63" s="179"/>
      <c r="F63" s="62"/>
      <c r="G63" s="62"/>
      <c r="H63" s="62"/>
      <c r="I63" s="62"/>
      <c r="J63" s="62"/>
      <c r="K63" s="62"/>
      <c r="L63" s="180"/>
      <c r="M63" s="181"/>
      <c r="N63" s="181"/>
      <c r="O63" s="62"/>
      <c r="P63" s="62"/>
      <c r="Q63" s="62"/>
      <c r="R63" s="62"/>
    </row>
    <row r="64" spans="2:973">
      <c r="B64" s="167"/>
      <c r="C64" s="167"/>
      <c r="D64" s="178"/>
      <c r="E64" s="179"/>
      <c r="F64" s="62"/>
      <c r="G64" s="62"/>
      <c r="H64" s="62"/>
      <c r="I64" s="62"/>
      <c r="J64" s="62"/>
      <c r="K64" s="62"/>
      <c r="L64" s="180"/>
      <c r="M64" s="62"/>
      <c r="N64" s="62"/>
      <c r="O64" s="62"/>
      <c r="P64" s="62"/>
      <c r="Q64" s="62"/>
      <c r="R64" s="62"/>
    </row>
    <row r="65" spans="2:12">
      <c r="L65" s="182"/>
    </row>
    <row r="66" spans="2:12">
      <c r="L66" s="182"/>
    </row>
    <row r="67" spans="2:12">
      <c r="B67" s="183" t="s">
        <v>104</v>
      </c>
      <c r="L67" s="182"/>
    </row>
    <row r="68" spans="2:12" ht="15">
      <c r="L68" s="184"/>
    </row>
  </sheetData>
  <autoFilter ref="E1:E65"/>
  <mergeCells count="169">
    <mergeCell ref="R50:R51"/>
    <mergeCell ref="B54:B57"/>
    <mergeCell ref="D55:D56"/>
    <mergeCell ref="K50:K51"/>
    <mergeCell ref="L50:L51"/>
    <mergeCell ref="M50:M51"/>
    <mergeCell ref="N50:N51"/>
    <mergeCell ref="O50:O51"/>
    <mergeCell ref="P50:P51"/>
    <mergeCell ref="B43:B53"/>
    <mergeCell ref="C43:C46"/>
    <mergeCell ref="C50:C53"/>
    <mergeCell ref="D50:D51"/>
    <mergeCell ref="E50:E51"/>
    <mergeCell ref="F50:F51"/>
    <mergeCell ref="G50:G51"/>
    <mergeCell ref="H50:H51"/>
    <mergeCell ref="I50:I51"/>
    <mergeCell ref="J50:J51"/>
    <mergeCell ref="J47:J48"/>
    <mergeCell ref="N44:N45"/>
    <mergeCell ref="O44:O45"/>
    <mergeCell ref="P44:P45"/>
    <mergeCell ref="R44:R45"/>
    <mergeCell ref="K44:K45"/>
    <mergeCell ref="L44:L45"/>
    <mergeCell ref="M44:M45"/>
    <mergeCell ref="D44:D45"/>
    <mergeCell ref="E44:E45"/>
    <mergeCell ref="F44:F45"/>
    <mergeCell ref="G44:G45"/>
    <mergeCell ref="P47:P48"/>
    <mergeCell ref="R47:R48"/>
    <mergeCell ref="K47:K48"/>
    <mergeCell ref="L47:L48"/>
    <mergeCell ref="M47:M48"/>
    <mergeCell ref="N47:N48"/>
    <mergeCell ref="O47:O48"/>
    <mergeCell ref="D47:D48"/>
    <mergeCell ref="E47:E48"/>
    <mergeCell ref="F47:F48"/>
    <mergeCell ref="G47:G48"/>
    <mergeCell ref="H47:H48"/>
    <mergeCell ref="I47:I48"/>
    <mergeCell ref="H44:H45"/>
    <mergeCell ref="I44:I45"/>
    <mergeCell ref="J44:J45"/>
    <mergeCell ref="R32:R33"/>
    <mergeCell ref="C34:C38"/>
    <mergeCell ref="D36:D37"/>
    <mergeCell ref="B39:B42"/>
    <mergeCell ref="C39:C42"/>
    <mergeCell ref="D39:D40"/>
    <mergeCell ref="K32:K33"/>
    <mergeCell ref="L32:L33"/>
    <mergeCell ref="M32:M33"/>
    <mergeCell ref="N32:N33"/>
    <mergeCell ref="O32:O33"/>
    <mergeCell ref="P32:P33"/>
    <mergeCell ref="D32:D33"/>
    <mergeCell ref="E32:E33"/>
    <mergeCell ref="F32:F33"/>
    <mergeCell ref="G32:G33"/>
    <mergeCell ref="H32:H33"/>
    <mergeCell ref="I32:I33"/>
    <mergeCell ref="J32:J33"/>
    <mergeCell ref="I29:I30"/>
    <mergeCell ref="J29:J30"/>
    <mergeCell ref="O26:O27"/>
    <mergeCell ref="P26:P27"/>
    <mergeCell ref="R26:R27"/>
    <mergeCell ref="D28:D30"/>
    <mergeCell ref="E29:E30"/>
    <mergeCell ref="F29:F30"/>
    <mergeCell ref="G29:G30"/>
    <mergeCell ref="H29:H30"/>
    <mergeCell ref="O29:O30"/>
    <mergeCell ref="P29:P30"/>
    <mergeCell ref="R29:R30"/>
    <mergeCell ref="K29:K30"/>
    <mergeCell ref="L29:L30"/>
    <mergeCell ref="M29:M30"/>
    <mergeCell ref="N29:N30"/>
    <mergeCell ref="I21:I22"/>
    <mergeCell ref="J21:J22"/>
    <mergeCell ref="K21:K22"/>
    <mergeCell ref="L21:L22"/>
    <mergeCell ref="M21:M22"/>
    <mergeCell ref="N21:N22"/>
    <mergeCell ref="R24:R25"/>
    <mergeCell ref="D26:D27"/>
    <mergeCell ref="E26:E27"/>
    <mergeCell ref="F26:F27"/>
    <mergeCell ref="G26:G27"/>
    <mergeCell ref="H26:H27"/>
    <mergeCell ref="I26:I27"/>
    <mergeCell ref="J26:J27"/>
    <mergeCell ref="K26:K27"/>
    <mergeCell ref="L26:L27"/>
    <mergeCell ref="K24:K25"/>
    <mergeCell ref="L24:L25"/>
    <mergeCell ref="M24:M25"/>
    <mergeCell ref="N24:N25"/>
    <mergeCell ref="O24:O25"/>
    <mergeCell ref="P24:P25"/>
    <mergeCell ref="M26:M27"/>
    <mergeCell ref="N26:N27"/>
    <mergeCell ref="R14:R15"/>
    <mergeCell ref="D17:D19"/>
    <mergeCell ref="C20:C33"/>
    <mergeCell ref="D20:D22"/>
    <mergeCell ref="E21:E22"/>
    <mergeCell ref="F21:F22"/>
    <mergeCell ref="G21:G22"/>
    <mergeCell ref="H21:H22"/>
    <mergeCell ref="I14:I15"/>
    <mergeCell ref="J14:J15"/>
    <mergeCell ref="K14:K15"/>
    <mergeCell ref="L14:L15"/>
    <mergeCell ref="M14:M15"/>
    <mergeCell ref="N14:N15"/>
    <mergeCell ref="O21:O22"/>
    <mergeCell ref="P21:P22"/>
    <mergeCell ref="R21:R22"/>
    <mergeCell ref="D23:D25"/>
    <mergeCell ref="E24:E25"/>
    <mergeCell ref="F24:F25"/>
    <mergeCell ref="G24:G25"/>
    <mergeCell ref="H24:H25"/>
    <mergeCell ref="I24:I25"/>
    <mergeCell ref="J24:J25"/>
    <mergeCell ref="M8:M9"/>
    <mergeCell ref="N8:N9"/>
    <mergeCell ref="L10:L11"/>
    <mergeCell ref="M10:M11"/>
    <mergeCell ref="N10:N11"/>
    <mergeCell ref="O10:O11"/>
    <mergeCell ref="P10:P11"/>
    <mergeCell ref="D14:D15"/>
    <mergeCell ref="E14:E15"/>
    <mergeCell ref="F14:F15"/>
    <mergeCell ref="G14:G15"/>
    <mergeCell ref="H14:H15"/>
    <mergeCell ref="O14:O15"/>
    <mergeCell ref="P14:P15"/>
    <mergeCell ref="G4:J4"/>
    <mergeCell ref="K4:P4"/>
    <mergeCell ref="R4:R6"/>
    <mergeCell ref="B7:B38"/>
    <mergeCell ref="C7:C19"/>
    <mergeCell ref="D8:D9"/>
    <mergeCell ref="E8:E9"/>
    <mergeCell ref="F8:F9"/>
    <mergeCell ref="G8:G9"/>
    <mergeCell ref="H8:H9"/>
    <mergeCell ref="O8:O9"/>
    <mergeCell ref="P8:P9"/>
    <mergeCell ref="D10:D11"/>
    <mergeCell ref="E10:E11"/>
    <mergeCell ref="F10:F11"/>
    <mergeCell ref="G10:G11"/>
    <mergeCell ref="H10:H11"/>
    <mergeCell ref="I10:I11"/>
    <mergeCell ref="J10:J11"/>
    <mergeCell ref="K10:K11"/>
    <mergeCell ref="I8:I9"/>
    <mergeCell ref="J8:J9"/>
    <mergeCell ref="K8:K9"/>
    <mergeCell ref="L8:L9"/>
  </mergeCells>
  <dataValidations count="8">
    <dataValidation type="list" allowBlank="1" showInputMessage="1" showErrorMessage="1" sqref="C43:C45 C47 C34 C39 C50 C59 C54:C57 C61:C64 C20">
      <formula1>Outputs</formula1>
    </dataValidation>
    <dataValidation type="list" allowBlank="1" showInputMessage="1" showErrorMessage="1" sqref="B43:B45 B39 B59:B64 B54:B55">
      <formula1>Components</formula1>
    </dataValidation>
    <dataValidation type="list" allowBlank="1" showInputMessage="1" showErrorMessage="1" prompt="Please select Budget Categories" sqref="F12 F7">
      <formula1>Categories</formula1>
    </dataValidation>
    <dataValidation type="list" allowBlank="1" showInputMessage="1" showErrorMessage="1" sqref="F8 F10 F13:F14 F16:F21 F23:F24 F26 F28:F29 F50 F47 F34:F37 F39:F41 F43:F44 F52 F31:F32 F54:F61">
      <formula1>Categories</formula1>
    </dataValidation>
    <dataValidation type="list" allowBlank="1" showInputMessage="1" showErrorMessage="1" prompt="Please select Funding Source" sqref="E12 E7">
      <formula1>Funding</formula1>
    </dataValidation>
    <dataValidation type="list" allowBlank="1" showInputMessage="1" showErrorMessage="1" sqref="E10 E8 E16:E21 E23:E24 E26 E28:E29 E13:E14 E50 E47 E34:E37 E39:E41 E43:E44 E52 E31:E32 E54:E61">
      <formula1>Funding</formula1>
    </dataValidation>
    <dataValidation type="list" allowBlank="1" showInputMessage="1" showErrorMessage="1" prompt="Please select Output" sqref="C7">
      <formula1>Outputs</formula1>
    </dataValidation>
    <dataValidation type="list" allowBlank="1" showInputMessage="1" showErrorMessage="1" prompt="Please select Component" sqref="B7">
      <formula1>Components</formula1>
    </dataValidation>
  </dataValidations>
  <pageMargins left="0.25" right="0.25" top="0.75" bottom="0.75" header="0.3" footer="0.3"/>
  <pageSetup paperSize="9" scale="8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prompt="Please select from drop down list">
          <x14:formula1>
            <xm:f>'C:\Users\User\Desktop\[Annex 3_Burundi SAP_Detailed Budget_def April 2020.xlsx]Title Lists'!#REF!</xm:f>
          </x14:formula1>
          <xm:sqref>C2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E1B411A1-F703-4424-B073-3C29669981B1}"/>
</file>

<file path=customXml/itemProps2.xml><?xml version="1.0" encoding="utf-8"?>
<ds:datastoreItem xmlns:ds="http://schemas.openxmlformats.org/officeDocument/2006/customXml" ds:itemID="{33EEC352-D919-4F17-8834-6CF7D91CFDBD}"/>
</file>

<file path=customXml/itemProps3.xml><?xml version="1.0" encoding="utf-8"?>
<ds:datastoreItem xmlns:ds="http://schemas.openxmlformats.org/officeDocument/2006/customXml" ds:itemID="{ABD7E03C-E832-4A27-B19E-A0BCDB7528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Financial Budget_FNPV_FIRR</vt:lpstr>
      <vt:lpstr>Economic Budget_ENPV_EIRR _BCR</vt:lpstr>
      <vt:lpstr>Sensitivity Analysis</vt:lpstr>
      <vt:lpstr>Rice Production Model</vt:lpstr>
      <vt:lpstr>Investment Cashflows</vt:lpstr>
      <vt:lpstr>Assumptions</vt:lpstr>
      <vt:lpstr>Detailed Budget Plan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Doro, Erica</cp:lastModifiedBy>
  <dcterms:created xsi:type="dcterms:W3CDTF">2020-06-13T15:53:34Z</dcterms:created>
  <dcterms:modified xsi:type="dcterms:W3CDTF">2020-08-06T08:22:35Z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