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24226"/>
  <mc:AlternateContent xmlns:mc="http://schemas.openxmlformats.org/markup-compatibility/2006">
    <mc:Choice Requires="x15">
      <x15ac:absPath xmlns:x15ac="http://schemas.microsoft.com/office/spreadsheetml/2010/11/ac" url="C:\Users\escuderod\Dropbox\NICARAGUA\SEPTIEMBRe\"/>
    </mc:Choice>
  </mc:AlternateContent>
  <bookViews>
    <workbookView xWindow="0" yWindow="0" windowWidth="20490" windowHeight="7095" firstSheet="12" activeTab="12"/>
  </bookViews>
  <sheets>
    <sheet name="INDEX GHG CalculationMethodolog" sheetId="159" r:id="rId1"/>
    <sheet name="I. General_Invest_parameters" sheetId="59" r:id="rId2"/>
    <sheet name="II. Area direct_indirect impact" sheetId="61" r:id="rId3"/>
    <sheet name="III. AreaAnnual_distribution" sheetId="64" r:id="rId4"/>
    <sheet name="IV. E ParamBeneficiaryCaract" sheetId="63" r:id="rId5"/>
    <sheet name="V. CarbonAccounAssumptions" sheetId="82" r:id="rId6"/>
    <sheet name="V.aCalculformulaR+AD" sheetId="156" r:id="rId7"/>
    <sheet name="VI. ParameterCarbonAssumptions" sheetId="54" r:id="rId8"/>
    <sheet name="VII.LivestockMethane_Carbon" sheetId="102" r:id="rId9"/>
    <sheet name="VII.a FormulacarbonLivestock" sheetId="157" r:id="rId10"/>
    <sheet name="VIII. CarbonflowRemoval" sheetId="72" r:id="rId11"/>
    <sheet name="IX. CarbonflowAvoidedEmission" sheetId="73" r:id="rId12"/>
    <sheet name="X. Totalcarbonflow" sheetId="65" r:id="rId13"/>
    <sheet name="XI. BenefitDistribPlanERPD" sheetId="66" r:id="rId14"/>
    <sheet name="XII. Carbon flow for ENDE REDD+" sheetId="126" r:id="rId15"/>
    <sheet name="XIII. Efectiveness_indicatorC" sheetId="158" r:id="rId1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18" i="72" l="1"/>
  <c r="V18" i="72" s="1"/>
  <c r="W18" i="72" s="1"/>
  <c r="X18" i="72" s="1"/>
  <c r="Y18" i="72" s="1"/>
  <c r="Z18" i="72" s="1"/>
  <c r="AA18" i="72" s="1"/>
  <c r="T18" i="72"/>
  <c r="E5" i="126" l="1"/>
  <c r="E6" i="126"/>
  <c r="E7" i="126"/>
  <c r="E8" i="126"/>
  <c r="E9" i="126"/>
  <c r="E10" i="126"/>
  <c r="E11" i="126"/>
  <c r="E12" i="126"/>
  <c r="E13" i="126"/>
  <c r="E14" i="126"/>
  <c r="E15" i="126"/>
  <c r="E4" i="126"/>
  <c r="D5" i="126"/>
  <c r="D6" i="126"/>
  <c r="D7" i="126"/>
  <c r="D8" i="126"/>
  <c r="D9" i="126"/>
  <c r="D10" i="126"/>
  <c r="D11" i="126"/>
  <c r="D12" i="126"/>
  <c r="D13" i="126"/>
  <c r="D14" i="126"/>
  <c r="D15" i="126"/>
  <c r="D4" i="126"/>
  <c r="I12" i="72"/>
  <c r="J12" i="72" s="1"/>
  <c r="K12" i="72" s="1"/>
  <c r="L12" i="72" s="1"/>
  <c r="M12" i="72" s="1"/>
  <c r="N12" i="72" s="1"/>
  <c r="O12" i="72" s="1"/>
  <c r="P12" i="72" s="1"/>
  <c r="Q12" i="72" s="1"/>
  <c r="R12" i="72" s="1"/>
  <c r="S12" i="72" s="1"/>
  <c r="T12" i="72" s="1"/>
  <c r="H12" i="72"/>
  <c r="J8" i="72"/>
  <c r="K8" i="72" s="1"/>
  <c r="L8" i="72" s="1"/>
  <c r="M8" i="72" s="1"/>
  <c r="N8" i="72" s="1"/>
  <c r="O8" i="72" s="1"/>
  <c r="I8" i="72"/>
  <c r="H8" i="72"/>
  <c r="U12" i="72" l="1"/>
  <c r="P8" i="72"/>
  <c r="Q8" i="72" s="1"/>
  <c r="R8" i="72" s="1"/>
  <c r="S8" i="72" s="1"/>
  <c r="T8" i="72" s="1"/>
  <c r="U8" i="72" s="1"/>
  <c r="V8" i="72" s="1"/>
  <c r="W8" i="72" s="1"/>
  <c r="X8" i="72" s="1"/>
  <c r="Y8" i="72" s="1"/>
  <c r="Z8" i="72" s="1"/>
  <c r="AA8" i="72" s="1"/>
  <c r="V12" i="72" l="1"/>
  <c r="W12" i="72" l="1"/>
  <c r="X12" i="72" l="1"/>
  <c r="Y12" i="72" l="1"/>
  <c r="Z12" i="72" l="1"/>
  <c r="AA12" i="72" l="1"/>
  <c r="H29" i="72" l="1"/>
  <c r="F74" i="66" l="1"/>
  <c r="E14" i="102"/>
  <c r="E15" i="102"/>
  <c r="E16" i="102"/>
  <c r="E13" i="102"/>
  <c r="D14" i="102"/>
  <c r="D15" i="102"/>
  <c r="D16" i="102"/>
  <c r="D13" i="102"/>
  <c r="G31" i="72"/>
  <c r="F31" i="72"/>
  <c r="E31" i="72"/>
  <c r="D31" i="72"/>
  <c r="C31" i="72"/>
  <c r="B31" i="72"/>
  <c r="B30" i="73"/>
  <c r="H29" i="73"/>
  <c r="H30" i="65" s="1"/>
  <c r="B5" i="66"/>
  <c r="B6" i="66"/>
  <c r="D60" i="66"/>
  <c r="B30" i="66"/>
  <c r="D63" i="66"/>
  <c r="D61" i="66"/>
  <c r="D62" i="66"/>
  <c r="B68" i="66"/>
  <c r="B67" i="66"/>
  <c r="D59" i="66"/>
  <c r="D58" i="66"/>
  <c r="D64" i="66"/>
  <c r="C26" i="54"/>
  <c r="C25" i="54"/>
  <c r="C22" i="54"/>
  <c r="C23" i="54"/>
  <c r="C21" i="54"/>
  <c r="H25" i="73"/>
  <c r="I25" i="73" s="1"/>
  <c r="H26" i="72"/>
  <c r="I26" i="72" s="1"/>
  <c r="H23" i="72"/>
  <c r="I23" i="72" s="1"/>
  <c r="H22" i="73"/>
  <c r="H23" i="65" s="1"/>
  <c r="B8" i="66"/>
  <c r="C48" i="61"/>
  <c r="H15" i="72"/>
  <c r="I15" i="72" s="1"/>
  <c r="B15" i="72" s="1"/>
  <c r="H18" i="73"/>
  <c r="I18" i="73" s="1"/>
  <c r="H19" i="72"/>
  <c r="I19" i="72" s="1"/>
  <c r="H11" i="72"/>
  <c r="H19" i="65"/>
  <c r="I19" i="65" s="1"/>
  <c r="H9" i="72"/>
  <c r="I9" i="72" s="1"/>
  <c r="I11" i="72"/>
  <c r="J11" i="72" s="1"/>
  <c r="K11" i="72" s="1"/>
  <c r="L11" i="72" s="1"/>
  <c r="B11" i="72" l="1"/>
  <c r="B19" i="65"/>
  <c r="J19" i="65"/>
  <c r="K19" i="65" s="1"/>
  <c r="L19" i="65" s="1"/>
  <c r="C19" i="65" s="1"/>
  <c r="B9" i="72"/>
  <c r="J9" i="72"/>
  <c r="K9" i="72" s="1"/>
  <c r="L9" i="72" s="1"/>
  <c r="J18" i="73"/>
  <c r="K18" i="73" s="1"/>
  <c r="L18" i="73" s="1"/>
  <c r="M18" i="73" s="1"/>
  <c r="N18" i="73" s="1"/>
  <c r="B18" i="73"/>
  <c r="I22" i="73"/>
  <c r="J26" i="72"/>
  <c r="B26" i="72"/>
  <c r="I26" i="65"/>
  <c r="B26" i="65" s="1"/>
  <c r="H26" i="65"/>
  <c r="M11" i="72"/>
  <c r="N11" i="72" s="1"/>
  <c r="C11" i="72"/>
  <c r="J15" i="72"/>
  <c r="K15" i="72" s="1"/>
  <c r="L15" i="72" s="1"/>
  <c r="J23" i="72"/>
  <c r="B23" i="72"/>
  <c r="I23" i="65"/>
  <c r="B23" i="65" s="1"/>
  <c r="M19" i="65"/>
  <c r="N19" i="65" s="1"/>
  <c r="M9" i="72"/>
  <c r="N9" i="72" s="1"/>
  <c r="C9" i="72"/>
  <c r="B19" i="72"/>
  <c r="J19" i="72"/>
  <c r="K19" i="72" s="1"/>
  <c r="L19" i="72" s="1"/>
  <c r="K26" i="72"/>
  <c r="B25" i="73"/>
  <c r="J25" i="73"/>
  <c r="K25" i="73" s="1"/>
  <c r="L25" i="73" s="1"/>
  <c r="I29" i="73"/>
  <c r="C18" i="73" l="1"/>
  <c r="J22" i="73"/>
  <c r="K22" i="73" s="1"/>
  <c r="L22" i="73" s="1"/>
  <c r="B22" i="73"/>
  <c r="M25" i="73"/>
  <c r="N25" i="73" s="1"/>
  <c r="C25" i="73"/>
  <c r="M19" i="72"/>
  <c r="N19" i="72" s="1"/>
  <c r="C19" i="72"/>
  <c r="K23" i="72"/>
  <c r="O19" i="65"/>
  <c r="P19" i="65" s="1"/>
  <c r="Q19" i="65" s="1"/>
  <c r="R19" i="65" s="1"/>
  <c r="S19" i="65" s="1"/>
  <c r="D19" i="65"/>
  <c r="M15" i="72"/>
  <c r="N15" i="72" s="1"/>
  <c r="C15" i="72"/>
  <c r="K26" i="65"/>
  <c r="L26" i="72"/>
  <c r="J29" i="73"/>
  <c r="I30" i="65"/>
  <c r="B30" i="65" s="1"/>
  <c r="B29" i="73"/>
  <c r="J26" i="65"/>
  <c r="D9" i="72"/>
  <c r="O9" i="72"/>
  <c r="P9" i="72" s="1"/>
  <c r="Q9" i="72" s="1"/>
  <c r="R9" i="72" s="1"/>
  <c r="S9" i="72" s="1"/>
  <c r="D11" i="72"/>
  <c r="O11" i="72"/>
  <c r="P11" i="72" s="1"/>
  <c r="Q11" i="72" s="1"/>
  <c r="R11" i="72" s="1"/>
  <c r="S11" i="72" s="1"/>
  <c r="D18" i="73"/>
  <c r="O18" i="73"/>
  <c r="P18" i="73" s="1"/>
  <c r="Q18" i="73" s="1"/>
  <c r="R18" i="73" s="1"/>
  <c r="S18" i="73" s="1"/>
  <c r="H22" i="72"/>
  <c r="H21" i="73"/>
  <c r="H20" i="73" s="1"/>
  <c r="J23" i="65" l="1"/>
  <c r="M22" i="73"/>
  <c r="N22" i="73" s="1"/>
  <c r="C22" i="73"/>
  <c r="T18" i="73"/>
  <c r="U18" i="73" s="1"/>
  <c r="V18" i="73" s="1"/>
  <c r="E18" i="73"/>
  <c r="T9" i="72"/>
  <c r="U9" i="72" s="1"/>
  <c r="V9" i="72" s="1"/>
  <c r="E9" i="72"/>
  <c r="K29" i="73"/>
  <c r="J30" i="65"/>
  <c r="E19" i="65"/>
  <c r="T19" i="65"/>
  <c r="U19" i="65" s="1"/>
  <c r="V19" i="65" s="1"/>
  <c r="O19" i="72"/>
  <c r="P19" i="72" s="1"/>
  <c r="Q19" i="72" s="1"/>
  <c r="R19" i="72" s="1"/>
  <c r="S19" i="72" s="1"/>
  <c r="D19" i="72"/>
  <c r="T11" i="72"/>
  <c r="U11" i="72" s="1"/>
  <c r="V11" i="72" s="1"/>
  <c r="E11" i="72"/>
  <c r="C26" i="72"/>
  <c r="L26" i="65"/>
  <c r="C26" i="65" s="1"/>
  <c r="M26" i="72"/>
  <c r="O15" i="72"/>
  <c r="P15" i="72" s="1"/>
  <c r="Q15" i="72" s="1"/>
  <c r="R15" i="72" s="1"/>
  <c r="S15" i="72" s="1"/>
  <c r="D15" i="72"/>
  <c r="L23" i="72"/>
  <c r="K23" i="65"/>
  <c r="D25" i="73"/>
  <c r="O25" i="73"/>
  <c r="P25" i="73" s="1"/>
  <c r="Q25" i="73" s="1"/>
  <c r="R25" i="73" s="1"/>
  <c r="S25" i="73" s="1"/>
  <c r="I21" i="73"/>
  <c r="V14" i="73"/>
  <c r="X14" i="73"/>
  <c r="L14" i="73"/>
  <c r="C14" i="73" s="1"/>
  <c r="H14" i="73"/>
  <c r="H15" i="65" s="1"/>
  <c r="P14" i="73"/>
  <c r="P15" i="65" s="1"/>
  <c r="W14" i="73"/>
  <c r="Z14" i="73"/>
  <c r="M14" i="73"/>
  <c r="M15" i="65" s="1"/>
  <c r="H13" i="73"/>
  <c r="I13" i="73" s="1"/>
  <c r="I14" i="73"/>
  <c r="I15" i="65" s="1"/>
  <c r="B15" i="65" s="1"/>
  <c r="S14" i="73"/>
  <c r="E14" i="73" s="1"/>
  <c r="J14" i="73"/>
  <c r="J15" i="65" s="1"/>
  <c r="Q14" i="73"/>
  <c r="Q15" i="65" s="1"/>
  <c r="K14" i="73"/>
  <c r="K15" i="65" s="1"/>
  <c r="AA14" i="73"/>
  <c r="G14" i="73" s="1"/>
  <c r="Y14" i="73"/>
  <c r="T14" i="73"/>
  <c r="O14" i="73"/>
  <c r="O15" i="65" s="1"/>
  <c r="U14" i="73"/>
  <c r="R14" i="73"/>
  <c r="B21" i="73"/>
  <c r="I20" i="73"/>
  <c r="B20" i="73" s="1"/>
  <c r="H22" i="65"/>
  <c r="H21" i="65" s="1"/>
  <c r="H21" i="72"/>
  <c r="I22" i="72"/>
  <c r="J21" i="73"/>
  <c r="H18" i="72"/>
  <c r="I18" i="72" s="1"/>
  <c r="H17" i="73"/>
  <c r="H16" i="73" s="1"/>
  <c r="H10" i="73"/>
  <c r="I10" i="73" s="1"/>
  <c r="H11" i="73"/>
  <c r="R15" i="65" l="1"/>
  <c r="I11" i="73"/>
  <c r="D22" i="73"/>
  <c r="O22" i="73"/>
  <c r="P22" i="73" s="1"/>
  <c r="Q22" i="73" s="1"/>
  <c r="R22" i="73" s="1"/>
  <c r="S22" i="73" s="1"/>
  <c r="L23" i="65"/>
  <c r="C23" i="65" s="1"/>
  <c r="C23" i="72"/>
  <c r="M23" i="72"/>
  <c r="T25" i="73"/>
  <c r="U25" i="73" s="1"/>
  <c r="V25" i="73" s="1"/>
  <c r="E25" i="73"/>
  <c r="E19" i="72"/>
  <c r="T19" i="72"/>
  <c r="U19" i="72" s="1"/>
  <c r="V19" i="72" s="1"/>
  <c r="W9" i="72"/>
  <c r="X9" i="72" s="1"/>
  <c r="Y9" i="72" s="1"/>
  <c r="Z9" i="72" s="1"/>
  <c r="AA9" i="72" s="1"/>
  <c r="G9" i="72" s="1"/>
  <c r="F9" i="72"/>
  <c r="S15" i="65"/>
  <c r="E15" i="65" s="1"/>
  <c r="E15" i="72"/>
  <c r="T15" i="72"/>
  <c r="U15" i="72" s="1"/>
  <c r="V15" i="72" s="1"/>
  <c r="V15" i="65" s="1"/>
  <c r="F15" i="65" s="1"/>
  <c r="F19" i="65"/>
  <c r="W19" i="65"/>
  <c r="X19" i="65" s="1"/>
  <c r="Y19" i="65" s="1"/>
  <c r="Z19" i="65" s="1"/>
  <c r="AA19" i="65" s="1"/>
  <c r="G19" i="65" s="1"/>
  <c r="N26" i="72"/>
  <c r="M26" i="65"/>
  <c r="F11" i="72"/>
  <c r="W11" i="72"/>
  <c r="X11" i="72" s="1"/>
  <c r="Y11" i="72" s="1"/>
  <c r="Z11" i="72" s="1"/>
  <c r="AA11" i="72" s="1"/>
  <c r="G11" i="72" s="1"/>
  <c r="L29" i="73"/>
  <c r="K30" i="65"/>
  <c r="W18" i="73"/>
  <c r="X18" i="73" s="1"/>
  <c r="Y18" i="73" s="1"/>
  <c r="Z18" i="73" s="1"/>
  <c r="AA18" i="73" s="1"/>
  <c r="G18" i="73" s="1"/>
  <c r="F18" i="73"/>
  <c r="N14" i="73"/>
  <c r="B14" i="73"/>
  <c r="F14" i="73"/>
  <c r="H14" i="72"/>
  <c r="L15" i="65"/>
  <c r="C15" i="65" s="1"/>
  <c r="H12" i="73"/>
  <c r="J13" i="73"/>
  <c r="I12" i="73"/>
  <c r="B12" i="73" s="1"/>
  <c r="B13" i="73"/>
  <c r="J20" i="73"/>
  <c r="K21" i="73"/>
  <c r="I22" i="65"/>
  <c r="I21" i="72"/>
  <c r="B21" i="72" s="1"/>
  <c r="B22" i="72"/>
  <c r="J22" i="72"/>
  <c r="B18" i="72"/>
  <c r="I17" i="72"/>
  <c r="B17" i="72" s="1"/>
  <c r="H18" i="65"/>
  <c r="H17" i="65" s="1"/>
  <c r="H17" i="72"/>
  <c r="I17" i="73"/>
  <c r="I29" i="72"/>
  <c r="J29" i="72" s="1"/>
  <c r="H27" i="73"/>
  <c r="I27" i="73" s="1"/>
  <c r="J18" i="72"/>
  <c r="H25" i="72"/>
  <c r="I25" i="72" s="1"/>
  <c r="J25" i="72" s="1"/>
  <c r="K25" i="72" s="1"/>
  <c r="L25" i="72" s="1"/>
  <c r="H24" i="73"/>
  <c r="H23" i="73" s="1"/>
  <c r="H19" i="73" s="1"/>
  <c r="H15" i="73" s="1"/>
  <c r="B11" i="73"/>
  <c r="J11" i="73"/>
  <c r="I9" i="73"/>
  <c r="B9" i="73" s="1"/>
  <c r="I11" i="65"/>
  <c r="B11" i="65" s="1"/>
  <c r="B10" i="73"/>
  <c r="J10" i="73"/>
  <c r="H9" i="73"/>
  <c r="H11" i="65"/>
  <c r="H8" i="73"/>
  <c r="H9" i="65" s="1"/>
  <c r="H7" i="73"/>
  <c r="K11" i="73" l="1"/>
  <c r="T22" i="73"/>
  <c r="U22" i="73" s="1"/>
  <c r="V22" i="73" s="1"/>
  <c r="E22" i="73"/>
  <c r="W19" i="72"/>
  <c r="X19" i="72" s="1"/>
  <c r="Y19" i="72" s="1"/>
  <c r="Z19" i="72" s="1"/>
  <c r="AA19" i="72" s="1"/>
  <c r="G19" i="72" s="1"/>
  <c r="F19" i="72"/>
  <c r="N23" i="72"/>
  <c r="M23" i="65"/>
  <c r="M29" i="73"/>
  <c r="C29" i="73"/>
  <c r="L30" i="65"/>
  <c r="C30" i="65" s="1"/>
  <c r="N26" i="65"/>
  <c r="D26" i="65" s="1"/>
  <c r="D26" i="72"/>
  <c r="O26" i="72"/>
  <c r="T15" i="65"/>
  <c r="W15" i="72"/>
  <c r="F15" i="72"/>
  <c r="U15" i="65"/>
  <c r="F25" i="73"/>
  <c r="W25" i="73"/>
  <c r="X25" i="73" s="1"/>
  <c r="Y25" i="73" s="1"/>
  <c r="Z25" i="73" s="1"/>
  <c r="AA25" i="73" s="1"/>
  <c r="G25" i="73" s="1"/>
  <c r="N15" i="65"/>
  <c r="D15" i="65" s="1"/>
  <c r="D14" i="73"/>
  <c r="H13" i="72"/>
  <c r="I14" i="72"/>
  <c r="H14" i="65"/>
  <c r="H13" i="65" s="1"/>
  <c r="B27" i="73"/>
  <c r="J27" i="73"/>
  <c r="K27" i="73" s="1"/>
  <c r="L27" i="73" s="1"/>
  <c r="M27" i="73" s="1"/>
  <c r="N27" i="73" s="1"/>
  <c r="J12" i="73"/>
  <c r="K13" i="73"/>
  <c r="K20" i="73"/>
  <c r="L21" i="73"/>
  <c r="I21" i="65"/>
  <c r="B21" i="65" s="1"/>
  <c r="B22" i="65"/>
  <c r="J22" i="65"/>
  <c r="J21" i="65" s="1"/>
  <c r="J21" i="72"/>
  <c r="K22" i="72"/>
  <c r="H28" i="65"/>
  <c r="K29" i="72"/>
  <c r="B17" i="73"/>
  <c r="I16" i="73"/>
  <c r="B16" i="73" s="1"/>
  <c r="J17" i="73"/>
  <c r="J18" i="65" s="1"/>
  <c r="J17" i="65" s="1"/>
  <c r="I28" i="65"/>
  <c r="B28" i="65" s="1"/>
  <c r="B29" i="72"/>
  <c r="J17" i="72"/>
  <c r="K18" i="72"/>
  <c r="I18" i="65"/>
  <c r="I24" i="73"/>
  <c r="I23" i="73" s="1"/>
  <c r="L24" i="72"/>
  <c r="C25" i="72"/>
  <c r="K24" i="72"/>
  <c r="J24" i="72"/>
  <c r="M25" i="72"/>
  <c r="B25" i="72"/>
  <c r="I24" i="72"/>
  <c r="H24" i="72"/>
  <c r="H20" i="72" s="1"/>
  <c r="H16" i="72" s="1"/>
  <c r="H25" i="65"/>
  <c r="H24" i="65" s="1"/>
  <c r="H20" i="65" s="1"/>
  <c r="H16" i="65" s="1"/>
  <c r="J24" i="73"/>
  <c r="H6" i="73"/>
  <c r="H5" i="73" s="1"/>
  <c r="H32" i="73" s="1"/>
  <c r="I8" i="73"/>
  <c r="I9" i="65" s="1"/>
  <c r="B9" i="65" s="1"/>
  <c r="J9" i="73"/>
  <c r="J11" i="65"/>
  <c r="K10" i="73"/>
  <c r="B21" i="102"/>
  <c r="C21" i="102" s="1"/>
  <c r="B22" i="102"/>
  <c r="C22" i="102" s="1"/>
  <c r="D22" i="102" s="1"/>
  <c r="E22" i="102" s="1"/>
  <c r="F22" i="102" s="1"/>
  <c r="G22" i="102" s="1"/>
  <c r="H22" i="102" s="1"/>
  <c r="I22" i="102" s="1"/>
  <c r="J22" i="102" s="1"/>
  <c r="K22" i="102" s="1"/>
  <c r="L22" i="102" s="1"/>
  <c r="M22" i="102" s="1"/>
  <c r="N22" i="102" s="1"/>
  <c r="O22" i="102" s="1"/>
  <c r="P22" i="102" s="1"/>
  <c r="Q22" i="102" s="1"/>
  <c r="R22" i="102" s="1"/>
  <c r="S22" i="102" s="1"/>
  <c r="T22" i="102" s="1"/>
  <c r="U22" i="102" s="1"/>
  <c r="B23" i="102"/>
  <c r="C23" i="102" s="1"/>
  <c r="D23" i="102" s="1"/>
  <c r="E23" i="102" s="1"/>
  <c r="F23" i="102" s="1"/>
  <c r="G23" i="102" s="1"/>
  <c r="H23" i="102" s="1"/>
  <c r="I23" i="102" s="1"/>
  <c r="J23" i="102" s="1"/>
  <c r="K23" i="102" s="1"/>
  <c r="L23" i="102" s="1"/>
  <c r="M23" i="102" s="1"/>
  <c r="N23" i="102" s="1"/>
  <c r="O23" i="102" s="1"/>
  <c r="P23" i="102" s="1"/>
  <c r="Q23" i="102" s="1"/>
  <c r="R23" i="102" s="1"/>
  <c r="S23" i="102" s="1"/>
  <c r="T23" i="102" s="1"/>
  <c r="U23" i="102" s="1"/>
  <c r="B24" i="102"/>
  <c r="I7" i="73"/>
  <c r="J7" i="72"/>
  <c r="B8" i="72"/>
  <c r="I7" i="72"/>
  <c r="B7" i="72" s="1"/>
  <c r="H8" i="65"/>
  <c r="H7" i="65" s="1"/>
  <c r="H7" i="72"/>
  <c r="B24" i="73" l="1"/>
  <c r="I25" i="65"/>
  <c r="L11" i="73"/>
  <c r="W22" i="73"/>
  <c r="X22" i="73" s="1"/>
  <c r="Y22" i="73" s="1"/>
  <c r="Z22" i="73" s="1"/>
  <c r="AA22" i="73" s="1"/>
  <c r="G22" i="73" s="1"/>
  <c r="F22" i="73"/>
  <c r="M30" i="65"/>
  <c r="N29" i="73"/>
  <c r="X15" i="72"/>
  <c r="W15" i="65"/>
  <c r="O23" i="72"/>
  <c r="N23" i="65"/>
  <c r="D23" i="65" s="1"/>
  <c r="D23" i="72"/>
  <c r="O26" i="65"/>
  <c r="P26" i="72"/>
  <c r="C27" i="73"/>
  <c r="I13" i="72"/>
  <c r="B13" i="72" s="1"/>
  <c r="B14" i="72"/>
  <c r="J14" i="72"/>
  <c r="I14" i="65"/>
  <c r="B8" i="73"/>
  <c r="J28" i="65"/>
  <c r="I6" i="73"/>
  <c r="B6" i="73" s="1"/>
  <c r="J20" i="72"/>
  <c r="J16" i="72" s="1"/>
  <c r="K12" i="73"/>
  <c r="L13" i="73"/>
  <c r="K22" i="65"/>
  <c r="K21" i="65" s="1"/>
  <c r="K21" i="72"/>
  <c r="K20" i="72" s="1"/>
  <c r="L22" i="72"/>
  <c r="L20" i="73"/>
  <c r="C20" i="73" s="1"/>
  <c r="C21" i="73"/>
  <c r="M21" i="73"/>
  <c r="K28" i="65"/>
  <c r="L29" i="72"/>
  <c r="J16" i="73"/>
  <c r="K17" i="73"/>
  <c r="K18" i="65" s="1"/>
  <c r="K17" i="65" s="1"/>
  <c r="D27" i="73"/>
  <c r="O27" i="73"/>
  <c r="P27" i="73" s="1"/>
  <c r="Q27" i="73" s="1"/>
  <c r="R27" i="73" s="1"/>
  <c r="S27" i="73" s="1"/>
  <c r="I17" i="65"/>
  <c r="B17" i="65" s="1"/>
  <c r="B18" i="65"/>
  <c r="K17" i="72"/>
  <c r="L18" i="72"/>
  <c r="B7" i="73"/>
  <c r="I8" i="65"/>
  <c r="B8" i="65" s="1"/>
  <c r="B23" i="73"/>
  <c r="I19" i="73"/>
  <c r="B25" i="65"/>
  <c r="I24" i="65"/>
  <c r="J23" i="73"/>
  <c r="J19" i="73" s="1"/>
  <c r="K24" i="73"/>
  <c r="B24" i="72"/>
  <c r="I20" i="72"/>
  <c r="H28" i="73"/>
  <c r="H26" i="73" s="1"/>
  <c r="H33" i="73" s="1"/>
  <c r="H34" i="73" s="1"/>
  <c r="H30" i="72"/>
  <c r="I30" i="72" s="1"/>
  <c r="M24" i="72"/>
  <c r="N25" i="72"/>
  <c r="J25" i="65"/>
  <c r="J24" i="65" s="1"/>
  <c r="J20" i="65" s="1"/>
  <c r="J16" i="65" s="1"/>
  <c r="C24" i="72"/>
  <c r="J7" i="73"/>
  <c r="J8" i="73"/>
  <c r="J9" i="65" s="1"/>
  <c r="B25" i="102"/>
  <c r="B26" i="102" s="1"/>
  <c r="D21" i="102"/>
  <c r="K11" i="65"/>
  <c r="K9" i="73"/>
  <c r="L10" i="73"/>
  <c r="C24" i="102"/>
  <c r="D24" i="102" s="1"/>
  <c r="E24" i="102" s="1"/>
  <c r="F24" i="102" s="1"/>
  <c r="G24" i="102" s="1"/>
  <c r="H24" i="102" s="1"/>
  <c r="I24" i="102" s="1"/>
  <c r="J24" i="102" s="1"/>
  <c r="K24" i="102" s="1"/>
  <c r="L24" i="102" s="1"/>
  <c r="M24" i="102" s="1"/>
  <c r="N24" i="102" s="1"/>
  <c r="O24" i="102" s="1"/>
  <c r="P24" i="102" s="1"/>
  <c r="Q24" i="102" s="1"/>
  <c r="R24" i="102" s="1"/>
  <c r="S24" i="102" s="1"/>
  <c r="T24" i="102" s="1"/>
  <c r="U24" i="102" s="1"/>
  <c r="K7" i="72"/>
  <c r="H10" i="72" l="1"/>
  <c r="H6" i="72" s="1"/>
  <c r="H27" i="72" s="1"/>
  <c r="H34" i="72" s="1"/>
  <c r="H12" i="65"/>
  <c r="H10" i="65" s="1"/>
  <c r="H6" i="65" s="1"/>
  <c r="H32" i="65" s="1"/>
  <c r="M11" i="73"/>
  <c r="C11" i="73"/>
  <c r="I5" i="73"/>
  <c r="B5" i="73" s="1"/>
  <c r="I7" i="65"/>
  <c r="B7" i="65" s="1"/>
  <c r="Q26" i="72"/>
  <c r="P26" i="65"/>
  <c r="Y15" i="72"/>
  <c r="X15" i="65"/>
  <c r="D29" i="73"/>
  <c r="N30" i="65"/>
  <c r="D30" i="65" s="1"/>
  <c r="O29" i="73"/>
  <c r="P23" i="72"/>
  <c r="O23" i="65"/>
  <c r="K7" i="73"/>
  <c r="B14" i="65"/>
  <c r="I13" i="65"/>
  <c r="B13" i="65" s="1"/>
  <c r="K14" i="72"/>
  <c r="J13" i="72"/>
  <c r="J14" i="65"/>
  <c r="J13" i="65" s="1"/>
  <c r="J6" i="73"/>
  <c r="J5" i="73" s="1"/>
  <c r="J8" i="65"/>
  <c r="J7" i="65" s="1"/>
  <c r="J15" i="73"/>
  <c r="K16" i="72"/>
  <c r="C13" i="73"/>
  <c r="M13" i="73"/>
  <c r="L12" i="73"/>
  <c r="C12" i="73" s="1"/>
  <c r="L22" i="65"/>
  <c r="L21" i="72"/>
  <c r="C22" i="72"/>
  <c r="M22" i="72"/>
  <c r="M20" i="73"/>
  <c r="N21" i="73"/>
  <c r="I28" i="73"/>
  <c r="I29" i="65" s="1"/>
  <c r="K16" i="73"/>
  <c r="L17" i="73"/>
  <c r="L18" i="65" s="1"/>
  <c r="L28" i="65"/>
  <c r="C28" i="65" s="1"/>
  <c r="C29" i="72"/>
  <c r="M29" i="72"/>
  <c r="L17" i="72"/>
  <c r="C17" i="72" s="1"/>
  <c r="C18" i="72"/>
  <c r="M18" i="72"/>
  <c r="E27" i="73"/>
  <c r="T27" i="73"/>
  <c r="U27" i="73" s="1"/>
  <c r="V27" i="73" s="1"/>
  <c r="B30" i="72"/>
  <c r="I32" i="72"/>
  <c r="J30" i="72"/>
  <c r="I26" i="73"/>
  <c r="I33" i="73" s="1"/>
  <c r="B24" i="65"/>
  <c r="I20" i="65"/>
  <c r="B19" i="73"/>
  <c r="I15" i="73"/>
  <c r="B15" i="73" s="1"/>
  <c r="H29" i="65"/>
  <c r="H27" i="65" s="1"/>
  <c r="H33" i="65" s="1"/>
  <c r="H32" i="72"/>
  <c r="H35" i="72" s="1"/>
  <c r="H36" i="72" s="1"/>
  <c r="K23" i="73"/>
  <c r="K19" i="73" s="1"/>
  <c r="L24" i="73"/>
  <c r="K25" i="65"/>
  <c r="K24" i="65" s="1"/>
  <c r="K20" i="65" s="1"/>
  <c r="K16" i="65" s="1"/>
  <c r="D25" i="72"/>
  <c r="N24" i="72"/>
  <c r="O25" i="72"/>
  <c r="B20" i="72"/>
  <c r="I16" i="72"/>
  <c r="B16" i="72" s="1"/>
  <c r="K8" i="73"/>
  <c r="L11" i="65"/>
  <c r="C11" i="65" s="1"/>
  <c r="C10" i="73"/>
  <c r="L9" i="73"/>
  <c r="C9" i="73" s="1"/>
  <c r="M10" i="73"/>
  <c r="E21" i="102"/>
  <c r="D25" i="102"/>
  <c r="D26" i="102" s="1"/>
  <c r="J12" i="65" s="1"/>
  <c r="C25" i="102"/>
  <c r="C26" i="102" s="1"/>
  <c r="C8" i="72"/>
  <c r="L7" i="72"/>
  <c r="C7" i="72" s="1"/>
  <c r="I10" i="72" l="1"/>
  <c r="I12" i="65"/>
  <c r="B12" i="65" s="1"/>
  <c r="N11" i="73"/>
  <c r="J28" i="73"/>
  <c r="J26" i="73" s="1"/>
  <c r="J33" i="73" s="1"/>
  <c r="B28" i="73"/>
  <c r="K6" i="73"/>
  <c r="K5" i="73" s="1"/>
  <c r="P29" i="73"/>
  <c r="O30" i="65"/>
  <c r="E29" i="73"/>
  <c r="Z15" i="72"/>
  <c r="Y15" i="65"/>
  <c r="Q26" i="65"/>
  <c r="R26" i="72"/>
  <c r="P23" i="65"/>
  <c r="Q23" i="72"/>
  <c r="L7" i="73"/>
  <c r="M7" i="73" s="1"/>
  <c r="K8" i="65"/>
  <c r="J32" i="73"/>
  <c r="K13" i="72"/>
  <c r="L14" i="72"/>
  <c r="K14" i="65"/>
  <c r="K13" i="65" s="1"/>
  <c r="B12" i="72"/>
  <c r="B32" i="73"/>
  <c r="M12" i="73"/>
  <c r="N13" i="73"/>
  <c r="D21" i="73"/>
  <c r="N20" i="73"/>
  <c r="D20" i="73" s="1"/>
  <c r="O21" i="73"/>
  <c r="C21" i="72"/>
  <c r="L20" i="72"/>
  <c r="L21" i="65"/>
  <c r="C21" i="65" s="1"/>
  <c r="C22" i="65"/>
  <c r="M22" i="65"/>
  <c r="M21" i="65" s="1"/>
  <c r="M21" i="72"/>
  <c r="M20" i="72" s="1"/>
  <c r="N22" i="72"/>
  <c r="K15" i="73"/>
  <c r="K32" i="73" s="1"/>
  <c r="C17" i="73"/>
  <c r="L16" i="73"/>
  <c r="C16" i="73" s="1"/>
  <c r="M17" i="73"/>
  <c r="F27" i="73"/>
  <c r="W27" i="73"/>
  <c r="X27" i="73" s="1"/>
  <c r="Y27" i="73" s="1"/>
  <c r="Z27" i="73" s="1"/>
  <c r="AA27" i="73" s="1"/>
  <c r="G27" i="73" s="1"/>
  <c r="M17" i="72"/>
  <c r="N18" i="72"/>
  <c r="L17" i="65"/>
  <c r="C17" i="65" s="1"/>
  <c r="C18" i="65"/>
  <c r="M28" i="65"/>
  <c r="N29" i="72"/>
  <c r="J10" i="65"/>
  <c r="J6" i="65" s="1"/>
  <c r="J32" i="65" s="1"/>
  <c r="H34" i="65"/>
  <c r="K28" i="73"/>
  <c r="B32" i="72"/>
  <c r="B35" i="72" s="1"/>
  <c r="I35" i="72"/>
  <c r="I32" i="73"/>
  <c r="I34" i="73" s="1"/>
  <c r="B20" i="65"/>
  <c r="I16" i="65"/>
  <c r="B16" i="65" s="1"/>
  <c r="J32" i="72"/>
  <c r="J35" i="72" s="1"/>
  <c r="J29" i="65"/>
  <c r="J27" i="65" s="1"/>
  <c r="J33" i="65" s="1"/>
  <c r="K30" i="72"/>
  <c r="O24" i="72"/>
  <c r="P25" i="72"/>
  <c r="B26" i="73"/>
  <c r="B33" i="73" s="1"/>
  <c r="D24" i="72"/>
  <c r="C24" i="73"/>
  <c r="L23" i="73"/>
  <c r="M24" i="73"/>
  <c r="L25" i="65"/>
  <c r="B29" i="65"/>
  <c r="I27" i="65"/>
  <c r="L8" i="73"/>
  <c r="C8" i="73" s="1"/>
  <c r="K9" i="65"/>
  <c r="H31" i="65"/>
  <c r="B39" i="65" s="1"/>
  <c r="E39" i="65" s="1"/>
  <c r="F21" i="102"/>
  <c r="E25" i="102"/>
  <c r="E26" i="102" s="1"/>
  <c r="K12" i="65" s="1"/>
  <c r="M11" i="65"/>
  <c r="M9" i="73"/>
  <c r="N10" i="73"/>
  <c r="M7" i="72"/>
  <c r="B10" i="72"/>
  <c r="I6" i="72"/>
  <c r="O11" i="73" l="1"/>
  <c r="D11" i="73"/>
  <c r="J10" i="72"/>
  <c r="J6" i="72" s="1"/>
  <c r="J27" i="72" s="1"/>
  <c r="J34" i="72" s="1"/>
  <c r="J36" i="72" s="1"/>
  <c r="C7" i="73"/>
  <c r="I10" i="65"/>
  <c r="B10" i="65" s="1"/>
  <c r="K7" i="65"/>
  <c r="S26" i="72"/>
  <c r="R26" i="65"/>
  <c r="AA15" i="72"/>
  <c r="Z15" i="65"/>
  <c r="R23" i="72"/>
  <c r="Q23" i="65"/>
  <c r="Q29" i="73"/>
  <c r="P30" i="65"/>
  <c r="F29" i="73"/>
  <c r="L6" i="73"/>
  <c r="C6" i="73" s="1"/>
  <c r="L8" i="65"/>
  <c r="J34" i="73"/>
  <c r="C14" i="72"/>
  <c r="L13" i="72"/>
  <c r="C13" i="72" s="1"/>
  <c r="M14" i="72"/>
  <c r="L14" i="65"/>
  <c r="D13" i="73"/>
  <c r="N12" i="73"/>
  <c r="D12" i="73" s="1"/>
  <c r="O13" i="73"/>
  <c r="B34" i="73"/>
  <c r="M16" i="72"/>
  <c r="N22" i="65"/>
  <c r="N21" i="72"/>
  <c r="D22" i="72"/>
  <c r="O22" i="72"/>
  <c r="C20" i="72"/>
  <c r="L16" i="72"/>
  <c r="C16" i="72" s="1"/>
  <c r="O20" i="73"/>
  <c r="P21" i="73"/>
  <c r="D29" i="72"/>
  <c r="N28" i="65"/>
  <c r="D28" i="65" s="1"/>
  <c r="O29" i="72"/>
  <c r="M16" i="73"/>
  <c r="N17" i="73"/>
  <c r="N18" i="65" s="1"/>
  <c r="N17" i="72"/>
  <c r="D17" i="72" s="1"/>
  <c r="D18" i="72"/>
  <c r="O18" i="72"/>
  <c r="M18" i="65"/>
  <c r="M17" i="65" s="1"/>
  <c r="K10" i="65"/>
  <c r="M8" i="73"/>
  <c r="M9" i="65" s="1"/>
  <c r="L9" i="65"/>
  <c r="C9" i="65" s="1"/>
  <c r="C39" i="65"/>
  <c r="D39" i="65"/>
  <c r="B27" i="65"/>
  <c r="I33" i="65"/>
  <c r="L19" i="73"/>
  <c r="C23" i="73"/>
  <c r="K32" i="72"/>
  <c r="K35" i="72" s="1"/>
  <c r="K29" i="65"/>
  <c r="K27" i="65" s="1"/>
  <c r="K33" i="65" s="1"/>
  <c r="L30" i="72"/>
  <c r="C25" i="65"/>
  <c r="L24" i="65"/>
  <c r="P24" i="72"/>
  <c r="Q25" i="72"/>
  <c r="K26" i="73"/>
  <c r="K33" i="73" s="1"/>
  <c r="K34" i="73" s="1"/>
  <c r="L28" i="73"/>
  <c r="M23" i="73"/>
  <c r="M19" i="73" s="1"/>
  <c r="N24" i="73"/>
  <c r="M25" i="65"/>
  <c r="M24" i="65" s="1"/>
  <c r="M20" i="65" s="1"/>
  <c r="D10" i="73"/>
  <c r="N9" i="73"/>
  <c r="D9" i="73" s="1"/>
  <c r="N11" i="65"/>
  <c r="D11" i="65" s="1"/>
  <c r="O10" i="73"/>
  <c r="G21" i="102"/>
  <c r="F25" i="102"/>
  <c r="F26" i="102" s="1"/>
  <c r="L12" i="65" s="1"/>
  <c r="N7" i="73"/>
  <c r="N8" i="65" s="1"/>
  <c r="M8" i="65"/>
  <c r="D8" i="72"/>
  <c r="N7" i="72"/>
  <c r="D7" i="72" s="1"/>
  <c r="J34" i="65"/>
  <c r="J31" i="65"/>
  <c r="B41" i="65" s="1"/>
  <c r="I27" i="72"/>
  <c r="B6" i="72"/>
  <c r="P11" i="73" l="1"/>
  <c r="C35" i="66"/>
  <c r="D35" i="66" s="1"/>
  <c r="E35" i="66" s="1"/>
  <c r="I6" i="65"/>
  <c r="I32" i="65" s="1"/>
  <c r="B35" i="66"/>
  <c r="K10" i="72"/>
  <c r="K6" i="72" s="1"/>
  <c r="K27" i="72" s="1"/>
  <c r="K34" i="72" s="1"/>
  <c r="K36" i="72" s="1"/>
  <c r="C12" i="72"/>
  <c r="K6" i="65"/>
  <c r="K32" i="65" s="1"/>
  <c r="K31" i="65" s="1"/>
  <c r="B42" i="65" s="1"/>
  <c r="Q30" i="65"/>
  <c r="R29" i="73"/>
  <c r="G29" i="73"/>
  <c r="G15" i="72"/>
  <c r="AA15" i="65"/>
  <c r="G15" i="65" s="1"/>
  <c r="S23" i="72"/>
  <c r="R23" i="65"/>
  <c r="E26" i="72"/>
  <c r="S26" i="65"/>
  <c r="E26" i="65" s="1"/>
  <c r="T26" i="72"/>
  <c r="L7" i="65"/>
  <c r="C7" i="65" s="1"/>
  <c r="C8" i="65"/>
  <c r="C14" i="65"/>
  <c r="L13" i="65"/>
  <c r="C13" i="65" s="1"/>
  <c r="N14" i="72"/>
  <c r="M13" i="72"/>
  <c r="M14" i="65"/>
  <c r="M13" i="65" s="1"/>
  <c r="N8" i="73"/>
  <c r="D8" i="73" s="1"/>
  <c r="M6" i="73"/>
  <c r="M5" i="73" s="1"/>
  <c r="L5" i="73"/>
  <c r="C5" i="73" s="1"/>
  <c r="O12" i="73"/>
  <c r="P13" i="73"/>
  <c r="M16" i="65"/>
  <c r="D21" i="72"/>
  <c r="N20" i="72"/>
  <c r="D22" i="65"/>
  <c r="N21" i="65"/>
  <c r="D21" i="65" s="1"/>
  <c r="P20" i="73"/>
  <c r="Q21" i="73"/>
  <c r="O22" i="65"/>
  <c r="O21" i="65" s="1"/>
  <c r="O21" i="72"/>
  <c r="O20" i="72" s="1"/>
  <c r="P22" i="72"/>
  <c r="O17" i="72"/>
  <c r="P18" i="72"/>
  <c r="O28" i="65"/>
  <c r="P29" i="72"/>
  <c r="D18" i="65"/>
  <c r="N17" i="65"/>
  <c r="D17" i="65" s="1"/>
  <c r="M15" i="73"/>
  <c r="D17" i="73"/>
  <c r="N16" i="73"/>
  <c r="D16" i="73" s="1"/>
  <c r="O17" i="73"/>
  <c r="O18" i="65" s="1"/>
  <c r="O17" i="65" s="1"/>
  <c r="L20" i="65"/>
  <c r="C24" i="65"/>
  <c r="L29" i="65"/>
  <c r="C30" i="72"/>
  <c r="L32" i="72"/>
  <c r="M30" i="72"/>
  <c r="C28" i="73"/>
  <c r="L26" i="73"/>
  <c r="L33" i="73" s="1"/>
  <c r="M28" i="73"/>
  <c r="C19" i="73"/>
  <c r="L15" i="73"/>
  <c r="C15" i="73" s="1"/>
  <c r="N23" i="73"/>
  <c r="D24" i="73"/>
  <c r="O24" i="73"/>
  <c r="N25" i="65"/>
  <c r="Q24" i="72"/>
  <c r="R25" i="72"/>
  <c r="B33" i="65"/>
  <c r="H21" i="102"/>
  <c r="G25" i="102"/>
  <c r="G26" i="102" s="1"/>
  <c r="M12" i="65" s="1"/>
  <c r="O9" i="73"/>
  <c r="O11" i="65"/>
  <c r="P10" i="73"/>
  <c r="M7" i="65"/>
  <c r="D8" i="65"/>
  <c r="D7" i="73"/>
  <c r="O7" i="73"/>
  <c r="O8" i="65" s="1"/>
  <c r="O7" i="72"/>
  <c r="D41" i="65"/>
  <c r="E41" i="65"/>
  <c r="C41" i="65"/>
  <c r="B27" i="72"/>
  <c r="B34" i="72" s="1"/>
  <c r="B36" i="72" s="1"/>
  <c r="I34" i="72"/>
  <c r="I36" i="72" s="1"/>
  <c r="Q11" i="73" l="1"/>
  <c r="O16" i="72"/>
  <c r="F35" i="66"/>
  <c r="L10" i="72"/>
  <c r="B6" i="65"/>
  <c r="L10" i="65"/>
  <c r="M10" i="65"/>
  <c r="M6" i="65" s="1"/>
  <c r="M32" i="65" s="1"/>
  <c r="G35" i="66"/>
  <c r="N35" i="66" s="1"/>
  <c r="B37" i="66"/>
  <c r="C37" i="66"/>
  <c r="D37" i="66" s="1"/>
  <c r="K34" i="65"/>
  <c r="O8" i="73"/>
  <c r="N9" i="65"/>
  <c r="D9" i="65" s="1"/>
  <c r="N6" i="73"/>
  <c r="N5" i="73" s="1"/>
  <c r="U26" i="72"/>
  <c r="T26" i="65"/>
  <c r="T23" i="72"/>
  <c r="S23" i="65"/>
  <c r="E23" i="65" s="1"/>
  <c r="E23" i="72"/>
  <c r="R30" i="65"/>
  <c r="S29" i="73"/>
  <c r="M32" i="73"/>
  <c r="N13" i="72"/>
  <c r="D13" i="72" s="1"/>
  <c r="O14" i="72"/>
  <c r="D14" i="72"/>
  <c r="N14" i="65"/>
  <c r="L32" i="73"/>
  <c r="L34" i="73" s="1"/>
  <c r="P12" i="73"/>
  <c r="Q13" i="73"/>
  <c r="Q20" i="73"/>
  <c r="R21" i="73"/>
  <c r="N16" i="72"/>
  <c r="D16" i="72" s="1"/>
  <c r="D20" i="72"/>
  <c r="P22" i="65"/>
  <c r="P21" i="65" s="1"/>
  <c r="P21" i="72"/>
  <c r="P20" i="72" s="1"/>
  <c r="Q22" i="72"/>
  <c r="P17" i="72"/>
  <c r="Q18" i="72"/>
  <c r="O16" i="73"/>
  <c r="P17" i="73"/>
  <c r="P28" i="65"/>
  <c r="Q29" i="72"/>
  <c r="C32" i="73"/>
  <c r="O23" i="73"/>
  <c r="O19" i="73" s="1"/>
  <c r="P24" i="73"/>
  <c r="O25" i="65"/>
  <c r="O24" i="65" s="1"/>
  <c r="O20" i="65" s="1"/>
  <c r="O16" i="65" s="1"/>
  <c r="L27" i="65"/>
  <c r="C29" i="65"/>
  <c r="D23" i="73"/>
  <c r="N19" i="73"/>
  <c r="M32" i="72"/>
  <c r="M35" i="72" s="1"/>
  <c r="M29" i="65"/>
  <c r="M27" i="65" s="1"/>
  <c r="M33" i="65" s="1"/>
  <c r="N30" i="72"/>
  <c r="R24" i="72"/>
  <c r="S25" i="72"/>
  <c r="M26" i="73"/>
  <c r="M33" i="73" s="1"/>
  <c r="M34" i="73" s="1"/>
  <c r="N28" i="73"/>
  <c r="D25" i="65"/>
  <c r="N24" i="65"/>
  <c r="C26" i="73"/>
  <c r="C33" i="73" s="1"/>
  <c r="L35" i="72"/>
  <c r="C32" i="72"/>
  <c r="C35" i="72" s="1"/>
  <c r="C20" i="65"/>
  <c r="L16" i="65"/>
  <c r="C16" i="65" s="1"/>
  <c r="P11" i="65"/>
  <c r="P9" i="73"/>
  <c r="Q10" i="73"/>
  <c r="H25" i="102"/>
  <c r="H26" i="102" s="1"/>
  <c r="N12" i="65" s="1"/>
  <c r="I21" i="102"/>
  <c r="O9" i="65"/>
  <c r="O7" i="65" s="1"/>
  <c r="P8" i="73"/>
  <c r="P7" i="72"/>
  <c r="O6" i="73"/>
  <c r="O5" i="73" s="1"/>
  <c r="P7" i="73"/>
  <c r="L6" i="72"/>
  <c r="C10" i="72"/>
  <c r="M10" i="72"/>
  <c r="M6" i="72" s="1"/>
  <c r="M27" i="72" s="1"/>
  <c r="M34" i="72" s="1"/>
  <c r="B32" i="65"/>
  <c r="I34" i="65"/>
  <c r="I31" i="65"/>
  <c r="C42" i="65"/>
  <c r="D42" i="65"/>
  <c r="E42" i="65"/>
  <c r="N7" i="65" l="1"/>
  <c r="D7" i="65" s="1"/>
  <c r="R11" i="73"/>
  <c r="M35" i="66"/>
  <c r="I35" i="66"/>
  <c r="K35" i="66"/>
  <c r="J35" i="66"/>
  <c r="C12" i="65"/>
  <c r="G37" i="66"/>
  <c r="L37" i="66" s="1"/>
  <c r="H35" i="66"/>
  <c r="L35" i="66"/>
  <c r="C38" i="66"/>
  <c r="D38" i="66" s="1"/>
  <c r="B38" i="66"/>
  <c r="O15" i="73"/>
  <c r="O32" i="73" s="1"/>
  <c r="D6" i="73"/>
  <c r="S30" i="65"/>
  <c r="E30" i="65" s="1"/>
  <c r="T29" i="73"/>
  <c r="U23" i="72"/>
  <c r="T23" i="65"/>
  <c r="U26" i="65"/>
  <c r="V26" i="72"/>
  <c r="P14" i="72"/>
  <c r="O13" i="72"/>
  <c r="O14" i="65"/>
  <c r="O13" i="65" s="1"/>
  <c r="N13" i="65"/>
  <c r="D13" i="65" s="1"/>
  <c r="D14" i="65"/>
  <c r="P16" i="72"/>
  <c r="Q12" i="73"/>
  <c r="R13" i="73"/>
  <c r="R20" i="73"/>
  <c r="S21" i="73"/>
  <c r="Q22" i="65"/>
  <c r="Q21" i="65" s="1"/>
  <c r="Q21" i="72"/>
  <c r="Q20" i="72" s="1"/>
  <c r="R22" i="72"/>
  <c r="P16" i="73"/>
  <c r="Q17" i="73"/>
  <c r="Q18" i="65" s="1"/>
  <c r="Q17" i="65" s="1"/>
  <c r="Q17" i="72"/>
  <c r="R18" i="72"/>
  <c r="M36" i="72"/>
  <c r="Q28" i="65"/>
  <c r="R29" i="72"/>
  <c r="P18" i="65"/>
  <c r="P17" i="65" s="1"/>
  <c r="C34" i="73"/>
  <c r="N32" i="72"/>
  <c r="D30" i="72"/>
  <c r="N29" i="65"/>
  <c r="O30" i="72"/>
  <c r="N20" i="65"/>
  <c r="D24" i="65"/>
  <c r="C27" i="65"/>
  <c r="L33" i="65"/>
  <c r="P23" i="73"/>
  <c r="P19" i="73" s="1"/>
  <c r="Q24" i="73"/>
  <c r="P25" i="65"/>
  <c r="P24" i="65" s="1"/>
  <c r="P20" i="65" s="1"/>
  <c r="D28" i="73"/>
  <c r="N26" i="73"/>
  <c r="N33" i="73" s="1"/>
  <c r="O28" i="73"/>
  <c r="E25" i="72"/>
  <c r="S24" i="72"/>
  <c r="T25" i="72"/>
  <c r="D19" i="73"/>
  <c r="N15" i="73"/>
  <c r="D15" i="73" s="1"/>
  <c r="Q11" i="65"/>
  <c r="Q9" i="73"/>
  <c r="R10" i="73"/>
  <c r="I25" i="102"/>
  <c r="I26" i="102" s="1"/>
  <c r="O12" i="65" s="1"/>
  <c r="J21" i="102"/>
  <c r="P9" i="65"/>
  <c r="Q8" i="73"/>
  <c r="P6" i="73"/>
  <c r="P5" i="73" s="1"/>
  <c r="Q7" i="73"/>
  <c r="P8" i="65"/>
  <c r="P7" i="65" s="1"/>
  <c r="D5" i="73"/>
  <c r="Q7" i="72"/>
  <c r="M31" i="65"/>
  <c r="B44" i="65" s="1"/>
  <c r="M34" i="65"/>
  <c r="E37" i="66"/>
  <c r="F37" i="66"/>
  <c r="C6" i="72"/>
  <c r="L27" i="72"/>
  <c r="B34" i="65"/>
  <c r="C10" i="65"/>
  <c r="L6" i="65"/>
  <c r="B31" i="65"/>
  <c r="B40" i="65"/>
  <c r="N10" i="72"/>
  <c r="D12" i="72"/>
  <c r="S11" i="73" l="1"/>
  <c r="D32" i="73"/>
  <c r="Q16" i="72"/>
  <c r="H37" i="66"/>
  <c r="K37" i="66"/>
  <c r="N37" i="66"/>
  <c r="I37" i="66"/>
  <c r="J37" i="66"/>
  <c r="M37" i="66"/>
  <c r="G38" i="66"/>
  <c r="M38" i="66" s="1"/>
  <c r="V23" i="72"/>
  <c r="U23" i="65"/>
  <c r="V26" i="65"/>
  <c r="F26" i="65" s="1"/>
  <c r="W26" i="72"/>
  <c r="F26" i="72"/>
  <c r="T30" i="65"/>
  <c r="U29" i="73"/>
  <c r="P13" i="72"/>
  <c r="P14" i="65"/>
  <c r="P13" i="65" s="1"/>
  <c r="Q14" i="72"/>
  <c r="R12" i="73"/>
  <c r="S13" i="73"/>
  <c r="P16" i="65"/>
  <c r="E21" i="73"/>
  <c r="S20" i="73"/>
  <c r="E20" i="73" s="1"/>
  <c r="T21" i="73"/>
  <c r="R21" i="72"/>
  <c r="R20" i="72" s="1"/>
  <c r="R22" i="65"/>
  <c r="R21" i="65" s="1"/>
  <c r="S22" i="72"/>
  <c r="R17" i="72"/>
  <c r="S18" i="72"/>
  <c r="P15" i="73"/>
  <c r="P32" i="73" s="1"/>
  <c r="R28" i="65"/>
  <c r="S29" i="72"/>
  <c r="Q16" i="73"/>
  <c r="R17" i="73"/>
  <c r="R18" i="65" s="1"/>
  <c r="R17" i="65" s="1"/>
  <c r="N32" i="73"/>
  <c r="N34" i="73" s="1"/>
  <c r="O29" i="65"/>
  <c r="O27" i="65" s="1"/>
  <c r="O33" i="65" s="1"/>
  <c r="O32" i="72"/>
  <c r="O35" i="72" s="1"/>
  <c r="P30" i="72"/>
  <c r="D20" i="65"/>
  <c r="N16" i="65"/>
  <c r="D16" i="65" s="1"/>
  <c r="D29" i="65"/>
  <c r="N27" i="65"/>
  <c r="C33" i="65"/>
  <c r="Q23" i="73"/>
  <c r="Q19" i="73" s="1"/>
  <c r="R24" i="73"/>
  <c r="Q25" i="65"/>
  <c r="Q24" i="65" s="1"/>
  <c r="Q20" i="65" s="1"/>
  <c r="Q16" i="65" s="1"/>
  <c r="E24" i="72"/>
  <c r="D26" i="73"/>
  <c r="D33" i="73" s="1"/>
  <c r="D34" i="73" s="1"/>
  <c r="T24" i="72"/>
  <c r="U25" i="72"/>
  <c r="O26" i="73"/>
  <c r="O33" i="73" s="1"/>
  <c r="O34" i="73" s="1"/>
  <c r="P28" i="73"/>
  <c r="D32" i="72"/>
  <c r="D35" i="72" s="1"/>
  <c r="N35" i="72"/>
  <c r="R9" i="73"/>
  <c r="R11" i="65"/>
  <c r="S10" i="73"/>
  <c r="K21" i="102"/>
  <c r="J25" i="102"/>
  <c r="J26" i="102" s="1"/>
  <c r="P12" i="65" s="1"/>
  <c r="Q6" i="73"/>
  <c r="Q5" i="73" s="1"/>
  <c r="R7" i="73"/>
  <c r="R8" i="65" s="1"/>
  <c r="R7" i="72"/>
  <c r="Q9" i="65"/>
  <c r="R8" i="73"/>
  <c r="Q8" i="65"/>
  <c r="O10" i="72"/>
  <c r="O6" i="72" s="1"/>
  <c r="O27" i="72" s="1"/>
  <c r="O34" i="72" s="1"/>
  <c r="O10" i="65"/>
  <c r="O6" i="65" s="1"/>
  <c r="O32" i="65" s="1"/>
  <c r="E40" i="65"/>
  <c r="D40" i="65"/>
  <c r="C40" i="65"/>
  <c r="C27" i="72"/>
  <c r="C34" i="72" s="1"/>
  <c r="C36" i="72" s="1"/>
  <c r="L34" i="72"/>
  <c r="L36" i="72" s="1"/>
  <c r="D44" i="65"/>
  <c r="E44" i="65"/>
  <c r="C44" i="65"/>
  <c r="I38" i="66"/>
  <c r="N10" i="65"/>
  <c r="D12" i="65"/>
  <c r="N6" i="72"/>
  <c r="D10" i="72"/>
  <c r="C6" i="65"/>
  <c r="L32" i="65"/>
  <c r="F38" i="66"/>
  <c r="E38" i="66"/>
  <c r="E11" i="73" l="1"/>
  <c r="T11" i="73"/>
  <c r="L38" i="66"/>
  <c r="N38" i="66"/>
  <c r="K38" i="66"/>
  <c r="H38" i="66"/>
  <c r="J38" i="66"/>
  <c r="B36" i="66"/>
  <c r="C40" i="66"/>
  <c r="G40" i="66" s="1"/>
  <c r="H40" i="66" s="1"/>
  <c r="C36" i="66"/>
  <c r="G36" i="66" s="1"/>
  <c r="B40" i="66"/>
  <c r="X26" i="72"/>
  <c r="W26" i="65"/>
  <c r="V29" i="73"/>
  <c r="U30" i="65"/>
  <c r="W23" i="72"/>
  <c r="V23" i="65"/>
  <c r="F23" i="65" s="1"/>
  <c r="F23" i="72"/>
  <c r="Q13" i="72"/>
  <c r="R14" i="72"/>
  <c r="Q14" i="65"/>
  <c r="Q13" i="65" s="1"/>
  <c r="O36" i="72"/>
  <c r="E13" i="73"/>
  <c r="T13" i="73"/>
  <c r="S12" i="73"/>
  <c r="E12" i="73" s="1"/>
  <c r="R16" i="72"/>
  <c r="T20" i="73"/>
  <c r="U21" i="73"/>
  <c r="S22" i="65"/>
  <c r="S21" i="72"/>
  <c r="E22" i="72"/>
  <c r="T22" i="72"/>
  <c r="Q15" i="73"/>
  <c r="Q32" i="73" s="1"/>
  <c r="S17" i="72"/>
  <c r="E17" i="72" s="1"/>
  <c r="E18" i="72"/>
  <c r="R16" i="73"/>
  <c r="S17" i="73"/>
  <c r="S28" i="65"/>
  <c r="E28" i="65" s="1"/>
  <c r="E29" i="72"/>
  <c r="T29" i="72"/>
  <c r="R23" i="73"/>
  <c r="R19" i="73" s="1"/>
  <c r="S24" i="73"/>
  <c r="R25" i="65"/>
  <c r="R24" i="65" s="1"/>
  <c r="R20" i="65" s="1"/>
  <c r="R16" i="65" s="1"/>
  <c r="P32" i="72"/>
  <c r="P35" i="72" s="1"/>
  <c r="P29" i="65"/>
  <c r="P27" i="65" s="1"/>
  <c r="P33" i="65" s="1"/>
  <c r="Q30" i="72"/>
  <c r="P26" i="73"/>
  <c r="P33" i="73" s="1"/>
  <c r="P34" i="73" s="1"/>
  <c r="Q28" i="73"/>
  <c r="U24" i="72"/>
  <c r="V25" i="72"/>
  <c r="D27" i="65"/>
  <c r="N33" i="65"/>
  <c r="L21" i="102"/>
  <c r="K25" i="102"/>
  <c r="K26" i="102" s="1"/>
  <c r="Q12" i="65" s="1"/>
  <c r="S11" i="65"/>
  <c r="E11" i="65" s="1"/>
  <c r="S9" i="73"/>
  <c r="E9" i="73" s="1"/>
  <c r="E10" i="73"/>
  <c r="T10" i="73"/>
  <c r="E8" i="72"/>
  <c r="S7" i="72"/>
  <c r="E7" i="72" s="1"/>
  <c r="Q7" i="65"/>
  <c r="R9" i="65"/>
  <c r="R7" i="65" s="1"/>
  <c r="S8" i="73"/>
  <c r="R6" i="73"/>
  <c r="R5" i="73" s="1"/>
  <c r="S7" i="73"/>
  <c r="N27" i="72"/>
  <c r="D6" i="72"/>
  <c r="O34" i="65"/>
  <c r="O31" i="65"/>
  <c r="B46" i="65" s="1"/>
  <c r="D10" i="65"/>
  <c r="N6" i="65"/>
  <c r="P10" i="65"/>
  <c r="P6" i="65" s="1"/>
  <c r="P32" i="65" s="1"/>
  <c r="P10" i="72"/>
  <c r="P6" i="72" s="1"/>
  <c r="P27" i="72" s="1"/>
  <c r="P34" i="72" s="1"/>
  <c r="L31" i="65"/>
  <c r="L34" i="65"/>
  <c r="C32" i="65"/>
  <c r="U11" i="73" l="1"/>
  <c r="D36" i="66"/>
  <c r="E36" i="66" s="1"/>
  <c r="D40" i="66"/>
  <c r="F40" i="66" s="1"/>
  <c r="W29" i="73"/>
  <c r="V30" i="65"/>
  <c r="F30" i="65" s="1"/>
  <c r="X23" i="72"/>
  <c r="W23" i="65"/>
  <c r="Y26" i="72"/>
  <c r="X26" i="65"/>
  <c r="R13" i="72"/>
  <c r="S14" i="72"/>
  <c r="R14" i="65"/>
  <c r="R13" i="65" s="1"/>
  <c r="T12" i="73"/>
  <c r="U13" i="73"/>
  <c r="U20" i="73"/>
  <c r="V21" i="73"/>
  <c r="E21" i="72"/>
  <c r="S20" i="72"/>
  <c r="E22" i="65"/>
  <c r="S21" i="65"/>
  <c r="E21" i="65" s="1"/>
  <c r="T22" i="65"/>
  <c r="T21" i="65" s="1"/>
  <c r="T21" i="72"/>
  <c r="T20" i="72" s="1"/>
  <c r="U22" i="72"/>
  <c r="E17" i="73"/>
  <c r="S16" i="73"/>
  <c r="E16" i="73" s="1"/>
  <c r="T17" i="73"/>
  <c r="T18" i="65" s="1"/>
  <c r="T17" i="65" s="1"/>
  <c r="T28" i="65"/>
  <c r="U29" i="72"/>
  <c r="T17" i="72"/>
  <c r="R15" i="73"/>
  <c r="R32" i="73" s="1"/>
  <c r="S18" i="65"/>
  <c r="E24" i="73"/>
  <c r="S23" i="73"/>
  <c r="T24" i="73"/>
  <c r="S25" i="65"/>
  <c r="D33" i="65"/>
  <c r="P36" i="72"/>
  <c r="F25" i="72"/>
  <c r="V24" i="72"/>
  <c r="W25" i="72"/>
  <c r="Q29" i="65"/>
  <c r="Q27" i="65" s="1"/>
  <c r="Q33" i="65" s="1"/>
  <c r="Q32" i="72"/>
  <c r="Q35" i="72" s="1"/>
  <c r="R30" i="72"/>
  <c r="Q26" i="73"/>
  <c r="Q33" i="73" s="1"/>
  <c r="Q34" i="73" s="1"/>
  <c r="R28" i="73"/>
  <c r="T9" i="73"/>
  <c r="T11" i="65"/>
  <c r="U10" i="73"/>
  <c r="L25" i="102"/>
  <c r="L26" i="102" s="1"/>
  <c r="R12" i="65" s="1"/>
  <c r="M21" i="102"/>
  <c r="E8" i="73"/>
  <c r="S9" i="65"/>
  <c r="E9" i="65" s="1"/>
  <c r="T8" i="73"/>
  <c r="S6" i="73"/>
  <c r="E7" i="73"/>
  <c r="T7" i="73"/>
  <c r="T8" i="65" s="1"/>
  <c r="S8" i="65"/>
  <c r="T7" i="72"/>
  <c r="C31" i="65"/>
  <c r="B43" i="65"/>
  <c r="D46" i="65"/>
  <c r="C46" i="65"/>
  <c r="E46" i="65"/>
  <c r="Q10" i="65"/>
  <c r="Q6" i="65" s="1"/>
  <c r="Q32" i="65" s="1"/>
  <c r="Q10" i="72"/>
  <c r="Q6" i="72" s="1"/>
  <c r="Q27" i="72" s="1"/>
  <c r="Q34" i="72" s="1"/>
  <c r="I40" i="66"/>
  <c r="L40" i="66"/>
  <c r="J40" i="66"/>
  <c r="K40" i="66"/>
  <c r="M40" i="66"/>
  <c r="N40" i="66"/>
  <c r="C34" i="65"/>
  <c r="D6" i="65"/>
  <c r="N32" i="65"/>
  <c r="P34" i="65"/>
  <c r="P31" i="65"/>
  <c r="B47" i="65" s="1"/>
  <c r="K36" i="66"/>
  <c r="J36" i="66"/>
  <c r="H36" i="66"/>
  <c r="N36" i="66"/>
  <c r="L36" i="66"/>
  <c r="I36" i="66"/>
  <c r="M36" i="66"/>
  <c r="D27" i="72"/>
  <c r="D34" i="72" s="1"/>
  <c r="D36" i="72" s="1"/>
  <c r="N34" i="72"/>
  <c r="N36" i="72" s="1"/>
  <c r="V11" i="73" l="1"/>
  <c r="F36" i="66"/>
  <c r="E40" i="66"/>
  <c r="B42" i="66"/>
  <c r="C42" i="66"/>
  <c r="G42" i="66" s="1"/>
  <c r="X23" i="65"/>
  <c r="Y23" i="72"/>
  <c r="Y26" i="65"/>
  <c r="Z26" i="72"/>
  <c r="X29" i="73"/>
  <c r="W30" i="65"/>
  <c r="T14" i="72"/>
  <c r="E14" i="72"/>
  <c r="S13" i="72"/>
  <c r="E13" i="72" s="1"/>
  <c r="S14" i="65"/>
  <c r="U12" i="73"/>
  <c r="V13" i="73"/>
  <c r="U22" i="65"/>
  <c r="U21" i="65" s="1"/>
  <c r="U21" i="72"/>
  <c r="U20" i="72" s="1"/>
  <c r="V22" i="72"/>
  <c r="F21" i="73"/>
  <c r="V20" i="73"/>
  <c r="F20" i="73" s="1"/>
  <c r="W21" i="73"/>
  <c r="T16" i="72"/>
  <c r="S16" i="72"/>
  <c r="E16" i="72" s="1"/>
  <c r="E20" i="72"/>
  <c r="T16" i="73"/>
  <c r="U17" i="73"/>
  <c r="U18" i="65" s="1"/>
  <c r="U17" i="65" s="1"/>
  <c r="E18" i="65"/>
  <c r="S17" i="65"/>
  <c r="E17" i="65" s="1"/>
  <c r="U28" i="65"/>
  <c r="V29" i="72"/>
  <c r="U17" i="72"/>
  <c r="T23" i="73"/>
  <c r="T19" i="73" s="1"/>
  <c r="U24" i="73"/>
  <c r="T25" i="65"/>
  <c r="T24" i="65" s="1"/>
  <c r="T20" i="65" s="1"/>
  <c r="T16" i="65" s="1"/>
  <c r="R26" i="73"/>
  <c r="R33" i="73" s="1"/>
  <c r="R34" i="73" s="1"/>
  <c r="S28" i="73"/>
  <c r="E23" i="73"/>
  <c r="S19" i="73"/>
  <c r="Q36" i="72"/>
  <c r="W24" i="72"/>
  <c r="X25" i="72"/>
  <c r="R32" i="72"/>
  <c r="R35" i="72" s="1"/>
  <c r="R29" i="65"/>
  <c r="R27" i="65" s="1"/>
  <c r="R33" i="65" s="1"/>
  <c r="S30" i="72"/>
  <c r="F24" i="72"/>
  <c r="S24" i="65"/>
  <c r="E25" i="65"/>
  <c r="U11" i="65"/>
  <c r="U9" i="73"/>
  <c r="V10" i="73"/>
  <c r="M25" i="102"/>
  <c r="M26" i="102" s="1"/>
  <c r="S12" i="65" s="1"/>
  <c r="N21" i="102"/>
  <c r="S5" i="73"/>
  <c r="E6" i="73"/>
  <c r="E8" i="65"/>
  <c r="S7" i="65"/>
  <c r="E7" i="65" s="1"/>
  <c r="T9" i="65"/>
  <c r="T7" i="65" s="1"/>
  <c r="U8" i="73"/>
  <c r="U7" i="72"/>
  <c r="T6" i="73"/>
  <c r="T5" i="73" s="1"/>
  <c r="U7" i="73"/>
  <c r="R10" i="72"/>
  <c r="R6" i="72" s="1"/>
  <c r="R27" i="72" s="1"/>
  <c r="R34" i="72" s="1"/>
  <c r="R10" i="65"/>
  <c r="R6" i="65" s="1"/>
  <c r="R32" i="65" s="1"/>
  <c r="C47" i="65"/>
  <c r="D47" i="65"/>
  <c r="E47" i="65"/>
  <c r="N34" i="65"/>
  <c r="D32" i="65"/>
  <c r="N31" i="65"/>
  <c r="Q34" i="65"/>
  <c r="Q31" i="65"/>
  <c r="B48" i="65" s="1"/>
  <c r="C43" i="65"/>
  <c r="D43" i="65"/>
  <c r="E43" i="65"/>
  <c r="W11" i="73" l="1"/>
  <c r="F11" i="73"/>
  <c r="D42" i="66"/>
  <c r="E42" i="66" s="1"/>
  <c r="C39" i="66"/>
  <c r="D39" i="66" s="1"/>
  <c r="B39" i="66"/>
  <c r="C62" i="66" s="1"/>
  <c r="E62" i="66" s="1"/>
  <c r="B43" i="66"/>
  <c r="C43" i="66"/>
  <c r="G43" i="66" s="1"/>
  <c r="AA26" i="72"/>
  <c r="Z26" i="65"/>
  <c r="T15" i="73"/>
  <c r="T32" i="73" s="1"/>
  <c r="Z23" i="72"/>
  <c r="Y23" i="65"/>
  <c r="X30" i="65"/>
  <c r="Y29" i="73"/>
  <c r="S13" i="65"/>
  <c r="E13" i="65" s="1"/>
  <c r="E14" i="65"/>
  <c r="T13" i="72"/>
  <c r="U14" i="72"/>
  <c r="T14" i="65"/>
  <c r="T13" i="65" s="1"/>
  <c r="U16" i="72"/>
  <c r="W13" i="73"/>
  <c r="F13" i="73"/>
  <c r="V12" i="73"/>
  <c r="F12" i="73" s="1"/>
  <c r="F22" i="72"/>
  <c r="V21" i="72"/>
  <c r="V22" i="65"/>
  <c r="W22" i="72"/>
  <c r="W20" i="73"/>
  <c r="X21" i="73"/>
  <c r="V28" i="65"/>
  <c r="F28" i="65" s="1"/>
  <c r="F29" i="72"/>
  <c r="W29" i="72"/>
  <c r="U16" i="73"/>
  <c r="V17" i="73"/>
  <c r="V18" i="65" s="1"/>
  <c r="F18" i="72"/>
  <c r="V17" i="72"/>
  <c r="F17" i="72" s="1"/>
  <c r="E24" i="65"/>
  <c r="S20" i="65"/>
  <c r="U23" i="73"/>
  <c r="U19" i="73" s="1"/>
  <c r="V24" i="73"/>
  <c r="U25" i="65"/>
  <c r="U24" i="65" s="1"/>
  <c r="U20" i="65" s="1"/>
  <c r="U16" i="65" s="1"/>
  <c r="R36" i="72"/>
  <c r="S29" i="65"/>
  <c r="S32" i="72"/>
  <c r="E30" i="72"/>
  <c r="T30" i="72"/>
  <c r="X24" i="72"/>
  <c r="Y25" i="72"/>
  <c r="E19" i="73"/>
  <c r="S15" i="73"/>
  <c r="E15" i="73" s="1"/>
  <c r="E28" i="73"/>
  <c r="S26" i="73"/>
  <c r="S33" i="73" s="1"/>
  <c r="T28" i="73"/>
  <c r="V9" i="73"/>
  <c r="F9" i="73" s="1"/>
  <c r="F10" i="73"/>
  <c r="V11" i="65"/>
  <c r="F11" i="65" s="1"/>
  <c r="W10" i="73"/>
  <c r="O21" i="102"/>
  <c r="N25" i="102"/>
  <c r="N26" i="102" s="1"/>
  <c r="T12" i="65" s="1"/>
  <c r="U6" i="73"/>
  <c r="U5" i="73" s="1"/>
  <c r="V7" i="73"/>
  <c r="V8" i="65" s="1"/>
  <c r="U9" i="65"/>
  <c r="V8" i="73"/>
  <c r="F8" i="72"/>
  <c r="V7" i="72"/>
  <c r="F7" i="72" s="1"/>
  <c r="E5" i="73"/>
  <c r="U8" i="65"/>
  <c r="D31" i="65"/>
  <c r="B45" i="65"/>
  <c r="D34" i="65"/>
  <c r="R34" i="65"/>
  <c r="R31" i="65"/>
  <c r="B49" i="65" s="1"/>
  <c r="H42" i="66"/>
  <c r="K42" i="66"/>
  <c r="I42" i="66"/>
  <c r="J42" i="66"/>
  <c r="M42" i="66"/>
  <c r="N42" i="66"/>
  <c r="L42" i="66"/>
  <c r="E12" i="72"/>
  <c r="S10" i="72"/>
  <c r="E48" i="65"/>
  <c r="D48" i="65"/>
  <c r="C48" i="65"/>
  <c r="X11" i="73" l="1"/>
  <c r="G39" i="66"/>
  <c r="L39" i="66" s="1"/>
  <c r="C67" i="66" s="1"/>
  <c r="F42" i="66"/>
  <c r="C58" i="66"/>
  <c r="C61" i="66"/>
  <c r="E61" i="66" s="1"/>
  <c r="C60" i="66"/>
  <c r="C59" i="66"/>
  <c r="E59" i="66" s="1"/>
  <c r="D43" i="66"/>
  <c r="E43" i="66" s="1"/>
  <c r="C63" i="66"/>
  <c r="C44" i="66"/>
  <c r="D44" i="66" s="1"/>
  <c r="B44" i="66"/>
  <c r="Z29" i="73"/>
  <c r="Y30" i="65"/>
  <c r="Z23" i="65"/>
  <c r="AA23" i="72"/>
  <c r="AA26" i="65"/>
  <c r="G26" i="65" s="1"/>
  <c r="G26" i="72"/>
  <c r="U13" i="72"/>
  <c r="V14" i="72"/>
  <c r="U14" i="65"/>
  <c r="U13" i="65" s="1"/>
  <c r="U15" i="73"/>
  <c r="U32" i="73" s="1"/>
  <c r="X13" i="73"/>
  <c r="W12" i="73"/>
  <c r="F22" i="65"/>
  <c r="V21" i="65"/>
  <c r="F21" i="65" s="1"/>
  <c r="S32" i="73"/>
  <c r="S34" i="73" s="1"/>
  <c r="X20" i="73"/>
  <c r="Y21" i="73"/>
  <c r="F21" i="72"/>
  <c r="V20" i="72"/>
  <c r="W22" i="65"/>
  <c r="W21" i="65" s="1"/>
  <c r="W21" i="72"/>
  <c r="W20" i="72" s="1"/>
  <c r="X22" i="72"/>
  <c r="F18" i="65"/>
  <c r="V17" i="65"/>
  <c r="F17" i="65" s="1"/>
  <c r="W28" i="65"/>
  <c r="X29" i="72"/>
  <c r="W17" i="72"/>
  <c r="F17" i="73"/>
  <c r="V16" i="73"/>
  <c r="F16" i="73" s="1"/>
  <c r="W17" i="73"/>
  <c r="E32" i="73"/>
  <c r="Y24" i="72"/>
  <c r="Z25" i="72"/>
  <c r="E32" i="72"/>
  <c r="E35" i="72" s="1"/>
  <c r="S35" i="72"/>
  <c r="V23" i="73"/>
  <c r="F24" i="73"/>
  <c r="W24" i="73"/>
  <c r="V25" i="65"/>
  <c r="S16" i="65"/>
  <c r="E16" i="65" s="1"/>
  <c r="E20" i="65"/>
  <c r="E26" i="73"/>
  <c r="E33" i="73" s="1"/>
  <c r="E29" i="65"/>
  <c r="S27" i="65"/>
  <c r="T26" i="73"/>
  <c r="T33" i="73" s="1"/>
  <c r="T34" i="73" s="1"/>
  <c r="U28" i="73"/>
  <c r="T32" i="72"/>
  <c r="T35" i="72" s="1"/>
  <c r="T29" i="65"/>
  <c r="T27" i="65" s="1"/>
  <c r="T33" i="65" s="1"/>
  <c r="U30" i="72"/>
  <c r="U7" i="65"/>
  <c r="W11" i="65"/>
  <c r="W9" i="73"/>
  <c r="X10" i="73"/>
  <c r="P21" i="102"/>
  <c r="O25" i="102"/>
  <c r="O26" i="102" s="1"/>
  <c r="U12" i="65" s="1"/>
  <c r="F8" i="65"/>
  <c r="W7" i="72"/>
  <c r="F8" i="73"/>
  <c r="V9" i="65"/>
  <c r="F9" i="65" s="1"/>
  <c r="W8" i="73"/>
  <c r="F7" i="73"/>
  <c r="V6" i="73"/>
  <c r="W7" i="73"/>
  <c r="E39" i="66"/>
  <c r="F39" i="66"/>
  <c r="T10" i="65"/>
  <c r="T6" i="65" s="1"/>
  <c r="T32" i="65" s="1"/>
  <c r="T10" i="72"/>
  <c r="T6" i="72" s="1"/>
  <c r="T27" i="72" s="1"/>
  <c r="T34" i="72" s="1"/>
  <c r="H43" i="66"/>
  <c r="N43" i="66"/>
  <c r="M43" i="66"/>
  <c r="I43" i="66"/>
  <c r="J43" i="66"/>
  <c r="L43" i="66"/>
  <c r="K43" i="66"/>
  <c r="E49" i="65"/>
  <c r="C49" i="65"/>
  <c r="D49" i="65"/>
  <c r="D45" i="65"/>
  <c r="C45" i="65"/>
  <c r="E45" i="65"/>
  <c r="S10" i="65"/>
  <c r="E12" i="65"/>
  <c r="E10" i="72"/>
  <c r="S6" i="72"/>
  <c r="N39" i="66"/>
  <c r="C72" i="66" s="1"/>
  <c r="I39" i="66"/>
  <c r="C69" i="66" s="1"/>
  <c r="E69" i="66" s="1"/>
  <c r="M39" i="66"/>
  <c r="C71" i="66" s="1"/>
  <c r="K39" i="66" l="1"/>
  <c r="C70" i="66" s="1"/>
  <c r="E70" i="66" s="1"/>
  <c r="H39" i="66"/>
  <c r="C68" i="66" s="1"/>
  <c r="J39" i="66"/>
  <c r="Y11" i="73"/>
  <c r="G44" i="66"/>
  <c r="J44" i="66" s="1"/>
  <c r="F43" i="66"/>
  <c r="C64" i="66"/>
  <c r="E64" i="66" s="1"/>
  <c r="C41" i="66"/>
  <c r="G41" i="66" s="1"/>
  <c r="C45" i="66"/>
  <c r="G45" i="66" s="1"/>
  <c r="B45" i="66"/>
  <c r="B41" i="66"/>
  <c r="AA23" i="65"/>
  <c r="G23" i="65" s="1"/>
  <c r="G23" i="72"/>
  <c r="AA29" i="73"/>
  <c r="AA30" i="65" s="1"/>
  <c r="G30" i="65" s="1"/>
  <c r="Z30" i="65"/>
  <c r="F14" i="72"/>
  <c r="W14" i="72"/>
  <c r="V14" i="65"/>
  <c r="V13" i="72"/>
  <c r="F13" i="72" s="1"/>
  <c r="W16" i="72"/>
  <c r="X12" i="73"/>
  <c r="Y13" i="73"/>
  <c r="Y20" i="73"/>
  <c r="Z21" i="73"/>
  <c r="X22" i="65"/>
  <c r="X21" i="65" s="1"/>
  <c r="X21" i="72"/>
  <c r="X20" i="72" s="1"/>
  <c r="Y22" i="72"/>
  <c r="V16" i="72"/>
  <c r="F16" i="72" s="1"/>
  <c r="F20" i="72"/>
  <c r="W16" i="73"/>
  <c r="X17" i="73"/>
  <c r="X18" i="65" s="1"/>
  <c r="X17" i="65" s="1"/>
  <c r="W18" i="65"/>
  <c r="W17" i="65" s="1"/>
  <c r="X28" i="65"/>
  <c r="Y29" i="72"/>
  <c r="X17" i="72"/>
  <c r="E34" i="73"/>
  <c r="T36" i="72"/>
  <c r="E27" i="65"/>
  <c r="S33" i="65"/>
  <c r="Z24" i="72"/>
  <c r="AA25" i="72"/>
  <c r="W23" i="73"/>
  <c r="W19" i="73" s="1"/>
  <c r="X24" i="73"/>
  <c r="W25" i="65"/>
  <c r="W24" i="65" s="1"/>
  <c r="W20" i="65" s="1"/>
  <c r="U26" i="73"/>
  <c r="U33" i="73" s="1"/>
  <c r="U34" i="73" s="1"/>
  <c r="V28" i="73"/>
  <c r="V19" i="73"/>
  <c r="F23" i="73"/>
  <c r="U29" i="65"/>
  <c r="U27" i="65" s="1"/>
  <c r="U33" i="65" s="1"/>
  <c r="U32" i="72"/>
  <c r="U35" i="72" s="1"/>
  <c r="V30" i="72"/>
  <c r="V24" i="65"/>
  <c r="F25" i="65"/>
  <c r="Q21" i="102"/>
  <c r="P25" i="102"/>
  <c r="P26" i="102" s="1"/>
  <c r="V12" i="65" s="1"/>
  <c r="X11" i="65"/>
  <c r="X9" i="73"/>
  <c r="Y10" i="73"/>
  <c r="W9" i="65"/>
  <c r="X8" i="73"/>
  <c r="W6" i="73"/>
  <c r="W5" i="73" s="1"/>
  <c r="X7" i="73"/>
  <c r="X8" i="65" s="1"/>
  <c r="W8" i="65"/>
  <c r="W7" i="65" s="1"/>
  <c r="V5" i="73"/>
  <c r="F6" i="73"/>
  <c r="X7" i="72"/>
  <c r="V7" i="65"/>
  <c r="F7" i="65" s="1"/>
  <c r="N44" i="66"/>
  <c r="E44" i="66"/>
  <c r="F44" i="66"/>
  <c r="T31" i="65"/>
  <c r="B51" i="65" s="1"/>
  <c r="T34" i="65"/>
  <c r="E10" i="65"/>
  <c r="S6" i="65"/>
  <c r="S27" i="72"/>
  <c r="E6" i="72"/>
  <c r="U10" i="65"/>
  <c r="U6" i="65" s="1"/>
  <c r="U32" i="65" s="1"/>
  <c r="U10" i="72"/>
  <c r="U6" i="72" s="1"/>
  <c r="U27" i="72" s="1"/>
  <c r="U34" i="72" s="1"/>
  <c r="Z11" i="73" l="1"/>
  <c r="W16" i="65"/>
  <c r="M44" i="66"/>
  <c r="K44" i="66"/>
  <c r="I44" i="66"/>
  <c r="D41" i="66"/>
  <c r="E41" i="66" s="1"/>
  <c r="L44" i="66"/>
  <c r="H44" i="66"/>
  <c r="D45" i="66"/>
  <c r="F45" i="66" s="1"/>
  <c r="C73" i="66"/>
  <c r="H73" i="66" s="1"/>
  <c r="V13" i="65"/>
  <c r="F13" i="65" s="1"/>
  <c r="F14" i="65"/>
  <c r="W15" i="73"/>
  <c r="W32" i="73" s="1"/>
  <c r="W14" i="65"/>
  <c r="W13" i="65" s="1"/>
  <c r="W13" i="72"/>
  <c r="X14" i="72"/>
  <c r="Z13" i="73"/>
  <c r="Y12" i="73"/>
  <c r="X16" i="72"/>
  <c r="Z20" i="73"/>
  <c r="AA21" i="73"/>
  <c r="Y22" i="65"/>
  <c r="Y21" i="65" s="1"/>
  <c r="Y21" i="72"/>
  <c r="Y20" i="72" s="1"/>
  <c r="Z22" i="72"/>
  <c r="Y28" i="65"/>
  <c r="Z29" i="72"/>
  <c r="Y17" i="72"/>
  <c r="X16" i="73"/>
  <c r="Y17" i="73"/>
  <c r="F19" i="73"/>
  <c r="V15" i="73"/>
  <c r="F15" i="73" s="1"/>
  <c r="X23" i="73"/>
  <c r="X19" i="73" s="1"/>
  <c r="Y24" i="73"/>
  <c r="X25" i="65"/>
  <c r="X24" i="65" s="1"/>
  <c r="X20" i="65" s="1"/>
  <c r="X16" i="65" s="1"/>
  <c r="U36" i="72"/>
  <c r="V20" i="65"/>
  <c r="F24" i="65"/>
  <c r="V26" i="73"/>
  <c r="V33" i="73" s="1"/>
  <c r="F28" i="73"/>
  <c r="W28" i="73"/>
  <c r="E33" i="65"/>
  <c r="V29" i="65"/>
  <c r="V32" i="72"/>
  <c r="F30" i="72"/>
  <c r="W30" i="72"/>
  <c r="AA24" i="72"/>
  <c r="G25" i="72"/>
  <c r="Y11" i="65"/>
  <c r="Y9" i="73"/>
  <c r="Z10" i="73"/>
  <c r="Q25" i="102"/>
  <c r="Q26" i="102" s="1"/>
  <c r="W12" i="65" s="1"/>
  <c r="R21" i="102"/>
  <c r="X6" i="73"/>
  <c r="X5" i="73" s="1"/>
  <c r="Y7" i="73"/>
  <c r="Y8" i="65" s="1"/>
  <c r="Y7" i="72"/>
  <c r="F5" i="73"/>
  <c r="X9" i="65"/>
  <c r="X7" i="65" s="1"/>
  <c r="Y8" i="73"/>
  <c r="F41" i="66"/>
  <c r="U31" i="65"/>
  <c r="B52" i="65" s="1"/>
  <c r="U34" i="65"/>
  <c r="N45" i="66"/>
  <c r="I45" i="66"/>
  <c r="K45" i="66"/>
  <c r="H45" i="66"/>
  <c r="J45" i="66"/>
  <c r="L45" i="66"/>
  <c r="M45" i="66"/>
  <c r="C51" i="65"/>
  <c r="D16" i="126" s="1"/>
  <c r="D51" i="65"/>
  <c r="E16" i="126" s="1"/>
  <c r="E51" i="65"/>
  <c r="E6" i="65"/>
  <c r="S32" i="65"/>
  <c r="V10" i="72"/>
  <c r="F12" i="72"/>
  <c r="S34" i="72"/>
  <c r="S36" i="72" s="1"/>
  <c r="E27" i="72"/>
  <c r="E34" i="72" s="1"/>
  <c r="E36" i="72" s="1"/>
  <c r="L41" i="66"/>
  <c r="N41" i="66"/>
  <c r="H41" i="66"/>
  <c r="K41" i="66"/>
  <c r="I41" i="66"/>
  <c r="M41" i="66"/>
  <c r="J41" i="66"/>
  <c r="AA11" i="73" l="1"/>
  <c r="F32" i="73"/>
  <c r="E45" i="66"/>
  <c r="C47" i="66"/>
  <c r="D47" i="66" s="1"/>
  <c r="B47" i="66"/>
  <c r="C74" i="66"/>
  <c r="K73" i="66"/>
  <c r="G73" i="66"/>
  <c r="G74" i="66" s="1"/>
  <c r="Y14" i="72"/>
  <c r="X13" i="72"/>
  <c r="X14" i="65"/>
  <c r="X13" i="65" s="1"/>
  <c r="I73" i="66"/>
  <c r="J73" i="66"/>
  <c r="J74" i="66" s="1"/>
  <c r="X15" i="73"/>
  <c r="X32" i="73" s="1"/>
  <c r="AA13" i="73"/>
  <c r="Z12" i="73"/>
  <c r="Z21" i="72"/>
  <c r="Z20" i="72" s="1"/>
  <c r="Z22" i="65"/>
  <c r="Z21" i="65" s="1"/>
  <c r="AA22" i="72"/>
  <c r="G21" i="73"/>
  <c r="AA20" i="73"/>
  <c r="G20" i="73" s="1"/>
  <c r="Y16" i="72"/>
  <c r="Z17" i="72"/>
  <c r="Y16" i="73"/>
  <c r="Z17" i="73"/>
  <c r="Y18" i="65"/>
  <c r="Y17" i="65" s="1"/>
  <c r="Z28" i="65"/>
  <c r="AA29" i="72"/>
  <c r="V32" i="73"/>
  <c r="V34" i="73" s="1"/>
  <c r="G24" i="72"/>
  <c r="V27" i="65"/>
  <c r="F29" i="65"/>
  <c r="V35" i="72"/>
  <c r="F32" i="72"/>
  <c r="F35" i="72" s="1"/>
  <c r="W29" i="65"/>
  <c r="W27" i="65" s="1"/>
  <c r="W33" i="65" s="1"/>
  <c r="W32" i="72"/>
  <c r="W35" i="72" s="1"/>
  <c r="X30" i="72"/>
  <c r="W26" i="73"/>
  <c r="W33" i="73" s="1"/>
  <c r="W34" i="73" s="1"/>
  <c r="X28" i="73"/>
  <c r="F20" i="65"/>
  <c r="V16" i="65"/>
  <c r="F16" i="65" s="1"/>
  <c r="Y23" i="73"/>
  <c r="Y19" i="73" s="1"/>
  <c r="Z24" i="73"/>
  <c r="Y25" i="65"/>
  <c r="Y24" i="65" s="1"/>
  <c r="Y20" i="65" s="1"/>
  <c r="F26" i="73"/>
  <c r="F33" i="73" s="1"/>
  <c r="F34" i="73" s="1"/>
  <c r="Z11" i="65"/>
  <c r="Z9" i="73"/>
  <c r="AA10" i="73"/>
  <c r="S21" i="102"/>
  <c r="R25" i="102"/>
  <c r="R26" i="102" s="1"/>
  <c r="X12" i="65" s="1"/>
  <c r="Y6" i="73"/>
  <c r="Y5" i="73" s="1"/>
  <c r="Z7" i="73"/>
  <c r="Z8" i="65" s="1"/>
  <c r="Y9" i="65"/>
  <c r="Y7" i="65" s="1"/>
  <c r="Z8" i="73"/>
  <c r="Z7" i="72"/>
  <c r="H74" i="66"/>
  <c r="W10" i="72"/>
  <c r="W6" i="72" s="1"/>
  <c r="W27" i="72" s="1"/>
  <c r="W34" i="72" s="1"/>
  <c r="W10" i="65"/>
  <c r="W6" i="65" s="1"/>
  <c r="W32" i="65" s="1"/>
  <c r="F10" i="72"/>
  <c r="V6" i="72"/>
  <c r="S31" i="65"/>
  <c r="S34" i="65"/>
  <c r="E32" i="65"/>
  <c r="F12" i="65"/>
  <c r="V10" i="65"/>
  <c r="C52" i="65"/>
  <c r="D17" i="126" s="1"/>
  <c r="E52" i="65"/>
  <c r="D52" i="65"/>
  <c r="E17" i="126" s="1"/>
  <c r="G11" i="73" l="1"/>
  <c r="Y16" i="65"/>
  <c r="G47" i="66"/>
  <c r="H47" i="66" s="1"/>
  <c r="C48" i="66"/>
  <c r="D48" i="66" s="1"/>
  <c r="B48" i="66"/>
  <c r="K74" i="66"/>
  <c r="I74" i="66"/>
  <c r="Y15" i="73"/>
  <c r="Y13" i="72"/>
  <c r="Z14" i="72"/>
  <c r="Y14" i="65"/>
  <c r="Y13" i="65" s="1"/>
  <c r="Z16" i="72"/>
  <c r="G13" i="73"/>
  <c r="AA12" i="73"/>
  <c r="G12" i="73" s="1"/>
  <c r="W36" i="72"/>
  <c r="Y32" i="73"/>
  <c r="AA21" i="72"/>
  <c r="AA22" i="65"/>
  <c r="G22" i="72"/>
  <c r="G29" i="72"/>
  <c r="AA28" i="65"/>
  <c r="G28" i="65" s="1"/>
  <c r="G18" i="72"/>
  <c r="AA17" i="72"/>
  <c r="G17" i="72" s="1"/>
  <c r="Z16" i="73"/>
  <c r="AA17" i="73"/>
  <c r="Z18" i="65"/>
  <c r="Z17" i="65" s="1"/>
  <c r="Z23" i="73"/>
  <c r="Z19" i="73" s="1"/>
  <c r="AA24" i="73"/>
  <c r="Z25" i="65"/>
  <c r="Z24" i="65" s="1"/>
  <c r="Z20" i="65" s="1"/>
  <c r="X26" i="73"/>
  <c r="X33" i="73" s="1"/>
  <c r="X34" i="73" s="1"/>
  <c r="Y28" i="73"/>
  <c r="X32" i="72"/>
  <c r="X35" i="72" s="1"/>
  <c r="X29" i="65"/>
  <c r="X27" i="65" s="1"/>
  <c r="X33" i="65" s="1"/>
  <c r="Y30" i="72"/>
  <c r="F27" i="65"/>
  <c r="V33" i="65"/>
  <c r="G10" i="73"/>
  <c r="AA11" i="65"/>
  <c r="G11" i="65" s="1"/>
  <c r="AA9" i="73"/>
  <c r="G9" i="73" s="1"/>
  <c r="T21" i="102"/>
  <c r="S25" i="102"/>
  <c r="S26" i="102" s="1"/>
  <c r="Y12" i="65" s="1"/>
  <c r="G8" i="72"/>
  <c r="AA7" i="72"/>
  <c r="G7" i="72" s="1"/>
  <c r="Z6" i="73"/>
  <c r="Z5" i="73" s="1"/>
  <c r="AA7" i="73"/>
  <c r="Z9" i="65"/>
  <c r="Z7" i="65" s="1"/>
  <c r="AA8" i="73"/>
  <c r="W34" i="65"/>
  <c r="W31" i="65"/>
  <c r="B54" i="65" s="1"/>
  <c r="F10" i="65"/>
  <c r="V6" i="65"/>
  <c r="E31" i="65"/>
  <c r="B50" i="65"/>
  <c r="F47" i="66"/>
  <c r="E47" i="66"/>
  <c r="E34" i="65"/>
  <c r="F6" i="72"/>
  <c r="V27" i="72"/>
  <c r="X10" i="72"/>
  <c r="X6" i="72" s="1"/>
  <c r="X27" i="72" s="1"/>
  <c r="X34" i="72" s="1"/>
  <c r="X10" i="65"/>
  <c r="X6" i="65" s="1"/>
  <c r="X32" i="65" s="1"/>
  <c r="G48" i="66" l="1"/>
  <c r="N48" i="66" s="1"/>
  <c r="J47" i="66"/>
  <c r="M47" i="66"/>
  <c r="L47" i="66"/>
  <c r="K47" i="66"/>
  <c r="N47" i="66"/>
  <c r="I47" i="66"/>
  <c r="AA14" i="72"/>
  <c r="Z13" i="72"/>
  <c r="Z14" i="65"/>
  <c r="Z13" i="65" s="1"/>
  <c r="Z15" i="73"/>
  <c r="Z32" i="73" s="1"/>
  <c r="G22" i="65"/>
  <c r="AA21" i="65"/>
  <c r="G21" i="65" s="1"/>
  <c r="G21" i="72"/>
  <c r="AA20" i="72"/>
  <c r="G20" i="72" s="1"/>
  <c r="X36" i="72"/>
  <c r="Z16" i="65"/>
  <c r="AA16" i="73"/>
  <c r="G16" i="73" s="1"/>
  <c r="G17" i="73"/>
  <c r="AA18" i="65"/>
  <c r="Y26" i="73"/>
  <c r="Y33" i="73" s="1"/>
  <c r="Y34" i="73" s="1"/>
  <c r="Z28" i="73"/>
  <c r="Y29" i="65"/>
  <c r="Y27" i="65" s="1"/>
  <c r="Y33" i="65" s="1"/>
  <c r="Y32" i="72"/>
  <c r="Y35" i="72" s="1"/>
  <c r="Z30" i="72"/>
  <c r="AA23" i="73"/>
  <c r="G24" i="73"/>
  <c r="AA25" i="65"/>
  <c r="F33" i="65"/>
  <c r="U21" i="102"/>
  <c r="U25" i="102" s="1"/>
  <c r="U26" i="102" s="1"/>
  <c r="AA12" i="65" s="1"/>
  <c r="T25" i="102"/>
  <c r="G8" i="73"/>
  <c r="AA9" i="65"/>
  <c r="G9" i="65" s="1"/>
  <c r="AA6" i="73"/>
  <c r="G7" i="73"/>
  <c r="AA8" i="65"/>
  <c r="E50" i="65"/>
  <c r="D50" i="65"/>
  <c r="C50" i="65"/>
  <c r="X34" i="65"/>
  <c r="X31" i="65"/>
  <c r="B55" i="65" s="1"/>
  <c r="Y10" i="65"/>
  <c r="Y6" i="65" s="1"/>
  <c r="Y32" i="65" s="1"/>
  <c r="Y10" i="72"/>
  <c r="Y6" i="72" s="1"/>
  <c r="Y27" i="72" s="1"/>
  <c r="Y34" i="72" s="1"/>
  <c r="F48" i="66"/>
  <c r="E48" i="66"/>
  <c r="V32" i="65"/>
  <c r="F6" i="65"/>
  <c r="C54" i="65"/>
  <c r="D19" i="126" s="1"/>
  <c r="D54" i="65"/>
  <c r="E19" i="126" s="1"/>
  <c r="E54" i="65"/>
  <c r="V34" i="72"/>
  <c r="V36" i="72" s="1"/>
  <c r="F27" i="72"/>
  <c r="F34" i="72" s="1"/>
  <c r="F36" i="72" s="1"/>
  <c r="H48" i="66"/>
  <c r="K48" i="66" l="1"/>
  <c r="L48" i="66"/>
  <c r="J48" i="66"/>
  <c r="I48" i="66"/>
  <c r="M48" i="66"/>
  <c r="B46" i="66"/>
  <c r="C46" i="66"/>
  <c r="G46" i="66" s="1"/>
  <c r="C50" i="66"/>
  <c r="D50" i="66" s="1"/>
  <c r="B50" i="66"/>
  <c r="AA13" i="72"/>
  <c r="G13" i="72" s="1"/>
  <c r="G14" i="72"/>
  <c r="AA14" i="65"/>
  <c r="Y36" i="72"/>
  <c r="AA16" i="72"/>
  <c r="G16" i="72" s="1"/>
  <c r="G18" i="65"/>
  <c r="AA17" i="65"/>
  <c r="G17" i="65" s="1"/>
  <c r="Z26" i="73"/>
  <c r="Z33" i="73" s="1"/>
  <c r="Z34" i="73" s="1"/>
  <c r="AA28" i="73"/>
  <c r="Z32" i="72"/>
  <c r="Z35" i="72" s="1"/>
  <c r="Z29" i="65"/>
  <c r="Z27" i="65" s="1"/>
  <c r="Z33" i="65" s="1"/>
  <c r="AA30" i="72"/>
  <c r="AA19" i="73"/>
  <c r="G23" i="73"/>
  <c r="G25" i="65"/>
  <c r="AA24" i="65"/>
  <c r="T26" i="102"/>
  <c r="AA7" i="65"/>
  <c r="G7" i="65" s="1"/>
  <c r="G8" i="65"/>
  <c r="G6" i="73"/>
  <c r="AA5" i="73"/>
  <c r="Y34" i="65"/>
  <c r="Y31" i="65"/>
  <c r="B56" i="65" s="1"/>
  <c r="V34" i="65"/>
  <c r="V31" i="65"/>
  <c r="F32" i="65"/>
  <c r="C55" i="65"/>
  <c r="D20" i="126" s="1"/>
  <c r="E55" i="65"/>
  <c r="D55" i="65"/>
  <c r="E20" i="126" s="1"/>
  <c r="Z10" i="72" l="1"/>
  <c r="Z6" i="72" s="1"/>
  <c r="Z27" i="72" s="1"/>
  <c r="Z34" i="72" s="1"/>
  <c r="Z36" i="72" s="1"/>
  <c r="Z12" i="65"/>
  <c r="G50" i="66"/>
  <c r="H50" i="66" s="1"/>
  <c r="D46" i="66"/>
  <c r="E46" i="66" s="1"/>
  <c r="C51" i="66"/>
  <c r="G51" i="66" s="1"/>
  <c r="B51" i="66"/>
  <c r="Z10" i="65"/>
  <c r="Z6" i="65" s="1"/>
  <c r="Z32" i="65" s="1"/>
  <c r="Z34" i="65" s="1"/>
  <c r="G14" i="65"/>
  <c r="AA13" i="65"/>
  <c r="G13" i="65" s="1"/>
  <c r="G19" i="73"/>
  <c r="AA15" i="73"/>
  <c r="G15" i="73" s="1"/>
  <c r="G28" i="73"/>
  <c r="AA26" i="73"/>
  <c r="AA33" i="73" s="1"/>
  <c r="G24" i="65"/>
  <c r="AA20" i="65"/>
  <c r="AA32" i="72"/>
  <c r="AA29" i="65"/>
  <c r="G30" i="72"/>
  <c r="G5" i="73"/>
  <c r="F34" i="65"/>
  <c r="F31" i="65"/>
  <c r="B53" i="65"/>
  <c r="F50" i="66"/>
  <c r="E50" i="66"/>
  <c r="E56" i="65"/>
  <c r="C56" i="65"/>
  <c r="D21" i="126" s="1"/>
  <c r="D56" i="65"/>
  <c r="E21" i="126" s="1"/>
  <c r="H46" i="66"/>
  <c r="N46" i="66"/>
  <c r="J46" i="66"/>
  <c r="M46" i="66"/>
  <c r="I46" i="66"/>
  <c r="K46" i="66"/>
  <c r="L46" i="66"/>
  <c r="K50" i="66" l="1"/>
  <c r="F46" i="66"/>
  <c r="D51" i="66"/>
  <c r="F51" i="66" s="1"/>
  <c r="N50" i="66"/>
  <c r="J50" i="66"/>
  <c r="L50" i="66"/>
  <c r="M50" i="66"/>
  <c r="I50" i="66"/>
  <c r="Z31" i="65"/>
  <c r="B57" i="65" s="1"/>
  <c r="E57" i="65" s="1"/>
  <c r="B52" i="66"/>
  <c r="C52" i="66"/>
  <c r="D52" i="66" s="1"/>
  <c r="G12" i="72"/>
  <c r="AA10" i="72"/>
  <c r="AA6" i="72" s="1"/>
  <c r="G32" i="73"/>
  <c r="AA32" i="73"/>
  <c r="AA34" i="73" s="1"/>
  <c r="G29" i="65"/>
  <c r="AA27" i="65"/>
  <c r="G32" i="72"/>
  <c r="G35" i="72" s="1"/>
  <c r="AA35" i="72"/>
  <c r="G26" i="73"/>
  <c r="G33" i="73" s="1"/>
  <c r="G20" i="65"/>
  <c r="AA16" i="65"/>
  <c r="G16" i="65" s="1"/>
  <c r="K51" i="66"/>
  <c r="N51" i="66"/>
  <c r="H51" i="66"/>
  <c r="L51" i="66"/>
  <c r="M51" i="66"/>
  <c r="J51" i="66"/>
  <c r="I51" i="66"/>
  <c r="E53" i="65"/>
  <c r="D53" i="65"/>
  <c r="E18" i="126" s="1"/>
  <c r="C53" i="65"/>
  <c r="D18" i="126" s="1"/>
  <c r="AA10" i="65"/>
  <c r="G12" i="65"/>
  <c r="E51" i="66"/>
  <c r="D57" i="65" l="1"/>
  <c r="C57" i="65"/>
  <c r="D22" i="126" s="1"/>
  <c r="G34" i="73"/>
  <c r="G52" i="66"/>
  <c r="K52" i="66" s="1"/>
  <c r="C49" i="66"/>
  <c r="D49" i="66" s="1"/>
  <c r="B49" i="66"/>
  <c r="G10" i="72"/>
  <c r="AA33" i="65"/>
  <c r="G27" i="65"/>
  <c r="F52" i="66"/>
  <c r="E52" i="66"/>
  <c r="G10" i="65"/>
  <c r="AA6" i="65"/>
  <c r="G6" i="72"/>
  <c r="AA27" i="72"/>
  <c r="C53" i="66" l="1"/>
  <c r="G53" i="66" s="1"/>
  <c r="E22" i="126"/>
  <c r="B53" i="66"/>
  <c r="J52" i="66"/>
  <c r="I52" i="66"/>
  <c r="D53" i="66"/>
  <c r="F53" i="66" s="1"/>
  <c r="L52" i="66"/>
  <c r="H52" i="66"/>
  <c r="M52" i="66"/>
  <c r="N52" i="66"/>
  <c r="G49" i="66"/>
  <c r="J49" i="66" s="1"/>
  <c r="G33" i="65"/>
  <c r="AA32" i="65"/>
  <c r="G6" i="65"/>
  <c r="E49" i="66"/>
  <c r="F49" i="66"/>
  <c r="AA34" i="72"/>
  <c r="AA36" i="72" s="1"/>
  <c r="G27" i="72"/>
  <c r="G34" i="72" s="1"/>
  <c r="G36" i="72" s="1"/>
  <c r="M53" i="66"/>
  <c r="L53" i="66"/>
  <c r="J53" i="66"/>
  <c r="K53" i="66"/>
  <c r="N53" i="66"/>
  <c r="I53" i="66"/>
  <c r="H53" i="66"/>
  <c r="E53" i="66" l="1"/>
  <c r="N49" i="66"/>
  <c r="I49" i="66"/>
  <c r="M49" i="66"/>
  <c r="H49" i="66"/>
  <c r="K49" i="66"/>
  <c r="L49" i="66"/>
  <c r="G32" i="65"/>
  <c r="AA34" i="65"/>
  <c r="AA31" i="65"/>
  <c r="B58" i="65" l="1"/>
  <c r="G31" i="65"/>
  <c r="G34" i="65"/>
  <c r="D58" i="65" l="1"/>
  <c r="E23" i="126" s="1"/>
  <c r="C58" i="65"/>
  <c r="D23" i="126" s="1"/>
  <c r="E58" i="65"/>
  <c r="C54" i="66" l="1"/>
  <c r="G54" i="66" s="1"/>
  <c r="B54" i="66"/>
  <c r="D54" i="66" l="1"/>
  <c r="F54" i="66" s="1"/>
  <c r="J54" i="66"/>
  <c r="H54" i="66"/>
  <c r="I54" i="66"/>
  <c r="K54" i="66"/>
  <c r="M54" i="66"/>
  <c r="L54" i="66"/>
  <c r="N54" i="66"/>
  <c r="E54" i="66" l="1"/>
  <c r="E71" i="66"/>
  <c r="E72" i="66" l="1"/>
  <c r="E67" i="66" l="1"/>
  <c r="D73" i="66" l="1"/>
  <c r="E68" i="66" l="1"/>
  <c r="E73" i="66"/>
</calcChain>
</file>

<file path=xl/sharedStrings.xml><?xml version="1.0" encoding="utf-8"?>
<sst xmlns="http://schemas.openxmlformats.org/spreadsheetml/2006/main" count="673" uniqueCount="365">
  <si>
    <t>INDEX</t>
  </si>
  <si>
    <t>Description</t>
  </si>
  <si>
    <t>I. General_Invest_parameters</t>
  </si>
  <si>
    <t xml:space="preserve">General investment parameters </t>
  </si>
  <si>
    <t>II. Area direct_indirect impact</t>
  </si>
  <si>
    <t xml:space="preserve">Area impacted by BIOCLIMA (directly/indirectly) </t>
  </si>
  <si>
    <t>III. AreaAnnual_distribution</t>
  </si>
  <si>
    <t>Area impacted by BIOCLIMA (annual distribution)</t>
  </si>
  <si>
    <t>IV. E ParamBeneficiaryCaract</t>
  </si>
  <si>
    <t xml:space="preserve">Assumptions beneficiaries </t>
  </si>
  <si>
    <t>V. CarbonAccounAssumptions</t>
  </si>
  <si>
    <t>Assumptions to GHG estimates</t>
  </si>
  <si>
    <t>V.aCalculformulaR+AD</t>
  </si>
  <si>
    <t>Calculation formula to account carbon removal and avoided deforestation</t>
  </si>
  <si>
    <t>VI. ParameterCarbon</t>
  </si>
  <si>
    <t>Parameters to GHG estimates</t>
  </si>
  <si>
    <t>VII.LivestockMethane_Carbon</t>
  </si>
  <si>
    <t>Calculation GHG from livestock activity</t>
  </si>
  <si>
    <t>VII.a FormulacarbonLivestock</t>
  </si>
  <si>
    <t>Calculation formula livestock activity</t>
  </si>
  <si>
    <t>VIII. CarbonflowRemoval</t>
  </si>
  <si>
    <t>Carbon removal flow</t>
  </si>
  <si>
    <t>IX. CarbonflowAvoidedEmission</t>
  </si>
  <si>
    <t>Avoided emission flow</t>
  </si>
  <si>
    <t>IX. Totalcarbonflow</t>
  </si>
  <si>
    <t xml:space="preserve">Total carbon flow </t>
  </si>
  <si>
    <t>X. BenefitDistribPlanERPD</t>
  </si>
  <si>
    <t xml:space="preserve">Distribution Plan ERPD - Result based payment </t>
  </si>
  <si>
    <t>XI. Carbon flow for ENDE REDD</t>
  </si>
  <si>
    <t>Carbon flow considering different emission targets</t>
  </si>
  <si>
    <t>XII. Efectiveness_indicatorC</t>
  </si>
  <si>
    <t>Cost-efectiveness indicators related with the emission reduction</t>
  </si>
  <si>
    <t>Parameters</t>
  </si>
  <si>
    <t>Value</t>
  </si>
  <si>
    <t>Unit</t>
  </si>
  <si>
    <t>Source</t>
  </si>
  <si>
    <t xml:space="preserve">Project evaluation period (lifespan) </t>
  </si>
  <si>
    <t>years</t>
  </si>
  <si>
    <t>Project operation period - BIOCLIMA</t>
  </si>
  <si>
    <t>Project operation period - GEF projec</t>
  </si>
  <si>
    <t>Project operation period - ERPD Forest Carbon Partnership Facility (FCPF) Carbon Fund</t>
  </si>
  <si>
    <t>Carbon Market Price (USD/tC02 eq)</t>
  </si>
  <si>
    <t>USD</t>
  </si>
  <si>
    <t>ERPD Nicaragua</t>
  </si>
  <si>
    <t>Social Carbon Price (USD/tC02 eq)</t>
  </si>
  <si>
    <t>Household size per productive unit</t>
  </si>
  <si>
    <t>Number</t>
  </si>
  <si>
    <t>Population per community</t>
  </si>
  <si>
    <t xml:space="preserve">Social discount rate </t>
  </si>
  <si>
    <t>Nicaragua - SNIP</t>
  </si>
  <si>
    <t>Beneficiary dissagregation (Male, Female)</t>
  </si>
  <si>
    <t>% of female</t>
  </si>
  <si>
    <t>% of male</t>
  </si>
  <si>
    <t>Variables to convert market prices to social prices</t>
  </si>
  <si>
    <t>Conversion factor</t>
  </si>
  <si>
    <t>Currency</t>
  </si>
  <si>
    <t>Labour (not skilled with employment)</t>
  </si>
  <si>
    <t>Labour (skilled)</t>
  </si>
  <si>
    <t xml:space="preserve">General indirect tax </t>
  </si>
  <si>
    <t>Correction factor for national goods (in costs) - from private to social price</t>
  </si>
  <si>
    <t>Correction factor for national goods (in production) - from private to social price (in costs)</t>
  </si>
  <si>
    <t xml:space="preserve">I. Resilient production models for the conservation and restauration </t>
  </si>
  <si>
    <t>Potencial areas (has)</t>
  </si>
  <si>
    <t>Direct beneficiary areas (has)</t>
  </si>
  <si>
    <t>Total</t>
  </si>
  <si>
    <t>New</t>
  </si>
  <si>
    <t>Improved</t>
  </si>
  <si>
    <t>A. Landscape restoration in degraded lands through</t>
  </si>
  <si>
    <t>1. Agroforestry - cocoa</t>
  </si>
  <si>
    <t>2. Silvopasture</t>
  </si>
  <si>
    <t>3. Multifuncional Planted Forest</t>
  </si>
  <si>
    <t xml:space="preserve">B. Conservation and sustainable forest management </t>
  </si>
  <si>
    <t>4. Sustainable community enterprises</t>
  </si>
  <si>
    <t xml:space="preserve">C. Community Forest Management </t>
  </si>
  <si>
    <t>5.1 Timber forest management</t>
  </si>
  <si>
    <t>5.2 Commercial reforestation</t>
  </si>
  <si>
    <t>II. Interventions to improve the forest governance (Bosawas + Rio San Juan)</t>
  </si>
  <si>
    <t>Total forest areas for conservation (Direct and indirect impact)</t>
  </si>
  <si>
    <t>A. Distribution of areas for direct investment (%)</t>
  </si>
  <si>
    <t>Distribution of areas to be covered by years (%)</t>
  </si>
  <si>
    <t>Project implementation period</t>
  </si>
  <si>
    <t>After implementation period</t>
  </si>
  <si>
    <t>1.  Agroforestry - cocoa</t>
  </si>
  <si>
    <t xml:space="preserve">New beneficiary areas </t>
  </si>
  <si>
    <t xml:space="preserve">Improved beneficiary areas </t>
  </si>
  <si>
    <t>C. Community-based forest management</t>
  </si>
  <si>
    <t>5.2.  Commercial reforestation</t>
  </si>
  <si>
    <t>B. Distribution of areas for direct investment (has)</t>
  </si>
  <si>
    <t xml:space="preserve">Resilient production models for the conservation and restauration </t>
  </si>
  <si>
    <t>Years</t>
  </si>
  <si>
    <t>A. Landscape restoration</t>
  </si>
  <si>
    <t>1. Agroforestal - cacao</t>
  </si>
  <si>
    <t>B.  Sustainable use of natural resources in indigenous territories</t>
  </si>
  <si>
    <t>II. Areas indirectly benefited with  the improvement of the forest governance  (has)</t>
  </si>
  <si>
    <t>Areas (has)</t>
  </si>
  <si>
    <t>After project implementation period</t>
  </si>
  <si>
    <t>Improved forest governance - Sustainable community enterprises</t>
  </si>
  <si>
    <t>Improved forest governance - Sustainable forest management</t>
  </si>
  <si>
    <t>Improved forest governance in other territories (Bosawas + Rio San Juan)</t>
  </si>
  <si>
    <t xml:space="preserve">Gran total </t>
  </si>
  <si>
    <t>% areas distribution</t>
  </si>
  <si>
    <t>Potential number of beneficiaries (productive units)</t>
  </si>
  <si>
    <t>a) Small producers (&lt;50 ha)</t>
  </si>
  <si>
    <t>b) Medium producers (&gt;50 has)</t>
  </si>
  <si>
    <t>c) Indigenous communities/Indigenous territories</t>
  </si>
  <si>
    <t>d) Producer cooperatives/organizations</t>
  </si>
  <si>
    <t xml:space="preserve">4. Sustainable community enterprises </t>
  </si>
  <si>
    <t>Number of beneficiaries (productive units)</t>
  </si>
  <si>
    <t>Models</t>
  </si>
  <si>
    <t>Agroforestry - cocoa</t>
  </si>
  <si>
    <t>Silvopasture</t>
  </si>
  <si>
    <t xml:space="preserve"> Multifuncional Planted Forest</t>
  </si>
  <si>
    <t xml:space="preserve">Sustainable community enterprises </t>
  </si>
  <si>
    <t>d) Production units</t>
  </si>
  <si>
    <t>e) Producer cooperatives/organizations</t>
  </si>
  <si>
    <t>Carbon Removal</t>
  </si>
  <si>
    <t>Avoided emissions</t>
  </si>
  <si>
    <t>Carbon sequestered by the implementation of agroforestry systems with cocoa plantation is accounted for. Areas directly intervened by the project are counted. These areas are multiplied by the removal factor considered for these types of systems.</t>
  </si>
  <si>
    <t>Areas indirectly benefited by the project interventions at farm level are counted. In other words, it is assumed that as a result of the implementation of the agroforestry systems with cocoa plantations  deforestation will be avoided in other areas of the producer's farm</t>
  </si>
  <si>
    <t>Carbon sequestered by the improvement of livestock activity with the implementation of silvopastoral systems is accounted for. Areas directly intervened by the project are counted. These areas are multiplied by the removal factor considered for these types of systems.</t>
  </si>
  <si>
    <t>Areas indirectly benefited by the project interventions at farm level are counted. In other words, it is assumed that as a result of the implementation of the silvopasture system deforestation will be avoided in other areas of the producer's farm.</t>
  </si>
  <si>
    <t>Carbon sequestered as results of forest biomass increase with natural regeneration and enrichment is accounted for. Areas directly intervened by the project are counted. These areas are multiplied by the removal factor considered for these types of systems.</t>
  </si>
  <si>
    <t xml:space="preserve">Areas indirectly benefited by the project interventions at farm level are counted. In other words, it is assumed that as a result of the project's actions at the farm level deforestion will be avoided  </t>
  </si>
  <si>
    <t>Carbon sequestered as result of the direct impact  of the sustainable forest management is counted. The total area is multiplied by the removal factor considered for sustaible forest management</t>
  </si>
  <si>
    <t>Areas directly benefited by the project interventions are counted. In other words, it is assumed that as a result of the project's actions deforestation in the project's intervention zones will be avoided.</t>
  </si>
  <si>
    <t>Areas directly benefited by the project interventions are counted. In other words, it is assumed that as a result of the project's actions deforestation will be avoided.</t>
  </si>
  <si>
    <t>5.1Timber forest management</t>
  </si>
  <si>
    <t>5.2  Commercial reforestation</t>
  </si>
  <si>
    <t>II.Avoided deforestation for improved forest governance (ERPD)</t>
  </si>
  <si>
    <t>Production model</t>
  </si>
  <si>
    <t>Deforestation reduction targets ERPD + BIOCLIMA</t>
  </si>
  <si>
    <t>Areas indirectly benefited by the project's interventions to improve the forest governance are counted. In other words, it is assumed that as a result of the project's actions, the forest areas are preserved to remove carbon. The total area is multiplied by the removal factor considered for forest zones</t>
  </si>
  <si>
    <t>Areas indirectly benefited by the project's interventions related with forest governance are counted. In other words, it is assumed that as a result of the project actions deforestation will be avoided in areas that are not directly under the project impact (Potential area). The total area is multiplied by the removal factor considered for forest zones</t>
  </si>
  <si>
    <t>5. Community-based forest management</t>
  </si>
  <si>
    <t>Areas indirectly benefited by the project's interventions to improve the forest governance are counted. In other words, it is assumed that as a result of the project's actions, the forests are managed appropriately to improve the carbon removal. The total area is multiplied by the removal factor considered for forest zones</t>
  </si>
  <si>
    <t>Areas indirectly benefited by the project's interventions related with forest governance are counted. In other words, it is assumed that as a result of the project actions, deforestation is avoided in areas that are not directly under the project investments (Potential area). The total area is multiplied by the removal factor considered for forest zones</t>
  </si>
  <si>
    <t xml:space="preserve">(Indirect beneficiary area (ha)-direct beneficiary area(ha) )*ERPD emission reduction target (%)*annual deforestacion rate for perennial crop (%)*% of forest area in the farm*emission factor for deforestation </t>
  </si>
  <si>
    <t>(carbon sequestration factor, with project situation - carbon sequestration factor - without project situation) *Benefited area (has) of silvopatural systems) + avoided methane emmisions livestock activity</t>
  </si>
  <si>
    <t xml:space="preserve">(Indirect beneficiary area (ha)-direct beneficiary area(ha) )*ERPD emission reduction target (%)*annual deforestacion rate for livestock activity (%)*% of forest area in the farm*emission factor for deforestation </t>
  </si>
  <si>
    <t>(carbon sequestration factor, with project situation - carbon sequestration factor - without project situation) *Benefited area (has) of silvopatural systems)</t>
  </si>
  <si>
    <t xml:space="preserve">(Indirect beneficiary area (ha)-direct beneficiary area(ha) )*ERPD emission reduction target (%)*annual deforestacion rate in tacol areas (%)*% of forest area in the farm*emission factor for deforestation </t>
  </si>
  <si>
    <t>(carbon sequestration factor, with project situation - carbon sequestration factor - without project situation) *Benefited area (has) of sustainable forest management</t>
  </si>
  <si>
    <t>(direct beneficiary area(ha) )*ERPD emission reduction target (%)*annual deforestacion rate in forest areas(%)*emission factor for deforestation )</t>
  </si>
  <si>
    <t>(carbon sequestration factor, with project situation - carbon sequestration factor - without project situation) *Benefited area (has) of community forestry management</t>
  </si>
  <si>
    <t>II.Avoided deforestation and carbon sequestration for improved forest governance (ERPD)</t>
  </si>
  <si>
    <t>(carbon sequestration factor, with project situation - carbon sequestration factor - without project situation)*indirect beneficiary area(ha) for improved governance of forest areas</t>
  </si>
  <si>
    <t xml:space="preserve">(Indirect beneficiary area (ha) )*ERPD emission reduction target (%)*annual deforestacion rate in forest areas (%)*emission factor for deforestation </t>
  </si>
  <si>
    <t>Note</t>
  </si>
  <si>
    <t>Conversion factor from C to C02 eq.</t>
  </si>
  <si>
    <t xml:space="preserve">Standard  </t>
  </si>
  <si>
    <t>Percentage of producers' farms with forest area (beneficiaries' cocoa model)</t>
  </si>
  <si>
    <t xml:space="preserve">Assumption </t>
  </si>
  <si>
    <t>Percentage of producers' farms with forest area (beneficiaries' silvopasture model)</t>
  </si>
  <si>
    <t>Percentage of producers' farms with forest area (beneficiaries' FMP model)</t>
  </si>
  <si>
    <t>Annual deforestation of areas with potential for community forest management</t>
  </si>
  <si>
    <t>Forest Carbon Partnership Facility (FCPF) - Caribbean Coast Emission Reduction Program (ERPD) - Nicaragua (MARENA)</t>
  </si>
  <si>
    <t>The ERPD is the principal component of Nicaragua´s national ENDE-REDD+ framework. In this sense, the formulation of this proposal used official emission factors which has been considered in the Nicaragua's third national communication</t>
  </si>
  <si>
    <t>Annual deforestation in forest area with conservation potential</t>
  </si>
  <si>
    <t xml:space="preserve">Annual Deforestation for livestock activity </t>
  </si>
  <si>
    <t>Annual deforestation for production of perennial crops (cocoa, coffee, etc.)</t>
  </si>
  <si>
    <t>Annual degradation of tacotales/shrub areas/herbaceous/sharp slopes</t>
  </si>
  <si>
    <t>Average emissions from deforestation of forests (tC02/ha</t>
  </si>
  <si>
    <t>Average emissions from tacol degradation (tC02/ha)</t>
  </si>
  <si>
    <t xml:space="preserve">Conversion from tC02 to MtC02 </t>
  </si>
  <si>
    <t>Standard</t>
  </si>
  <si>
    <t>Emission reduction target</t>
  </si>
  <si>
    <t>Source: MARENA, ERPD Mechanism</t>
  </si>
  <si>
    <t>I. Avoided Deforestation</t>
  </si>
  <si>
    <t>Avoided  emission for deforestation - without project</t>
  </si>
  <si>
    <t>Avoided  emission for deforestation - with project</t>
  </si>
  <si>
    <t>tC02/ha</t>
  </si>
  <si>
    <t>II. Carbon removal (carbon sequestration)</t>
  </si>
  <si>
    <t xml:space="preserve">Without project situation </t>
  </si>
  <si>
    <t>With project situation</t>
  </si>
  <si>
    <t>tC02/ha/yr</t>
  </si>
  <si>
    <t>Source: MARENA, ERPD Mechanism, CIAT</t>
  </si>
  <si>
    <t xml:space="preserve">III. Target for avoiding deforestation according to improved governance- Forest Carbon Partnership Facility (FCPF) - Caribbean Coast Emission Reduction Program (ERPD) - Nicaragua (MARENA) </t>
  </si>
  <si>
    <t>Systems</t>
  </si>
  <si>
    <t>Projections</t>
  </si>
  <si>
    <t>Año 1</t>
  </si>
  <si>
    <t>Año 2</t>
  </si>
  <si>
    <t>Año 3</t>
  </si>
  <si>
    <t>Año 4</t>
  </si>
  <si>
    <t>Año 5</t>
  </si>
  <si>
    <t>Año 6</t>
  </si>
  <si>
    <t>Año 7</t>
  </si>
  <si>
    <t>Año 8</t>
  </si>
  <si>
    <t>Año 9</t>
  </si>
  <si>
    <t>Año 10</t>
  </si>
  <si>
    <t>Año 11</t>
  </si>
  <si>
    <t>Año 12</t>
  </si>
  <si>
    <t>Año 13</t>
  </si>
  <si>
    <t>Año 14</t>
  </si>
  <si>
    <t>Año 15</t>
  </si>
  <si>
    <t>Año 16</t>
  </si>
  <si>
    <t>Año 17</t>
  </si>
  <si>
    <t>Año 18</t>
  </si>
  <si>
    <t>Año 19</t>
  </si>
  <si>
    <t>Año 20</t>
  </si>
  <si>
    <t xml:space="preserve">4. Sustainable community enterprises- Forest preservation </t>
  </si>
  <si>
    <t>5. Community-based forest management - Forest preservation</t>
  </si>
  <si>
    <t xml:space="preserve">Areas indirectly benefited by the implementation of production models </t>
  </si>
  <si>
    <t xml:space="preserve">Note </t>
  </si>
  <si>
    <t xml:space="preserve">Producer's average herd size </t>
  </si>
  <si>
    <t xml:space="preserve">CIAT, feasibility study </t>
  </si>
  <si>
    <t>Days (year)</t>
  </si>
  <si>
    <t>Standard value</t>
  </si>
  <si>
    <t>Conversion from kg to tonnes</t>
  </si>
  <si>
    <t>Conversion from methane to C02 eq</t>
  </si>
  <si>
    <t xml:space="preserve">Tercera Comunicación Nacional de Cambio Climático – Nicaragua (http://www.cambioclimatico.ineter.gob.ni/Tercera%20Comunicaci%C3%B3n%20Nicaragua.pdf) </t>
  </si>
  <si>
    <t>Conversion from nitrite to C02 eq</t>
  </si>
  <si>
    <t>Animal unit per hectare/before project (AU/ha)</t>
  </si>
  <si>
    <t>CIAT,  feasibility study</t>
  </si>
  <si>
    <t>Animal unit per hectare/after project (AU/ha)</t>
  </si>
  <si>
    <t>Greenhouse gases</t>
  </si>
  <si>
    <t>Emissions kg CO2 eq/animal/day</t>
  </si>
  <si>
    <t>Emissions tCO2 eq/animal/year</t>
  </si>
  <si>
    <t>Traditional system</t>
  </si>
  <si>
    <t xml:space="preserve">Improved system </t>
  </si>
  <si>
    <t xml:space="preserve">Traditional system </t>
  </si>
  <si>
    <t>Methane enteric fermentation</t>
  </si>
  <si>
    <t xml:space="preserve">FAO GLEAM model specifically customized to Nicaragua considering the livestock systems in Bosawas and Indio Maiz 
</t>
  </si>
  <si>
    <t>Methane manure management</t>
  </si>
  <si>
    <t>Nitrous oxide manure management</t>
  </si>
  <si>
    <t>Nitrous oxide from feed</t>
  </si>
  <si>
    <t>Source: GLEAM model FAO</t>
  </si>
  <si>
    <t>Reducción de emisiones de GEI</t>
  </si>
  <si>
    <t>Año</t>
  </si>
  <si>
    <t>Total avoided emissions by improved livestock activity</t>
  </si>
  <si>
    <t>Carbon flow</t>
  </si>
  <si>
    <t>Source: FAO + CIAT for Nicaragu. GLEAM Model</t>
  </si>
  <si>
    <t>Formula</t>
  </si>
  <si>
    <t>(With project situation: (Emission factor at tCO2 eq/year, methane enteric fermentation)*Producer's average herd size+(Emission factor at tCO2 eq/year, Methane manure management)+(Emission factor at tCO2 eq/year, Nitrous oxide manure management)*Producer's average herd size+(Emission factor at tCO2 eq/year, Nitrous oxide from feed)*Producer's average herd size)) - (Without project situation: (With project situation: (Emission factor at tCO2 eq/year, methane enteric fermentation)*Producer's average herd size+(Emission factor at tCO2 eq/year, Methane manure management)+(Emission factor at tCO2 eq/year, Nitrous oxide manure management)*Producer's average herd size+(Emission factor at tCO2 eq/year, Nitrous oxide from feed)*Producer's average herd size)</t>
  </si>
  <si>
    <t>I. Carbon flow in the area of direct project intervention</t>
  </si>
  <si>
    <t>I.A Distribution of areas to be covered with the direct investments</t>
  </si>
  <si>
    <t>2 years</t>
  </si>
  <si>
    <t>5 years</t>
  </si>
  <si>
    <t>7 years</t>
  </si>
  <si>
    <t>12 years</t>
  </si>
  <si>
    <t>15 years</t>
  </si>
  <si>
    <t>20 years</t>
  </si>
  <si>
    <t>C. Carbon flow in the indirect intervention project area (governance improvement)</t>
  </si>
  <si>
    <t>Forest governance improvement (Sustainable community enterprises )</t>
  </si>
  <si>
    <t>Forest governance improvement (Community-based forest management)</t>
  </si>
  <si>
    <t>Forest governance improvement (Forest conservation in other indigeneous territories)</t>
  </si>
  <si>
    <t>D. Summary</t>
  </si>
  <si>
    <t>For direct investment with production models</t>
  </si>
  <si>
    <t>For investment in forest governance</t>
  </si>
  <si>
    <t xml:space="preserve">Total </t>
  </si>
  <si>
    <t>I.  Carbon flow in the area of direct project intervention</t>
  </si>
  <si>
    <t>2 años</t>
  </si>
  <si>
    <t>5 años</t>
  </si>
  <si>
    <t>7años</t>
  </si>
  <si>
    <t>12 años</t>
  </si>
  <si>
    <t>15 años</t>
  </si>
  <si>
    <t>20 años</t>
  </si>
  <si>
    <t>C. Carbon flow in the indirect intervention area of the project (governance improvement)</t>
  </si>
  <si>
    <t>Distribution of areas to be covered with the direct investments</t>
  </si>
  <si>
    <t>Carbon flow to be considered for the Distribution Plan (50% achievement) - Emissions reduction ERPD</t>
  </si>
  <si>
    <t>tC02 eq</t>
  </si>
  <si>
    <t>MtC02 eq</t>
  </si>
  <si>
    <t>Value Market Price (USD)</t>
  </si>
  <si>
    <t>Value Social Price (USD)</t>
  </si>
  <si>
    <t>Year 1</t>
  </si>
  <si>
    <t>Year 2</t>
  </si>
  <si>
    <t>Year 3</t>
  </si>
  <si>
    <t>Year 4</t>
  </si>
  <si>
    <t>Year 5</t>
  </si>
  <si>
    <t>Year 6</t>
  </si>
  <si>
    <t>Year 7</t>
  </si>
  <si>
    <t xml:space="preserve">Year 8 </t>
  </si>
  <si>
    <t>Year 9</t>
  </si>
  <si>
    <t>Year 10</t>
  </si>
  <si>
    <t>Year 11</t>
  </si>
  <si>
    <t>Year 12</t>
  </si>
  <si>
    <t>Year 13</t>
  </si>
  <si>
    <t>Year 14</t>
  </si>
  <si>
    <t>Year 15</t>
  </si>
  <si>
    <t>Year 16</t>
  </si>
  <si>
    <t>Year 17</t>
  </si>
  <si>
    <t>Year 18</t>
  </si>
  <si>
    <t>Year 19</t>
  </si>
  <si>
    <t>Year 20</t>
  </si>
  <si>
    <t>Assumptions on benefit distributions  (ERPD )</t>
  </si>
  <si>
    <t>%</t>
  </si>
  <si>
    <t>Emission reduction calculated for 5-year  (MtC02)</t>
  </si>
  <si>
    <t>MARENA - ERPD Government of Nicaragua</t>
  </si>
  <si>
    <t>Percentage of uncertainty of emission reduction</t>
  </si>
  <si>
    <t xml:space="preserve">Reversion rate </t>
  </si>
  <si>
    <t>Emission reduction (uncertainty + reversion)</t>
  </si>
  <si>
    <t>Emission reduction agreed for 5-year  (MtC02)</t>
  </si>
  <si>
    <t>Percentage of the results-based payment (RBP) mechanism cofinancing BIOCLIMA's actions</t>
  </si>
  <si>
    <t xml:space="preserve">Over the amount corresponding to indigenous territories, pruducers and territorial entities </t>
  </si>
  <si>
    <t>Gross payment (RBP)</t>
  </si>
  <si>
    <t>Net payment for beneficiaries</t>
  </si>
  <si>
    <t>Level of reserve</t>
  </si>
  <si>
    <t>Operating cost</t>
  </si>
  <si>
    <t>Result-based payment distribution per institutions (Assumptions)</t>
  </si>
  <si>
    <t>1. GRACCN</t>
  </si>
  <si>
    <t>2. GRACCS</t>
  </si>
  <si>
    <t xml:space="preserve">3. AWB </t>
  </si>
  <si>
    <t>4. SINAP</t>
  </si>
  <si>
    <t>5. Indigenous and Afro-descendant territories (23 territories)</t>
  </si>
  <si>
    <t xml:space="preserve">6. Small and medium scale producers </t>
  </si>
  <si>
    <t>a) Smallholders</t>
  </si>
  <si>
    <t>b) Medium scale producers</t>
  </si>
  <si>
    <t>ERPD Payment Flow</t>
  </si>
  <si>
    <t>% payments</t>
  </si>
  <si>
    <t>Intermediate payments for reports</t>
  </si>
  <si>
    <t>0% de0%</t>
  </si>
  <si>
    <t>MARENA-ERDP Government of Nicaragua</t>
  </si>
  <si>
    <t>100% de 4%</t>
  </si>
  <si>
    <t>50% de 38%</t>
  </si>
  <si>
    <t>50% de 58%</t>
  </si>
  <si>
    <t>Emissions reduction</t>
  </si>
  <si>
    <t>Market price (USD)</t>
  </si>
  <si>
    <t>Distribution</t>
  </si>
  <si>
    <t>Total gross payment USD</t>
  </si>
  <si>
    <t>Net payment for beneficiaries USD</t>
  </si>
  <si>
    <t xml:space="preserve">Gross payment </t>
  </si>
  <si>
    <t>Reserve</t>
  </si>
  <si>
    <t>GRACCN</t>
  </si>
  <si>
    <t>GRACCS</t>
  </si>
  <si>
    <t>AWB</t>
  </si>
  <si>
    <t>SINAP</t>
  </si>
  <si>
    <t>Indigeneous territories</t>
  </si>
  <si>
    <t>Small scale producers</t>
  </si>
  <si>
    <t>Medium scale producers</t>
  </si>
  <si>
    <t>Carbon flow Analysis BIOCLIMA vs. ERPD</t>
  </si>
  <si>
    <t>Annual distribution RBP-ERPD (USD)</t>
  </si>
  <si>
    <t>Reference year BIOCLIMA</t>
  </si>
  <si>
    <t>Year of payment ERPD</t>
  </si>
  <si>
    <t>Required carbon flow ERPD (Mt C02)</t>
  </si>
  <si>
    <t>Gap</t>
  </si>
  <si>
    <t>Payment amount by results (USD)</t>
  </si>
  <si>
    <t>Budget</t>
  </si>
  <si>
    <t>Payment for results to finance BIOCLIMA - Indigenous Territories</t>
  </si>
  <si>
    <t>Payment for results to finance BIOCLIMA - Territorial Governments-GRACCN</t>
  </si>
  <si>
    <t>Payment for results to finance BIOCLIMA - Territorial Governments - GRACCS</t>
  </si>
  <si>
    <t>Payment for results to finance BIOCLIMA - MARENA-SINAP</t>
  </si>
  <si>
    <t>Payment for results to finance BIOCLIMA - Small scale producers</t>
  </si>
  <si>
    <t>Payment for results to finance BIOCLIMA - Larger scale producers</t>
  </si>
  <si>
    <t>tCO2 eq  (ERPD Counterpart)</t>
  </si>
  <si>
    <t xml:space="preserve">Year </t>
  </si>
  <si>
    <t>Marketable carbon according to the emission reduction targets (USD 5/tCO2 eq)</t>
  </si>
  <si>
    <t>Source (Result Based Payment/Potencial Carbon market)</t>
  </si>
  <si>
    <t>Value (USD)</t>
  </si>
  <si>
    <t>a) ENDE REDD+ (FCP - WB)</t>
  </si>
  <si>
    <t xml:space="preserve">a) ENDE REDD+ (GCF) b) Carbon market (private sector) </t>
  </si>
  <si>
    <t>Cost effectiveness indicators</t>
  </si>
  <si>
    <t>Over total investment cost (including potencial in kind contribution)</t>
  </si>
  <si>
    <t>Over total Financial Investment Cost</t>
  </si>
  <si>
    <t>Over the GCF contribution (grant + credit)</t>
  </si>
  <si>
    <t>Over the GCF grant</t>
  </si>
  <si>
    <t>Cost per carbon (USD/tCO2 eq)</t>
  </si>
  <si>
    <t>Average property extension benefited (has)</t>
  </si>
  <si>
    <t>Carbon flow tCO2eq (accumulated values)</t>
  </si>
  <si>
    <t>MtC02 (accumulated values)</t>
  </si>
  <si>
    <t xml:space="preserve">Carbon sequestered as result of the direct impact of the sustainable  forest management is counted. The total area is multiplied by the removal factor considered for this types of forest management. </t>
  </si>
  <si>
    <t>Accumulated values for referencial periods (tCO2eq)</t>
  </si>
  <si>
    <t>Acummulated values for referencial periods (tCO2eq)</t>
  </si>
  <si>
    <t>Acummulated valued for referencial periods (tCO2)</t>
  </si>
  <si>
    <t>(carbon sequestration factor- with project situation -carbon sequestration factor - without project situation, Grassland traditional silvopasture system )*Benefited area (has) of agroforestry system)</t>
  </si>
  <si>
    <t>Carbon flow BIOCLIMA (Mt C02eq)</t>
  </si>
  <si>
    <t>Improved beneficiary areas  (% of beneficiaries adopting the 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</si>
</sst>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_);_(* \(#,##0\);_(* &quot;-&quot;??_);_(@_)"/>
    <numFmt numFmtId="165" formatCode="_(* #,##0.0_);_(* \(#,##0.0\);_(* &quot;-&quot;??_);_(@_)"/>
    <numFmt numFmtId="166" formatCode="0.0"/>
    <numFmt numFmtId="167" formatCode="0.000"/>
  </numFmts>
  <fonts count="18" x14ac:knownFonts="1">
    <font>
      <sz val="11"/>
      <color theme="1"/>
      <name val="Calibri"/>
      <family val="2"/>
      <scheme val="minor"/>
    </font>
    <font>
      <b/>
      <sz val="11"/>
      <color theme="1"/>
      <name val="Calibri"/>
      <family val="2"/>
      <scheme val="minor"/>
    </font>
    <font>
      <b/>
      <sz val="11"/>
      <color rgb="FF000000"/>
      <name val="Calibri"/>
      <family val="2"/>
      <scheme val="minor"/>
    </font>
    <font>
      <sz val="9"/>
      <color theme="1"/>
      <name val="Calibri"/>
      <family val="2"/>
      <scheme val="minor"/>
    </font>
    <font>
      <sz val="11"/>
      <color theme="1"/>
      <name val="Calibri"/>
      <family val="2"/>
      <scheme val="minor"/>
    </font>
    <font>
      <sz val="11"/>
      <name val="Calibri"/>
      <family val="2"/>
      <scheme val="minor"/>
    </font>
    <font>
      <i/>
      <sz val="11"/>
      <color theme="1"/>
      <name val="Calibri"/>
      <family val="2"/>
      <scheme val="minor"/>
    </font>
    <font>
      <sz val="10"/>
      <name val="Arial"/>
      <family val="2"/>
    </font>
    <font>
      <b/>
      <i/>
      <sz val="11"/>
      <color theme="1"/>
      <name val="Calibri"/>
      <family val="2"/>
      <scheme val="minor"/>
    </font>
    <font>
      <b/>
      <sz val="11"/>
      <name val="Calibri"/>
      <family val="2"/>
      <scheme val="minor"/>
    </font>
    <font>
      <sz val="11"/>
      <color rgb="FF000000"/>
      <name val="Calibri"/>
      <family val="2"/>
      <scheme val="minor"/>
    </font>
    <font>
      <b/>
      <sz val="10"/>
      <color rgb="FF000000"/>
      <name val="Arial"/>
      <family val="2"/>
    </font>
    <font>
      <sz val="10"/>
      <color rgb="FF000000"/>
      <name val="Arial"/>
      <family val="2"/>
    </font>
    <font>
      <u/>
      <sz val="11"/>
      <color theme="10"/>
      <name val="Calibri"/>
      <family val="2"/>
      <scheme val="minor"/>
    </font>
    <font>
      <sz val="8"/>
      <color theme="1"/>
      <name val="Calibri"/>
      <family val="2"/>
      <scheme val="minor"/>
    </font>
    <font>
      <i/>
      <sz val="11"/>
      <color rgb="FF000000"/>
      <name val="Calibri"/>
      <family val="2"/>
      <scheme val="minor"/>
    </font>
    <font>
      <sz val="8"/>
      <color theme="1"/>
      <name val="Arial"/>
      <family val="2"/>
    </font>
    <font>
      <sz val="8"/>
      <color rgb="FF000000"/>
      <name val="Calibri"/>
      <family val="2"/>
      <scheme val="minor"/>
    </font>
  </fonts>
  <fills count="1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2"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rgb="FFBFBFBF"/>
        <bgColor indexed="64"/>
      </patternFill>
    </fill>
    <fill>
      <patternFill patternType="solid">
        <fgColor theme="1" tint="0.34998626667073579"/>
        <bgColor indexed="64"/>
      </patternFill>
    </fill>
    <fill>
      <patternFill patternType="solid">
        <fgColor theme="6"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s>
  <cellStyleXfs count="5">
    <xf numFmtId="0" fontId="0" fillId="0" borderId="0"/>
    <xf numFmtId="43" fontId="4" fillId="0" borderId="0" applyFont="0" applyFill="0" applyBorder="0" applyAlignment="0" applyProtection="0"/>
    <xf numFmtId="9" fontId="4" fillId="0" borderId="0" applyFont="0" applyFill="0" applyBorder="0" applyAlignment="0" applyProtection="0"/>
    <xf numFmtId="0" fontId="7" fillId="0" borderId="0">
      <alignment vertical="center"/>
    </xf>
    <xf numFmtId="0" fontId="13" fillId="0" borderId="0" applyNumberFormat="0" applyFill="0" applyBorder="0" applyAlignment="0" applyProtection="0"/>
  </cellStyleXfs>
  <cellXfs count="359">
    <xf numFmtId="0" fontId="0" fillId="0" borderId="0" xfId="0"/>
    <xf numFmtId="0" fontId="0" fillId="0" borderId="1" xfId="0" applyBorder="1"/>
    <xf numFmtId="0" fontId="0" fillId="3" borderId="1" xfId="0" applyFill="1" applyBorder="1"/>
    <xf numFmtId="0" fontId="0" fillId="3" borderId="0" xfId="0" applyFill="1"/>
    <xf numFmtId="0" fontId="0" fillId="2" borderId="1" xfId="0" applyFill="1" applyBorder="1"/>
    <xf numFmtId="1" fontId="0" fillId="3" borderId="1" xfId="0" applyNumberFormat="1" applyFill="1" applyBorder="1"/>
    <xf numFmtId="0" fontId="1" fillId="2" borderId="1" xfId="0" applyFont="1" applyFill="1" applyBorder="1"/>
    <xf numFmtId="43" fontId="0" fillId="0" borderId="0" xfId="0" applyNumberFormat="1"/>
    <xf numFmtId="164" fontId="0" fillId="3" borderId="1" xfId="1" applyNumberFormat="1" applyFont="1" applyFill="1" applyBorder="1"/>
    <xf numFmtId="9" fontId="0" fillId="0" borderId="0" xfId="0" applyNumberFormat="1"/>
    <xf numFmtId="1" fontId="0" fillId="0" borderId="0" xfId="0" applyNumberFormat="1"/>
    <xf numFmtId="164" fontId="0" fillId="3" borderId="1" xfId="0" applyNumberFormat="1" applyFill="1" applyBorder="1"/>
    <xf numFmtId="9" fontId="0" fillId="3" borderId="1" xfId="2" applyFont="1" applyFill="1" applyBorder="1"/>
    <xf numFmtId="9" fontId="0" fillId="3" borderId="1" xfId="0" applyNumberFormat="1" applyFill="1" applyBorder="1"/>
    <xf numFmtId="0" fontId="0" fillId="0" borderId="0" xfId="0"/>
    <xf numFmtId="164" fontId="1" fillId="2" borderId="1" xfId="0" applyNumberFormat="1" applyFont="1" applyFill="1" applyBorder="1"/>
    <xf numFmtId="164" fontId="0" fillId="0" borderId="0" xfId="0" applyNumberFormat="1"/>
    <xf numFmtId="0" fontId="0" fillId="3" borderId="1" xfId="0" applyFont="1" applyFill="1" applyBorder="1"/>
    <xf numFmtId="9" fontId="0" fillId="0" borderId="1" xfId="2" applyFont="1" applyBorder="1"/>
    <xf numFmtId="164" fontId="0" fillId="0" borderId="1" xfId="1" applyNumberFormat="1" applyFont="1" applyBorder="1"/>
    <xf numFmtId="164" fontId="4" fillId="3" borderId="1" xfId="1" applyNumberFormat="1" applyFont="1" applyFill="1" applyBorder="1"/>
    <xf numFmtId="9" fontId="0" fillId="3" borderId="1" xfId="0" applyNumberFormat="1" applyFont="1" applyFill="1" applyBorder="1"/>
    <xf numFmtId="0" fontId="0" fillId="3" borderId="0" xfId="0" applyFont="1" applyFill="1"/>
    <xf numFmtId="0" fontId="0" fillId="0" borderId="1" xfId="0" applyFont="1" applyFill="1" applyBorder="1"/>
    <xf numFmtId="0" fontId="8" fillId="6" borderId="1" xfId="0" applyFont="1" applyFill="1" applyBorder="1" applyAlignment="1">
      <alignment vertical="top"/>
    </xf>
    <xf numFmtId="0" fontId="8" fillId="0" borderId="1" xfId="0" applyFont="1" applyBorder="1"/>
    <xf numFmtId="164" fontId="8" fillId="6" borderId="1" xfId="1" applyNumberFormat="1" applyFont="1" applyFill="1" applyBorder="1" applyAlignment="1">
      <alignment vertical="top"/>
    </xf>
    <xf numFmtId="164" fontId="0" fillId="0" borderId="1" xfId="1" applyNumberFormat="1" applyFont="1" applyFill="1" applyBorder="1"/>
    <xf numFmtId="0" fontId="1" fillId="6" borderId="1" xfId="0" applyFont="1" applyFill="1" applyBorder="1" applyAlignment="1"/>
    <xf numFmtId="164" fontId="1" fillId="5" borderId="1" xfId="1" applyNumberFormat="1" applyFont="1" applyFill="1" applyBorder="1"/>
    <xf numFmtId="0" fontId="8" fillId="5" borderId="1" xfId="0" applyFont="1" applyFill="1" applyBorder="1"/>
    <xf numFmtId="1" fontId="0" fillId="0" borderId="1" xfId="0" applyNumberFormat="1" applyBorder="1"/>
    <xf numFmtId="1" fontId="8" fillId="5" borderId="1" xfId="0" applyNumberFormat="1" applyFont="1" applyFill="1" applyBorder="1"/>
    <xf numFmtId="164" fontId="8" fillId="6" borderId="1" xfId="1" applyNumberFormat="1" applyFont="1" applyFill="1" applyBorder="1" applyAlignment="1">
      <alignment horizontal="center" vertical="top" wrapText="1"/>
    </xf>
    <xf numFmtId="164" fontId="1" fillId="6" borderId="1" xfId="1" applyNumberFormat="1" applyFont="1" applyFill="1" applyBorder="1" applyAlignment="1">
      <alignment horizontal="center" vertical="top" wrapText="1"/>
    </xf>
    <xf numFmtId="0" fontId="0" fillId="0" borderId="0" xfId="0" applyBorder="1"/>
    <xf numFmtId="164" fontId="0" fillId="0" borderId="1" xfId="0" applyNumberFormat="1" applyBorder="1"/>
    <xf numFmtId="0" fontId="0" fillId="6" borderId="1" xfId="0" applyFill="1" applyBorder="1"/>
    <xf numFmtId="1" fontId="0" fillId="5" borderId="1" xfId="0" applyNumberFormat="1" applyFont="1" applyFill="1" applyBorder="1"/>
    <xf numFmtId="164" fontId="1" fillId="6" borderId="1" xfId="1" applyNumberFormat="1" applyFont="1" applyFill="1" applyBorder="1" applyAlignment="1"/>
    <xf numFmtId="0" fontId="8" fillId="6" borderId="2" xfId="0" applyFont="1" applyFill="1" applyBorder="1" applyAlignment="1">
      <alignment vertical="top"/>
    </xf>
    <xf numFmtId="0" fontId="8" fillId="6" borderId="2" xfId="0" applyFont="1" applyFill="1" applyBorder="1" applyAlignment="1"/>
    <xf numFmtId="0" fontId="1" fillId="6" borderId="2" xfId="0" applyFont="1" applyFill="1" applyBorder="1" applyAlignment="1"/>
    <xf numFmtId="9" fontId="0" fillId="0" borderId="1" xfId="2" applyFont="1" applyBorder="1" applyAlignment="1">
      <alignment vertical="top" wrapText="1"/>
    </xf>
    <xf numFmtId="0" fontId="8" fillId="5" borderId="1" xfId="0" applyFont="1" applyFill="1" applyBorder="1" applyAlignment="1"/>
    <xf numFmtId="164" fontId="8" fillId="5" borderId="1" xfId="1" applyNumberFormat="1" applyFont="1" applyFill="1" applyBorder="1" applyAlignment="1"/>
    <xf numFmtId="2" fontId="0" fillId="3" borderId="1" xfId="0" applyNumberFormat="1" applyFill="1" applyBorder="1" applyAlignment="1">
      <alignment horizontal="center"/>
    </xf>
    <xf numFmtId="164" fontId="0" fillId="3" borderId="1" xfId="1" applyNumberFormat="1" applyFont="1" applyFill="1" applyBorder="1" applyAlignment="1">
      <alignment horizontal="center"/>
    </xf>
    <xf numFmtId="164" fontId="8" fillId="3" borderId="1" xfId="1" applyNumberFormat="1" applyFont="1" applyFill="1" applyBorder="1" applyAlignment="1">
      <alignment vertical="top"/>
    </xf>
    <xf numFmtId="0" fontId="1" fillId="2" borderId="3" xfId="0" applyFont="1" applyFill="1" applyBorder="1" applyAlignment="1">
      <alignment vertical="center"/>
    </xf>
    <xf numFmtId="0" fontId="1" fillId="2" borderId="3" xfId="0" applyFont="1" applyFill="1" applyBorder="1" applyAlignment="1">
      <alignment vertical="center" wrapText="1"/>
    </xf>
    <xf numFmtId="0" fontId="0" fillId="0" borderId="0" xfId="0" applyAlignment="1">
      <alignment wrapText="1"/>
    </xf>
    <xf numFmtId="0" fontId="8" fillId="3" borderId="2" xfId="0" applyFont="1" applyFill="1" applyBorder="1" applyAlignment="1"/>
    <xf numFmtId="0" fontId="8" fillId="3" borderId="16" xfId="0" applyFont="1" applyFill="1" applyBorder="1" applyAlignment="1"/>
    <xf numFmtId="9" fontId="8" fillId="3" borderId="1" xfId="2" applyFont="1" applyFill="1" applyBorder="1"/>
    <xf numFmtId="0" fontId="0" fillId="0" borderId="0" xfId="0" applyFill="1"/>
    <xf numFmtId="0" fontId="0" fillId="0" borderId="1" xfId="0" applyFill="1" applyBorder="1"/>
    <xf numFmtId="164" fontId="0" fillId="3" borderId="1" xfId="1" applyNumberFormat="1" applyFont="1" applyFill="1" applyBorder="1" applyAlignment="1"/>
    <xf numFmtId="164" fontId="0" fillId="0" borderId="0" xfId="1" applyNumberFormat="1" applyFont="1"/>
    <xf numFmtId="164" fontId="1" fillId="3" borderId="1" xfId="1" applyNumberFormat="1" applyFont="1" applyFill="1" applyBorder="1"/>
    <xf numFmtId="9" fontId="0" fillId="0" borderId="0" xfId="0" applyNumberFormat="1" applyBorder="1"/>
    <xf numFmtId="1" fontId="1" fillId="2" borderId="1" xfId="0" applyNumberFormat="1" applyFont="1" applyFill="1" applyBorder="1"/>
    <xf numFmtId="0" fontId="1" fillId="3" borderId="1" xfId="0" applyFont="1" applyFill="1" applyBorder="1" applyAlignment="1"/>
    <xf numFmtId="0" fontId="1" fillId="6" borderId="1" xfId="0" applyFont="1" applyFill="1" applyBorder="1"/>
    <xf numFmtId="9" fontId="0" fillId="0" borderId="1" xfId="0" applyNumberFormat="1" applyBorder="1"/>
    <xf numFmtId="164" fontId="1" fillId="6" borderId="1" xfId="1" applyNumberFormat="1" applyFont="1" applyFill="1" applyBorder="1"/>
    <xf numFmtId="1" fontId="0" fillId="0" borderId="0" xfId="0" applyNumberFormat="1" applyFill="1" applyBorder="1"/>
    <xf numFmtId="0" fontId="0" fillId="3" borderId="0" xfId="0" applyFont="1" applyFill="1" applyBorder="1"/>
    <xf numFmtId="0" fontId="0" fillId="3" borderId="0" xfId="0" applyFill="1" applyBorder="1"/>
    <xf numFmtId="9" fontId="0" fillId="3" borderId="0" xfId="0" applyNumberFormat="1" applyFont="1" applyFill="1" applyBorder="1"/>
    <xf numFmtId="1" fontId="0" fillId="3" borderId="0" xfId="0" applyNumberFormat="1" applyFont="1" applyFill="1" applyBorder="1"/>
    <xf numFmtId="37" fontId="1" fillId="6" borderId="1" xfId="0" applyNumberFormat="1" applyFont="1" applyFill="1" applyBorder="1"/>
    <xf numFmtId="0" fontId="0" fillId="0" borderId="0" xfId="0" applyFont="1" applyFill="1" applyBorder="1"/>
    <xf numFmtId="1" fontId="1" fillId="0" borderId="0" xfId="0" applyNumberFormat="1" applyFont="1" applyFill="1" applyBorder="1"/>
    <xf numFmtId="1" fontId="0" fillId="0" borderId="0" xfId="2" applyNumberFormat="1" applyFont="1" applyFill="1" applyBorder="1"/>
    <xf numFmtId="0" fontId="8" fillId="0" borderId="1" xfId="0" applyFont="1" applyFill="1" applyBorder="1" applyAlignment="1">
      <alignment horizontal="left"/>
    </xf>
    <xf numFmtId="0" fontId="1" fillId="0" borderId="1" xfId="0" applyFont="1" applyFill="1" applyBorder="1"/>
    <xf numFmtId="0" fontId="8" fillId="0" borderId="1" xfId="0" applyFont="1" applyFill="1" applyBorder="1" applyAlignment="1"/>
    <xf numFmtId="0" fontId="1" fillId="0" borderId="1" xfId="0" applyFont="1" applyFill="1" applyBorder="1" applyAlignment="1"/>
    <xf numFmtId="0" fontId="8" fillId="0" borderId="1" xfId="0" applyFont="1" applyFill="1" applyBorder="1" applyAlignment="1">
      <alignment vertical="top"/>
    </xf>
    <xf numFmtId="10" fontId="0" fillId="3" borderId="1" xfId="0" applyNumberFormat="1" applyFill="1" applyBorder="1"/>
    <xf numFmtId="43" fontId="0" fillId="3" borderId="1" xfId="0" applyNumberFormat="1" applyFill="1" applyBorder="1"/>
    <xf numFmtId="0" fontId="1" fillId="5" borderId="2" xfId="0" applyFont="1" applyFill="1" applyBorder="1"/>
    <xf numFmtId="0" fontId="1" fillId="7" borderId="2" xfId="0" applyFont="1" applyFill="1" applyBorder="1" applyAlignment="1"/>
    <xf numFmtId="0" fontId="0" fillId="0" borderId="2" xfId="0" applyBorder="1"/>
    <xf numFmtId="0" fontId="1" fillId="9" borderId="2" xfId="0" applyFont="1" applyFill="1" applyBorder="1"/>
    <xf numFmtId="164" fontId="1" fillId="9" borderId="1" xfId="1" applyNumberFormat="1" applyFont="1" applyFill="1" applyBorder="1"/>
    <xf numFmtId="164" fontId="8" fillId="6" borderId="16" xfId="1" applyNumberFormat="1" applyFont="1" applyFill="1" applyBorder="1" applyAlignment="1">
      <alignment vertical="top"/>
    </xf>
    <xf numFmtId="164" fontId="1" fillId="6" borderId="16" xfId="1" applyNumberFormat="1" applyFont="1" applyFill="1" applyBorder="1" applyAlignment="1"/>
    <xf numFmtId="164" fontId="8" fillId="6" borderId="16" xfId="1" applyNumberFormat="1" applyFont="1" applyFill="1" applyBorder="1" applyAlignment="1"/>
    <xf numFmtId="164" fontId="1" fillId="5" borderId="5" xfId="1" applyNumberFormat="1" applyFont="1" applyFill="1" applyBorder="1"/>
    <xf numFmtId="164" fontId="1" fillId="9" borderId="5" xfId="1" applyNumberFormat="1" applyFont="1" applyFill="1" applyBorder="1"/>
    <xf numFmtId="164" fontId="4" fillId="0" borderId="1" xfId="1" applyNumberFormat="1" applyFont="1" applyFill="1" applyBorder="1"/>
    <xf numFmtId="0" fontId="0" fillId="0" borderId="0" xfId="0" applyFont="1" applyFill="1"/>
    <xf numFmtId="164" fontId="6" fillId="0" borderId="1" xfId="1" applyNumberFormat="1" applyFont="1" applyFill="1" applyBorder="1"/>
    <xf numFmtId="164" fontId="8" fillId="0" borderId="1" xfId="1" applyNumberFormat="1" applyFont="1" applyFill="1" applyBorder="1" applyAlignment="1"/>
    <xf numFmtId="164" fontId="1" fillId="0" borderId="1" xfId="1" applyNumberFormat="1" applyFont="1" applyFill="1" applyBorder="1" applyAlignment="1"/>
    <xf numFmtId="164" fontId="8" fillId="0" borderId="1" xfId="1" applyNumberFormat="1" applyFont="1" applyFill="1" applyBorder="1" applyAlignment="1">
      <alignment vertical="top"/>
    </xf>
    <xf numFmtId="164" fontId="8" fillId="0" borderId="1" xfId="1" applyNumberFormat="1" applyFont="1" applyFill="1" applyBorder="1" applyAlignment="1">
      <alignment horizontal="right"/>
    </xf>
    <xf numFmtId="164" fontId="5" fillId="0" borderId="1" xfId="1" applyNumberFormat="1" applyFont="1" applyFill="1" applyBorder="1"/>
    <xf numFmtId="164" fontId="6" fillId="3" borderId="1" xfId="1" applyNumberFormat="1" applyFont="1" applyFill="1" applyBorder="1"/>
    <xf numFmtId="164" fontId="1" fillId="3" borderId="16" xfId="1" applyNumberFormat="1" applyFont="1" applyFill="1" applyBorder="1" applyAlignment="1"/>
    <xf numFmtId="164" fontId="8" fillId="3" borderId="16" xfId="1" applyNumberFormat="1" applyFont="1" applyFill="1" applyBorder="1" applyAlignment="1">
      <alignment vertical="top"/>
    </xf>
    <xf numFmtId="164" fontId="8" fillId="3" borderId="1" xfId="1" applyNumberFormat="1" applyFont="1" applyFill="1" applyBorder="1" applyAlignment="1"/>
    <xf numFmtId="164" fontId="6" fillId="6" borderId="1" xfId="1" applyNumberFormat="1" applyFont="1" applyFill="1" applyBorder="1" applyAlignment="1">
      <alignment vertical="top"/>
    </xf>
    <xf numFmtId="164" fontId="6" fillId="3" borderId="5" xfId="1" applyNumberFormat="1" applyFont="1" applyFill="1" applyBorder="1"/>
    <xf numFmtId="164" fontId="4" fillId="3" borderId="5" xfId="1" applyNumberFormat="1" applyFont="1" applyFill="1" applyBorder="1"/>
    <xf numFmtId="0" fontId="1" fillId="3" borderId="0" xfId="0" applyFont="1" applyFill="1" applyBorder="1" applyAlignment="1">
      <alignment horizontal="center" vertical="top" wrapText="1"/>
    </xf>
    <xf numFmtId="0" fontId="1" fillId="3" borderId="0" xfId="0" applyFont="1" applyFill="1" applyBorder="1" applyAlignment="1">
      <alignment vertical="top" wrapText="1"/>
    </xf>
    <xf numFmtId="164" fontId="8" fillId="3" borderId="0" xfId="1" applyNumberFormat="1" applyFont="1" applyFill="1" applyBorder="1" applyAlignment="1">
      <alignment vertical="top"/>
    </xf>
    <xf numFmtId="37" fontId="1" fillId="3" borderId="0" xfId="0" applyNumberFormat="1" applyFont="1" applyFill="1" applyBorder="1" applyAlignment="1"/>
    <xf numFmtId="0" fontId="0" fillId="3" borderId="1" xfId="0" applyFont="1" applyFill="1" applyBorder="1" applyAlignment="1">
      <alignment horizontal="right" vertical="center" wrapText="1"/>
    </xf>
    <xf numFmtId="0" fontId="0" fillId="3" borderId="1" xfId="0" applyFill="1" applyBorder="1" applyAlignment="1">
      <alignment horizontal="right"/>
    </xf>
    <xf numFmtId="0" fontId="1" fillId="0" borderId="1" xfId="0" applyFont="1" applyBorder="1"/>
    <xf numFmtId="166" fontId="0" fillId="3" borderId="1" xfId="0" applyNumberFormat="1" applyFill="1" applyBorder="1" applyAlignment="1">
      <alignment horizontal="right"/>
    </xf>
    <xf numFmtId="164" fontId="4" fillId="3" borderId="16" xfId="1" applyNumberFormat="1" applyFont="1" applyFill="1" applyBorder="1" applyAlignment="1">
      <alignment vertical="top"/>
    </xf>
    <xf numFmtId="0" fontId="8" fillId="6" borderId="1" xfId="0" applyFont="1" applyFill="1" applyBorder="1"/>
    <xf numFmtId="0" fontId="0" fillId="6" borderId="1" xfId="0" applyNumberFormat="1" applyFont="1" applyFill="1" applyBorder="1" applyAlignment="1">
      <alignment vertical="top" wrapText="1"/>
    </xf>
    <xf numFmtId="166" fontId="0" fillId="6" borderId="1" xfId="0" applyNumberFormat="1" applyFont="1" applyFill="1" applyBorder="1" applyAlignment="1">
      <alignment wrapText="1"/>
    </xf>
    <xf numFmtId="166" fontId="0" fillId="6" borderId="1" xfId="0" applyNumberFormat="1" applyFont="1" applyFill="1" applyBorder="1" applyAlignment="1">
      <alignment vertical="top" wrapText="1"/>
    </xf>
    <xf numFmtId="9" fontId="0" fillId="6" borderId="1" xfId="2" applyFont="1" applyFill="1" applyBorder="1" applyAlignment="1">
      <alignment horizontal="left" vertical="top" wrapText="1"/>
    </xf>
    <xf numFmtId="0" fontId="0" fillId="6" borderId="0" xfId="0" applyFill="1"/>
    <xf numFmtId="0" fontId="0" fillId="9" borderId="0" xfId="0" applyFill="1"/>
    <xf numFmtId="164" fontId="0" fillId="6" borderId="1" xfId="1" applyNumberFormat="1" applyFont="1" applyFill="1" applyBorder="1"/>
    <xf numFmtId="164" fontId="1" fillId="3" borderId="0" xfId="1" applyNumberFormat="1" applyFont="1" applyFill="1" applyBorder="1"/>
    <xf numFmtId="1" fontId="0" fillId="3" borderId="0" xfId="0" applyNumberFormat="1" applyFill="1" applyBorder="1"/>
    <xf numFmtId="0" fontId="8" fillId="3" borderId="1" xfId="0" applyFont="1" applyFill="1" applyBorder="1"/>
    <xf numFmtId="2" fontId="0" fillId="0" borderId="1" xfId="0" applyNumberFormat="1" applyBorder="1"/>
    <xf numFmtId="0" fontId="1" fillId="0" borderId="0" xfId="0" applyFont="1"/>
    <xf numFmtId="43" fontId="0" fillId="0" borderId="0" xfId="1" applyFont="1"/>
    <xf numFmtId="0" fontId="1" fillId="0" borderId="1" xfId="0" applyFont="1" applyFill="1" applyBorder="1" applyAlignment="1">
      <alignment wrapText="1"/>
    </xf>
    <xf numFmtId="164" fontId="8" fillId="6" borderId="1" xfId="0" applyNumberFormat="1" applyFont="1" applyFill="1" applyBorder="1" applyAlignment="1">
      <alignment horizontal="right" vertical="top"/>
    </xf>
    <xf numFmtId="164" fontId="1" fillId="6" borderId="1" xfId="0" applyNumberFormat="1" applyFont="1" applyFill="1" applyBorder="1" applyAlignment="1">
      <alignment horizontal="right"/>
    </xf>
    <xf numFmtId="1" fontId="1" fillId="6" borderId="1" xfId="0" applyNumberFormat="1" applyFont="1" applyFill="1" applyBorder="1" applyAlignment="1">
      <alignment horizontal="right"/>
    </xf>
    <xf numFmtId="164" fontId="8" fillId="0" borderId="1" xfId="1" applyNumberFormat="1" applyFont="1" applyBorder="1" applyAlignment="1">
      <alignment horizontal="right"/>
    </xf>
    <xf numFmtId="164" fontId="1" fillId="0" borderId="1" xfId="1" applyNumberFormat="1" applyFont="1" applyBorder="1" applyAlignment="1">
      <alignment horizontal="right"/>
    </xf>
    <xf numFmtId="164" fontId="8" fillId="0" borderId="1" xfId="0" applyNumberFormat="1" applyFont="1" applyBorder="1" applyAlignment="1">
      <alignment horizontal="right"/>
    </xf>
    <xf numFmtId="37" fontId="8" fillId="0" borderId="1" xfId="0" applyNumberFormat="1" applyFont="1" applyBorder="1" applyAlignment="1">
      <alignment horizontal="right"/>
    </xf>
    <xf numFmtId="37" fontId="0" fillId="0" borderId="1" xfId="0" applyNumberFormat="1" applyFont="1" applyBorder="1" applyAlignment="1">
      <alignment horizontal="right"/>
    </xf>
    <xf numFmtId="164" fontId="4" fillId="0" borderId="1" xfId="1" applyNumberFormat="1" applyFont="1" applyBorder="1" applyAlignment="1">
      <alignment horizontal="right"/>
    </xf>
    <xf numFmtId="164" fontId="0" fillId="0" borderId="1" xfId="0" applyNumberFormat="1" applyFont="1" applyBorder="1" applyAlignment="1">
      <alignment horizontal="right"/>
    </xf>
    <xf numFmtId="37" fontId="4" fillId="0" borderId="1" xfId="1" applyNumberFormat="1" applyFont="1" applyBorder="1" applyAlignment="1">
      <alignment horizontal="right"/>
    </xf>
    <xf numFmtId="0" fontId="0" fillId="0" borderId="1" xfId="0" applyBorder="1" applyAlignment="1">
      <alignment horizontal="right"/>
    </xf>
    <xf numFmtId="37" fontId="1" fillId="0" borderId="1" xfId="0" applyNumberFormat="1" applyFont="1" applyBorder="1" applyAlignment="1">
      <alignment horizontal="right" vertical="center"/>
    </xf>
    <xf numFmtId="164" fontId="1" fillId="0" borderId="1" xfId="0" applyNumberFormat="1" applyFont="1" applyBorder="1" applyAlignment="1">
      <alignment horizontal="right" vertical="center"/>
    </xf>
    <xf numFmtId="0" fontId="1" fillId="0" borderId="1" xfId="0" applyFont="1" applyBorder="1" applyAlignment="1">
      <alignment horizontal="right" vertical="center"/>
    </xf>
    <xf numFmtId="43" fontId="1" fillId="0" borderId="0" xfId="0" applyNumberFormat="1" applyFont="1"/>
    <xf numFmtId="164" fontId="8" fillId="6" borderId="11" xfId="1" applyNumberFormat="1" applyFont="1" applyFill="1" applyBorder="1" applyAlignment="1">
      <alignment horizontal="center" vertical="top" wrapText="1"/>
    </xf>
    <xf numFmtId="0" fontId="1" fillId="5" borderId="12" xfId="0" applyFont="1" applyFill="1" applyBorder="1"/>
    <xf numFmtId="164" fontId="1" fillId="8" borderId="13" xfId="1" applyNumberFormat="1" applyFont="1" applyFill="1" applyBorder="1"/>
    <xf numFmtId="0" fontId="1" fillId="6" borderId="10" xfId="0" applyFont="1" applyFill="1" applyBorder="1" applyAlignment="1">
      <alignment horizontal="center" vertical="top" wrapText="1"/>
    </xf>
    <xf numFmtId="164" fontId="1" fillId="0" borderId="0" xfId="0" applyNumberFormat="1" applyFont="1"/>
    <xf numFmtId="37" fontId="1" fillId="6" borderId="5" xfId="0" applyNumberFormat="1" applyFont="1" applyFill="1" applyBorder="1"/>
    <xf numFmtId="0" fontId="1" fillId="6" borderId="7" xfId="0" applyFont="1" applyFill="1" applyBorder="1"/>
    <xf numFmtId="37" fontId="1" fillId="6" borderId="9" xfId="0" applyNumberFormat="1" applyFont="1" applyFill="1" applyBorder="1"/>
    <xf numFmtId="37" fontId="8" fillId="3" borderId="1" xfId="0" applyNumberFormat="1" applyFont="1" applyFill="1" applyBorder="1" applyAlignment="1">
      <alignment horizontal="right"/>
    </xf>
    <xf numFmtId="1" fontId="8" fillId="3" borderId="1" xfId="0" applyNumberFormat="1" applyFont="1" applyFill="1" applyBorder="1" applyAlignment="1">
      <alignment horizontal="right"/>
    </xf>
    <xf numFmtId="165" fontId="8" fillId="3" borderId="1" xfId="0" applyNumberFormat="1" applyFont="1" applyFill="1" applyBorder="1"/>
    <xf numFmtId="166" fontId="8" fillId="3" borderId="1" xfId="0" applyNumberFormat="1" applyFont="1" applyFill="1" applyBorder="1"/>
    <xf numFmtId="164" fontId="1" fillId="8" borderId="13" xfId="0" applyNumberFormat="1" applyFont="1" applyFill="1" applyBorder="1"/>
    <xf numFmtId="164" fontId="1" fillId="8" borderId="14" xfId="0" applyNumberFormat="1" applyFont="1" applyFill="1" applyBorder="1"/>
    <xf numFmtId="164" fontId="1" fillId="8" borderId="20" xfId="0" applyNumberFormat="1" applyFont="1" applyFill="1" applyBorder="1"/>
    <xf numFmtId="164" fontId="1" fillId="8" borderId="21" xfId="0" applyNumberFormat="1" applyFont="1" applyFill="1" applyBorder="1"/>
    <xf numFmtId="164" fontId="1" fillId="8" borderId="22" xfId="0" applyNumberFormat="1" applyFont="1" applyFill="1" applyBorder="1"/>
    <xf numFmtId="0" fontId="10" fillId="0" borderId="1" xfId="0" applyFont="1" applyBorder="1" applyAlignment="1">
      <alignment vertical="center"/>
    </xf>
    <xf numFmtId="0" fontId="10" fillId="0" borderId="1" xfId="0" applyFont="1" applyFill="1" applyBorder="1" applyAlignment="1">
      <alignment vertical="center"/>
    </xf>
    <xf numFmtId="0" fontId="10" fillId="6" borderId="1" xfId="0" applyFont="1" applyFill="1" applyBorder="1" applyAlignment="1">
      <alignment vertical="center"/>
    </xf>
    <xf numFmtId="43" fontId="4" fillId="3" borderId="1" xfId="1" applyNumberFormat="1" applyFont="1" applyFill="1" applyBorder="1"/>
    <xf numFmtId="0" fontId="1" fillId="3" borderId="1" xfId="0" applyFont="1" applyFill="1" applyBorder="1" applyAlignment="1">
      <alignment horizontal="center" vertical="center"/>
    </xf>
    <xf numFmtId="0" fontId="11" fillId="12" borderId="18" xfId="0" applyFont="1" applyFill="1" applyBorder="1" applyAlignment="1">
      <alignment horizontal="center" vertical="center"/>
    </xf>
    <xf numFmtId="0" fontId="11" fillId="12" borderId="23" xfId="0" applyFont="1" applyFill="1" applyBorder="1" applyAlignment="1">
      <alignment horizontal="center" vertical="center"/>
    </xf>
    <xf numFmtId="0" fontId="12" fillId="0" borderId="19" xfId="0" applyFont="1" applyBorder="1" applyAlignment="1">
      <alignment vertical="center"/>
    </xf>
    <xf numFmtId="0" fontId="0" fillId="0" borderId="1" xfId="0" applyBorder="1" applyAlignment="1">
      <alignment horizontal="center"/>
    </xf>
    <xf numFmtId="9" fontId="0" fillId="0" borderId="1" xfId="0" applyNumberFormat="1" applyBorder="1" applyAlignment="1">
      <alignment horizontal="center"/>
    </xf>
    <xf numFmtId="166" fontId="0" fillId="0" borderId="1" xfId="2" applyNumberFormat="1" applyFont="1" applyBorder="1" applyAlignment="1">
      <alignment horizontal="center"/>
    </xf>
    <xf numFmtId="0" fontId="0" fillId="0" borderId="1" xfId="0" applyBorder="1" applyAlignment="1">
      <alignment wrapText="1"/>
    </xf>
    <xf numFmtId="9" fontId="0" fillId="6" borderId="1" xfId="2" applyFont="1" applyFill="1" applyBorder="1" applyAlignment="1">
      <alignment vertical="top" wrapText="1"/>
    </xf>
    <xf numFmtId="9" fontId="1" fillId="7" borderId="1" xfId="0" applyNumberFormat="1" applyFont="1" applyFill="1" applyBorder="1" applyAlignment="1">
      <alignment horizontal="center"/>
    </xf>
    <xf numFmtId="0" fontId="0" fillId="7" borderId="3" xfId="0" applyFill="1" applyBorder="1"/>
    <xf numFmtId="9" fontId="0" fillId="7" borderId="3" xfId="0" applyNumberFormat="1" applyFill="1" applyBorder="1" applyAlignment="1">
      <alignment horizontal="center"/>
    </xf>
    <xf numFmtId="166" fontId="0" fillId="3" borderId="1" xfId="0" applyNumberFormat="1" applyFill="1" applyBorder="1" applyAlignment="1">
      <alignment horizontal="center"/>
    </xf>
    <xf numFmtId="9" fontId="9" fillId="3" borderId="1" xfId="0" applyNumberFormat="1" applyFont="1" applyFill="1" applyBorder="1" applyAlignment="1">
      <alignment horizontal="center"/>
    </xf>
    <xf numFmtId="164" fontId="0" fillId="3" borderId="1" xfId="1" applyNumberFormat="1" applyFont="1" applyFill="1" applyBorder="1" applyAlignment="1">
      <alignment vertical="top"/>
    </xf>
    <xf numFmtId="164" fontId="4" fillId="3" borderId="1" xfId="1" applyNumberFormat="1" applyFont="1" applyFill="1" applyBorder="1" applyAlignment="1"/>
    <xf numFmtId="0" fontId="0" fillId="0" borderId="4" xfId="0" applyFill="1" applyBorder="1"/>
    <xf numFmtId="0" fontId="14" fillId="0" borderId="4" xfId="0" applyFont="1" applyFill="1" applyBorder="1" applyAlignment="1">
      <alignment horizontal="left"/>
    </xf>
    <xf numFmtId="1" fontId="8" fillId="3" borderId="0" xfId="0" applyNumberFormat="1" applyFont="1" applyFill="1" applyBorder="1" applyAlignment="1">
      <alignment horizontal="right"/>
    </xf>
    <xf numFmtId="164" fontId="8" fillId="3" borderId="0" xfId="0" applyNumberFormat="1" applyFont="1" applyFill="1" applyBorder="1"/>
    <xf numFmtId="0" fontId="3" fillId="0" borderId="0" xfId="0" applyFont="1" applyBorder="1"/>
    <xf numFmtId="166" fontId="8" fillId="3" borderId="0" xfId="0" applyNumberFormat="1" applyFont="1" applyFill="1" applyBorder="1"/>
    <xf numFmtId="9" fontId="0" fillId="3" borderId="0" xfId="0" applyNumberFormat="1" applyFill="1" applyBorder="1"/>
    <xf numFmtId="0" fontId="1" fillId="11" borderId="1" xfId="0" applyFont="1" applyFill="1" applyBorder="1" applyAlignment="1">
      <alignment horizontal="center"/>
    </xf>
    <xf numFmtId="0" fontId="1" fillId="5" borderId="1" xfId="0" applyFont="1" applyFill="1" applyBorder="1" applyAlignment="1">
      <alignment horizontal="center"/>
    </xf>
    <xf numFmtId="0" fontId="1" fillId="3" borderId="0" xfId="0" applyFont="1" applyFill="1"/>
    <xf numFmtId="0" fontId="15" fillId="0" borderId="4" xfId="0" applyFont="1" applyFill="1" applyBorder="1" applyAlignment="1">
      <alignment horizontal="left" vertical="center"/>
    </xf>
    <xf numFmtId="167" fontId="0" fillId="0" borderId="1" xfId="0" applyNumberFormat="1" applyBorder="1"/>
    <xf numFmtId="1" fontId="0" fillId="3" borderId="1" xfId="0" applyNumberFormat="1" applyFill="1" applyBorder="1" applyAlignment="1">
      <alignment horizontal="right"/>
    </xf>
    <xf numFmtId="166" fontId="0" fillId="3" borderId="1" xfId="0" applyNumberFormat="1" applyFont="1" applyFill="1" applyBorder="1" applyAlignment="1">
      <alignment horizontal="right" vertical="center"/>
    </xf>
    <xf numFmtId="166" fontId="1" fillId="3" borderId="1" xfId="0" applyNumberFormat="1" applyFont="1" applyFill="1" applyBorder="1" applyAlignment="1">
      <alignment horizontal="right" vertical="center"/>
    </xf>
    <xf numFmtId="0" fontId="11" fillId="12" borderId="23" xfId="0" applyFont="1" applyFill="1" applyBorder="1" applyAlignment="1">
      <alignment horizontal="center" vertical="center" wrapText="1"/>
    </xf>
    <xf numFmtId="0" fontId="16" fillId="3" borderId="1" xfId="0" applyFont="1" applyFill="1" applyBorder="1"/>
    <xf numFmtId="0" fontId="16" fillId="4" borderId="1" xfId="0" applyFont="1" applyFill="1" applyBorder="1" applyAlignment="1">
      <alignment vertical="center"/>
    </xf>
    <xf numFmtId="0" fontId="16" fillId="0" borderId="1" xfId="0" applyFont="1" applyBorder="1"/>
    <xf numFmtId="165" fontId="16" fillId="0" borderId="1" xfId="1" applyNumberFormat="1" applyFont="1" applyBorder="1"/>
    <xf numFmtId="164" fontId="16" fillId="0" borderId="1" xfId="1" applyNumberFormat="1" applyFont="1" applyBorder="1"/>
    <xf numFmtId="165" fontId="16" fillId="3" borderId="1" xfId="1" applyNumberFormat="1" applyFont="1" applyFill="1" applyBorder="1"/>
    <xf numFmtId="164" fontId="16" fillId="3" borderId="1" xfId="1" applyNumberFormat="1" applyFont="1" applyFill="1" applyBorder="1"/>
    <xf numFmtId="9" fontId="0" fillId="3" borderId="1" xfId="2" applyFont="1" applyFill="1" applyBorder="1" applyAlignment="1">
      <alignment horizontal="right"/>
    </xf>
    <xf numFmtId="1" fontId="0" fillId="3" borderId="1" xfId="2" applyNumberFormat="1" applyFont="1" applyFill="1" applyBorder="1"/>
    <xf numFmtId="1" fontId="0" fillId="3" borderId="1" xfId="0" applyNumberFormat="1" applyFont="1" applyFill="1" applyBorder="1"/>
    <xf numFmtId="164" fontId="1" fillId="3" borderId="1" xfId="0" applyNumberFormat="1" applyFont="1" applyFill="1" applyBorder="1"/>
    <xf numFmtId="0" fontId="1" fillId="6" borderId="5" xfId="0" applyFont="1" applyFill="1" applyBorder="1" applyAlignment="1">
      <alignment horizontal="center" vertical="top" wrapText="1"/>
    </xf>
    <xf numFmtId="0" fontId="0" fillId="2" borderId="1" xfId="0" applyFill="1" applyBorder="1" applyAlignment="1">
      <alignment horizontal="center"/>
    </xf>
    <xf numFmtId="2" fontId="0" fillId="0" borderId="0" xfId="0" applyNumberFormat="1"/>
    <xf numFmtId="0" fontId="1" fillId="4" borderId="1" xfId="0" applyFont="1" applyFill="1" applyBorder="1" applyAlignment="1">
      <alignment horizontal="center"/>
    </xf>
    <xf numFmtId="0" fontId="1" fillId="2" borderId="1" xfId="0" applyFont="1" applyFill="1" applyBorder="1" applyAlignment="1">
      <alignment horizontal="center" vertical="center" wrapText="1"/>
    </xf>
    <xf numFmtId="0" fontId="1" fillId="0" borderId="1" xfId="0" applyFont="1" applyBorder="1" applyAlignment="1">
      <alignment horizontal="center"/>
    </xf>
    <xf numFmtId="165" fontId="1" fillId="3" borderId="1" xfId="0" applyNumberFormat="1" applyFont="1" applyFill="1" applyBorder="1" applyAlignment="1"/>
    <xf numFmtId="164" fontId="0" fillId="3" borderId="1" xfId="0" applyNumberFormat="1" applyFill="1" applyBorder="1" applyAlignment="1">
      <alignment horizontal="center"/>
    </xf>
    <xf numFmtId="164" fontId="4" fillId="3" borderId="1" xfId="1" applyNumberFormat="1" applyFont="1" applyFill="1" applyBorder="1" applyAlignment="1">
      <alignment vertical="top"/>
    </xf>
    <xf numFmtId="164" fontId="6" fillId="3" borderId="1" xfId="1" applyNumberFormat="1" applyFont="1" applyFill="1" applyBorder="1" applyAlignment="1">
      <alignment vertical="top"/>
    </xf>
    <xf numFmtId="164" fontId="8" fillId="3" borderId="1" xfId="1" applyNumberFormat="1" applyFont="1" applyFill="1" applyBorder="1"/>
    <xf numFmtId="0" fontId="1" fillId="4" borderId="1" xfId="0" applyFont="1" applyFill="1" applyBorder="1" applyAlignment="1"/>
    <xf numFmtId="0" fontId="0" fillId="3" borderId="10" xfId="0" applyFont="1" applyFill="1" applyBorder="1" applyAlignment="1"/>
    <xf numFmtId="164" fontId="4" fillId="3" borderId="11" xfId="1" applyNumberFormat="1" applyFont="1" applyFill="1" applyBorder="1" applyAlignment="1"/>
    <xf numFmtId="164" fontId="4" fillId="3" borderId="10" xfId="1" applyNumberFormat="1" applyFont="1" applyFill="1" applyBorder="1" applyAlignment="1"/>
    <xf numFmtId="0" fontId="0" fillId="3" borderId="10" xfId="0" applyFont="1" applyFill="1" applyBorder="1"/>
    <xf numFmtId="164" fontId="1" fillId="3" borderId="11" xfId="0" applyNumberFormat="1" applyFont="1" applyFill="1" applyBorder="1"/>
    <xf numFmtId="164" fontId="1" fillId="3" borderId="10" xfId="0" applyNumberFormat="1" applyFont="1" applyFill="1" applyBorder="1"/>
    <xf numFmtId="164" fontId="1" fillId="3" borderId="11" xfId="1" applyNumberFormat="1" applyFont="1" applyFill="1" applyBorder="1"/>
    <xf numFmtId="164" fontId="1" fillId="3" borderId="10" xfId="1" applyNumberFormat="1" applyFont="1" applyFill="1" applyBorder="1"/>
    <xf numFmtId="164" fontId="8" fillId="3" borderId="16" xfId="1" applyNumberFormat="1" applyFont="1" applyFill="1" applyBorder="1" applyAlignment="1"/>
    <xf numFmtId="0" fontId="0" fillId="3" borderId="2" xfId="0" applyFont="1" applyFill="1" applyBorder="1"/>
    <xf numFmtId="164" fontId="0" fillId="3" borderId="16" xfId="1" applyNumberFormat="1" applyFont="1" applyFill="1" applyBorder="1" applyAlignment="1"/>
    <xf numFmtId="0" fontId="8" fillId="3" borderId="2" xfId="0" applyFont="1" applyFill="1" applyBorder="1" applyAlignment="1">
      <alignment vertical="top"/>
    </xf>
    <xf numFmtId="164" fontId="8" fillId="3" borderId="5" xfId="1" applyNumberFormat="1" applyFont="1" applyFill="1" applyBorder="1" applyAlignment="1"/>
    <xf numFmtId="164" fontId="0" fillId="3" borderId="5" xfId="1" applyNumberFormat="1" applyFont="1" applyFill="1" applyBorder="1"/>
    <xf numFmtId="0" fontId="1" fillId="3" borderId="2" xfId="0" applyFont="1" applyFill="1" applyBorder="1"/>
    <xf numFmtId="164" fontId="1" fillId="3" borderId="5" xfId="1" applyNumberFormat="1" applyFont="1" applyFill="1" applyBorder="1"/>
    <xf numFmtId="0" fontId="0" fillId="3" borderId="2" xfId="0" applyFont="1" applyFill="1" applyBorder="1" applyAlignment="1"/>
    <xf numFmtId="164" fontId="4" fillId="3" borderId="5" xfId="1" applyNumberFormat="1" applyFont="1" applyFill="1" applyBorder="1" applyAlignment="1"/>
    <xf numFmtId="164" fontId="6" fillId="3" borderId="5" xfId="1" applyNumberFormat="1" applyFont="1" applyFill="1" applyBorder="1" applyAlignment="1">
      <alignment vertical="top"/>
    </xf>
    <xf numFmtId="164" fontId="8" fillId="9" borderId="1" xfId="1" applyNumberFormat="1" applyFont="1" applyFill="1" applyBorder="1" applyAlignment="1">
      <alignment vertical="top"/>
    </xf>
    <xf numFmtId="164" fontId="1" fillId="6" borderId="5" xfId="1" applyNumberFormat="1" applyFont="1" applyFill="1" applyBorder="1" applyAlignment="1"/>
    <xf numFmtId="9" fontId="0" fillId="3" borderId="1" xfId="0" applyNumberFormat="1" applyFill="1" applyBorder="1" applyAlignment="1">
      <alignment horizontal="right"/>
    </xf>
    <xf numFmtId="9" fontId="0" fillId="3" borderId="0" xfId="0" applyNumberFormat="1" applyFill="1"/>
    <xf numFmtId="0" fontId="0" fillId="3" borderId="0" xfId="0" applyFill="1" applyBorder="1" applyAlignment="1"/>
    <xf numFmtId="0" fontId="0" fillId="13" borderId="1" xfId="0" applyFill="1" applyBorder="1"/>
    <xf numFmtId="164" fontId="0" fillId="13" borderId="1" xfId="0" applyNumberFormat="1" applyFill="1" applyBorder="1"/>
    <xf numFmtId="166" fontId="0" fillId="13" borderId="1" xfId="0" applyNumberFormat="1" applyFill="1" applyBorder="1" applyAlignment="1">
      <alignment horizontal="right"/>
    </xf>
    <xf numFmtId="164" fontId="0" fillId="13" borderId="1" xfId="1" applyNumberFormat="1" applyFont="1" applyFill="1" applyBorder="1" applyAlignment="1">
      <alignment horizontal="center"/>
    </xf>
    <xf numFmtId="164" fontId="0" fillId="13" borderId="1" xfId="1" applyNumberFormat="1" applyFont="1" applyFill="1" applyBorder="1"/>
    <xf numFmtId="0" fontId="0" fillId="13" borderId="0" xfId="0" applyFill="1"/>
    <xf numFmtId="166" fontId="0" fillId="13" borderId="0" xfId="0" applyNumberFormat="1" applyFill="1"/>
    <xf numFmtId="0" fontId="13" fillId="14" borderId="1" xfId="4" quotePrefix="1" applyFill="1" applyBorder="1"/>
    <xf numFmtId="0" fontId="0" fillId="14" borderId="1" xfId="0" applyFill="1" applyBorder="1"/>
    <xf numFmtId="0" fontId="13" fillId="14" borderId="1" xfId="4" applyFill="1" applyBorder="1"/>
    <xf numFmtId="164" fontId="4" fillId="3" borderId="1" xfId="1" applyNumberFormat="1" applyFont="1" applyFill="1" applyBorder="1" applyAlignment="1">
      <alignment horizontal="right"/>
    </xf>
    <xf numFmtId="9" fontId="0" fillId="10" borderId="1" xfId="0" applyNumberFormat="1" applyFill="1" applyBorder="1"/>
    <xf numFmtId="0" fontId="14" fillId="0" borderId="1" xfId="0" applyFont="1" applyBorder="1"/>
    <xf numFmtId="0" fontId="14" fillId="0" borderId="1" xfId="0" applyFont="1" applyFill="1" applyBorder="1" applyAlignment="1">
      <alignment vertical="top" wrapText="1"/>
    </xf>
    <xf numFmtId="167" fontId="0" fillId="0" borderId="0" xfId="0" applyNumberFormat="1" applyBorder="1"/>
    <xf numFmtId="0" fontId="0" fillId="0" borderId="0" xfId="0" applyBorder="1" applyAlignment="1">
      <alignment horizontal="left" vertical="top"/>
    </xf>
    <xf numFmtId="0" fontId="17" fillId="0" borderId="0" xfId="0" applyFont="1" applyBorder="1" applyAlignment="1">
      <alignment vertical="center"/>
    </xf>
    <xf numFmtId="0" fontId="0" fillId="0" borderId="1" xfId="0" applyFill="1" applyBorder="1" applyAlignment="1">
      <alignment wrapText="1"/>
    </xf>
    <xf numFmtId="0" fontId="1" fillId="6" borderId="1" xfId="0" applyFont="1" applyFill="1" applyBorder="1" applyAlignment="1">
      <alignment horizontal="center" vertical="top" wrapText="1"/>
    </xf>
    <xf numFmtId="0" fontId="1" fillId="6" borderId="1" xfId="0" applyFont="1" applyFill="1" applyBorder="1" applyAlignment="1">
      <alignment horizontal="center" vertical="center"/>
    </xf>
    <xf numFmtId="0" fontId="8" fillId="3" borderId="2" xfId="0" applyFont="1" applyFill="1" applyBorder="1" applyAlignment="1">
      <alignment horizontal="left"/>
    </xf>
    <xf numFmtId="0" fontId="8" fillId="3" borderId="16" xfId="0" applyFont="1" applyFill="1" applyBorder="1" applyAlignment="1">
      <alignment horizontal="left"/>
    </xf>
    <xf numFmtId="0" fontId="8" fillId="3" borderId="5" xfId="0" applyFont="1" applyFill="1" applyBorder="1" applyAlignment="1">
      <alignment horizontal="left"/>
    </xf>
    <xf numFmtId="0" fontId="1" fillId="2" borderId="1" xfId="0" applyFont="1" applyFill="1" applyBorder="1" applyAlignment="1">
      <alignment horizontal="center" vertical="center"/>
    </xf>
    <xf numFmtId="0" fontId="1" fillId="6" borderId="1" xfId="0" applyFont="1" applyFill="1" applyBorder="1" applyAlignment="1">
      <alignment horizontal="center"/>
    </xf>
    <xf numFmtId="0" fontId="0" fillId="6" borderId="1" xfId="0" applyFill="1" applyBorder="1" applyAlignment="1">
      <alignment horizontal="center"/>
    </xf>
    <xf numFmtId="0" fontId="1" fillId="6" borderId="1" xfId="0" applyFont="1" applyFill="1" applyBorder="1" applyAlignment="1">
      <alignment horizontal="left" vertical="center"/>
    </xf>
    <xf numFmtId="0" fontId="1" fillId="7" borderId="1" xfId="0" applyFont="1" applyFill="1" applyBorder="1" applyAlignment="1">
      <alignment horizontal="center"/>
    </xf>
    <xf numFmtId="0" fontId="1" fillId="2" borderId="1" xfId="0" applyFont="1" applyFill="1" applyBorder="1" applyAlignment="1">
      <alignment horizontal="center" vertical="top" wrapText="1"/>
    </xf>
    <xf numFmtId="0" fontId="16" fillId="4" borderId="1" xfId="0" applyFont="1" applyFill="1" applyBorder="1" applyAlignment="1">
      <alignment horizontal="center" vertical="center"/>
    </xf>
    <xf numFmtId="2" fontId="12" fillId="0" borderId="22" xfId="0" applyNumberFormat="1" applyFont="1" applyBorder="1" applyAlignment="1">
      <alignment horizontal="center" vertical="center"/>
    </xf>
    <xf numFmtId="43" fontId="16" fillId="0" borderId="1" xfId="1" applyNumberFormat="1" applyFont="1" applyBorder="1"/>
    <xf numFmtId="43" fontId="16" fillId="3" borderId="1" xfId="1" applyNumberFormat="1" applyFont="1" applyFill="1" applyBorder="1"/>
    <xf numFmtId="164" fontId="0" fillId="3" borderId="0" xfId="0" applyNumberFormat="1" applyFill="1"/>
    <xf numFmtId="9" fontId="1" fillId="3" borderId="0" xfId="2" applyFont="1" applyFill="1" applyBorder="1"/>
    <xf numFmtId="2" fontId="0" fillId="13" borderId="1" xfId="0" applyNumberFormat="1" applyFill="1" applyBorder="1" applyAlignment="1">
      <alignment horizontal="right"/>
    </xf>
    <xf numFmtId="0" fontId="1" fillId="6" borderId="1" xfId="0" applyFont="1" applyFill="1" applyBorder="1" applyAlignment="1">
      <alignment horizontal="center" vertical="top"/>
    </xf>
    <xf numFmtId="0" fontId="1" fillId="6" borderId="1" xfId="0" applyFont="1" applyFill="1" applyBorder="1" applyAlignment="1">
      <alignment horizontal="center" vertical="top" wrapText="1"/>
    </xf>
    <xf numFmtId="0" fontId="1" fillId="7" borderId="3" xfId="0" applyFont="1" applyFill="1" applyBorder="1" applyAlignment="1">
      <alignment horizontal="left"/>
    </xf>
    <xf numFmtId="0" fontId="1" fillId="6" borderId="7" xfId="0" applyFont="1" applyFill="1" applyBorder="1" applyAlignment="1">
      <alignment horizontal="center" vertical="center"/>
    </xf>
    <xf numFmtId="0" fontId="1" fillId="6" borderId="10" xfId="0" applyFont="1" applyFill="1" applyBorder="1" applyAlignment="1">
      <alignment horizontal="center" vertical="center"/>
    </xf>
    <xf numFmtId="0" fontId="1" fillId="6" borderId="8" xfId="0" applyFont="1" applyFill="1" applyBorder="1" applyAlignment="1">
      <alignment horizontal="center" vertical="center"/>
    </xf>
    <xf numFmtId="0" fontId="1" fillId="6" borderId="1" xfId="0" applyFont="1" applyFill="1" applyBorder="1" applyAlignment="1">
      <alignment horizontal="center" vertical="center"/>
    </xf>
    <xf numFmtId="0" fontId="1" fillId="6" borderId="8" xfId="0" applyFont="1" applyFill="1" applyBorder="1" applyAlignment="1">
      <alignment horizontal="center" vertical="top"/>
    </xf>
    <xf numFmtId="0" fontId="1" fillId="6" borderId="9" xfId="0" applyFont="1" applyFill="1" applyBorder="1" applyAlignment="1">
      <alignment horizontal="center" vertical="top"/>
    </xf>
    <xf numFmtId="0" fontId="1" fillId="6" borderId="7" xfId="0" applyFont="1" applyFill="1" applyBorder="1" applyAlignment="1">
      <alignment horizontal="center" vertical="top"/>
    </xf>
    <xf numFmtId="0" fontId="8" fillId="3" borderId="2" xfId="0" applyFont="1" applyFill="1" applyBorder="1" applyAlignment="1">
      <alignment horizontal="left"/>
    </xf>
    <xf numFmtId="0" fontId="8" fillId="3" borderId="16" xfId="0" applyFont="1" applyFill="1" applyBorder="1" applyAlignment="1">
      <alignment horizontal="left"/>
    </xf>
    <xf numFmtId="0" fontId="8" fillId="3" borderId="5" xfId="0" applyFont="1" applyFill="1" applyBorder="1" applyAlignment="1">
      <alignment horizontal="left"/>
    </xf>
    <xf numFmtId="0" fontId="1" fillId="7" borderId="1" xfId="0" applyFont="1" applyFill="1" applyBorder="1" applyAlignment="1">
      <alignment horizontal="left"/>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 fillId="6" borderId="6" xfId="0" applyFont="1" applyFill="1" applyBorder="1" applyAlignment="1">
      <alignment horizontal="center" vertical="center"/>
    </xf>
    <xf numFmtId="0" fontId="1" fillId="6" borderId="2" xfId="0" applyFont="1" applyFill="1" applyBorder="1" applyAlignment="1">
      <alignment horizontal="center" vertical="top"/>
    </xf>
    <xf numFmtId="0" fontId="1" fillId="6" borderId="16" xfId="0" applyFont="1" applyFill="1" applyBorder="1" applyAlignment="1">
      <alignment horizontal="center" vertical="top"/>
    </xf>
    <xf numFmtId="0" fontId="1" fillId="6" borderId="5" xfId="0" applyFont="1" applyFill="1" applyBorder="1" applyAlignment="1">
      <alignment horizontal="center" vertical="top"/>
    </xf>
    <xf numFmtId="0" fontId="8" fillId="6" borderId="2" xfId="0" applyFont="1" applyFill="1" applyBorder="1" applyAlignment="1">
      <alignment horizontal="left" vertical="top"/>
    </xf>
    <xf numFmtId="0" fontId="8" fillId="6" borderId="16" xfId="0" applyFont="1" applyFill="1" applyBorder="1" applyAlignment="1">
      <alignment horizontal="left" vertical="top"/>
    </xf>
    <xf numFmtId="0" fontId="8" fillId="6" borderId="5" xfId="0" applyFont="1" applyFill="1" applyBorder="1" applyAlignment="1">
      <alignment horizontal="left" vertical="top"/>
    </xf>
    <xf numFmtId="0" fontId="1" fillId="3" borderId="2" xfId="0" applyFont="1" applyFill="1" applyBorder="1" applyAlignment="1">
      <alignment horizontal="left"/>
    </xf>
    <xf numFmtId="0" fontId="1" fillId="3" borderId="16" xfId="0" applyFont="1" applyFill="1" applyBorder="1" applyAlignment="1">
      <alignment horizontal="left"/>
    </xf>
    <xf numFmtId="0" fontId="1" fillId="3" borderId="5" xfId="0" applyFont="1" applyFill="1" applyBorder="1" applyAlignment="1">
      <alignment horizontal="left"/>
    </xf>
    <xf numFmtId="0" fontId="8" fillId="3" borderId="2" xfId="0" applyFont="1" applyFill="1" applyBorder="1" applyAlignment="1">
      <alignment horizontal="left" vertical="top"/>
    </xf>
    <xf numFmtId="0" fontId="8" fillId="3" borderId="16" xfId="0" applyFont="1" applyFill="1" applyBorder="1" applyAlignment="1">
      <alignment horizontal="left" vertical="top"/>
    </xf>
    <xf numFmtId="0" fontId="8" fillId="3" borderId="5" xfId="0" applyFont="1" applyFill="1" applyBorder="1" applyAlignment="1">
      <alignment horizontal="left" vertical="top"/>
    </xf>
    <xf numFmtId="0" fontId="1" fillId="2" borderId="1" xfId="0" applyFont="1" applyFill="1" applyBorder="1" applyAlignment="1">
      <alignment horizontal="center" vertical="center"/>
    </xf>
    <xf numFmtId="0" fontId="0" fillId="2" borderId="1" xfId="0" applyFill="1" applyBorder="1" applyAlignment="1">
      <alignment horizontal="center" vertical="center"/>
    </xf>
    <xf numFmtId="0" fontId="1" fillId="2" borderId="1" xfId="0" applyFont="1" applyFill="1" applyBorder="1" applyAlignment="1">
      <alignment horizontal="center"/>
    </xf>
    <xf numFmtId="0" fontId="1" fillId="6" borderId="0" xfId="0" applyFont="1" applyFill="1" applyBorder="1" applyAlignment="1">
      <alignment horizontal="left"/>
    </xf>
    <xf numFmtId="0" fontId="1" fillId="6" borderId="1" xfId="0" applyFont="1" applyFill="1" applyBorder="1" applyAlignment="1">
      <alignment horizontal="center"/>
    </xf>
    <xf numFmtId="166" fontId="0" fillId="6" borderId="3" xfId="0" applyNumberFormat="1" applyFont="1" applyFill="1" applyBorder="1" applyAlignment="1">
      <alignment horizontal="left" vertical="top" wrapText="1"/>
    </xf>
    <xf numFmtId="166" fontId="0" fillId="6" borderId="4" xfId="0" applyNumberFormat="1" applyFont="1" applyFill="1" applyBorder="1" applyAlignment="1">
      <alignment horizontal="left" vertical="top" wrapText="1"/>
    </xf>
    <xf numFmtId="166" fontId="0" fillId="6" borderId="6" xfId="0" applyNumberFormat="1"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6" borderId="1" xfId="0" applyFill="1" applyBorder="1" applyAlignment="1">
      <alignment horizontal="center"/>
    </xf>
    <xf numFmtId="0" fontId="1" fillId="6" borderId="1" xfId="0" applyFont="1" applyFill="1" applyBorder="1" applyAlignment="1">
      <alignment horizontal="left" vertical="center"/>
    </xf>
    <xf numFmtId="0" fontId="1" fillId="0" borderId="15" xfId="0" applyFont="1" applyBorder="1" applyAlignment="1">
      <alignment horizontal="left"/>
    </xf>
    <xf numFmtId="0" fontId="1" fillId="0" borderId="0" xfId="0" applyFont="1" applyBorder="1" applyAlignment="1">
      <alignment horizontal="left"/>
    </xf>
    <xf numFmtId="0" fontId="1" fillId="6" borderId="2" xfId="0" applyFont="1" applyFill="1" applyBorder="1" applyAlignment="1">
      <alignment horizontal="center"/>
    </xf>
    <xf numFmtId="0" fontId="1" fillId="6" borderId="5" xfId="0" applyFont="1" applyFill="1" applyBorder="1" applyAlignment="1">
      <alignment horizontal="center"/>
    </xf>
    <xf numFmtId="0" fontId="2" fillId="6" borderId="1" xfId="0" applyFont="1" applyFill="1" applyBorder="1" applyAlignment="1">
      <alignment horizontal="center" vertical="center"/>
    </xf>
    <xf numFmtId="0" fontId="1" fillId="6" borderId="24" xfId="0" applyFont="1" applyFill="1" applyBorder="1" applyAlignment="1">
      <alignment horizontal="center" vertical="center"/>
    </xf>
    <xf numFmtId="0" fontId="1" fillId="6" borderId="17" xfId="0" applyFont="1" applyFill="1" applyBorder="1" applyAlignment="1">
      <alignment horizontal="center" vertical="center"/>
    </xf>
    <xf numFmtId="0" fontId="0" fillId="0" borderId="1" xfId="0" applyBorder="1" applyAlignment="1">
      <alignment horizontal="left" vertical="top" wrapText="1"/>
    </xf>
    <xf numFmtId="0" fontId="0" fillId="0" borderId="1" xfId="0" applyBorder="1" applyAlignment="1">
      <alignment horizontal="left" vertical="top"/>
    </xf>
    <xf numFmtId="0" fontId="1" fillId="6" borderId="2" xfId="0" applyFont="1" applyFill="1" applyBorder="1" applyAlignment="1">
      <alignment horizontal="center" vertical="center"/>
    </xf>
    <xf numFmtId="164" fontId="1" fillId="6" borderId="1" xfId="1" applyNumberFormat="1" applyFont="1" applyFill="1" applyBorder="1" applyAlignment="1">
      <alignment horizontal="center" vertical="center"/>
    </xf>
    <xf numFmtId="0" fontId="0" fillId="3" borderId="17" xfId="0" applyFill="1" applyBorder="1" applyAlignment="1">
      <alignment horizontal="center"/>
    </xf>
    <xf numFmtId="0" fontId="1" fillId="9" borderId="1" xfId="0" applyFont="1" applyFill="1" applyBorder="1" applyAlignment="1">
      <alignment horizontal="center"/>
    </xf>
    <xf numFmtId="164" fontId="1" fillId="6" borderId="1" xfId="1" applyNumberFormat="1" applyFont="1" applyFill="1" applyBorder="1" applyAlignment="1">
      <alignment horizontal="center" vertical="top"/>
    </xf>
    <xf numFmtId="164" fontId="1" fillId="6" borderId="2" xfId="1" applyNumberFormat="1" applyFont="1" applyFill="1" applyBorder="1" applyAlignment="1">
      <alignment horizontal="center" vertical="top"/>
    </xf>
    <xf numFmtId="164" fontId="1" fillId="6" borderId="16" xfId="1" applyNumberFormat="1" applyFont="1" applyFill="1" applyBorder="1" applyAlignment="1">
      <alignment horizontal="center" vertical="top"/>
    </xf>
    <xf numFmtId="164" fontId="1" fillId="6" borderId="5" xfId="1" applyNumberFormat="1" applyFont="1" applyFill="1" applyBorder="1" applyAlignment="1">
      <alignment horizontal="center" vertical="top"/>
    </xf>
    <xf numFmtId="0" fontId="0" fillId="0" borderId="24" xfId="0" applyBorder="1" applyAlignment="1">
      <alignment horizontal="center" vertical="center"/>
    </xf>
    <xf numFmtId="0" fontId="0" fillId="0" borderId="17" xfId="0" applyBorder="1" applyAlignment="1">
      <alignment horizontal="center" vertical="center"/>
    </xf>
    <xf numFmtId="0" fontId="0" fillId="3" borderId="1" xfId="0" applyFill="1" applyBorder="1" applyAlignment="1">
      <alignment horizontal="center" vertical="center" wrapText="1"/>
    </xf>
    <xf numFmtId="0" fontId="1" fillId="7" borderId="1" xfId="0" applyFont="1" applyFill="1" applyBorder="1" applyAlignment="1">
      <alignment horizontal="center"/>
    </xf>
    <xf numFmtId="0" fontId="1" fillId="2" borderId="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top" wrapText="1"/>
    </xf>
    <xf numFmtId="0" fontId="16" fillId="0" borderId="1" xfId="0" applyFont="1" applyBorder="1" applyAlignment="1">
      <alignment horizontal="center"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6" fillId="0" borderId="6" xfId="0" applyFont="1" applyBorder="1" applyAlignment="1">
      <alignment horizontal="left" vertical="center" wrapText="1"/>
    </xf>
    <xf numFmtId="9" fontId="16" fillId="4" borderId="1" xfId="0" applyNumberFormat="1" applyFont="1" applyFill="1" applyBorder="1" applyAlignment="1">
      <alignment horizontal="center"/>
    </xf>
    <xf numFmtId="0" fontId="16" fillId="4" borderId="1" xfId="0" applyFont="1" applyFill="1" applyBorder="1" applyAlignment="1">
      <alignment horizontal="center" vertical="center"/>
    </xf>
    <xf numFmtId="0" fontId="16" fillId="4" borderId="1" xfId="0" applyFont="1" applyFill="1" applyBorder="1" applyAlignment="1">
      <alignment horizontal="center"/>
    </xf>
    <xf numFmtId="0" fontId="16" fillId="4" borderId="1" xfId="0" applyFont="1" applyFill="1" applyBorder="1" applyAlignment="1">
      <alignment horizontal="center" vertical="center" wrapText="1"/>
    </xf>
  </cellXfs>
  <cellStyles count="5">
    <cellStyle name="Hipervínculo" xfId="4" builtinId="8"/>
    <cellStyle name="Millares" xfId="1" builtinId="3"/>
    <cellStyle name="Normal" xfId="0" builtinId="0"/>
    <cellStyle name="Normal 2" xfId="3"/>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A5" sqref="A5"/>
    </sheetView>
  </sheetViews>
  <sheetFormatPr baseColWidth="10" defaultColWidth="11.42578125" defaultRowHeight="15" x14ac:dyDescent="0.25"/>
  <cols>
    <col min="1" max="1" width="35.5703125" customWidth="1"/>
    <col min="2" max="2" width="69.7109375" customWidth="1"/>
  </cols>
  <sheetData>
    <row r="1" spans="1:2" x14ac:dyDescent="0.25">
      <c r="A1" s="214" t="s">
        <v>0</v>
      </c>
      <c r="B1" s="214" t="s">
        <v>1</v>
      </c>
    </row>
    <row r="2" spans="1:2" x14ac:dyDescent="0.25">
      <c r="A2" s="254" t="s">
        <v>2</v>
      </c>
      <c r="B2" s="255" t="s">
        <v>3</v>
      </c>
    </row>
    <row r="3" spans="1:2" x14ac:dyDescent="0.25">
      <c r="A3" s="254" t="s">
        <v>4</v>
      </c>
      <c r="B3" s="255" t="s">
        <v>5</v>
      </c>
    </row>
    <row r="4" spans="1:2" x14ac:dyDescent="0.25">
      <c r="A4" s="254" t="s">
        <v>6</v>
      </c>
      <c r="B4" s="255" t="s">
        <v>7</v>
      </c>
    </row>
    <row r="5" spans="1:2" x14ac:dyDescent="0.25">
      <c r="A5" s="254" t="s">
        <v>8</v>
      </c>
      <c r="B5" s="255" t="s">
        <v>9</v>
      </c>
    </row>
    <row r="6" spans="1:2" s="14" customFormat="1" x14ac:dyDescent="0.25">
      <c r="A6" s="254" t="s">
        <v>10</v>
      </c>
      <c r="B6" s="255" t="s">
        <v>11</v>
      </c>
    </row>
    <row r="7" spans="1:2" x14ac:dyDescent="0.25">
      <c r="A7" s="254" t="s">
        <v>12</v>
      </c>
      <c r="B7" s="255" t="s">
        <v>13</v>
      </c>
    </row>
    <row r="8" spans="1:2" x14ac:dyDescent="0.25">
      <c r="A8" s="254" t="s">
        <v>14</v>
      </c>
      <c r="B8" s="255" t="s">
        <v>15</v>
      </c>
    </row>
    <row r="9" spans="1:2" x14ac:dyDescent="0.25">
      <c r="A9" s="256" t="s">
        <v>16</v>
      </c>
      <c r="B9" s="255" t="s">
        <v>17</v>
      </c>
    </row>
    <row r="10" spans="1:2" x14ac:dyDescent="0.25">
      <c r="A10" s="254" t="s">
        <v>18</v>
      </c>
      <c r="B10" s="255" t="s">
        <v>19</v>
      </c>
    </row>
    <row r="11" spans="1:2" x14ac:dyDescent="0.25">
      <c r="A11" s="254" t="s">
        <v>20</v>
      </c>
      <c r="B11" s="255" t="s">
        <v>21</v>
      </c>
    </row>
    <row r="12" spans="1:2" x14ac:dyDescent="0.25">
      <c r="A12" s="254" t="s">
        <v>22</v>
      </c>
      <c r="B12" s="255" t="s">
        <v>23</v>
      </c>
    </row>
    <row r="13" spans="1:2" x14ac:dyDescent="0.25">
      <c r="A13" s="254" t="s">
        <v>24</v>
      </c>
      <c r="B13" s="255" t="s">
        <v>25</v>
      </c>
    </row>
    <row r="14" spans="1:2" x14ac:dyDescent="0.25">
      <c r="A14" s="254" t="s">
        <v>26</v>
      </c>
      <c r="B14" s="255" t="s">
        <v>27</v>
      </c>
    </row>
    <row r="15" spans="1:2" x14ac:dyDescent="0.25">
      <c r="A15" s="254" t="s">
        <v>28</v>
      </c>
      <c r="B15" s="255" t="s">
        <v>29</v>
      </c>
    </row>
    <row r="16" spans="1:2" x14ac:dyDescent="0.25">
      <c r="A16" s="254" t="s">
        <v>30</v>
      </c>
      <c r="B16" s="255" t="s">
        <v>31</v>
      </c>
    </row>
  </sheetData>
  <hyperlinks>
    <hyperlink ref="A2" location="'I. General_Invest_parameters'!A1" display="'I. General_Invest_parameters'!A1"/>
    <hyperlink ref="A3" location="'II. Area direct_indirect impact'!A1" display="'II. Area direct_indirect impact'!A1"/>
    <hyperlink ref="A4" location="'III. AreaAnnual_distribution'!A1" display="'III. AreaAnnual_distribution'!A1"/>
    <hyperlink ref="A13" location="'IX. Totalcarbonflow'!A1" display="'IX. Totalcarbonflow'!A1"/>
    <hyperlink ref="A14" location="'X. BenefitDistribPlanERPD'!A1" display="'X. BenefitDistribPlanERPD'!A1"/>
    <hyperlink ref="A15" location="'XI. Carbon flow for ENDE REDD+'!A1" display="'XI. Carbon flow for ENDE REDD+'!A1"/>
    <hyperlink ref="A16" location="'XII. Efectiveness_indicatorC'!A1" display="'XII. Efectiveness_indicatorC'!A1"/>
    <hyperlink ref="A5" location="'IV. E ParamBeneficiaryCaract'!A1" display="IV. E ParamBeneficiaryCaract"/>
    <hyperlink ref="A6" location="'V. CarbonAccounAssumptions'!A1" display="'V. CarbonAccounAssumptions'!A1"/>
    <hyperlink ref="A7" location="'V.aCalculformulaR+AD'!A1" display="'V.aCalculformulaR+AD'!A1"/>
    <hyperlink ref="A8" location="'VI. ParameterCarbonAssumptions'!A1" display="'VI. ParameterCarbonAssumptions'!A1"/>
    <hyperlink ref="A9" location="VII.LivestockMethane_Carbon!A1" display="VII.LivestockMethane_Carbon!A1"/>
    <hyperlink ref="A10" location="'VII.a FormulacarbonLivestock'!A1" display="'VII.a FormulacarbonLivestock'!A1"/>
    <hyperlink ref="A11" location="'VIII. CarbonflowRemoval'!A1" display="'VIII. CarbonflowRemoval'!A1"/>
    <hyperlink ref="A12" location="'IX. CarbonflowAvoidedEmission'!A1" display="'IX. CarbonflowAvoidedEmission'!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5"/>
  <sheetViews>
    <sheetView topLeftCell="A4" workbookViewId="0">
      <selection activeCell="A9" sqref="A9"/>
    </sheetView>
  </sheetViews>
  <sheetFormatPr baseColWidth="10" defaultColWidth="11.42578125" defaultRowHeight="15" x14ac:dyDescent="0.25"/>
  <cols>
    <col min="1" max="1" width="132.5703125" customWidth="1"/>
    <col min="2" max="2" width="16.28515625" customWidth="1"/>
  </cols>
  <sheetData>
    <row r="4" spans="1:1" x14ac:dyDescent="0.25">
      <c r="A4" s="214" t="s">
        <v>231</v>
      </c>
    </row>
    <row r="5" spans="1:1" ht="90" x14ac:dyDescent="0.25">
      <c r="A5" s="175" t="s">
        <v>232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tabColor theme="6" tint="-0.249977111117893"/>
  </sheetPr>
  <dimension ref="A1:AA46"/>
  <sheetViews>
    <sheetView topLeftCell="A26" workbookViewId="0">
      <pane xSplit="1" topLeftCell="R1" activePane="topRight" state="frozen"/>
      <selection activeCell="F14" sqref="F14"/>
      <selection pane="topRight" activeCell="U42" sqref="U42"/>
    </sheetView>
  </sheetViews>
  <sheetFormatPr baseColWidth="10" defaultColWidth="11.42578125" defaultRowHeight="15" x14ac:dyDescent="0.25"/>
  <cols>
    <col min="1" max="1" width="84.42578125" customWidth="1"/>
    <col min="2" max="2" width="11.140625" bestFit="1" customWidth="1"/>
    <col min="3" max="3" width="11.5703125" style="14" bestFit="1" customWidth="1"/>
    <col min="4" max="6" width="12.140625" style="14" bestFit="1" customWidth="1"/>
    <col min="7" max="7" width="14.5703125" style="14" customWidth="1"/>
    <col min="8" max="10" width="11.140625" bestFit="1" customWidth="1"/>
    <col min="11" max="11" width="12.28515625" customWidth="1"/>
    <col min="12" max="13" width="11.5703125" bestFit="1" customWidth="1"/>
    <col min="14" max="16" width="12.140625" bestFit="1" customWidth="1"/>
    <col min="17" max="17" width="13.140625" bestFit="1" customWidth="1"/>
    <col min="18" max="18" width="12.140625" bestFit="1" customWidth="1"/>
    <col min="19" max="20" width="13.140625" bestFit="1" customWidth="1"/>
    <col min="21" max="21" width="13.28515625" customWidth="1"/>
    <col min="22" max="22" width="14.5703125" customWidth="1"/>
    <col min="23" max="23" width="15" customWidth="1"/>
    <col min="24" max="24" width="14.7109375" customWidth="1"/>
    <col min="25" max="25" width="14.42578125" customWidth="1"/>
    <col min="26" max="26" width="14.5703125" customWidth="1"/>
    <col min="27" max="27" width="14.140625" customWidth="1"/>
  </cols>
  <sheetData>
    <row r="1" spans="1:27" s="14" customFormat="1" x14ac:dyDescent="0.25">
      <c r="A1" s="296" t="s">
        <v>233</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row>
    <row r="2" spans="1:27" s="14" customFormat="1" x14ac:dyDescent="0.25">
      <c r="A2" s="296" t="s">
        <v>234</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row>
    <row r="3" spans="1:27" s="14" customFormat="1" x14ac:dyDescent="0.25">
      <c r="A3" s="289" t="s">
        <v>61</v>
      </c>
      <c r="B3" s="289" t="s">
        <v>361</v>
      </c>
      <c r="C3" s="289"/>
      <c r="D3" s="289"/>
      <c r="E3" s="289"/>
      <c r="F3" s="289"/>
      <c r="G3" s="289"/>
      <c r="H3" s="283" t="s">
        <v>89</v>
      </c>
      <c r="I3" s="283"/>
      <c r="J3" s="283"/>
      <c r="K3" s="283"/>
      <c r="L3" s="283"/>
      <c r="M3" s="283"/>
      <c r="N3" s="283"/>
      <c r="O3" s="283"/>
      <c r="P3" s="283"/>
      <c r="Q3" s="283"/>
      <c r="R3" s="283"/>
      <c r="S3" s="283"/>
      <c r="T3" s="283"/>
      <c r="U3" s="283"/>
      <c r="V3" s="283"/>
      <c r="W3" s="283"/>
      <c r="X3" s="283"/>
      <c r="Y3" s="283"/>
      <c r="Z3" s="283"/>
      <c r="AA3" s="283"/>
    </row>
    <row r="4" spans="1:27" s="14" customFormat="1" x14ac:dyDescent="0.25">
      <c r="A4" s="335"/>
      <c r="B4" s="289" t="s">
        <v>235</v>
      </c>
      <c r="C4" s="289" t="s">
        <v>236</v>
      </c>
      <c r="D4" s="289" t="s">
        <v>237</v>
      </c>
      <c r="E4" s="289" t="s">
        <v>238</v>
      </c>
      <c r="F4" s="297" t="s">
        <v>239</v>
      </c>
      <c r="G4" s="297" t="s">
        <v>240</v>
      </c>
      <c r="H4" s="300" t="s">
        <v>356</v>
      </c>
      <c r="I4" s="301"/>
      <c r="J4" s="301"/>
      <c r="K4" s="301"/>
      <c r="L4" s="301"/>
      <c r="M4" s="301"/>
      <c r="N4" s="301"/>
      <c r="O4" s="301"/>
      <c r="P4" s="301"/>
      <c r="Q4" s="301"/>
      <c r="R4" s="301"/>
      <c r="S4" s="301"/>
      <c r="T4" s="301"/>
      <c r="U4" s="301"/>
      <c r="V4" s="301"/>
      <c r="W4" s="301"/>
      <c r="X4" s="301"/>
      <c r="Y4" s="301"/>
      <c r="Z4" s="301"/>
      <c r="AA4" s="302"/>
    </row>
    <row r="5" spans="1:27" s="14" customFormat="1" x14ac:dyDescent="0.25">
      <c r="A5" s="335"/>
      <c r="B5" s="289"/>
      <c r="C5" s="289"/>
      <c r="D5" s="289"/>
      <c r="E5" s="289"/>
      <c r="F5" s="299"/>
      <c r="G5" s="299"/>
      <c r="H5" s="211">
        <v>1</v>
      </c>
      <c r="I5" s="33">
        <v>2</v>
      </c>
      <c r="J5" s="265">
        <v>3</v>
      </c>
      <c r="K5" s="33">
        <v>4</v>
      </c>
      <c r="L5" s="265">
        <v>5</v>
      </c>
      <c r="M5" s="33">
        <v>6</v>
      </c>
      <c r="N5" s="265">
        <v>7</v>
      </c>
      <c r="O5" s="33">
        <v>8</v>
      </c>
      <c r="P5" s="265">
        <v>9</v>
      </c>
      <c r="Q5" s="33">
        <v>10</v>
      </c>
      <c r="R5" s="265">
        <v>11</v>
      </c>
      <c r="S5" s="33">
        <v>12</v>
      </c>
      <c r="T5" s="265">
        <v>13</v>
      </c>
      <c r="U5" s="33">
        <v>14</v>
      </c>
      <c r="V5" s="265">
        <v>15</v>
      </c>
      <c r="W5" s="33">
        <v>16</v>
      </c>
      <c r="X5" s="265">
        <v>17</v>
      </c>
      <c r="Y5" s="33">
        <v>18</v>
      </c>
      <c r="Z5" s="265">
        <v>19</v>
      </c>
      <c r="AA5" s="33">
        <v>20</v>
      </c>
    </row>
    <row r="6" spans="1:27" s="14" customFormat="1" x14ac:dyDescent="0.25">
      <c r="A6" s="40" t="s">
        <v>67</v>
      </c>
      <c r="B6" s="26">
        <f>+I6</f>
        <v>63273.110445692044</v>
      </c>
      <c r="C6" s="26">
        <f>+L6</f>
        <v>742676.16958029522</v>
      </c>
      <c r="D6" s="26">
        <f>+N6</f>
        <v>903901.57779560052</v>
      </c>
      <c r="E6" s="26">
        <f>+S6</f>
        <v>5423409.4667736031</v>
      </c>
      <c r="F6" s="26">
        <f>+V6</f>
        <v>8135114.2001604047</v>
      </c>
      <c r="G6" s="26">
        <f>+AA6</f>
        <v>12654622.089138407</v>
      </c>
      <c r="H6" s="87">
        <f t="shared" ref="H6:AA6" si="0">+H7+H10+H13</f>
        <v>0</v>
      </c>
      <c r="I6" s="87">
        <f t="shared" si="0"/>
        <v>63273.110445692044</v>
      </c>
      <c r="J6" s="87">
        <f t="shared" si="0"/>
        <v>286704.29141802754</v>
      </c>
      <c r="K6" s="87">
        <f t="shared" si="0"/>
        <v>519040.21955833933</v>
      </c>
      <c r="L6" s="87">
        <f t="shared" si="0"/>
        <v>742676.16958029522</v>
      </c>
      <c r="M6" s="87">
        <f t="shared" si="0"/>
        <v>850939.58986614691</v>
      </c>
      <c r="N6" s="87">
        <f t="shared" si="0"/>
        <v>903901.57779560052</v>
      </c>
      <c r="O6" s="87">
        <f t="shared" si="0"/>
        <v>1807803.155591201</v>
      </c>
      <c r="P6" s="87">
        <f t="shared" si="0"/>
        <v>2711704.7333868016</v>
      </c>
      <c r="Q6" s="87">
        <f t="shared" si="0"/>
        <v>3615606.3111824021</v>
      </c>
      <c r="R6" s="87">
        <f t="shared" si="0"/>
        <v>4519507.8889780026</v>
      </c>
      <c r="S6" s="87">
        <f t="shared" si="0"/>
        <v>5423409.4667736031</v>
      </c>
      <c r="T6" s="87">
        <f t="shared" si="0"/>
        <v>6327311.0445692036</v>
      </c>
      <c r="U6" s="87">
        <f t="shared" si="0"/>
        <v>7231212.6223648041</v>
      </c>
      <c r="V6" s="87">
        <f t="shared" si="0"/>
        <v>8135114.2001604047</v>
      </c>
      <c r="W6" s="87">
        <f t="shared" si="0"/>
        <v>9039015.7779560052</v>
      </c>
      <c r="X6" s="87">
        <f t="shared" si="0"/>
        <v>9942917.3557516057</v>
      </c>
      <c r="Y6" s="87">
        <f t="shared" si="0"/>
        <v>10846818.933547206</v>
      </c>
      <c r="Z6" s="87">
        <f t="shared" si="0"/>
        <v>11750720.511342807</v>
      </c>
      <c r="AA6" s="87">
        <f t="shared" si="0"/>
        <v>12654622.089138407</v>
      </c>
    </row>
    <row r="7" spans="1:27" s="3" customFormat="1" x14ac:dyDescent="0.25">
      <c r="A7" s="52" t="s">
        <v>68</v>
      </c>
      <c r="B7" s="48">
        <f t="shared" ref="B7:B32" si="1">+I7</f>
        <v>5629.524970254326</v>
      </c>
      <c r="C7" s="48">
        <f t="shared" ref="C7:C32" si="2">+L7</f>
        <v>68358.517495945387</v>
      </c>
      <c r="D7" s="48">
        <f t="shared" ref="D7:D32" si="3">+N7</f>
        <v>80421.785289347506</v>
      </c>
      <c r="E7" s="48">
        <f t="shared" ref="E7:E32" si="4">+S7</f>
        <v>482530.71173608507</v>
      </c>
      <c r="F7" s="48">
        <f t="shared" ref="F7:F32" si="5">+V7</f>
        <v>723796.06760412757</v>
      </c>
      <c r="G7" s="48">
        <f t="shared" ref="G7:G32" si="6">+AA7</f>
        <v>1125904.9940508651</v>
      </c>
      <c r="H7" s="231">
        <f t="shared" ref="H7:AA7" si="7">SUM(H8:H9)</f>
        <v>0</v>
      </c>
      <c r="I7" s="231">
        <f t="shared" si="7"/>
        <v>5629.524970254326</v>
      </c>
      <c r="J7" s="231">
        <f t="shared" si="7"/>
        <v>24126.535586804253</v>
      </c>
      <c r="K7" s="231">
        <f t="shared" si="7"/>
        <v>48253.071173608507</v>
      </c>
      <c r="L7" s="231">
        <f t="shared" si="7"/>
        <v>68358.517495945387</v>
      </c>
      <c r="M7" s="231">
        <f t="shared" si="7"/>
        <v>76400.696024880133</v>
      </c>
      <c r="N7" s="231">
        <f t="shared" si="7"/>
        <v>80421.785289347506</v>
      </c>
      <c r="O7" s="231">
        <f t="shared" si="7"/>
        <v>160843.57057869501</v>
      </c>
      <c r="P7" s="231">
        <f t="shared" si="7"/>
        <v>241265.3558680425</v>
      </c>
      <c r="Q7" s="231">
        <f t="shared" si="7"/>
        <v>321687.14115739003</v>
      </c>
      <c r="R7" s="231">
        <f t="shared" si="7"/>
        <v>402108.92644673755</v>
      </c>
      <c r="S7" s="231">
        <f t="shared" si="7"/>
        <v>482530.71173608507</v>
      </c>
      <c r="T7" s="231">
        <f t="shared" si="7"/>
        <v>562952.49702543253</v>
      </c>
      <c r="U7" s="231">
        <f t="shared" si="7"/>
        <v>643374.28231478005</v>
      </c>
      <c r="V7" s="231">
        <f t="shared" si="7"/>
        <v>723796.06760412757</v>
      </c>
      <c r="W7" s="231">
        <f t="shared" si="7"/>
        <v>804217.85289347509</v>
      </c>
      <c r="X7" s="231">
        <f t="shared" si="7"/>
        <v>884639.63818282261</v>
      </c>
      <c r="Y7" s="231">
        <f t="shared" si="7"/>
        <v>965061.42347217014</v>
      </c>
      <c r="Z7" s="231">
        <f t="shared" si="7"/>
        <v>1045483.2087615177</v>
      </c>
      <c r="AA7" s="231">
        <f t="shared" si="7"/>
        <v>1125904.9940508651</v>
      </c>
    </row>
    <row r="8" spans="1:27" s="3" customFormat="1" x14ac:dyDescent="0.25">
      <c r="A8" s="232" t="s">
        <v>83</v>
      </c>
      <c r="B8" s="182">
        <f t="shared" si="1"/>
        <v>5629.524970254326</v>
      </c>
      <c r="C8" s="182">
        <f t="shared" si="2"/>
        <v>68358.517495945387</v>
      </c>
      <c r="D8" s="182">
        <f t="shared" si="3"/>
        <v>80421.785289347506</v>
      </c>
      <c r="E8" s="182">
        <f t="shared" si="4"/>
        <v>482530.71173608507</v>
      </c>
      <c r="F8" s="182">
        <f t="shared" si="5"/>
        <v>723796.06760412757</v>
      </c>
      <c r="G8" s="182">
        <f t="shared" si="6"/>
        <v>1125904.9940508651</v>
      </c>
      <c r="H8" s="106">
        <f>+'III. AreaAnnual_distribution'!C32*('VI. ParameterCarbonAssumptions'!$C33-'VI. ParameterCarbonAssumptions'!$B34)</f>
        <v>0</v>
      </c>
      <c r="I8" s="167">
        <f>+'III. AreaAnnual_distribution'!D32*('VI. ParameterCarbonAssumptions'!$C33-'VI. ParameterCarbonAssumptions'!$B34)+H8</f>
        <v>5629.524970254326</v>
      </c>
      <c r="J8" s="167">
        <f>+'III. AreaAnnual_distribution'!E32*('VI. ParameterCarbonAssumptions'!$C33-'VI. ParameterCarbonAssumptions'!$B34)+I8</f>
        <v>24126.535586804253</v>
      </c>
      <c r="K8" s="167">
        <f>+'III. AreaAnnual_distribution'!F32*('VI. ParameterCarbonAssumptions'!$C33-'VI. ParameterCarbonAssumptions'!$B34)+J8</f>
        <v>48253.071173608507</v>
      </c>
      <c r="L8" s="167">
        <f>+'III. AreaAnnual_distribution'!G32*('VI. ParameterCarbonAssumptions'!$C33-'VI. ParameterCarbonAssumptions'!$B34)+K8</f>
        <v>68358.517495945387</v>
      </c>
      <c r="M8" s="167">
        <f>+'III. AreaAnnual_distribution'!H32*('VI. ParameterCarbonAssumptions'!$C33-'VI. ParameterCarbonAssumptions'!$B34)+L8</f>
        <v>76400.696024880133</v>
      </c>
      <c r="N8" s="167">
        <f>+'III. AreaAnnual_distribution'!I32*('VI. ParameterCarbonAssumptions'!$C33-'VI. ParameterCarbonAssumptions'!$B34)+M8</f>
        <v>80421.785289347506</v>
      </c>
      <c r="O8" s="167">
        <f>+'III. AreaAnnual_distribution'!J32*('VI. ParameterCarbonAssumptions'!$C33-'VI. ParameterCarbonAssumptions'!$B34)+N8</f>
        <v>160843.57057869501</v>
      </c>
      <c r="P8" s="167">
        <f>+'III. AreaAnnual_distribution'!K32*('VI. ParameterCarbonAssumptions'!$C33-'VI. ParameterCarbonAssumptions'!$B34)+O8</f>
        <v>241265.3558680425</v>
      </c>
      <c r="Q8" s="167">
        <f>+'III. AreaAnnual_distribution'!L32*('VI. ParameterCarbonAssumptions'!$C33-'VI. ParameterCarbonAssumptions'!$B34)+P8</f>
        <v>321687.14115739003</v>
      </c>
      <c r="R8" s="167">
        <f>+'III. AreaAnnual_distribution'!M32*('VI. ParameterCarbonAssumptions'!$C33-'VI. ParameterCarbonAssumptions'!$B34)+Q8</f>
        <v>402108.92644673755</v>
      </c>
      <c r="S8" s="167">
        <f>+'III. AreaAnnual_distribution'!N32*('VI. ParameterCarbonAssumptions'!$C33-'VI. ParameterCarbonAssumptions'!$B34)+R8</f>
        <v>482530.71173608507</v>
      </c>
      <c r="T8" s="167">
        <f>+'III. AreaAnnual_distribution'!O32*('VI. ParameterCarbonAssumptions'!$C33-'VI. ParameterCarbonAssumptions'!$B34)+S8</f>
        <v>562952.49702543253</v>
      </c>
      <c r="U8" s="167">
        <f>+'III. AreaAnnual_distribution'!P32*('VI. ParameterCarbonAssumptions'!$C33-'VI. ParameterCarbonAssumptions'!$B34)+T8</f>
        <v>643374.28231478005</v>
      </c>
      <c r="V8" s="167">
        <f>+'III. AreaAnnual_distribution'!Q32*('VI. ParameterCarbonAssumptions'!$C33-'VI. ParameterCarbonAssumptions'!$B34)+U8</f>
        <v>723796.06760412757</v>
      </c>
      <c r="W8" s="167">
        <f>+'III. AreaAnnual_distribution'!R32*('VI. ParameterCarbonAssumptions'!$C33-'VI. ParameterCarbonAssumptions'!$B34)+V8</f>
        <v>804217.85289347509</v>
      </c>
      <c r="X8" s="167">
        <f>+'III. AreaAnnual_distribution'!S32*('VI. ParameterCarbonAssumptions'!$C33-'VI. ParameterCarbonAssumptions'!$B34)+W8</f>
        <v>884639.63818282261</v>
      </c>
      <c r="Y8" s="167">
        <f>+'III. AreaAnnual_distribution'!T32*('VI. ParameterCarbonAssumptions'!$C33-'VI. ParameterCarbonAssumptions'!$B34)+X8</f>
        <v>965061.42347217014</v>
      </c>
      <c r="Z8" s="167">
        <f>+'III. AreaAnnual_distribution'!U32*('VI. ParameterCarbonAssumptions'!$C33-'VI. ParameterCarbonAssumptions'!$B34)+Y8</f>
        <v>1045483.2087615177</v>
      </c>
      <c r="AA8" s="167">
        <f>+'III. AreaAnnual_distribution'!V32*('VI. ParameterCarbonAssumptions'!$C33-'VI. ParameterCarbonAssumptions'!$B34)+Z8</f>
        <v>1125904.9940508651</v>
      </c>
    </row>
    <row r="9" spans="1:27" s="3" customFormat="1" x14ac:dyDescent="0.25">
      <c r="A9" s="232" t="s">
        <v>84</v>
      </c>
      <c r="B9" s="182">
        <f t="shared" si="1"/>
        <v>0</v>
      </c>
      <c r="C9" s="182">
        <f t="shared" si="2"/>
        <v>0</v>
      </c>
      <c r="D9" s="182">
        <f t="shared" si="3"/>
        <v>0</v>
      </c>
      <c r="E9" s="182">
        <f t="shared" si="4"/>
        <v>0</v>
      </c>
      <c r="F9" s="182">
        <f t="shared" si="5"/>
        <v>0</v>
      </c>
      <c r="G9" s="182">
        <f t="shared" si="6"/>
        <v>0</v>
      </c>
      <c r="H9" s="106">
        <f>+'III. AreaAnnual_distribution'!C33*('VI. ParameterCarbonAssumptions'!$C$33-'VI. ParameterCarbonAssumptions'!$B$33)</f>
        <v>0</v>
      </c>
      <c r="I9" s="20">
        <f>+'III. AreaAnnual_distribution'!D33*('VI. ParameterCarbonAssumptions'!$C$33-'VI. ParameterCarbonAssumptions'!$B$33)+H9</f>
        <v>0</v>
      </c>
      <c r="J9" s="20">
        <f>+'III. AreaAnnual_distribution'!E33*('VI. ParameterCarbonAssumptions'!$C$33-'VI. ParameterCarbonAssumptions'!$B$33)+I9</f>
        <v>0</v>
      </c>
      <c r="K9" s="20">
        <f>+'III. AreaAnnual_distribution'!F33*('VI. ParameterCarbonAssumptions'!$C$33-'VI. ParameterCarbonAssumptions'!$B$33)+J9</f>
        <v>0</v>
      </c>
      <c r="L9" s="20">
        <f>+'III. AreaAnnual_distribution'!G33*('VI. ParameterCarbonAssumptions'!$C$33-'VI. ParameterCarbonAssumptions'!$B$33)+K9</f>
        <v>0</v>
      </c>
      <c r="M9" s="20">
        <f>+'III. AreaAnnual_distribution'!H33*('VI. ParameterCarbonAssumptions'!$C$33-'VI. ParameterCarbonAssumptions'!$B$33)+L9</f>
        <v>0</v>
      </c>
      <c r="N9" s="20">
        <f>+'III. AreaAnnual_distribution'!I33*('VI. ParameterCarbonAssumptions'!$C$33-'VI. ParameterCarbonAssumptions'!$B$33)+M9</f>
        <v>0</v>
      </c>
      <c r="O9" s="20">
        <f>+'III. AreaAnnual_distribution'!J33*('VI. ParameterCarbonAssumptions'!$C$33-'VI. ParameterCarbonAssumptions'!$B$33)+N9</f>
        <v>0</v>
      </c>
      <c r="P9" s="20">
        <f>+'III. AreaAnnual_distribution'!K33*('VI. ParameterCarbonAssumptions'!$C$33-'VI. ParameterCarbonAssumptions'!$B$33)+O9</f>
        <v>0</v>
      </c>
      <c r="Q9" s="20">
        <f>+'III. AreaAnnual_distribution'!L33*('VI. ParameterCarbonAssumptions'!$C$33-'VI. ParameterCarbonAssumptions'!$B$33)+P9</f>
        <v>0</v>
      </c>
      <c r="R9" s="20">
        <f>+'III. AreaAnnual_distribution'!M33*('VI. ParameterCarbonAssumptions'!$C$33-'VI. ParameterCarbonAssumptions'!$B$33)+Q9</f>
        <v>0</v>
      </c>
      <c r="S9" s="20">
        <f>+'III. AreaAnnual_distribution'!N33*('VI. ParameterCarbonAssumptions'!$C$33-'VI. ParameterCarbonAssumptions'!$B$33)+R9</f>
        <v>0</v>
      </c>
      <c r="T9" s="20">
        <f>+'III. AreaAnnual_distribution'!O33*('VI. ParameterCarbonAssumptions'!$C$33-'VI. ParameterCarbonAssumptions'!$B$33)+S9</f>
        <v>0</v>
      </c>
      <c r="U9" s="20">
        <f>+'III. AreaAnnual_distribution'!P33*('VI. ParameterCarbonAssumptions'!$C$33-'VI. ParameterCarbonAssumptions'!$B$33)+T9</f>
        <v>0</v>
      </c>
      <c r="V9" s="20">
        <f>+'III. AreaAnnual_distribution'!Q33*('VI. ParameterCarbonAssumptions'!$C$33-'VI. ParameterCarbonAssumptions'!$B$33)+U9</f>
        <v>0</v>
      </c>
      <c r="W9" s="20">
        <f>+'III. AreaAnnual_distribution'!R33*('VI. ParameterCarbonAssumptions'!$C$33-'VI. ParameterCarbonAssumptions'!$B$33)+V9</f>
        <v>0</v>
      </c>
      <c r="X9" s="20">
        <f>+'III. AreaAnnual_distribution'!S33*('VI. ParameterCarbonAssumptions'!$C$33-'VI. ParameterCarbonAssumptions'!$B$33)+W9</f>
        <v>0</v>
      </c>
      <c r="Y9" s="20">
        <f>+'III. AreaAnnual_distribution'!T33*('VI. ParameterCarbonAssumptions'!$C$33-'VI. ParameterCarbonAssumptions'!$B$33)+X9</f>
        <v>0</v>
      </c>
      <c r="Z9" s="20">
        <f>+'III. AreaAnnual_distribution'!U33*('VI. ParameterCarbonAssumptions'!$C$33-'VI. ParameterCarbonAssumptions'!$B$33)+Y9</f>
        <v>0</v>
      </c>
      <c r="AA9" s="20">
        <f>+'III. AreaAnnual_distribution'!V33*('VI. ParameterCarbonAssumptions'!$C$33-'VI. ParameterCarbonAssumptions'!$B$33)+Z9</f>
        <v>0</v>
      </c>
    </row>
    <row r="10" spans="1:27" s="3" customFormat="1" x14ac:dyDescent="0.25">
      <c r="A10" s="52" t="s">
        <v>69</v>
      </c>
      <c r="B10" s="48">
        <f t="shared" si="1"/>
        <v>3275.2221977219788</v>
      </c>
      <c r="C10" s="48">
        <f t="shared" si="2"/>
        <v>37431.110831108323</v>
      </c>
      <c r="D10" s="48">
        <f t="shared" si="3"/>
        <v>46788.888538885403</v>
      </c>
      <c r="E10" s="48">
        <f t="shared" si="4"/>
        <v>280733.33123331249</v>
      </c>
      <c r="F10" s="48">
        <f t="shared" si="5"/>
        <v>421099.99684996868</v>
      </c>
      <c r="G10" s="48">
        <f t="shared" si="6"/>
        <v>655044.43954439566</v>
      </c>
      <c r="H10" s="231">
        <f t="shared" ref="H10:AA10" si="8">SUM(H11:H12)</f>
        <v>0</v>
      </c>
      <c r="I10" s="231">
        <f t="shared" si="8"/>
        <v>3275.2221977219788</v>
      </c>
      <c r="J10" s="231">
        <f t="shared" si="8"/>
        <v>14036.666561665621</v>
      </c>
      <c r="K10" s="231">
        <f t="shared" si="8"/>
        <v>28073.333123331242</v>
      </c>
      <c r="L10" s="231">
        <f t="shared" si="8"/>
        <v>37431.110831108323</v>
      </c>
      <c r="M10" s="231">
        <f t="shared" si="8"/>
        <v>44449.444111941135</v>
      </c>
      <c r="N10" s="231">
        <f t="shared" si="8"/>
        <v>46788.888538885403</v>
      </c>
      <c r="O10" s="231">
        <f t="shared" si="8"/>
        <v>93577.777077770821</v>
      </c>
      <c r="P10" s="231">
        <f t="shared" si="8"/>
        <v>140366.66561665625</v>
      </c>
      <c r="Q10" s="231">
        <f t="shared" si="8"/>
        <v>187155.55415554167</v>
      </c>
      <c r="R10" s="231">
        <f t="shared" si="8"/>
        <v>233944.4426944271</v>
      </c>
      <c r="S10" s="231">
        <f t="shared" si="8"/>
        <v>280733.33123331249</v>
      </c>
      <c r="T10" s="231">
        <f t="shared" si="8"/>
        <v>327522.21977219789</v>
      </c>
      <c r="U10" s="231">
        <f t="shared" si="8"/>
        <v>374311.10831108328</v>
      </c>
      <c r="V10" s="231">
        <f t="shared" si="8"/>
        <v>421099.99684996868</v>
      </c>
      <c r="W10" s="231">
        <f t="shared" si="8"/>
        <v>467888.88538885408</v>
      </c>
      <c r="X10" s="231">
        <f t="shared" si="8"/>
        <v>514677.77392773947</v>
      </c>
      <c r="Y10" s="231">
        <f t="shared" si="8"/>
        <v>561466.66246662487</v>
      </c>
      <c r="Z10" s="231">
        <f t="shared" si="8"/>
        <v>608255.55100551026</v>
      </c>
      <c r="AA10" s="231">
        <f t="shared" si="8"/>
        <v>655044.43954439566</v>
      </c>
    </row>
    <row r="11" spans="1:27" s="3" customFormat="1" x14ac:dyDescent="0.25">
      <c r="A11" s="232" t="s">
        <v>83</v>
      </c>
      <c r="B11" s="182">
        <f t="shared" si="1"/>
        <v>0</v>
      </c>
      <c r="C11" s="182">
        <f t="shared" si="2"/>
        <v>0</v>
      </c>
      <c r="D11" s="182">
        <f t="shared" si="3"/>
        <v>0</v>
      </c>
      <c r="E11" s="182">
        <f t="shared" si="4"/>
        <v>0</v>
      </c>
      <c r="F11" s="182">
        <f t="shared" si="5"/>
        <v>0</v>
      </c>
      <c r="G11" s="182">
        <f t="shared" si="6"/>
        <v>0</v>
      </c>
      <c r="H11" s="106">
        <f>+'III. AreaAnnual_distribution'!C35*'VI. ParameterCarbonAssumptions'!$C$34</f>
        <v>0</v>
      </c>
      <c r="I11" s="20">
        <f>+'III. AreaAnnual_distribution'!D35*'VI. ParameterCarbonAssumptions'!$C$34+H11</f>
        <v>0</v>
      </c>
      <c r="J11" s="20">
        <f>+'III. AreaAnnual_distribution'!E35*'VI. ParameterCarbonAssumptions'!$C$34+I11</f>
        <v>0</v>
      </c>
      <c r="K11" s="20">
        <f>+'III. AreaAnnual_distribution'!F35*'VI. ParameterCarbonAssumptions'!$C$34+J11</f>
        <v>0</v>
      </c>
      <c r="L11" s="20">
        <f>+'III. AreaAnnual_distribution'!G35*'VI. ParameterCarbonAssumptions'!$C$34+K11</f>
        <v>0</v>
      </c>
      <c r="M11" s="20">
        <f>+'III. AreaAnnual_distribution'!H35*'VI. ParameterCarbonAssumptions'!$C$34+L11</f>
        <v>0</v>
      </c>
      <c r="N11" s="20">
        <f>+'III. AreaAnnual_distribution'!I35*'VI. ParameterCarbonAssumptions'!$C$34+M11</f>
        <v>0</v>
      </c>
      <c r="O11" s="20">
        <f>+'III. AreaAnnual_distribution'!J35*'VI. ParameterCarbonAssumptions'!$C$34+N11</f>
        <v>0</v>
      </c>
      <c r="P11" s="20">
        <f>+'III. AreaAnnual_distribution'!K35*'VI. ParameterCarbonAssumptions'!$C$34+O11</f>
        <v>0</v>
      </c>
      <c r="Q11" s="20">
        <f>+'III. AreaAnnual_distribution'!L35*'VI. ParameterCarbonAssumptions'!$C$34+P11</f>
        <v>0</v>
      </c>
      <c r="R11" s="20">
        <f>+'III. AreaAnnual_distribution'!M35*'VI. ParameterCarbonAssumptions'!$C$34+Q11</f>
        <v>0</v>
      </c>
      <c r="S11" s="20">
        <f>+'III. AreaAnnual_distribution'!N35*'VI. ParameterCarbonAssumptions'!$C$34+R11</f>
        <v>0</v>
      </c>
      <c r="T11" s="20">
        <f>+'III. AreaAnnual_distribution'!O35*'VI. ParameterCarbonAssumptions'!$C$34+S11</f>
        <v>0</v>
      </c>
      <c r="U11" s="20">
        <f>+'III. AreaAnnual_distribution'!P35*'VI. ParameterCarbonAssumptions'!$C$34+T11</f>
        <v>0</v>
      </c>
      <c r="V11" s="20">
        <f>+'III. AreaAnnual_distribution'!Q35*'VI. ParameterCarbonAssumptions'!$C$34+U11</f>
        <v>0</v>
      </c>
      <c r="W11" s="20">
        <f>+'III. AreaAnnual_distribution'!R35*'VI. ParameterCarbonAssumptions'!$C$34+V11</f>
        <v>0</v>
      </c>
      <c r="X11" s="20">
        <f>+'III. AreaAnnual_distribution'!S35*'VI. ParameterCarbonAssumptions'!$C$34+W11</f>
        <v>0</v>
      </c>
      <c r="Y11" s="20">
        <f>+'III. AreaAnnual_distribution'!T35*'VI. ParameterCarbonAssumptions'!$C$34+X11</f>
        <v>0</v>
      </c>
      <c r="Z11" s="20">
        <f>+'III. AreaAnnual_distribution'!U35*'VI. ParameterCarbonAssumptions'!$C$34+Y11</f>
        <v>0</v>
      </c>
      <c r="AA11" s="20">
        <f>+'III. AreaAnnual_distribution'!V35*'VI. ParameterCarbonAssumptions'!$C$34+Z11</f>
        <v>0</v>
      </c>
    </row>
    <row r="12" spans="1:27" s="3" customFormat="1" x14ac:dyDescent="0.25">
      <c r="A12" s="232" t="s">
        <v>84</v>
      </c>
      <c r="B12" s="182">
        <f t="shared" si="1"/>
        <v>3275.2221977219788</v>
      </c>
      <c r="C12" s="182">
        <f t="shared" si="2"/>
        <v>37431.110831108323</v>
      </c>
      <c r="D12" s="182">
        <f t="shared" si="3"/>
        <v>46788.888538885403</v>
      </c>
      <c r="E12" s="182">
        <f t="shared" si="4"/>
        <v>280733.33123331249</v>
      </c>
      <c r="F12" s="182">
        <f t="shared" si="5"/>
        <v>421099.99684996868</v>
      </c>
      <c r="G12" s="182">
        <f t="shared" si="6"/>
        <v>655044.43954439566</v>
      </c>
      <c r="H12" s="106">
        <f>+'III. AreaAnnual_distribution'!C36*('VI. ParameterCarbonAssumptions'!$C$34-'VI. ParameterCarbonAssumptions'!$B$34)</f>
        <v>0</v>
      </c>
      <c r="I12" s="167">
        <f>+'III. AreaAnnual_distribution'!D36*('VI. ParameterCarbonAssumptions'!$C$34-'VI. ParameterCarbonAssumptions'!$B$34)+H12</f>
        <v>3275.2221977219788</v>
      </c>
      <c r="J12" s="167">
        <f>+'III. AreaAnnual_distribution'!E36*('VI. ParameterCarbonAssumptions'!$C$34-'VI. ParameterCarbonAssumptions'!$B$34)+I12</f>
        <v>14036.666561665621</v>
      </c>
      <c r="K12" s="167">
        <f>+'III. AreaAnnual_distribution'!F36*('VI. ParameterCarbonAssumptions'!$C$34-'VI. ParameterCarbonAssumptions'!$B$34)+J12</f>
        <v>28073.333123331242</v>
      </c>
      <c r="L12" s="167">
        <f>+'III. AreaAnnual_distribution'!G36*('VI. ParameterCarbonAssumptions'!$C$34-'VI. ParameterCarbonAssumptions'!$B$34)+K12</f>
        <v>37431.110831108323</v>
      </c>
      <c r="M12" s="167">
        <f>+'III. AreaAnnual_distribution'!H36*('VI. ParameterCarbonAssumptions'!$C$34-'VI. ParameterCarbonAssumptions'!$B$34)+L12</f>
        <v>44449.444111941135</v>
      </c>
      <c r="N12" s="167">
        <f>+'III. AreaAnnual_distribution'!I36*('VI. ParameterCarbonAssumptions'!$C$34-'VI. ParameterCarbonAssumptions'!$B$34)+M12</f>
        <v>46788.888538885403</v>
      </c>
      <c r="O12" s="167">
        <f>+'III. AreaAnnual_distribution'!J36*('VI. ParameterCarbonAssumptions'!$C$34-'VI. ParameterCarbonAssumptions'!$B$34)+N12</f>
        <v>93577.777077770821</v>
      </c>
      <c r="P12" s="167">
        <f>+'III. AreaAnnual_distribution'!K36*('VI. ParameterCarbonAssumptions'!$C$34-'VI. ParameterCarbonAssumptions'!$B$34)+O12</f>
        <v>140366.66561665625</v>
      </c>
      <c r="Q12" s="167">
        <f>+'III. AreaAnnual_distribution'!L36*('VI. ParameterCarbonAssumptions'!$C$34-'VI. ParameterCarbonAssumptions'!$B$34)+P12</f>
        <v>187155.55415554167</v>
      </c>
      <c r="R12" s="167">
        <f>+'III. AreaAnnual_distribution'!M36*('VI. ParameterCarbonAssumptions'!$C$34-'VI. ParameterCarbonAssumptions'!$B$34)+Q12</f>
        <v>233944.4426944271</v>
      </c>
      <c r="S12" s="167">
        <f>+'III. AreaAnnual_distribution'!N36*('VI. ParameterCarbonAssumptions'!$C$34-'VI. ParameterCarbonAssumptions'!$B$34)+R12</f>
        <v>280733.33123331249</v>
      </c>
      <c r="T12" s="167">
        <f>+'III. AreaAnnual_distribution'!O36*('VI. ParameterCarbonAssumptions'!$C$34-'VI. ParameterCarbonAssumptions'!$B$34)+S12</f>
        <v>327522.21977219789</v>
      </c>
      <c r="U12" s="167">
        <f>+'III. AreaAnnual_distribution'!P36*('VI. ParameterCarbonAssumptions'!$C$34-'VI. ParameterCarbonAssumptions'!$B$34)+T12</f>
        <v>374311.10831108328</v>
      </c>
      <c r="V12" s="167">
        <f>+'III. AreaAnnual_distribution'!Q36*('VI. ParameterCarbonAssumptions'!$C$34-'VI. ParameterCarbonAssumptions'!$B$34)+U12</f>
        <v>421099.99684996868</v>
      </c>
      <c r="W12" s="167">
        <f>+'III. AreaAnnual_distribution'!R36*('VI. ParameterCarbonAssumptions'!$C$34-'VI. ParameterCarbonAssumptions'!$B$34)+V12</f>
        <v>467888.88538885408</v>
      </c>
      <c r="X12" s="167">
        <f>+'III. AreaAnnual_distribution'!S36*('VI. ParameterCarbonAssumptions'!$C$34-'VI. ParameterCarbonAssumptions'!$B$34)+W12</f>
        <v>514677.77392773947</v>
      </c>
      <c r="Y12" s="167">
        <f>+'III. AreaAnnual_distribution'!T36*('VI. ParameterCarbonAssumptions'!$C$34-'VI. ParameterCarbonAssumptions'!$B$34)+X12</f>
        <v>561466.66246662487</v>
      </c>
      <c r="Z12" s="167">
        <f>+'III. AreaAnnual_distribution'!U36*('VI. ParameterCarbonAssumptions'!$C$34-'VI. ParameterCarbonAssumptions'!$B$34)+Y12</f>
        <v>608255.55100551026</v>
      </c>
      <c r="AA12" s="167">
        <f>+'III. AreaAnnual_distribution'!V36*('VI. ParameterCarbonAssumptions'!$C$34-'VI. ParameterCarbonAssumptions'!$B$34)+Z12</f>
        <v>655044.43954439566</v>
      </c>
    </row>
    <row r="13" spans="1:27" s="3" customFormat="1" x14ac:dyDescent="0.25">
      <c r="A13" s="52" t="s">
        <v>70</v>
      </c>
      <c r="B13" s="48">
        <f t="shared" si="1"/>
        <v>54368.36327771574</v>
      </c>
      <c r="C13" s="48">
        <f t="shared" si="2"/>
        <v>636886.54125324148</v>
      </c>
      <c r="D13" s="48">
        <f t="shared" si="3"/>
        <v>776690.9039673676</v>
      </c>
      <c r="E13" s="48">
        <f t="shared" si="4"/>
        <v>4660145.4238042058</v>
      </c>
      <c r="F13" s="48">
        <f t="shared" si="5"/>
        <v>6990218.1357063083</v>
      </c>
      <c r="G13" s="48">
        <f t="shared" si="6"/>
        <v>10873672.655543147</v>
      </c>
      <c r="H13" s="233">
        <f t="shared" ref="H13:AA13" si="9">SUM(H14:H15)</f>
        <v>0</v>
      </c>
      <c r="I13" s="233">
        <f t="shared" si="9"/>
        <v>54368.36327771574</v>
      </c>
      <c r="J13" s="233">
        <f t="shared" si="9"/>
        <v>248541.08926955765</v>
      </c>
      <c r="K13" s="233">
        <f t="shared" si="9"/>
        <v>442713.81526139955</v>
      </c>
      <c r="L13" s="233">
        <f t="shared" si="9"/>
        <v>636886.54125324148</v>
      </c>
      <c r="M13" s="233">
        <f t="shared" si="9"/>
        <v>730089.4497293256</v>
      </c>
      <c r="N13" s="233">
        <f t="shared" si="9"/>
        <v>776690.9039673676</v>
      </c>
      <c r="O13" s="233">
        <f t="shared" si="9"/>
        <v>1553381.8079347352</v>
      </c>
      <c r="P13" s="233">
        <f t="shared" si="9"/>
        <v>2330072.7119021029</v>
      </c>
      <c r="Q13" s="233">
        <f t="shared" si="9"/>
        <v>3106763.6158694704</v>
      </c>
      <c r="R13" s="233">
        <f t="shared" si="9"/>
        <v>3883454.5198368379</v>
      </c>
      <c r="S13" s="233">
        <f t="shared" si="9"/>
        <v>4660145.4238042058</v>
      </c>
      <c r="T13" s="233">
        <f t="shared" si="9"/>
        <v>5436836.3277715733</v>
      </c>
      <c r="U13" s="233">
        <f t="shared" si="9"/>
        <v>6213527.2317389408</v>
      </c>
      <c r="V13" s="233">
        <f t="shared" si="9"/>
        <v>6990218.1357063083</v>
      </c>
      <c r="W13" s="233">
        <f t="shared" si="9"/>
        <v>7766909.0396736758</v>
      </c>
      <c r="X13" s="233">
        <f t="shared" si="9"/>
        <v>8543599.9436410442</v>
      </c>
      <c r="Y13" s="233">
        <f t="shared" si="9"/>
        <v>9320290.8476084117</v>
      </c>
      <c r="Z13" s="233">
        <f t="shared" si="9"/>
        <v>10096981.751575779</v>
      </c>
      <c r="AA13" s="233">
        <f t="shared" si="9"/>
        <v>10873672.655543147</v>
      </c>
    </row>
    <row r="14" spans="1:27" s="3" customFormat="1" x14ac:dyDescent="0.25">
      <c r="A14" s="232" t="s">
        <v>83</v>
      </c>
      <c r="B14" s="182">
        <f t="shared" si="1"/>
        <v>54368.36327771574</v>
      </c>
      <c r="C14" s="182">
        <f t="shared" si="2"/>
        <v>636886.54125324148</v>
      </c>
      <c r="D14" s="182">
        <f t="shared" si="3"/>
        <v>776690.9039673676</v>
      </c>
      <c r="E14" s="182">
        <f t="shared" si="4"/>
        <v>4660145.4238042058</v>
      </c>
      <c r="F14" s="182">
        <f t="shared" si="5"/>
        <v>6990218.1357063083</v>
      </c>
      <c r="G14" s="182">
        <f t="shared" si="6"/>
        <v>10873672.655543147</v>
      </c>
      <c r="H14" s="106">
        <f>+'III. AreaAnnual_distribution'!C38*('VI. ParameterCarbonAssumptions'!$C$35-'VI. ParameterCarbonAssumptions'!$B$35)</f>
        <v>0</v>
      </c>
      <c r="I14" s="20">
        <f>+'III. AreaAnnual_distribution'!D38*('VI. ParameterCarbonAssumptions'!$C$35-'VI. ParameterCarbonAssumptions'!$B$35)+H14</f>
        <v>54368.36327771574</v>
      </c>
      <c r="J14" s="20">
        <f>+'III. AreaAnnual_distribution'!E38*('VI. ParameterCarbonAssumptions'!$C$35-'VI. ParameterCarbonAssumptions'!$B$35)+I14</f>
        <v>248541.08926955765</v>
      </c>
      <c r="K14" s="20">
        <f>+'III. AreaAnnual_distribution'!F38*('VI. ParameterCarbonAssumptions'!$C$35-'VI. ParameterCarbonAssumptions'!$B$35)+J14</f>
        <v>442713.81526139955</v>
      </c>
      <c r="L14" s="20">
        <f>+'III. AreaAnnual_distribution'!G38*('VI. ParameterCarbonAssumptions'!$C$35-'VI. ParameterCarbonAssumptions'!$B$35)+K14</f>
        <v>636886.54125324148</v>
      </c>
      <c r="M14" s="20">
        <f>+'III. AreaAnnual_distribution'!H38*('VI. ParameterCarbonAssumptions'!$C$35-'VI. ParameterCarbonAssumptions'!$B$35)+L14</f>
        <v>730089.4497293256</v>
      </c>
      <c r="N14" s="20">
        <f>+'III. AreaAnnual_distribution'!I38*('VI. ParameterCarbonAssumptions'!$C$35-'VI. ParameterCarbonAssumptions'!$B$35)+M14</f>
        <v>776690.9039673676</v>
      </c>
      <c r="O14" s="20">
        <f>+'III. AreaAnnual_distribution'!J38*('VI. ParameterCarbonAssumptions'!$C$35-'VI. ParameterCarbonAssumptions'!$B$35)+N14</f>
        <v>1553381.8079347352</v>
      </c>
      <c r="P14" s="20">
        <f>+'III. AreaAnnual_distribution'!K38*('VI. ParameterCarbonAssumptions'!$C$35-'VI. ParameterCarbonAssumptions'!$B$35)+O14</f>
        <v>2330072.7119021029</v>
      </c>
      <c r="Q14" s="20">
        <f>+'III. AreaAnnual_distribution'!L38*('VI. ParameterCarbonAssumptions'!$C$35-'VI. ParameterCarbonAssumptions'!$B$35)+P14</f>
        <v>3106763.6158694704</v>
      </c>
      <c r="R14" s="20">
        <f>+'III. AreaAnnual_distribution'!M38*('VI. ParameterCarbonAssumptions'!$C$35-'VI. ParameterCarbonAssumptions'!$B$35)+Q14</f>
        <v>3883454.5198368379</v>
      </c>
      <c r="S14" s="20">
        <f>+'III. AreaAnnual_distribution'!N38*('VI. ParameterCarbonAssumptions'!$C$35-'VI. ParameterCarbonAssumptions'!$B$35)+R14</f>
        <v>4660145.4238042058</v>
      </c>
      <c r="T14" s="20">
        <f>+'III. AreaAnnual_distribution'!O38*('VI. ParameterCarbonAssumptions'!$C$35-'VI. ParameterCarbonAssumptions'!$B$35)+S14</f>
        <v>5436836.3277715733</v>
      </c>
      <c r="U14" s="20">
        <f>+'III. AreaAnnual_distribution'!P38*('VI. ParameterCarbonAssumptions'!$C$35-'VI. ParameterCarbonAssumptions'!$B$35)+T14</f>
        <v>6213527.2317389408</v>
      </c>
      <c r="V14" s="20">
        <f>+'III. AreaAnnual_distribution'!Q38*('VI. ParameterCarbonAssumptions'!$C$35-'VI. ParameterCarbonAssumptions'!$B$35)+U14</f>
        <v>6990218.1357063083</v>
      </c>
      <c r="W14" s="20">
        <f>+'III. AreaAnnual_distribution'!R38*('VI. ParameterCarbonAssumptions'!$C$35-'VI. ParameterCarbonAssumptions'!$B$35)+V14</f>
        <v>7766909.0396736758</v>
      </c>
      <c r="X14" s="20">
        <f>+'III. AreaAnnual_distribution'!S38*('VI. ParameterCarbonAssumptions'!$C$35-'VI. ParameterCarbonAssumptions'!$B$35)+W14</f>
        <v>8543599.9436410442</v>
      </c>
      <c r="Y14" s="20">
        <f>+'III. AreaAnnual_distribution'!T38*('VI. ParameterCarbonAssumptions'!$C$35-'VI. ParameterCarbonAssumptions'!$B$35)+X14</f>
        <v>9320290.8476084117</v>
      </c>
      <c r="Z14" s="20">
        <f>+'III. AreaAnnual_distribution'!U38*('VI. ParameterCarbonAssumptions'!$C$35-'VI. ParameterCarbonAssumptions'!$B$35)+Y14</f>
        <v>10096981.751575779</v>
      </c>
      <c r="AA14" s="20">
        <f>+'III. AreaAnnual_distribution'!V38*('VI. ParameterCarbonAssumptions'!$C$35-'VI. ParameterCarbonAssumptions'!$B$35)+Z14</f>
        <v>10873672.655543147</v>
      </c>
    </row>
    <row r="15" spans="1:27" s="3" customFormat="1" x14ac:dyDescent="0.25">
      <c r="A15" s="232" t="s">
        <v>84</v>
      </c>
      <c r="B15" s="182">
        <f t="shared" si="1"/>
        <v>0</v>
      </c>
      <c r="C15" s="182">
        <f t="shared" si="2"/>
        <v>0</v>
      </c>
      <c r="D15" s="182">
        <f t="shared" si="3"/>
        <v>0</v>
      </c>
      <c r="E15" s="182">
        <f t="shared" si="4"/>
        <v>0</v>
      </c>
      <c r="F15" s="182">
        <f t="shared" si="5"/>
        <v>0</v>
      </c>
      <c r="G15" s="182">
        <f t="shared" si="6"/>
        <v>0</v>
      </c>
      <c r="H15" s="106">
        <f>+'III. AreaAnnual_distribution'!C39*('VI. ParameterCarbonAssumptions'!$C$35-'VI. ParameterCarbonAssumptions'!$B$35)</f>
        <v>0</v>
      </c>
      <c r="I15" s="20">
        <f>+'III. AreaAnnual_distribution'!D39*('VI. ParameterCarbonAssumptions'!$C$35-'VI. ParameterCarbonAssumptions'!$B$35)+H15</f>
        <v>0</v>
      </c>
      <c r="J15" s="20">
        <f>+'III. AreaAnnual_distribution'!E39*('VI. ParameterCarbonAssumptions'!$C$35-'VI. ParameterCarbonAssumptions'!$B$35)+I15</f>
        <v>0</v>
      </c>
      <c r="K15" s="20">
        <f>+'III. AreaAnnual_distribution'!F39*('VI. ParameterCarbonAssumptions'!$C$35-'VI. ParameterCarbonAssumptions'!$B$35)+J15</f>
        <v>0</v>
      </c>
      <c r="L15" s="20">
        <f>+'III. AreaAnnual_distribution'!G39*('VI. ParameterCarbonAssumptions'!$C$35-'VI. ParameterCarbonAssumptions'!$B$35)+K15</f>
        <v>0</v>
      </c>
      <c r="M15" s="20">
        <f>+'III. AreaAnnual_distribution'!H39*('VI. ParameterCarbonAssumptions'!$C$35-'VI. ParameterCarbonAssumptions'!$B$35)+L15</f>
        <v>0</v>
      </c>
      <c r="N15" s="20">
        <f>+'III. AreaAnnual_distribution'!I39*('VI. ParameterCarbonAssumptions'!$C$35-'VI. ParameterCarbonAssumptions'!$B$35)+M15</f>
        <v>0</v>
      </c>
      <c r="O15" s="20">
        <f>+'III. AreaAnnual_distribution'!J39*('VI. ParameterCarbonAssumptions'!$C$35-'VI. ParameterCarbonAssumptions'!$B$35)+N15</f>
        <v>0</v>
      </c>
      <c r="P15" s="20">
        <f>+'III. AreaAnnual_distribution'!K39*('VI. ParameterCarbonAssumptions'!$C$35-'VI. ParameterCarbonAssumptions'!$B$35)+O15</f>
        <v>0</v>
      </c>
      <c r="Q15" s="20">
        <f>+'III. AreaAnnual_distribution'!L39*('VI. ParameterCarbonAssumptions'!$C$35-'VI. ParameterCarbonAssumptions'!$B$35)+P15</f>
        <v>0</v>
      </c>
      <c r="R15" s="20">
        <f>+'III. AreaAnnual_distribution'!M39*('VI. ParameterCarbonAssumptions'!$C$35-'VI. ParameterCarbonAssumptions'!$B$35)+Q15</f>
        <v>0</v>
      </c>
      <c r="S15" s="20">
        <f>+'III. AreaAnnual_distribution'!N39*('VI. ParameterCarbonAssumptions'!$C$35-'VI. ParameterCarbonAssumptions'!$B$35)+R15</f>
        <v>0</v>
      </c>
      <c r="T15" s="20">
        <f>+'III. AreaAnnual_distribution'!O39*('VI. ParameterCarbonAssumptions'!$C$35-'VI. ParameterCarbonAssumptions'!$B$35)+S15</f>
        <v>0</v>
      </c>
      <c r="U15" s="20">
        <f>+'III. AreaAnnual_distribution'!P39*('VI. ParameterCarbonAssumptions'!$C$35-'VI. ParameterCarbonAssumptions'!$B$35)+T15</f>
        <v>0</v>
      </c>
      <c r="V15" s="20">
        <f>+'III. AreaAnnual_distribution'!Q39*('VI. ParameterCarbonAssumptions'!$C$35-'VI. ParameterCarbonAssumptions'!$B$35)+U15</f>
        <v>0</v>
      </c>
      <c r="W15" s="20">
        <f>+'III. AreaAnnual_distribution'!R39*('VI. ParameterCarbonAssumptions'!$C$35-'VI. ParameterCarbonAssumptions'!$B$35)+V15</f>
        <v>0</v>
      </c>
      <c r="X15" s="20">
        <f>+'III. AreaAnnual_distribution'!S39*('VI. ParameterCarbonAssumptions'!$C$35-'VI. ParameterCarbonAssumptions'!$B$35)+W15</f>
        <v>0</v>
      </c>
      <c r="Y15" s="20">
        <f>+'III. AreaAnnual_distribution'!T39*('VI. ParameterCarbonAssumptions'!$C$35-'VI. ParameterCarbonAssumptions'!$B$35)+X15</f>
        <v>0</v>
      </c>
      <c r="Z15" s="20">
        <f>+'III. AreaAnnual_distribution'!U39*('VI. ParameterCarbonAssumptions'!$C$35-'VI. ParameterCarbonAssumptions'!$B$35)+Y15</f>
        <v>0</v>
      </c>
      <c r="AA15" s="20">
        <f>+'III. AreaAnnual_distribution'!V39*('VI. ParameterCarbonAssumptions'!$C$35-'VI. ParameterCarbonAssumptions'!$B$35)+Z15</f>
        <v>0</v>
      </c>
    </row>
    <row r="16" spans="1:27" s="14" customFormat="1" x14ac:dyDescent="0.25">
      <c r="A16" s="42" t="s">
        <v>71</v>
      </c>
      <c r="B16" s="26">
        <f t="shared" si="1"/>
        <v>142806.51453174243</v>
      </c>
      <c r="C16" s="26">
        <f t="shared" si="2"/>
        <v>1601032.8360976398</v>
      </c>
      <c r="D16" s="26">
        <f t="shared" si="3"/>
        <v>2040093.0647391775</v>
      </c>
      <c r="E16" s="26">
        <f t="shared" si="4"/>
        <v>12240558.388435058</v>
      </c>
      <c r="F16" s="26">
        <f t="shared" si="5"/>
        <v>17556747.490095597</v>
      </c>
      <c r="G16" s="26">
        <f t="shared" si="6"/>
        <v>26417062.659529828</v>
      </c>
      <c r="H16" s="88">
        <f t="shared" ref="H16:AA16" si="10">+H17+H20</f>
        <v>0</v>
      </c>
      <c r="I16" s="88">
        <f t="shared" si="10"/>
        <v>142806.51453174243</v>
      </c>
      <c r="J16" s="88">
        <f t="shared" si="10"/>
        <v>642189.09567022626</v>
      </c>
      <c r="K16" s="88">
        <f t="shared" si="10"/>
        <v>1152212.3618550207</v>
      </c>
      <c r="L16" s="88">
        <f t="shared" si="10"/>
        <v>1601032.8360976398</v>
      </c>
      <c r="M16" s="88">
        <f t="shared" si="10"/>
        <v>1907046.7958085164</v>
      </c>
      <c r="N16" s="88">
        <f t="shared" si="10"/>
        <v>2040093.0647391775</v>
      </c>
      <c r="O16" s="88">
        <f t="shared" si="10"/>
        <v>4080186.129478354</v>
      </c>
      <c r="P16" s="88">
        <f t="shared" si="10"/>
        <v>6120279.1942175301</v>
      </c>
      <c r="Q16" s="88">
        <f t="shared" si="10"/>
        <v>8160372.2589567062</v>
      </c>
      <c r="R16" s="88">
        <f t="shared" si="10"/>
        <v>10200465.323695883</v>
      </c>
      <c r="S16" s="88">
        <f t="shared" si="10"/>
        <v>12240558.388435058</v>
      </c>
      <c r="T16" s="88">
        <f t="shared" si="10"/>
        <v>14012621.422321904</v>
      </c>
      <c r="U16" s="88">
        <f t="shared" si="10"/>
        <v>15784684.456208751</v>
      </c>
      <c r="V16" s="88">
        <f t="shared" si="10"/>
        <v>17556747.490095597</v>
      </c>
      <c r="W16" s="88">
        <f t="shared" si="10"/>
        <v>19328810.523982443</v>
      </c>
      <c r="X16" s="88">
        <f t="shared" si="10"/>
        <v>21100873.557869289</v>
      </c>
      <c r="Y16" s="88">
        <f t="shared" si="10"/>
        <v>22872936.591756135</v>
      </c>
      <c r="Z16" s="88">
        <f t="shared" si="10"/>
        <v>24644999.625642981</v>
      </c>
      <c r="AA16" s="88">
        <f t="shared" si="10"/>
        <v>26417062.659529828</v>
      </c>
    </row>
    <row r="17" spans="1:27" s="3" customFormat="1" x14ac:dyDescent="0.25">
      <c r="A17" s="234" t="s">
        <v>106</v>
      </c>
      <c r="B17" s="48">
        <f t="shared" si="1"/>
        <v>83672.395438171545</v>
      </c>
      <c r="C17" s="48">
        <f t="shared" si="2"/>
        <v>944302.74851650745</v>
      </c>
      <c r="D17" s="48">
        <f t="shared" si="3"/>
        <v>1195319.9348310221</v>
      </c>
      <c r="E17" s="48">
        <f t="shared" si="4"/>
        <v>7171919.6089861263</v>
      </c>
      <c r="F17" s="48">
        <f t="shared" si="5"/>
        <v>10757879.41347919</v>
      </c>
      <c r="G17" s="48">
        <f t="shared" si="6"/>
        <v>16734479.087634297</v>
      </c>
      <c r="H17" s="102">
        <f t="shared" ref="H17:AA17" si="11">SUM(H18:H19)</f>
        <v>0</v>
      </c>
      <c r="I17" s="102">
        <f t="shared" si="11"/>
        <v>83672.395438171545</v>
      </c>
      <c r="J17" s="102">
        <f t="shared" si="11"/>
        <v>382502.37914592703</v>
      </c>
      <c r="K17" s="102">
        <f t="shared" si="11"/>
        <v>681332.3628536826</v>
      </c>
      <c r="L17" s="102">
        <f t="shared" si="11"/>
        <v>944302.74851650745</v>
      </c>
      <c r="M17" s="102">
        <f t="shared" si="11"/>
        <v>1123600.7387411608</v>
      </c>
      <c r="N17" s="102">
        <f t="shared" si="11"/>
        <v>1195319.9348310221</v>
      </c>
      <c r="O17" s="102">
        <f t="shared" si="11"/>
        <v>2390639.8696620427</v>
      </c>
      <c r="P17" s="102">
        <f t="shared" si="11"/>
        <v>3585959.8044930636</v>
      </c>
      <c r="Q17" s="102">
        <f t="shared" si="11"/>
        <v>4781279.7393240845</v>
      </c>
      <c r="R17" s="102">
        <f t="shared" si="11"/>
        <v>5976599.6741551049</v>
      </c>
      <c r="S17" s="102">
        <f t="shared" si="11"/>
        <v>7171919.6089861263</v>
      </c>
      <c r="T17" s="102">
        <f t="shared" si="11"/>
        <v>8367239.5438171476</v>
      </c>
      <c r="U17" s="102">
        <f t="shared" si="11"/>
        <v>9562559.478648169</v>
      </c>
      <c r="V17" s="102">
        <f t="shared" si="11"/>
        <v>10757879.41347919</v>
      </c>
      <c r="W17" s="102">
        <f t="shared" si="11"/>
        <v>11953199.348310212</v>
      </c>
      <c r="X17" s="102">
        <f t="shared" si="11"/>
        <v>13148519.283141233</v>
      </c>
      <c r="Y17" s="102">
        <f t="shared" si="11"/>
        <v>14343839.217972254</v>
      </c>
      <c r="Z17" s="102">
        <f t="shared" si="11"/>
        <v>15539159.152803276</v>
      </c>
      <c r="AA17" s="102">
        <f t="shared" si="11"/>
        <v>16734479.087634297</v>
      </c>
    </row>
    <row r="18" spans="1:27" s="3" customFormat="1" x14ac:dyDescent="0.25">
      <c r="A18" s="232" t="s">
        <v>83</v>
      </c>
      <c r="B18" s="182">
        <f t="shared" si="1"/>
        <v>83672.395438171545</v>
      </c>
      <c r="C18" s="182">
        <f t="shared" si="2"/>
        <v>944302.74851650745</v>
      </c>
      <c r="D18" s="182">
        <f t="shared" si="3"/>
        <v>1195319.9348310221</v>
      </c>
      <c r="E18" s="182">
        <f t="shared" si="4"/>
        <v>7171919.6089861263</v>
      </c>
      <c r="F18" s="182">
        <f t="shared" si="5"/>
        <v>10757879.41347919</v>
      </c>
      <c r="G18" s="182">
        <f t="shared" si="6"/>
        <v>16734479.087634297</v>
      </c>
      <c r="H18" s="106">
        <f>+'III. AreaAnnual_distribution'!C42*('VI. ParameterCarbonAssumptions'!$C$37-'VI. ParameterCarbonAssumptions'!$B$37)</f>
        <v>0</v>
      </c>
      <c r="I18" s="20">
        <f>+'III. AreaAnnual_distribution'!D42*('VI. ParameterCarbonAssumptions'!$C$37-'VI. ParameterCarbonAssumptions'!$B$37)+H18</f>
        <v>83672.395438171545</v>
      </c>
      <c r="J18" s="20">
        <f>+'III. AreaAnnual_distribution'!E42*('VI. ParameterCarbonAssumptions'!$C$37-'VI. ParameterCarbonAssumptions'!$B$37)+I18</f>
        <v>382502.37914592703</v>
      </c>
      <c r="K18" s="20">
        <f>+'III. AreaAnnual_distribution'!F42*('VI. ParameterCarbonAssumptions'!$C$37-'VI. ParameterCarbonAssumptions'!$B$37)+J18</f>
        <v>681332.3628536826</v>
      </c>
      <c r="L18" s="20">
        <f>+'III. AreaAnnual_distribution'!G42*('VI. ParameterCarbonAssumptions'!$C$37-'VI. ParameterCarbonAssumptions'!$B$37)+K18</f>
        <v>944302.74851650745</v>
      </c>
      <c r="M18" s="20">
        <f>+'III. AreaAnnual_distribution'!H42*('VI. ParameterCarbonAssumptions'!$C$37-'VI. ParameterCarbonAssumptions'!$B$37)+L18</f>
        <v>1123600.7387411608</v>
      </c>
      <c r="N18" s="20">
        <f>+'III. AreaAnnual_distribution'!I42*('VI. ParameterCarbonAssumptions'!$C$37-'VI. ParameterCarbonAssumptions'!$B$37)+M18</f>
        <v>1195319.9348310221</v>
      </c>
      <c r="O18" s="20">
        <f>+'III. AreaAnnual_distribution'!J42*('VI. ParameterCarbonAssumptions'!$C$37-'VI. ParameterCarbonAssumptions'!$B$37)+N18</f>
        <v>2390639.8696620427</v>
      </c>
      <c r="P18" s="20">
        <f>+'III. AreaAnnual_distribution'!K42*('VI. ParameterCarbonAssumptions'!$C$37-'VI. ParameterCarbonAssumptions'!$B$37)+O18</f>
        <v>3585959.8044930636</v>
      </c>
      <c r="Q18" s="20">
        <f>+'III. AreaAnnual_distribution'!L42*('VI. ParameterCarbonAssumptions'!$C$37-'VI. ParameterCarbonAssumptions'!$B$37)+P18</f>
        <v>4781279.7393240845</v>
      </c>
      <c r="R18" s="20">
        <f>+'III. AreaAnnual_distribution'!M42*('VI. ParameterCarbonAssumptions'!$C$37-'VI. ParameterCarbonAssumptions'!$B$37)+Q18</f>
        <v>5976599.6741551049</v>
      </c>
      <c r="S18" s="20">
        <f>+'III. AreaAnnual_distribution'!N42*('VI. ParameterCarbonAssumptions'!$C$37-'VI. ParameterCarbonAssumptions'!$B$37)+R18</f>
        <v>7171919.6089861263</v>
      </c>
      <c r="T18" s="167">
        <f>+'III. AreaAnnual_distribution'!O42*('VI. ParameterCarbonAssumptions'!$C$37-'VI. ParameterCarbonAssumptions'!$B$37)+S18</f>
        <v>8367239.5438171476</v>
      </c>
      <c r="U18" s="167">
        <f>+'III. AreaAnnual_distribution'!P42*('VI. ParameterCarbonAssumptions'!$C$37-'VI. ParameterCarbonAssumptions'!$B$37)+T18</f>
        <v>9562559.478648169</v>
      </c>
      <c r="V18" s="167">
        <f>+'III. AreaAnnual_distribution'!Q42*('VI. ParameterCarbonAssumptions'!$C$37-'VI. ParameterCarbonAssumptions'!$B$37)+U18</f>
        <v>10757879.41347919</v>
      </c>
      <c r="W18" s="167">
        <f>+'III. AreaAnnual_distribution'!R42*('VI. ParameterCarbonAssumptions'!$C$37-'VI. ParameterCarbonAssumptions'!$B$37)+V18</f>
        <v>11953199.348310212</v>
      </c>
      <c r="X18" s="167">
        <f>+'III. AreaAnnual_distribution'!S42*('VI. ParameterCarbonAssumptions'!$C$37-'VI. ParameterCarbonAssumptions'!$B$37)+W18</f>
        <v>13148519.283141233</v>
      </c>
      <c r="Y18" s="167">
        <f>+'III. AreaAnnual_distribution'!T42*('VI. ParameterCarbonAssumptions'!$C$37-'VI. ParameterCarbonAssumptions'!$B$37)+X18</f>
        <v>14343839.217972254</v>
      </c>
      <c r="Z18" s="167">
        <f>+'III. AreaAnnual_distribution'!U42*('VI. ParameterCarbonAssumptions'!$C$37-'VI. ParameterCarbonAssumptions'!$B$37)+Y18</f>
        <v>15539159.152803276</v>
      </c>
      <c r="AA18" s="167">
        <f>+'III. AreaAnnual_distribution'!V42*('VI. ParameterCarbonAssumptions'!$C$37-'VI. ParameterCarbonAssumptions'!$B$37)+Z18</f>
        <v>16734479.087634297</v>
      </c>
    </row>
    <row r="19" spans="1:27" s="3" customFormat="1" x14ac:dyDescent="0.25">
      <c r="A19" s="232" t="s">
        <v>84</v>
      </c>
      <c r="B19" s="182">
        <f t="shared" si="1"/>
        <v>0</v>
      </c>
      <c r="C19" s="182">
        <f t="shared" si="2"/>
        <v>0</v>
      </c>
      <c r="D19" s="182">
        <f t="shared" si="3"/>
        <v>0</v>
      </c>
      <c r="E19" s="182">
        <f t="shared" si="4"/>
        <v>0</v>
      </c>
      <c r="F19" s="182">
        <f t="shared" si="5"/>
        <v>0</v>
      </c>
      <c r="G19" s="182">
        <f t="shared" si="6"/>
        <v>0</v>
      </c>
      <c r="H19" s="106">
        <f>+'III. AreaAnnual_distribution'!C43*('VI. ParameterCarbonAssumptions'!$C$37-'VI. ParameterCarbonAssumptions'!$B$37)</f>
        <v>0</v>
      </c>
      <c r="I19" s="20">
        <f>+'III. AreaAnnual_distribution'!D43*('VI. ParameterCarbonAssumptions'!$C$37-'VI. ParameterCarbonAssumptions'!$B$37)+H19</f>
        <v>0</v>
      </c>
      <c r="J19" s="20">
        <f>+'III. AreaAnnual_distribution'!E43*('VI. ParameterCarbonAssumptions'!$C$37-'VI. ParameterCarbonAssumptions'!$B$37)+I19</f>
        <v>0</v>
      </c>
      <c r="K19" s="20">
        <f>+'III. AreaAnnual_distribution'!F43*('VI. ParameterCarbonAssumptions'!$C$37-'VI. ParameterCarbonAssumptions'!$B$37)+J19</f>
        <v>0</v>
      </c>
      <c r="L19" s="20">
        <f>+'III. AreaAnnual_distribution'!G43*('VI. ParameterCarbonAssumptions'!$C$37-'VI. ParameterCarbonAssumptions'!$B$37)+K19</f>
        <v>0</v>
      </c>
      <c r="M19" s="20">
        <f>+'III. AreaAnnual_distribution'!H43*('VI. ParameterCarbonAssumptions'!$C$37-'VI. ParameterCarbonAssumptions'!$B$37)+L19</f>
        <v>0</v>
      </c>
      <c r="N19" s="20">
        <f>+'III. AreaAnnual_distribution'!I43*('VI. ParameterCarbonAssumptions'!$C$37-'VI. ParameterCarbonAssumptions'!$B$37)+M19</f>
        <v>0</v>
      </c>
      <c r="O19" s="20">
        <f>+'III. AreaAnnual_distribution'!J43*('VI. ParameterCarbonAssumptions'!$C$37-'VI. ParameterCarbonAssumptions'!$B$37)+N19</f>
        <v>0</v>
      </c>
      <c r="P19" s="20">
        <f>+'III. AreaAnnual_distribution'!K43*('VI. ParameterCarbonAssumptions'!$C$37-'VI. ParameterCarbonAssumptions'!$B$37)+O19</f>
        <v>0</v>
      </c>
      <c r="Q19" s="20">
        <f>+'III. AreaAnnual_distribution'!L43*('VI. ParameterCarbonAssumptions'!$C$37-'VI. ParameterCarbonAssumptions'!$B$37)+P19</f>
        <v>0</v>
      </c>
      <c r="R19" s="20">
        <f>+'III. AreaAnnual_distribution'!M43*('VI. ParameterCarbonAssumptions'!$C$37-'VI. ParameterCarbonAssumptions'!$B$37)+Q19</f>
        <v>0</v>
      </c>
      <c r="S19" s="20">
        <f>+'III. AreaAnnual_distribution'!N43*('VI. ParameterCarbonAssumptions'!$C$37-'VI. ParameterCarbonAssumptions'!$B$37)+R19</f>
        <v>0</v>
      </c>
      <c r="T19" s="20">
        <f>+'III. AreaAnnual_distribution'!O43*('VI. ParameterCarbonAssumptions'!$C$37-'VI. ParameterCarbonAssumptions'!$B$37)+S19</f>
        <v>0</v>
      </c>
      <c r="U19" s="20">
        <f>+'III. AreaAnnual_distribution'!P43*('VI. ParameterCarbonAssumptions'!$C$37-'VI. ParameterCarbonAssumptions'!$B$37)+T19</f>
        <v>0</v>
      </c>
      <c r="V19" s="20">
        <f>+'III. AreaAnnual_distribution'!Q43*('VI. ParameterCarbonAssumptions'!$C$37-'VI. ParameterCarbonAssumptions'!$B$37)+U19</f>
        <v>0</v>
      </c>
      <c r="W19" s="20">
        <f>+'III. AreaAnnual_distribution'!R43*('VI. ParameterCarbonAssumptions'!$C$37-'VI. ParameterCarbonAssumptions'!$B$37)+V19</f>
        <v>0</v>
      </c>
      <c r="X19" s="20">
        <f>+'III. AreaAnnual_distribution'!S43*('VI. ParameterCarbonAssumptions'!$C$37-'VI. ParameterCarbonAssumptions'!$B$37)+W19</f>
        <v>0</v>
      </c>
      <c r="Y19" s="20">
        <f>+'III. AreaAnnual_distribution'!T43*('VI. ParameterCarbonAssumptions'!$C$37-'VI. ParameterCarbonAssumptions'!$B$37)+X19</f>
        <v>0</v>
      </c>
      <c r="Z19" s="20">
        <f>+'III. AreaAnnual_distribution'!U43*('VI. ParameterCarbonAssumptions'!$C$37-'VI. ParameterCarbonAssumptions'!$B$37)+Y19</f>
        <v>0</v>
      </c>
      <c r="AA19" s="20">
        <f>+'III. AreaAnnual_distribution'!V43*('VI. ParameterCarbonAssumptions'!$C$37-'VI. ParameterCarbonAssumptions'!$B$37)+Z19</f>
        <v>0</v>
      </c>
    </row>
    <row r="20" spans="1:27" s="3" customFormat="1" x14ac:dyDescent="0.25">
      <c r="A20" s="41" t="s">
        <v>85</v>
      </c>
      <c r="B20" s="26">
        <f t="shared" si="1"/>
        <v>59134.119093570895</v>
      </c>
      <c r="C20" s="26">
        <f t="shared" si="2"/>
        <v>656730.08758113231</v>
      </c>
      <c r="D20" s="26">
        <f t="shared" si="3"/>
        <v>844773.12990815553</v>
      </c>
      <c r="E20" s="26">
        <f t="shared" si="4"/>
        <v>5068638.779448932</v>
      </c>
      <c r="F20" s="26">
        <f t="shared" si="5"/>
        <v>6798868.0766164064</v>
      </c>
      <c r="G20" s="26">
        <f t="shared" si="6"/>
        <v>9682583.5718955304</v>
      </c>
      <c r="H20" s="89">
        <f t="shared" ref="H20:AA20" si="12">+H21+H24</f>
        <v>0</v>
      </c>
      <c r="I20" s="89">
        <f t="shared" si="12"/>
        <v>59134.119093570895</v>
      </c>
      <c r="J20" s="89">
        <f t="shared" si="12"/>
        <v>259686.71652429929</v>
      </c>
      <c r="K20" s="89">
        <f t="shared" si="12"/>
        <v>470879.99900133815</v>
      </c>
      <c r="L20" s="89">
        <f t="shared" si="12"/>
        <v>656730.08758113231</v>
      </c>
      <c r="M20" s="89">
        <f t="shared" si="12"/>
        <v>783446.05706735561</v>
      </c>
      <c r="N20" s="89">
        <f t="shared" si="12"/>
        <v>844773.12990815553</v>
      </c>
      <c r="O20" s="89">
        <f t="shared" si="12"/>
        <v>1689546.2598163111</v>
      </c>
      <c r="P20" s="89">
        <f t="shared" si="12"/>
        <v>2534319.3897244665</v>
      </c>
      <c r="Q20" s="89">
        <f t="shared" si="12"/>
        <v>3379092.5196326221</v>
      </c>
      <c r="R20" s="89">
        <f t="shared" si="12"/>
        <v>4223865.6495407773</v>
      </c>
      <c r="S20" s="89">
        <f t="shared" si="12"/>
        <v>5068638.779448932</v>
      </c>
      <c r="T20" s="89">
        <f t="shared" si="12"/>
        <v>5645381.8785047568</v>
      </c>
      <c r="U20" s="89">
        <f t="shared" si="12"/>
        <v>6222124.9775605816</v>
      </c>
      <c r="V20" s="89">
        <f t="shared" si="12"/>
        <v>6798868.0766164064</v>
      </c>
      <c r="W20" s="89">
        <f t="shared" si="12"/>
        <v>7375611.1756722312</v>
      </c>
      <c r="X20" s="89">
        <f t="shared" si="12"/>
        <v>7952354.274728056</v>
      </c>
      <c r="Y20" s="89">
        <f t="shared" si="12"/>
        <v>8529097.3737838808</v>
      </c>
      <c r="Z20" s="89">
        <f t="shared" si="12"/>
        <v>9105840.4728397056</v>
      </c>
      <c r="AA20" s="89">
        <f t="shared" si="12"/>
        <v>9682583.5718955304</v>
      </c>
    </row>
    <row r="21" spans="1:27" s="3" customFormat="1" x14ac:dyDescent="0.25">
      <c r="A21" s="52" t="s">
        <v>74</v>
      </c>
      <c r="B21" s="48">
        <f t="shared" si="1"/>
        <v>21891.721431484191</v>
      </c>
      <c r="C21" s="48">
        <f t="shared" si="2"/>
        <v>247063.71329817869</v>
      </c>
      <c r="D21" s="48">
        <f t="shared" si="3"/>
        <v>312738.87759263127</v>
      </c>
      <c r="E21" s="48">
        <f t="shared" si="4"/>
        <v>1876433.2655557874</v>
      </c>
      <c r="F21" s="48">
        <f t="shared" si="5"/>
        <v>2010559.8057766897</v>
      </c>
      <c r="G21" s="48">
        <f t="shared" si="6"/>
        <v>2234104.0394781935</v>
      </c>
      <c r="H21" s="235">
        <f>SUM(H22:H23)</f>
        <v>0</v>
      </c>
      <c r="I21" s="103">
        <f t="shared" ref="I21:AA21" si="13">SUM(I22:I23)</f>
        <v>21891.721431484191</v>
      </c>
      <c r="J21" s="103">
        <f t="shared" si="13"/>
        <v>100076.440829642</v>
      </c>
      <c r="K21" s="103">
        <f t="shared" si="13"/>
        <v>178261.16022779982</v>
      </c>
      <c r="L21" s="103">
        <f t="shared" si="13"/>
        <v>247063.71329817869</v>
      </c>
      <c r="M21" s="103">
        <f t="shared" si="13"/>
        <v>293974.54493707337</v>
      </c>
      <c r="N21" s="103">
        <f t="shared" si="13"/>
        <v>312738.87759263127</v>
      </c>
      <c r="O21" s="103">
        <f t="shared" si="13"/>
        <v>625477.75518526253</v>
      </c>
      <c r="P21" s="103">
        <f t="shared" si="13"/>
        <v>938216.6327778938</v>
      </c>
      <c r="Q21" s="103">
        <f t="shared" si="13"/>
        <v>1250955.5103705251</v>
      </c>
      <c r="R21" s="103">
        <f t="shared" si="13"/>
        <v>1563694.3879631562</v>
      </c>
      <c r="S21" s="103">
        <f t="shared" si="13"/>
        <v>1876433.2655557874</v>
      </c>
      <c r="T21" s="103">
        <f t="shared" si="13"/>
        <v>1921142.1122960881</v>
      </c>
      <c r="U21" s="103">
        <f t="shared" si="13"/>
        <v>1965850.9590363889</v>
      </c>
      <c r="V21" s="103">
        <f t="shared" si="13"/>
        <v>2010559.8057766897</v>
      </c>
      <c r="W21" s="103">
        <f t="shared" si="13"/>
        <v>2055268.6525169904</v>
      </c>
      <c r="X21" s="103">
        <f t="shared" si="13"/>
        <v>2099977.4992572912</v>
      </c>
      <c r="Y21" s="103">
        <f t="shared" si="13"/>
        <v>2144686.345997592</v>
      </c>
      <c r="Z21" s="103">
        <f t="shared" si="13"/>
        <v>2189395.1927378927</v>
      </c>
      <c r="AA21" s="103">
        <f t="shared" si="13"/>
        <v>2234104.0394781935</v>
      </c>
    </row>
    <row r="22" spans="1:27" s="3" customFormat="1" x14ac:dyDescent="0.25">
      <c r="A22" s="232" t="s">
        <v>83</v>
      </c>
      <c r="B22" s="182">
        <f t="shared" si="1"/>
        <v>21891.721431484191</v>
      </c>
      <c r="C22" s="182">
        <f t="shared" si="2"/>
        <v>247063.71329817869</v>
      </c>
      <c r="D22" s="182">
        <f t="shared" si="3"/>
        <v>312738.87759263127</v>
      </c>
      <c r="E22" s="182">
        <f t="shared" si="4"/>
        <v>1876433.2655557874</v>
      </c>
      <c r="F22" s="182">
        <f t="shared" si="5"/>
        <v>2010559.8057766897</v>
      </c>
      <c r="G22" s="182">
        <f t="shared" si="6"/>
        <v>2234104.0394781935</v>
      </c>
      <c r="H22" s="236">
        <f>+'III. AreaAnnual_distribution'!C46*('VI. ParameterCarbonAssumptions'!$C$39-'VI. ParameterCarbonAssumptions'!$B$39)</f>
        <v>0</v>
      </c>
      <c r="I22" s="8">
        <f>+'III. AreaAnnual_distribution'!D46*('VI. ParameterCarbonAssumptions'!$C$39-'VI. ParameterCarbonAssumptions'!$B$39)+H22</f>
        <v>21891.721431484191</v>
      </c>
      <c r="J22" s="8">
        <f>+'III. AreaAnnual_distribution'!E46*('VI. ParameterCarbonAssumptions'!$C$39-'VI. ParameterCarbonAssumptions'!$B$39)+I22</f>
        <v>100076.440829642</v>
      </c>
      <c r="K22" s="8">
        <f>+'III. AreaAnnual_distribution'!F46*('VI. ParameterCarbonAssumptions'!$C$39-'VI. ParameterCarbonAssumptions'!$B$39)+J22</f>
        <v>178261.16022779982</v>
      </c>
      <c r="L22" s="8">
        <f>+'III. AreaAnnual_distribution'!G46*('VI. ParameterCarbonAssumptions'!$C$39-'VI. ParameterCarbonAssumptions'!$B$39)+K22</f>
        <v>247063.71329817869</v>
      </c>
      <c r="M22" s="8">
        <f>+'III. AreaAnnual_distribution'!H46*('VI. ParameterCarbonAssumptions'!$C$39-'VI. ParameterCarbonAssumptions'!$B$39)+L22</f>
        <v>293974.54493707337</v>
      </c>
      <c r="N22" s="8">
        <f>+'III. AreaAnnual_distribution'!I46*('VI. ParameterCarbonAssumptions'!$C$39-'VI. ParameterCarbonAssumptions'!$B$39)+M22</f>
        <v>312738.87759263127</v>
      </c>
      <c r="O22" s="8">
        <f>+'III. AreaAnnual_distribution'!J46*('VI. ParameterCarbonAssumptions'!$C$39-'VI. ParameterCarbonAssumptions'!$B$39)+N22</f>
        <v>625477.75518526253</v>
      </c>
      <c r="P22" s="8">
        <f>+'III. AreaAnnual_distribution'!K46*('VI. ParameterCarbonAssumptions'!$C$39-'VI. ParameterCarbonAssumptions'!$B$39)+O22</f>
        <v>938216.6327778938</v>
      </c>
      <c r="Q22" s="8">
        <f>+'III. AreaAnnual_distribution'!L46*('VI. ParameterCarbonAssumptions'!$C$39-'VI. ParameterCarbonAssumptions'!$B$39)+P22</f>
        <v>1250955.5103705251</v>
      </c>
      <c r="R22" s="8">
        <f>+'III. AreaAnnual_distribution'!M46*('VI. ParameterCarbonAssumptions'!$C$39-'VI. ParameterCarbonAssumptions'!$B$39)+Q22</f>
        <v>1563694.3879631562</v>
      </c>
      <c r="S22" s="8">
        <f>+'III. AreaAnnual_distribution'!N46*('VI. ParameterCarbonAssumptions'!$C$39-'VI. ParameterCarbonAssumptions'!$B$39)+R22</f>
        <v>1876433.2655557874</v>
      </c>
      <c r="T22" s="8">
        <f>+'III. AreaAnnual_distribution'!O46*'VI. ParameterCarbonAssumptions'!$B$6*'VI. ParameterCarbonAssumptions'!$C$26*'VI. ParameterCarbonAssumptions'!$F$47+'III. AreaAnnual_distribution'!$C$46*'VI. ParameterCarbonAssumptions'!$C$38+S22</f>
        <v>1921142.1122960881</v>
      </c>
      <c r="U22" s="8">
        <f>+'III. AreaAnnual_distribution'!P46*'VI. ParameterCarbonAssumptions'!$B$6*'VI. ParameterCarbonAssumptions'!$C$26*'VI. ParameterCarbonAssumptions'!$F$47+'III. AreaAnnual_distribution'!$C$46*'VI. ParameterCarbonAssumptions'!$C$38+T22</f>
        <v>1965850.9590363889</v>
      </c>
      <c r="V22" s="8">
        <f>+'III. AreaAnnual_distribution'!Q46*'VI. ParameterCarbonAssumptions'!$B$6*'VI. ParameterCarbonAssumptions'!$C$26*'VI. ParameterCarbonAssumptions'!$F$47+'III. AreaAnnual_distribution'!$C$46*'VI. ParameterCarbonAssumptions'!$C$38+U22</f>
        <v>2010559.8057766897</v>
      </c>
      <c r="W22" s="8">
        <f>+'III. AreaAnnual_distribution'!R46*'VI. ParameterCarbonAssumptions'!$B$6*'VI. ParameterCarbonAssumptions'!$C$26*'VI. ParameterCarbonAssumptions'!$F$47+'III. AreaAnnual_distribution'!$C$46*'VI. ParameterCarbonAssumptions'!$C$38+V22</f>
        <v>2055268.6525169904</v>
      </c>
      <c r="X22" s="8">
        <f>+'III. AreaAnnual_distribution'!S46*'VI. ParameterCarbonAssumptions'!$B$6*'VI. ParameterCarbonAssumptions'!$C$26*'VI. ParameterCarbonAssumptions'!$F$47+'III. AreaAnnual_distribution'!$C$46*'VI. ParameterCarbonAssumptions'!$C$38+W22</f>
        <v>2099977.4992572912</v>
      </c>
      <c r="Y22" s="8">
        <f>+'III. AreaAnnual_distribution'!T46*'VI. ParameterCarbonAssumptions'!$B$6*'VI. ParameterCarbonAssumptions'!$C$26*'VI. ParameterCarbonAssumptions'!$F$47+'III. AreaAnnual_distribution'!$C$46*'VI. ParameterCarbonAssumptions'!$C$38+X22</f>
        <v>2144686.345997592</v>
      </c>
      <c r="Z22" s="8">
        <f>+'III. AreaAnnual_distribution'!U46*'VI. ParameterCarbonAssumptions'!$B$6*'VI. ParameterCarbonAssumptions'!$C$26*'VI. ParameterCarbonAssumptions'!$F$47+'III. AreaAnnual_distribution'!$C$46*'VI. ParameterCarbonAssumptions'!$C$38+Y22</f>
        <v>2189395.1927378927</v>
      </c>
      <c r="AA22" s="8">
        <f>+'III. AreaAnnual_distribution'!V46*'VI. ParameterCarbonAssumptions'!$B$6*'VI. ParameterCarbonAssumptions'!$C$26*'VI. ParameterCarbonAssumptions'!$F$47+'III. AreaAnnual_distribution'!$C$46*'VI. ParameterCarbonAssumptions'!$C$38+Z22</f>
        <v>2234104.0394781935</v>
      </c>
    </row>
    <row r="23" spans="1:27" s="3" customFormat="1" x14ac:dyDescent="0.25">
      <c r="A23" s="232" t="s">
        <v>84</v>
      </c>
      <c r="B23" s="182">
        <f t="shared" si="1"/>
        <v>0</v>
      </c>
      <c r="C23" s="182">
        <f t="shared" si="2"/>
        <v>0</v>
      </c>
      <c r="D23" s="182">
        <f t="shared" si="3"/>
        <v>0</v>
      </c>
      <c r="E23" s="182">
        <f t="shared" si="4"/>
        <v>0</v>
      </c>
      <c r="F23" s="182">
        <f t="shared" si="5"/>
        <v>0</v>
      </c>
      <c r="G23" s="182">
        <f t="shared" si="6"/>
        <v>0</v>
      </c>
      <c r="H23" s="236">
        <f>+'III. AreaAnnual_distribution'!C47*('VI. ParameterCarbonAssumptions'!$C$39-'VI. ParameterCarbonAssumptions'!$B$39)</f>
        <v>0</v>
      </c>
      <c r="I23" s="8">
        <f>+'III. AreaAnnual_distribution'!D47*('VI. ParameterCarbonAssumptions'!$C$39-'VI. ParameterCarbonAssumptions'!$B$39)+H23</f>
        <v>0</v>
      </c>
      <c r="J23" s="8">
        <f>+'III. AreaAnnual_distribution'!E47*('VI. ParameterCarbonAssumptions'!$C$39-'VI. ParameterCarbonAssumptions'!$B$39)+I23</f>
        <v>0</v>
      </c>
      <c r="K23" s="8">
        <f>+'III. AreaAnnual_distribution'!F47*('VI. ParameterCarbonAssumptions'!$C$39-'VI. ParameterCarbonAssumptions'!$B$39)+J23</f>
        <v>0</v>
      </c>
      <c r="L23" s="8">
        <f>+'III. AreaAnnual_distribution'!G47*('VI. ParameterCarbonAssumptions'!$C$39-'VI. ParameterCarbonAssumptions'!$B$39)+K23</f>
        <v>0</v>
      </c>
      <c r="M23" s="8">
        <f>+'III. AreaAnnual_distribution'!H47*('VI. ParameterCarbonAssumptions'!$C$39-'VI. ParameterCarbonAssumptions'!$B$39)+L23</f>
        <v>0</v>
      </c>
      <c r="N23" s="8">
        <f>+'III. AreaAnnual_distribution'!I47*('VI. ParameterCarbonAssumptions'!$C$39-'VI. ParameterCarbonAssumptions'!$B$39)+M23</f>
        <v>0</v>
      </c>
      <c r="O23" s="8">
        <f>+'III. AreaAnnual_distribution'!J47*('VI. ParameterCarbonAssumptions'!$C$39-'VI. ParameterCarbonAssumptions'!$B$39)+N23</f>
        <v>0</v>
      </c>
      <c r="P23" s="8">
        <f>+'III. AreaAnnual_distribution'!K47*('VI. ParameterCarbonAssumptions'!$C$39-'VI. ParameterCarbonAssumptions'!$B$39)+O23</f>
        <v>0</v>
      </c>
      <c r="Q23" s="8">
        <f>+'III. AreaAnnual_distribution'!L47*('VI. ParameterCarbonAssumptions'!$C$39-'VI. ParameterCarbonAssumptions'!$B$39)+P23</f>
        <v>0</v>
      </c>
      <c r="R23" s="8">
        <f>+'III. AreaAnnual_distribution'!M47*('VI. ParameterCarbonAssumptions'!$C$39-'VI. ParameterCarbonAssumptions'!$B$39)+Q23</f>
        <v>0</v>
      </c>
      <c r="S23" s="8">
        <f>+'III. AreaAnnual_distribution'!N47*('VI. ParameterCarbonAssumptions'!$C$39-'VI. ParameterCarbonAssumptions'!$B$39)+R23</f>
        <v>0</v>
      </c>
      <c r="T23" s="8">
        <f>+'III. AreaAnnual_distribution'!O47*('VI. ParameterCarbonAssumptions'!$C$39-'VI. ParameterCarbonAssumptions'!$B$39)+S23</f>
        <v>0</v>
      </c>
      <c r="U23" s="8">
        <f>+'III. AreaAnnual_distribution'!P47*('VI. ParameterCarbonAssumptions'!$C$39-'VI. ParameterCarbonAssumptions'!$B$39)+T23</f>
        <v>0</v>
      </c>
      <c r="V23" s="8">
        <f>+'III. AreaAnnual_distribution'!Q47*('VI. ParameterCarbonAssumptions'!$C$39-'VI. ParameterCarbonAssumptions'!$B$39)+U23</f>
        <v>0</v>
      </c>
      <c r="W23" s="8">
        <f>+'III. AreaAnnual_distribution'!R47*('VI. ParameterCarbonAssumptions'!$C$39-'VI. ParameterCarbonAssumptions'!$B$39)+V23</f>
        <v>0</v>
      </c>
      <c r="X23" s="8">
        <f>+'III. AreaAnnual_distribution'!S47*('VI. ParameterCarbonAssumptions'!$C$39-'VI. ParameterCarbonAssumptions'!$B$39)+W23</f>
        <v>0</v>
      </c>
      <c r="Y23" s="8">
        <f>+'III. AreaAnnual_distribution'!T47*('VI. ParameterCarbonAssumptions'!$C$39-'VI. ParameterCarbonAssumptions'!$B$39)+X23</f>
        <v>0</v>
      </c>
      <c r="Z23" s="8">
        <f>+'III. AreaAnnual_distribution'!U47*('VI. ParameterCarbonAssumptions'!$C$39-'VI. ParameterCarbonAssumptions'!$B$39)+Y23</f>
        <v>0</v>
      </c>
      <c r="AA23" s="8">
        <f>+'III. AreaAnnual_distribution'!V47*('VI. ParameterCarbonAssumptions'!$C$39-'VI. ParameterCarbonAssumptions'!$B$39)+Z23</f>
        <v>0</v>
      </c>
    </row>
    <row r="24" spans="1:27" s="3" customFormat="1" x14ac:dyDescent="0.25">
      <c r="A24" s="237" t="s">
        <v>75</v>
      </c>
      <c r="B24" s="48">
        <f t="shared" si="1"/>
        <v>37242.397662086703</v>
      </c>
      <c r="C24" s="48">
        <f t="shared" si="2"/>
        <v>409666.37428295368</v>
      </c>
      <c r="D24" s="48">
        <f t="shared" si="3"/>
        <v>532034.25231552427</v>
      </c>
      <c r="E24" s="48">
        <f t="shared" si="4"/>
        <v>3192205.5138931451</v>
      </c>
      <c r="F24" s="48">
        <f t="shared" si="5"/>
        <v>4788308.2708397172</v>
      </c>
      <c r="G24" s="48">
        <f t="shared" si="6"/>
        <v>7448479.5324173374</v>
      </c>
      <c r="H24" s="236">
        <f>SUM(H25:H26)</f>
        <v>0</v>
      </c>
      <c r="I24" s="8">
        <f t="shared" ref="I24:AA24" si="14">SUM(I25:I26)</f>
        <v>37242.397662086703</v>
      </c>
      <c r="J24" s="8">
        <f t="shared" si="14"/>
        <v>159610.27569465729</v>
      </c>
      <c r="K24" s="8">
        <f t="shared" si="14"/>
        <v>292618.83877353836</v>
      </c>
      <c r="L24" s="8">
        <f t="shared" si="14"/>
        <v>409666.37428295368</v>
      </c>
      <c r="M24" s="8">
        <f t="shared" si="14"/>
        <v>489471.5121302823</v>
      </c>
      <c r="N24" s="8">
        <f t="shared" si="14"/>
        <v>532034.25231552427</v>
      </c>
      <c r="O24" s="8">
        <f t="shared" si="14"/>
        <v>1064068.5046310485</v>
      </c>
      <c r="P24" s="8">
        <f t="shared" si="14"/>
        <v>1596102.7569465728</v>
      </c>
      <c r="Q24" s="8">
        <f t="shared" si="14"/>
        <v>2128137.0092620971</v>
      </c>
      <c r="R24" s="8">
        <f t="shared" si="14"/>
        <v>2660171.2615776211</v>
      </c>
      <c r="S24" s="8">
        <f t="shared" si="14"/>
        <v>3192205.5138931451</v>
      </c>
      <c r="T24" s="8">
        <f t="shared" si="14"/>
        <v>3724239.7662086692</v>
      </c>
      <c r="U24" s="8">
        <f t="shared" si="14"/>
        <v>4256274.0185241932</v>
      </c>
      <c r="V24" s="8">
        <f t="shared" si="14"/>
        <v>4788308.2708397172</v>
      </c>
      <c r="W24" s="8">
        <f t="shared" si="14"/>
        <v>5320342.5231552413</v>
      </c>
      <c r="X24" s="8">
        <f t="shared" si="14"/>
        <v>5852376.7754707653</v>
      </c>
      <c r="Y24" s="8">
        <f t="shared" si="14"/>
        <v>6384411.0277862893</v>
      </c>
      <c r="Z24" s="8">
        <f t="shared" si="14"/>
        <v>6916445.2801018134</v>
      </c>
      <c r="AA24" s="8">
        <f t="shared" si="14"/>
        <v>7448479.5324173374</v>
      </c>
    </row>
    <row r="25" spans="1:27" s="3" customFormat="1" x14ac:dyDescent="0.25">
      <c r="A25" s="232" t="s">
        <v>83</v>
      </c>
      <c r="B25" s="182">
        <f t="shared" si="1"/>
        <v>37242.397662086703</v>
      </c>
      <c r="C25" s="182">
        <f t="shared" si="2"/>
        <v>409666.37428295368</v>
      </c>
      <c r="D25" s="182">
        <f t="shared" si="3"/>
        <v>532034.25231552427</v>
      </c>
      <c r="E25" s="182">
        <f t="shared" si="4"/>
        <v>3192205.5138931451</v>
      </c>
      <c r="F25" s="182">
        <f t="shared" si="5"/>
        <v>4788308.2708397172</v>
      </c>
      <c r="G25" s="182">
        <f t="shared" si="6"/>
        <v>7448479.5324173374</v>
      </c>
      <c r="H25" s="236">
        <f>+'III. AreaAnnual_distribution'!C49*('VI. ParameterCarbonAssumptions'!$C$40-'VI. ParameterCarbonAssumptions'!$B$40)</f>
        <v>0</v>
      </c>
      <c r="I25" s="8">
        <f>+'III. AreaAnnual_distribution'!D49*('VI. ParameterCarbonAssumptions'!$C$40-'VI. ParameterCarbonAssumptions'!$B$40)+H25</f>
        <v>37242.397662086703</v>
      </c>
      <c r="J25" s="8">
        <f>+'III. AreaAnnual_distribution'!E49*('VI. ParameterCarbonAssumptions'!$C$40-'VI. ParameterCarbonAssumptions'!$B$40)+I25</f>
        <v>159610.27569465729</v>
      </c>
      <c r="K25" s="8">
        <f>+'III. AreaAnnual_distribution'!F49*('VI. ParameterCarbonAssumptions'!$C$40-'VI. ParameterCarbonAssumptions'!$B$40)+J25</f>
        <v>292618.83877353836</v>
      </c>
      <c r="L25" s="8">
        <f>+'III. AreaAnnual_distribution'!G49*('VI. ParameterCarbonAssumptions'!$C$40-'VI. ParameterCarbonAssumptions'!$B$40)+K25</f>
        <v>409666.37428295368</v>
      </c>
      <c r="M25" s="8">
        <f>+'III. AreaAnnual_distribution'!H49*('VI. ParameterCarbonAssumptions'!$C$40-'VI. ParameterCarbonAssumptions'!$B$40)+L25</f>
        <v>489471.5121302823</v>
      </c>
      <c r="N25" s="8">
        <f>+'III. AreaAnnual_distribution'!I49*('VI. ParameterCarbonAssumptions'!$C$40-'VI. ParameterCarbonAssumptions'!$B$40)+M25</f>
        <v>532034.25231552427</v>
      </c>
      <c r="O25" s="8">
        <f>+'III. AreaAnnual_distribution'!J49*('VI. ParameterCarbonAssumptions'!$C$40-'VI. ParameterCarbonAssumptions'!$B$40)+N25</f>
        <v>1064068.5046310485</v>
      </c>
      <c r="P25" s="8">
        <f>+'III. AreaAnnual_distribution'!K49*('VI. ParameterCarbonAssumptions'!$C$40-'VI. ParameterCarbonAssumptions'!$B$40)+O25</f>
        <v>1596102.7569465728</v>
      </c>
      <c r="Q25" s="8">
        <f>+'III. AreaAnnual_distribution'!L49*('VI. ParameterCarbonAssumptions'!$C$40-'VI. ParameterCarbonAssumptions'!$B$40)+P25</f>
        <v>2128137.0092620971</v>
      </c>
      <c r="R25" s="8">
        <f>+'III. AreaAnnual_distribution'!M49*('VI. ParameterCarbonAssumptions'!$C$40-'VI. ParameterCarbonAssumptions'!$B$40)+Q25</f>
        <v>2660171.2615776211</v>
      </c>
      <c r="S25" s="8">
        <f>+'III. AreaAnnual_distribution'!N49*('VI. ParameterCarbonAssumptions'!$C$40-'VI. ParameterCarbonAssumptions'!$B$40)+R25</f>
        <v>3192205.5138931451</v>
      </c>
      <c r="T25" s="8">
        <f>+'III. AreaAnnual_distribution'!O49*('VI. ParameterCarbonAssumptions'!$C$40-'VI. ParameterCarbonAssumptions'!$B$40)+S25</f>
        <v>3724239.7662086692</v>
      </c>
      <c r="U25" s="8">
        <f>+'III. AreaAnnual_distribution'!P49*('VI. ParameterCarbonAssumptions'!$C$40-'VI. ParameterCarbonAssumptions'!$B$40)+T25</f>
        <v>4256274.0185241932</v>
      </c>
      <c r="V25" s="8">
        <f>+'III. AreaAnnual_distribution'!Q49*('VI. ParameterCarbonAssumptions'!$C$40-'VI. ParameterCarbonAssumptions'!$B$40)+U25</f>
        <v>4788308.2708397172</v>
      </c>
      <c r="W25" s="8">
        <f>+'III. AreaAnnual_distribution'!R49*('VI. ParameterCarbonAssumptions'!$C$40-'VI. ParameterCarbonAssumptions'!$B$40)+V25</f>
        <v>5320342.5231552413</v>
      </c>
      <c r="X25" s="8">
        <f>+'III. AreaAnnual_distribution'!S49*('VI. ParameterCarbonAssumptions'!$C$40-'VI. ParameterCarbonAssumptions'!$B$40)+W25</f>
        <v>5852376.7754707653</v>
      </c>
      <c r="Y25" s="8">
        <f>+'III. AreaAnnual_distribution'!T49*('VI. ParameterCarbonAssumptions'!$C$40-'VI. ParameterCarbonAssumptions'!$B$40)+X25</f>
        <v>6384411.0277862893</v>
      </c>
      <c r="Z25" s="8">
        <f>+'III. AreaAnnual_distribution'!U49*('VI. ParameterCarbonAssumptions'!$C$40-'VI. ParameterCarbonAssumptions'!$B$40)+Y25</f>
        <v>6916445.2801018134</v>
      </c>
      <c r="AA25" s="8">
        <f>+'III. AreaAnnual_distribution'!V49*('VI. ParameterCarbonAssumptions'!$C$40-'VI. ParameterCarbonAssumptions'!$B$40)+Z25</f>
        <v>7448479.5324173374</v>
      </c>
    </row>
    <row r="26" spans="1:27" s="3" customFormat="1" x14ac:dyDescent="0.25">
      <c r="A26" s="232" t="s">
        <v>84</v>
      </c>
      <c r="B26" s="182">
        <f t="shared" si="1"/>
        <v>0</v>
      </c>
      <c r="C26" s="182">
        <f t="shared" si="2"/>
        <v>0</v>
      </c>
      <c r="D26" s="182">
        <f t="shared" si="3"/>
        <v>0</v>
      </c>
      <c r="E26" s="182">
        <f t="shared" si="4"/>
        <v>0</v>
      </c>
      <c r="F26" s="182">
        <f t="shared" si="5"/>
        <v>0</v>
      </c>
      <c r="G26" s="182">
        <f t="shared" si="6"/>
        <v>0</v>
      </c>
      <c r="H26" s="236">
        <f>+'III. AreaAnnual_distribution'!C50*('VI. ParameterCarbonAssumptions'!$C$40-'VI. ParameterCarbonAssumptions'!$B$40)</f>
        <v>0</v>
      </c>
      <c r="I26" s="8">
        <f>+'III. AreaAnnual_distribution'!D50*('VI. ParameterCarbonAssumptions'!$C$40-'VI. ParameterCarbonAssumptions'!$B$40)+H26</f>
        <v>0</v>
      </c>
      <c r="J26" s="8">
        <f>+'III. AreaAnnual_distribution'!E50*('VI. ParameterCarbonAssumptions'!$C$40-'VI. ParameterCarbonAssumptions'!$B$40)+I26</f>
        <v>0</v>
      </c>
      <c r="K26" s="8">
        <f>+'III. AreaAnnual_distribution'!F50*('VI. ParameterCarbonAssumptions'!$C$40-'VI. ParameterCarbonAssumptions'!$B$40)+J26</f>
        <v>0</v>
      </c>
      <c r="L26" s="8">
        <f>+'III. AreaAnnual_distribution'!G50*('VI. ParameterCarbonAssumptions'!$C$40-'VI. ParameterCarbonAssumptions'!$B$40)+K26</f>
        <v>0</v>
      </c>
      <c r="M26" s="8">
        <f>+'III. AreaAnnual_distribution'!H50*('VI. ParameterCarbonAssumptions'!$C$40-'VI. ParameterCarbonAssumptions'!$B$40)+L26</f>
        <v>0</v>
      </c>
      <c r="N26" s="8">
        <f>+'III. AreaAnnual_distribution'!I50*('VI. ParameterCarbonAssumptions'!$C$40-'VI. ParameterCarbonAssumptions'!$B$40)+M26</f>
        <v>0</v>
      </c>
      <c r="O26" s="8">
        <f>+'III. AreaAnnual_distribution'!J50*('VI. ParameterCarbonAssumptions'!$C$40-'VI. ParameterCarbonAssumptions'!$B$40)+N26</f>
        <v>0</v>
      </c>
      <c r="P26" s="8">
        <f>+'III. AreaAnnual_distribution'!K50*('VI. ParameterCarbonAssumptions'!$C$40-'VI. ParameterCarbonAssumptions'!$B$40)+O26</f>
        <v>0</v>
      </c>
      <c r="Q26" s="8">
        <f>+'III. AreaAnnual_distribution'!L50*('VI. ParameterCarbonAssumptions'!$C$40-'VI. ParameterCarbonAssumptions'!$B$40)+P26</f>
        <v>0</v>
      </c>
      <c r="R26" s="8">
        <f>+'III. AreaAnnual_distribution'!M50*('VI. ParameterCarbonAssumptions'!$C$40-'VI. ParameterCarbonAssumptions'!$B$40)+Q26</f>
        <v>0</v>
      </c>
      <c r="S26" s="8">
        <f>+'III. AreaAnnual_distribution'!N50*('VI. ParameterCarbonAssumptions'!$C$40-'VI. ParameterCarbonAssumptions'!$B$40)+R26</f>
        <v>0</v>
      </c>
      <c r="T26" s="8">
        <f>+'III. AreaAnnual_distribution'!O50*('VI. ParameterCarbonAssumptions'!$C$40-'VI. ParameterCarbonAssumptions'!$B$40)+S26</f>
        <v>0</v>
      </c>
      <c r="U26" s="8">
        <f>+'III. AreaAnnual_distribution'!P50*('VI. ParameterCarbonAssumptions'!$C$40-'VI. ParameterCarbonAssumptions'!$B$40)+T26</f>
        <v>0</v>
      </c>
      <c r="V26" s="8">
        <f>+'III. AreaAnnual_distribution'!Q50*('VI. ParameterCarbonAssumptions'!$C$40-'VI. ParameterCarbonAssumptions'!$B$40)+U26</f>
        <v>0</v>
      </c>
      <c r="W26" s="8">
        <f>+'III. AreaAnnual_distribution'!R50*('VI. ParameterCarbonAssumptions'!$C$40-'VI. ParameterCarbonAssumptions'!$B$40)+V26</f>
        <v>0</v>
      </c>
      <c r="X26" s="8">
        <f>+'III. AreaAnnual_distribution'!S50*('VI. ParameterCarbonAssumptions'!$C$40-'VI. ParameterCarbonAssumptions'!$B$40)+W26</f>
        <v>0</v>
      </c>
      <c r="Y26" s="8">
        <f>+'III. AreaAnnual_distribution'!T50*('VI. ParameterCarbonAssumptions'!$C$40-'VI. ParameterCarbonAssumptions'!$B$40)+X26</f>
        <v>0</v>
      </c>
      <c r="Z26" s="8">
        <f>+'III. AreaAnnual_distribution'!U50*('VI. ParameterCarbonAssumptions'!$C$40-'VI. ParameterCarbonAssumptions'!$B$40)+Y26</f>
        <v>0</v>
      </c>
      <c r="AA26" s="8">
        <f>+'III. AreaAnnual_distribution'!V50*('VI. ParameterCarbonAssumptions'!$C$40-'VI. ParameterCarbonAssumptions'!$B$40)+Z26</f>
        <v>0</v>
      </c>
    </row>
    <row r="27" spans="1:27" s="3" customFormat="1" x14ac:dyDescent="0.25">
      <c r="A27" s="232" t="s">
        <v>64</v>
      </c>
      <c r="B27" s="48">
        <f t="shared" si="1"/>
        <v>206079.62497743446</v>
      </c>
      <c r="C27" s="48">
        <f t="shared" si="2"/>
        <v>2343709.0056779347</v>
      </c>
      <c r="D27" s="48">
        <f t="shared" si="3"/>
        <v>2943994.642534778</v>
      </c>
      <c r="E27" s="48">
        <f t="shared" si="4"/>
        <v>17663967.855208661</v>
      </c>
      <c r="F27" s="48">
        <f t="shared" si="5"/>
        <v>25691861.690256</v>
      </c>
      <c r="G27" s="48">
        <f t="shared" si="6"/>
        <v>39071684.748668239</v>
      </c>
      <c r="H27" s="238">
        <f t="shared" ref="H27:AA27" si="15">+H6+H16</f>
        <v>0</v>
      </c>
      <c r="I27" s="59">
        <f t="shared" si="15"/>
        <v>206079.62497743446</v>
      </c>
      <c r="J27" s="59">
        <f t="shared" si="15"/>
        <v>928893.38708825386</v>
      </c>
      <c r="K27" s="59">
        <f t="shared" si="15"/>
        <v>1671252.5814133601</v>
      </c>
      <c r="L27" s="59">
        <f t="shared" si="15"/>
        <v>2343709.0056779347</v>
      </c>
      <c r="M27" s="59">
        <f t="shared" si="15"/>
        <v>2757986.3856746634</v>
      </c>
      <c r="N27" s="59">
        <f t="shared" si="15"/>
        <v>2943994.642534778</v>
      </c>
      <c r="O27" s="59">
        <f t="shared" si="15"/>
        <v>5887989.285069555</v>
      </c>
      <c r="P27" s="59">
        <f t="shared" si="15"/>
        <v>8831983.9276043326</v>
      </c>
      <c r="Q27" s="59">
        <f t="shared" si="15"/>
        <v>11775978.570139108</v>
      </c>
      <c r="R27" s="59">
        <f t="shared" si="15"/>
        <v>14719973.212673886</v>
      </c>
      <c r="S27" s="59">
        <f t="shared" si="15"/>
        <v>17663967.855208661</v>
      </c>
      <c r="T27" s="59">
        <f t="shared" si="15"/>
        <v>20339932.46689111</v>
      </c>
      <c r="U27" s="59">
        <f t="shared" si="15"/>
        <v>23015897.078573555</v>
      </c>
      <c r="V27" s="59">
        <f t="shared" si="15"/>
        <v>25691861.690256</v>
      </c>
      <c r="W27" s="59">
        <f t="shared" si="15"/>
        <v>28367826.301938448</v>
      </c>
      <c r="X27" s="59">
        <f t="shared" si="15"/>
        <v>31043790.913620897</v>
      </c>
      <c r="Y27" s="59">
        <f t="shared" si="15"/>
        <v>33719755.525303341</v>
      </c>
      <c r="Z27" s="59">
        <f t="shared" si="15"/>
        <v>36395720.136985786</v>
      </c>
      <c r="AA27" s="59">
        <f t="shared" si="15"/>
        <v>39071684.748668239</v>
      </c>
    </row>
    <row r="28" spans="1:27" s="121" customFormat="1" x14ac:dyDescent="0.25">
      <c r="A28" s="42" t="s">
        <v>241</v>
      </c>
      <c r="B28" s="26"/>
      <c r="C28" s="26"/>
      <c r="D28" s="26"/>
      <c r="E28" s="26"/>
      <c r="F28" s="26"/>
      <c r="G28" s="26"/>
      <c r="H28" s="243"/>
      <c r="I28" s="39"/>
      <c r="J28" s="39"/>
      <c r="K28" s="39"/>
      <c r="L28" s="39"/>
      <c r="M28" s="39"/>
      <c r="N28" s="39"/>
      <c r="O28" s="39"/>
      <c r="P28" s="39"/>
      <c r="Q28" s="39"/>
      <c r="R28" s="39"/>
      <c r="S28" s="39"/>
      <c r="T28" s="39"/>
      <c r="U28" s="39"/>
      <c r="V28" s="39"/>
      <c r="W28" s="39"/>
      <c r="X28" s="39"/>
      <c r="Y28" s="39"/>
      <c r="Z28" s="39"/>
      <c r="AA28" s="39"/>
    </row>
    <row r="29" spans="1:27" s="22" customFormat="1" x14ac:dyDescent="0.25">
      <c r="A29" s="239" t="s">
        <v>242</v>
      </c>
      <c r="B29" s="219">
        <f t="shared" si="1"/>
        <v>1776505.103719688</v>
      </c>
      <c r="C29" s="219">
        <f t="shared" si="2"/>
        <v>4441262.7592992205</v>
      </c>
      <c r="D29" s="219">
        <f t="shared" si="3"/>
        <v>6217767.8630189095</v>
      </c>
      <c r="E29" s="219">
        <f t="shared" si="4"/>
        <v>10659030.622318132</v>
      </c>
      <c r="F29" s="219">
        <f t="shared" si="5"/>
        <v>13323788.277897665</v>
      </c>
      <c r="G29" s="219">
        <f t="shared" si="6"/>
        <v>17765051.037196886</v>
      </c>
      <c r="H29" s="240">
        <f>+'III. AreaAnnual_distribution'!C56*('VI. ParameterCarbonAssumptions'!$C$39-'VI. ParameterCarbonAssumptions'!$B$39)</f>
        <v>888252.55185984401</v>
      </c>
      <c r="I29" s="183">
        <f>+'III. AreaAnnual_distribution'!D56*('VI. ParameterCarbonAssumptions'!$C$39-'VI. ParameterCarbonAssumptions'!$B$39)+H29</f>
        <v>1776505.103719688</v>
      </c>
      <c r="J29" s="183">
        <f>+'III. AreaAnnual_distribution'!E56*('VI. ParameterCarbonAssumptions'!$C$39-'VI. ParameterCarbonAssumptions'!$B$39)+I29</f>
        <v>2664757.655579532</v>
      </c>
      <c r="K29" s="183">
        <f>+'III. AreaAnnual_distribution'!F56*('VI. ParameterCarbonAssumptions'!$C$39-'VI. ParameterCarbonAssumptions'!$B$39)+J29</f>
        <v>3553010.207439376</v>
      </c>
      <c r="L29" s="183">
        <f>+'III. AreaAnnual_distribution'!G56*('VI. ParameterCarbonAssumptions'!$C$39-'VI. ParameterCarbonAssumptions'!$B$39)+K29</f>
        <v>4441262.7592992205</v>
      </c>
      <c r="M29" s="183">
        <f>+'III. AreaAnnual_distribution'!H56*('VI. ParameterCarbonAssumptions'!$C$39-'VI. ParameterCarbonAssumptions'!$B$39)+L29</f>
        <v>5329515.311159065</v>
      </c>
      <c r="N29" s="183">
        <f>+'III. AreaAnnual_distribution'!I56*('VI. ParameterCarbonAssumptions'!$C$39-'VI. ParameterCarbonAssumptions'!$B$39)+M29</f>
        <v>6217767.8630189095</v>
      </c>
      <c r="O29" s="183">
        <f>+'III. AreaAnnual_distribution'!J56*('VI. ParameterCarbonAssumptions'!$C$39-'VI. ParameterCarbonAssumptions'!$B$39)+N29</f>
        <v>7106020.4148787539</v>
      </c>
      <c r="P29" s="183">
        <f>+'III. AreaAnnual_distribution'!K56*('VI. ParameterCarbonAssumptions'!$C$39-'VI. ParameterCarbonAssumptions'!$B$39)+O29</f>
        <v>7994272.9667385984</v>
      </c>
      <c r="Q29" s="183">
        <f>+'III. AreaAnnual_distribution'!L56*('VI. ParameterCarbonAssumptions'!$C$39-'VI. ParameterCarbonAssumptions'!$B$39)+P29</f>
        <v>8882525.5185984429</v>
      </c>
      <c r="R29" s="183">
        <f>+'III. AreaAnnual_distribution'!M56*('VI. ParameterCarbonAssumptions'!$C$39-'VI. ParameterCarbonAssumptions'!$B$39)+Q29</f>
        <v>9770778.0704582874</v>
      </c>
      <c r="S29" s="183">
        <f>+'III. AreaAnnual_distribution'!N56*('VI. ParameterCarbonAssumptions'!$C$39-'VI. ParameterCarbonAssumptions'!$B$39)+R29</f>
        <v>10659030.622318132</v>
      </c>
      <c r="T29" s="183">
        <f>+'III. AreaAnnual_distribution'!O56*('VI. ParameterCarbonAssumptions'!$C$39-'VI. ParameterCarbonAssumptions'!$B$39)+S29</f>
        <v>11547283.174177976</v>
      </c>
      <c r="U29" s="183">
        <f>+'III. AreaAnnual_distribution'!P56*('VI. ParameterCarbonAssumptions'!$C$39-'VI. ParameterCarbonAssumptions'!$B$39)+T29</f>
        <v>12435535.726037821</v>
      </c>
      <c r="V29" s="183">
        <f>+'III. AreaAnnual_distribution'!Q56*('VI. ParameterCarbonAssumptions'!$C$39-'VI. ParameterCarbonAssumptions'!$B$39)+U29</f>
        <v>13323788.277897665</v>
      </c>
      <c r="W29" s="183">
        <f>+'III. AreaAnnual_distribution'!R56*('VI. ParameterCarbonAssumptions'!$C$39-'VI. ParameterCarbonAssumptions'!$B$39)+V29</f>
        <v>14212040.82975751</v>
      </c>
      <c r="X29" s="183">
        <f>+'III. AreaAnnual_distribution'!S56*('VI. ParameterCarbonAssumptions'!$C$39-'VI. ParameterCarbonAssumptions'!$B$39)+W29</f>
        <v>15100293.381617354</v>
      </c>
      <c r="Y29" s="183">
        <f>+'III. AreaAnnual_distribution'!T56*('VI. ParameterCarbonAssumptions'!$C$39-'VI. ParameterCarbonAssumptions'!$B$39)+X29</f>
        <v>15988545.933477199</v>
      </c>
      <c r="Z29" s="183">
        <f>+'III. AreaAnnual_distribution'!U56*('VI. ParameterCarbonAssumptions'!$C$39-'VI. ParameterCarbonAssumptions'!$B$39)+Y29</f>
        <v>16876798.485337041</v>
      </c>
      <c r="AA29" s="183">
        <f>+'III. AreaAnnual_distribution'!V56*('VI. ParameterCarbonAssumptions'!$C$39-'VI. ParameterCarbonAssumptions'!$B$39)+Z29</f>
        <v>17765051.037196886</v>
      </c>
    </row>
    <row r="30" spans="1:27" s="22" customFormat="1" x14ac:dyDescent="0.25">
      <c r="A30" s="239" t="s">
        <v>243</v>
      </c>
      <c r="B30" s="219">
        <f t="shared" si="1"/>
        <v>1746923.1171191332</v>
      </c>
      <c r="C30" s="219">
        <f t="shared" si="2"/>
        <v>4367307.7927978327</v>
      </c>
      <c r="D30" s="219">
        <f t="shared" si="3"/>
        <v>6114230.9099169662</v>
      </c>
      <c r="E30" s="219">
        <f t="shared" si="4"/>
        <v>10481538.702714799</v>
      </c>
      <c r="F30" s="219">
        <f t="shared" si="5"/>
        <v>13101923.378393499</v>
      </c>
      <c r="G30" s="219">
        <f t="shared" si="6"/>
        <v>17469231.171191331</v>
      </c>
      <c r="H30" s="240">
        <f>+'III. AreaAnnual_distribution'!C57*('VI. ParameterCarbonAssumptions'!$C$40-'VI. ParameterCarbonAssumptions'!$B$40)</f>
        <v>873461.55855956662</v>
      </c>
      <c r="I30" s="183">
        <f>+'III. AreaAnnual_distribution'!D57*('VI. ParameterCarbonAssumptions'!$C$40-'VI. ParameterCarbonAssumptions'!$B$40)+H30</f>
        <v>1746923.1171191332</v>
      </c>
      <c r="J30" s="183">
        <f>+'III. AreaAnnual_distribution'!E57*('VI. ParameterCarbonAssumptions'!$C$40-'VI. ParameterCarbonAssumptions'!$B$40)+I30</f>
        <v>2620384.6756786997</v>
      </c>
      <c r="K30" s="183">
        <f>+'III. AreaAnnual_distribution'!F57*('VI. ParameterCarbonAssumptions'!$C$40-'VI. ParameterCarbonAssumptions'!$B$40)+J30</f>
        <v>3493846.2342382665</v>
      </c>
      <c r="L30" s="183">
        <f>+'III. AreaAnnual_distribution'!G57*('VI. ParameterCarbonAssumptions'!$C$40-'VI. ParameterCarbonAssumptions'!$B$40)+K30</f>
        <v>4367307.7927978327</v>
      </c>
      <c r="M30" s="183">
        <f>+'III. AreaAnnual_distribution'!H57*('VI. ParameterCarbonAssumptions'!$C$40-'VI. ParameterCarbonAssumptions'!$B$40)+L30</f>
        <v>5240769.3513573995</v>
      </c>
      <c r="N30" s="183">
        <f>+'III. AreaAnnual_distribution'!I57*('VI. ParameterCarbonAssumptions'!$C$40-'VI. ParameterCarbonAssumptions'!$B$40)+M30</f>
        <v>6114230.9099169662</v>
      </c>
      <c r="O30" s="183">
        <f>+'III. AreaAnnual_distribution'!J57*('VI. ParameterCarbonAssumptions'!$C$40-'VI. ParameterCarbonAssumptions'!$B$40)+N30</f>
        <v>6987692.468476533</v>
      </c>
      <c r="P30" s="183">
        <f>+'III. AreaAnnual_distribution'!K57*('VI. ParameterCarbonAssumptions'!$C$40-'VI. ParameterCarbonAssumptions'!$B$40)+O30</f>
        <v>7861154.0270360997</v>
      </c>
      <c r="Q30" s="183">
        <f>+'III. AreaAnnual_distribution'!L57*('VI. ParameterCarbonAssumptions'!$C$40-'VI. ParameterCarbonAssumptions'!$B$40)+P30</f>
        <v>8734615.5855956655</v>
      </c>
      <c r="R30" s="183">
        <f>+'III. AreaAnnual_distribution'!M57*('VI. ParameterCarbonAssumptions'!$C$40-'VI. ParameterCarbonAssumptions'!$B$40)+Q30</f>
        <v>9608077.1441552322</v>
      </c>
      <c r="S30" s="183">
        <f>+'III. AreaAnnual_distribution'!N57*('VI. ParameterCarbonAssumptions'!$C$40-'VI. ParameterCarbonAssumptions'!$B$40)+R30</f>
        <v>10481538.702714799</v>
      </c>
      <c r="T30" s="183">
        <f>+'III. AreaAnnual_distribution'!O57*('VI. ParameterCarbonAssumptions'!$C$40-'VI. ParameterCarbonAssumptions'!$B$40)+S30</f>
        <v>11355000.261274366</v>
      </c>
      <c r="U30" s="183">
        <f>+'III. AreaAnnual_distribution'!P57*('VI. ParameterCarbonAssumptions'!$C$40-'VI. ParameterCarbonAssumptions'!$B$40)+T30</f>
        <v>12228461.819833932</v>
      </c>
      <c r="V30" s="183">
        <f>+'III. AreaAnnual_distribution'!Q57*('VI. ParameterCarbonAssumptions'!$C$40-'VI. ParameterCarbonAssumptions'!$B$40)+U30</f>
        <v>13101923.378393499</v>
      </c>
      <c r="W30" s="183">
        <f>+'III. AreaAnnual_distribution'!R57*('VI. ParameterCarbonAssumptions'!$C$40-'VI. ParameterCarbonAssumptions'!$B$40)+V30</f>
        <v>13975384.936953066</v>
      </c>
      <c r="X30" s="183">
        <f>+'III. AreaAnnual_distribution'!S57*('VI. ParameterCarbonAssumptions'!$C$40-'VI. ParameterCarbonAssumptions'!$B$40)+W30</f>
        <v>14848846.495512633</v>
      </c>
      <c r="Y30" s="183">
        <f>+'III. AreaAnnual_distribution'!T57*('VI. ParameterCarbonAssumptions'!$C$40-'VI. ParameterCarbonAssumptions'!$B$40)+X30</f>
        <v>15722308.054072199</v>
      </c>
      <c r="Z30" s="183">
        <f>+'III. AreaAnnual_distribution'!U57*('VI. ParameterCarbonAssumptions'!$C$40-'VI. ParameterCarbonAssumptions'!$B$40)+Y30</f>
        <v>16595769.612631766</v>
      </c>
      <c r="AA30" s="183">
        <f>+'III. AreaAnnual_distribution'!V57*('VI. ParameterCarbonAssumptions'!$C$40-'VI. ParameterCarbonAssumptions'!$B$40)+Z30</f>
        <v>17469231.171191331</v>
      </c>
    </row>
    <row r="31" spans="1:27" s="22" customFormat="1" x14ac:dyDescent="0.25">
      <c r="A31" s="239" t="s">
        <v>244</v>
      </c>
      <c r="B31" s="219">
        <f t="shared" si="1"/>
        <v>0</v>
      </c>
      <c r="C31" s="219">
        <f t="shared" si="2"/>
        <v>0</v>
      </c>
      <c r="D31" s="219">
        <f t="shared" si="3"/>
        <v>0</v>
      </c>
      <c r="E31" s="219">
        <f t="shared" si="4"/>
        <v>0</v>
      </c>
      <c r="F31" s="219">
        <f t="shared" si="5"/>
        <v>0</v>
      </c>
      <c r="G31" s="219">
        <f t="shared" si="6"/>
        <v>0</v>
      </c>
      <c r="H31" s="240">
        <v>0</v>
      </c>
      <c r="I31" s="240">
        <v>0</v>
      </c>
      <c r="J31" s="240">
        <v>0</v>
      </c>
      <c r="K31" s="240">
        <v>0</v>
      </c>
      <c r="L31" s="240">
        <v>0</v>
      </c>
      <c r="M31" s="240">
        <v>0</v>
      </c>
      <c r="N31" s="240">
        <v>0</v>
      </c>
      <c r="O31" s="240">
        <v>0</v>
      </c>
      <c r="P31" s="240">
        <v>0</v>
      </c>
      <c r="Q31" s="240">
        <v>0</v>
      </c>
      <c r="R31" s="240">
        <v>0</v>
      </c>
      <c r="S31" s="240">
        <v>0</v>
      </c>
      <c r="T31" s="240">
        <v>0</v>
      </c>
      <c r="U31" s="240">
        <v>0</v>
      </c>
      <c r="V31" s="240">
        <v>0</v>
      </c>
      <c r="W31" s="240">
        <v>0</v>
      </c>
      <c r="X31" s="240">
        <v>0</v>
      </c>
      <c r="Y31" s="240">
        <v>0</v>
      </c>
      <c r="Z31" s="240">
        <v>0</v>
      </c>
      <c r="AA31" s="240">
        <v>0</v>
      </c>
    </row>
    <row r="32" spans="1:27" s="22" customFormat="1" x14ac:dyDescent="0.25">
      <c r="A32" s="232" t="s">
        <v>64</v>
      </c>
      <c r="B32" s="219">
        <f t="shared" si="1"/>
        <v>3523428.2208388215</v>
      </c>
      <c r="C32" s="219">
        <f t="shared" si="2"/>
        <v>8808570.5520970523</v>
      </c>
      <c r="D32" s="219">
        <f t="shared" si="3"/>
        <v>12331998.772935875</v>
      </c>
      <c r="E32" s="219">
        <f t="shared" si="4"/>
        <v>21140569.325032931</v>
      </c>
      <c r="F32" s="219">
        <f t="shared" si="5"/>
        <v>26425711.656291164</v>
      </c>
      <c r="G32" s="219">
        <f t="shared" si="6"/>
        <v>35234282.208388217</v>
      </c>
      <c r="H32" s="106">
        <f t="shared" ref="H32:AA32" si="16">SUM(H29:H30)</f>
        <v>1761714.1104194107</v>
      </c>
      <c r="I32" s="20">
        <f t="shared" si="16"/>
        <v>3523428.2208388215</v>
      </c>
      <c r="J32" s="20">
        <f t="shared" si="16"/>
        <v>5285142.3312582318</v>
      </c>
      <c r="K32" s="20">
        <f t="shared" si="16"/>
        <v>7046856.441677643</v>
      </c>
      <c r="L32" s="20">
        <f t="shared" si="16"/>
        <v>8808570.5520970523</v>
      </c>
      <c r="M32" s="20">
        <f t="shared" si="16"/>
        <v>10570284.662516464</v>
      </c>
      <c r="N32" s="20">
        <f t="shared" si="16"/>
        <v>12331998.772935875</v>
      </c>
      <c r="O32" s="20">
        <f t="shared" si="16"/>
        <v>14093712.883355286</v>
      </c>
      <c r="P32" s="20">
        <f t="shared" si="16"/>
        <v>15855426.993774697</v>
      </c>
      <c r="Q32" s="20">
        <f t="shared" si="16"/>
        <v>17617141.104194108</v>
      </c>
      <c r="R32" s="20">
        <f t="shared" si="16"/>
        <v>19378855.21461352</v>
      </c>
      <c r="S32" s="20">
        <f t="shared" si="16"/>
        <v>21140569.325032931</v>
      </c>
      <c r="T32" s="20">
        <f t="shared" si="16"/>
        <v>22902283.435452342</v>
      </c>
      <c r="U32" s="20">
        <f t="shared" si="16"/>
        <v>24663997.545871753</v>
      </c>
      <c r="V32" s="20">
        <f t="shared" si="16"/>
        <v>26425711.656291164</v>
      </c>
      <c r="W32" s="20">
        <f t="shared" si="16"/>
        <v>28187425.766710576</v>
      </c>
      <c r="X32" s="20">
        <f t="shared" si="16"/>
        <v>29949139.877129987</v>
      </c>
      <c r="Y32" s="20">
        <f t="shared" si="16"/>
        <v>31710853.987549398</v>
      </c>
      <c r="Z32" s="20">
        <f t="shared" si="16"/>
        <v>33472568.097968809</v>
      </c>
      <c r="AA32" s="20">
        <f t="shared" si="16"/>
        <v>35234282.208388217</v>
      </c>
    </row>
    <row r="33" spans="1:27" s="122" customFormat="1" x14ac:dyDescent="0.25">
      <c r="A33" s="85" t="s">
        <v>245</v>
      </c>
      <c r="B33" s="242"/>
      <c r="C33" s="242"/>
      <c r="D33" s="242"/>
      <c r="E33" s="242"/>
      <c r="F33" s="242"/>
      <c r="G33" s="242"/>
      <c r="H33" s="91"/>
      <c r="I33" s="86"/>
      <c r="J33" s="86"/>
      <c r="K33" s="86"/>
      <c r="L33" s="86"/>
      <c r="M33" s="86"/>
      <c r="N33" s="86"/>
      <c r="O33" s="86"/>
      <c r="P33" s="86"/>
      <c r="Q33" s="86"/>
      <c r="R33" s="86"/>
      <c r="S33" s="86"/>
      <c r="T33" s="86"/>
      <c r="U33" s="86"/>
      <c r="V33" s="86"/>
      <c r="W33" s="86"/>
      <c r="X33" s="86"/>
      <c r="Y33" s="86"/>
      <c r="Z33" s="86"/>
      <c r="AA33" s="86"/>
    </row>
    <row r="34" spans="1:27" s="22" customFormat="1" x14ac:dyDescent="0.25">
      <c r="A34" s="232" t="s">
        <v>246</v>
      </c>
      <c r="B34" s="220">
        <f t="shared" ref="B34:AA34" si="17">+B27</f>
        <v>206079.62497743446</v>
      </c>
      <c r="C34" s="220">
        <f t="shared" si="17"/>
        <v>2343709.0056779347</v>
      </c>
      <c r="D34" s="220">
        <f t="shared" si="17"/>
        <v>2943994.642534778</v>
      </c>
      <c r="E34" s="220">
        <f t="shared" si="17"/>
        <v>17663967.855208661</v>
      </c>
      <c r="F34" s="220">
        <f t="shared" si="17"/>
        <v>25691861.690256</v>
      </c>
      <c r="G34" s="220">
        <f t="shared" si="17"/>
        <v>39071684.748668239</v>
      </c>
      <c r="H34" s="241">
        <f t="shared" si="17"/>
        <v>0</v>
      </c>
      <c r="I34" s="220">
        <f t="shared" si="17"/>
        <v>206079.62497743446</v>
      </c>
      <c r="J34" s="220">
        <f t="shared" si="17"/>
        <v>928893.38708825386</v>
      </c>
      <c r="K34" s="220">
        <f t="shared" si="17"/>
        <v>1671252.5814133601</v>
      </c>
      <c r="L34" s="220">
        <f t="shared" si="17"/>
        <v>2343709.0056779347</v>
      </c>
      <c r="M34" s="220">
        <f t="shared" si="17"/>
        <v>2757986.3856746634</v>
      </c>
      <c r="N34" s="220">
        <f t="shared" si="17"/>
        <v>2943994.642534778</v>
      </c>
      <c r="O34" s="220">
        <f t="shared" si="17"/>
        <v>5887989.285069555</v>
      </c>
      <c r="P34" s="220">
        <f t="shared" si="17"/>
        <v>8831983.9276043326</v>
      </c>
      <c r="Q34" s="220">
        <f t="shared" si="17"/>
        <v>11775978.570139108</v>
      </c>
      <c r="R34" s="220">
        <f t="shared" si="17"/>
        <v>14719973.212673886</v>
      </c>
      <c r="S34" s="220">
        <f t="shared" si="17"/>
        <v>17663967.855208661</v>
      </c>
      <c r="T34" s="220">
        <f t="shared" si="17"/>
        <v>20339932.46689111</v>
      </c>
      <c r="U34" s="220">
        <f t="shared" si="17"/>
        <v>23015897.078573555</v>
      </c>
      <c r="V34" s="220">
        <f t="shared" si="17"/>
        <v>25691861.690256</v>
      </c>
      <c r="W34" s="220">
        <f t="shared" si="17"/>
        <v>28367826.301938448</v>
      </c>
      <c r="X34" s="220">
        <f t="shared" si="17"/>
        <v>31043790.913620897</v>
      </c>
      <c r="Y34" s="220">
        <f t="shared" si="17"/>
        <v>33719755.525303341</v>
      </c>
      <c r="Z34" s="220">
        <f t="shared" si="17"/>
        <v>36395720.136985786</v>
      </c>
      <c r="AA34" s="220">
        <f t="shared" si="17"/>
        <v>39071684.748668239</v>
      </c>
    </row>
    <row r="35" spans="1:27" s="22" customFormat="1" x14ac:dyDescent="0.25">
      <c r="A35" s="232" t="s">
        <v>247</v>
      </c>
      <c r="B35" s="220">
        <f t="shared" ref="B35:AA35" si="18">+B32</f>
        <v>3523428.2208388215</v>
      </c>
      <c r="C35" s="220">
        <f t="shared" si="18"/>
        <v>8808570.5520970523</v>
      </c>
      <c r="D35" s="220">
        <f t="shared" si="18"/>
        <v>12331998.772935875</v>
      </c>
      <c r="E35" s="220">
        <f t="shared" si="18"/>
        <v>21140569.325032931</v>
      </c>
      <c r="F35" s="220">
        <f t="shared" si="18"/>
        <v>26425711.656291164</v>
      </c>
      <c r="G35" s="220">
        <f t="shared" si="18"/>
        <v>35234282.208388217</v>
      </c>
      <c r="H35" s="241">
        <f t="shared" si="18"/>
        <v>1761714.1104194107</v>
      </c>
      <c r="I35" s="220">
        <f t="shared" si="18"/>
        <v>3523428.2208388215</v>
      </c>
      <c r="J35" s="220">
        <f t="shared" si="18"/>
        <v>5285142.3312582318</v>
      </c>
      <c r="K35" s="220">
        <f t="shared" si="18"/>
        <v>7046856.441677643</v>
      </c>
      <c r="L35" s="220">
        <f t="shared" si="18"/>
        <v>8808570.5520970523</v>
      </c>
      <c r="M35" s="220">
        <f t="shared" si="18"/>
        <v>10570284.662516464</v>
      </c>
      <c r="N35" s="220">
        <f t="shared" si="18"/>
        <v>12331998.772935875</v>
      </c>
      <c r="O35" s="220">
        <f t="shared" si="18"/>
        <v>14093712.883355286</v>
      </c>
      <c r="P35" s="220">
        <f t="shared" si="18"/>
        <v>15855426.993774697</v>
      </c>
      <c r="Q35" s="220">
        <f t="shared" si="18"/>
        <v>17617141.104194108</v>
      </c>
      <c r="R35" s="220">
        <f t="shared" si="18"/>
        <v>19378855.21461352</v>
      </c>
      <c r="S35" s="220">
        <f t="shared" si="18"/>
        <v>21140569.325032931</v>
      </c>
      <c r="T35" s="220">
        <f t="shared" si="18"/>
        <v>22902283.435452342</v>
      </c>
      <c r="U35" s="220">
        <f t="shared" si="18"/>
        <v>24663997.545871753</v>
      </c>
      <c r="V35" s="220">
        <f t="shared" si="18"/>
        <v>26425711.656291164</v>
      </c>
      <c r="W35" s="220">
        <f t="shared" si="18"/>
        <v>28187425.766710576</v>
      </c>
      <c r="X35" s="220">
        <f t="shared" si="18"/>
        <v>29949139.877129987</v>
      </c>
      <c r="Y35" s="220">
        <f t="shared" si="18"/>
        <v>31710853.987549398</v>
      </c>
      <c r="Z35" s="220">
        <f t="shared" si="18"/>
        <v>33472568.097968809</v>
      </c>
      <c r="AA35" s="220">
        <f t="shared" si="18"/>
        <v>35234282.208388217</v>
      </c>
    </row>
    <row r="36" spans="1:27" x14ac:dyDescent="0.25">
      <c r="A36" s="85" t="s">
        <v>248</v>
      </c>
      <c r="B36" s="86">
        <f>+B34+B35</f>
        <v>3729507.845816256</v>
      </c>
      <c r="C36" s="86">
        <f t="shared" ref="C36:AA36" si="19">+C34+C35</f>
        <v>11152279.557774987</v>
      </c>
      <c r="D36" s="86">
        <f t="shared" si="19"/>
        <v>15275993.415470652</v>
      </c>
      <c r="E36" s="86">
        <f t="shared" si="19"/>
        <v>38804537.180241592</v>
      </c>
      <c r="F36" s="86">
        <f t="shared" si="19"/>
        <v>52117573.346547164</v>
      </c>
      <c r="G36" s="86">
        <f t="shared" si="19"/>
        <v>74305966.957056463</v>
      </c>
      <c r="H36" s="91">
        <f t="shared" si="19"/>
        <v>1761714.1104194107</v>
      </c>
      <c r="I36" s="91">
        <f t="shared" si="19"/>
        <v>3729507.845816256</v>
      </c>
      <c r="J36" s="91">
        <f t="shared" si="19"/>
        <v>6214035.7183464859</v>
      </c>
      <c r="K36" s="91">
        <f t="shared" si="19"/>
        <v>8718109.0230910033</v>
      </c>
      <c r="L36" s="91">
        <f t="shared" si="19"/>
        <v>11152279.557774987</v>
      </c>
      <c r="M36" s="91">
        <f t="shared" si="19"/>
        <v>13328271.048191126</v>
      </c>
      <c r="N36" s="91">
        <f t="shared" si="19"/>
        <v>15275993.415470652</v>
      </c>
      <c r="O36" s="91">
        <f t="shared" si="19"/>
        <v>19981702.168424841</v>
      </c>
      <c r="P36" s="91">
        <f t="shared" si="19"/>
        <v>24687410.92137903</v>
      </c>
      <c r="Q36" s="91">
        <f t="shared" si="19"/>
        <v>29393119.674333215</v>
      </c>
      <c r="R36" s="91">
        <f t="shared" si="19"/>
        <v>34098828.427287407</v>
      </c>
      <c r="S36" s="91">
        <f t="shared" si="19"/>
        <v>38804537.180241592</v>
      </c>
      <c r="T36" s="91">
        <f t="shared" si="19"/>
        <v>43242215.902343452</v>
      </c>
      <c r="U36" s="91">
        <f t="shared" si="19"/>
        <v>47679894.624445304</v>
      </c>
      <c r="V36" s="91">
        <f t="shared" si="19"/>
        <v>52117573.346547164</v>
      </c>
      <c r="W36" s="91">
        <f t="shared" si="19"/>
        <v>56555252.068649024</v>
      </c>
      <c r="X36" s="91">
        <f t="shared" si="19"/>
        <v>60992930.790750884</v>
      </c>
      <c r="Y36" s="91">
        <f t="shared" si="19"/>
        <v>65430609.512852743</v>
      </c>
      <c r="Z36" s="91">
        <f t="shared" si="19"/>
        <v>69868288.234954596</v>
      </c>
      <c r="AA36" s="91">
        <f t="shared" si="19"/>
        <v>74305966.957056463</v>
      </c>
    </row>
    <row r="37" spans="1:27" x14ac:dyDescent="0.25">
      <c r="A37" s="14"/>
      <c r="B37" s="10"/>
      <c r="H37" s="14"/>
      <c r="I37" s="14"/>
      <c r="J37" s="14"/>
      <c r="K37" s="14"/>
      <c r="L37" s="14"/>
      <c r="M37" s="14"/>
      <c r="N37" s="14"/>
      <c r="O37" s="14"/>
      <c r="P37" s="14"/>
      <c r="Q37" s="14"/>
      <c r="R37" s="14"/>
      <c r="S37" s="14"/>
      <c r="T37" s="14"/>
      <c r="U37" s="14"/>
      <c r="V37" s="14"/>
      <c r="W37" s="14"/>
      <c r="X37" s="14"/>
      <c r="Y37" s="14"/>
      <c r="Z37" s="14"/>
      <c r="AA37" s="14"/>
    </row>
    <row r="46" spans="1:27" x14ac:dyDescent="0.25">
      <c r="A46" s="14"/>
      <c r="B46" s="14"/>
      <c r="H46" s="14"/>
      <c r="I46" s="14"/>
      <c r="J46" s="14"/>
      <c r="K46" s="14"/>
      <c r="L46" s="14"/>
      <c r="M46" s="14"/>
      <c r="N46" s="14"/>
      <c r="O46" s="14"/>
      <c r="P46" s="14"/>
      <c r="Q46" s="14"/>
      <c r="R46" s="14"/>
      <c r="S46" s="14"/>
      <c r="T46" s="14"/>
      <c r="U46" s="14"/>
      <c r="V46" s="14"/>
      <c r="W46" s="14"/>
      <c r="X46" s="14"/>
      <c r="Y46" s="14"/>
      <c r="Z46" s="14"/>
      <c r="AA46" s="14"/>
    </row>
  </sheetData>
  <mergeCells count="12">
    <mergeCell ref="A1:AA1"/>
    <mergeCell ref="A2:AA2"/>
    <mergeCell ref="A3:A5"/>
    <mergeCell ref="H3:AA3"/>
    <mergeCell ref="E4:E5"/>
    <mergeCell ref="F4:F5"/>
    <mergeCell ref="B3:G3"/>
    <mergeCell ref="B4:B5"/>
    <mergeCell ref="C4:C5"/>
    <mergeCell ref="D4:D5"/>
    <mergeCell ref="G4:G5"/>
    <mergeCell ref="H4:AA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tabColor theme="6" tint="-0.249977111117893"/>
  </sheetPr>
  <dimension ref="A1:AA34"/>
  <sheetViews>
    <sheetView topLeftCell="A14" workbookViewId="0">
      <pane xSplit="1" topLeftCell="B1" activePane="topRight" state="frozen"/>
      <selection activeCell="F14" sqref="F14"/>
      <selection pane="topRight" activeCell="A16" sqref="A16"/>
    </sheetView>
  </sheetViews>
  <sheetFormatPr baseColWidth="10" defaultColWidth="11.42578125" defaultRowHeight="15" x14ac:dyDescent="0.25"/>
  <cols>
    <col min="1" max="1" width="93.5703125" style="14" customWidth="1"/>
    <col min="2" max="2" width="12.7109375" style="14" customWidth="1"/>
    <col min="3" max="3" width="12.140625" style="14" bestFit="1" customWidth="1"/>
    <col min="4" max="7" width="13.7109375" style="14" bestFit="1" customWidth="1"/>
    <col min="8" max="8" width="11.5703125" style="14" bestFit="1" customWidth="1"/>
    <col min="9" max="12" width="12.140625" style="14" bestFit="1" customWidth="1"/>
    <col min="13" max="13" width="13.140625" style="14" bestFit="1" customWidth="1"/>
    <col min="14" max="27" width="13.7109375" style="14" bestFit="1" customWidth="1"/>
    <col min="28" max="16384" width="11.42578125" style="14"/>
  </cols>
  <sheetData>
    <row r="1" spans="1:27" x14ac:dyDescent="0.25">
      <c r="A1" s="296" t="s">
        <v>249</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row>
    <row r="2" spans="1:27" x14ac:dyDescent="0.25">
      <c r="A2" s="335" t="s">
        <v>61</v>
      </c>
      <c r="B2" s="336" t="s">
        <v>360</v>
      </c>
      <c r="C2" s="336"/>
      <c r="D2" s="336"/>
      <c r="E2" s="336"/>
      <c r="F2" s="336"/>
      <c r="G2" s="336"/>
      <c r="H2" s="302" t="s">
        <v>89</v>
      </c>
      <c r="I2" s="283"/>
      <c r="J2" s="283"/>
      <c r="K2" s="283"/>
      <c r="L2" s="283"/>
      <c r="M2" s="283"/>
      <c r="N2" s="283"/>
      <c r="O2" s="283"/>
      <c r="P2" s="283"/>
      <c r="Q2" s="283"/>
      <c r="R2" s="283"/>
      <c r="S2" s="283"/>
      <c r="T2" s="283"/>
      <c r="U2" s="283"/>
      <c r="V2" s="283"/>
      <c r="W2" s="283"/>
      <c r="X2" s="283"/>
      <c r="Y2" s="283"/>
      <c r="Z2" s="283"/>
      <c r="AA2" s="283"/>
    </row>
    <row r="3" spans="1:27" x14ac:dyDescent="0.25">
      <c r="A3" s="335"/>
      <c r="B3" s="336" t="s">
        <v>250</v>
      </c>
      <c r="C3" s="336" t="s">
        <v>251</v>
      </c>
      <c r="D3" s="336" t="s">
        <v>252</v>
      </c>
      <c r="E3" s="336" t="s">
        <v>253</v>
      </c>
      <c r="F3" s="336" t="s">
        <v>254</v>
      </c>
      <c r="G3" s="336" t="s">
        <v>255</v>
      </c>
      <c r="H3" s="300" t="s">
        <v>356</v>
      </c>
      <c r="I3" s="301"/>
      <c r="J3" s="301"/>
      <c r="K3" s="301"/>
      <c r="L3" s="301"/>
      <c r="M3" s="301"/>
      <c r="N3" s="301"/>
      <c r="O3" s="301"/>
      <c r="P3" s="301"/>
      <c r="Q3" s="301"/>
      <c r="R3" s="301"/>
      <c r="S3" s="301"/>
      <c r="T3" s="301"/>
      <c r="U3" s="301"/>
      <c r="V3" s="301"/>
      <c r="W3" s="301"/>
      <c r="X3" s="301"/>
      <c r="Y3" s="301"/>
      <c r="Z3" s="301"/>
      <c r="AA3" s="302"/>
    </row>
    <row r="4" spans="1:27" x14ac:dyDescent="0.25">
      <c r="A4" s="335"/>
      <c r="B4" s="336"/>
      <c r="C4" s="336"/>
      <c r="D4" s="336"/>
      <c r="E4" s="336"/>
      <c r="F4" s="336"/>
      <c r="G4" s="336"/>
      <c r="H4" s="211">
        <v>1</v>
      </c>
      <c r="I4" s="33">
        <v>2</v>
      </c>
      <c r="J4" s="265">
        <v>3</v>
      </c>
      <c r="K4" s="33">
        <v>4</v>
      </c>
      <c r="L4" s="265">
        <v>5</v>
      </c>
      <c r="M4" s="33">
        <v>6</v>
      </c>
      <c r="N4" s="265">
        <v>7</v>
      </c>
      <c r="O4" s="33">
        <v>8</v>
      </c>
      <c r="P4" s="265">
        <v>9</v>
      </c>
      <c r="Q4" s="33">
        <v>10</v>
      </c>
      <c r="R4" s="265">
        <v>11</v>
      </c>
      <c r="S4" s="33">
        <v>12</v>
      </c>
      <c r="T4" s="265">
        <v>13</v>
      </c>
      <c r="U4" s="33">
        <v>14</v>
      </c>
      <c r="V4" s="265">
        <v>15</v>
      </c>
      <c r="W4" s="33">
        <v>16</v>
      </c>
      <c r="X4" s="265">
        <v>17</v>
      </c>
      <c r="Y4" s="33">
        <v>18</v>
      </c>
      <c r="Z4" s="265">
        <v>19</v>
      </c>
      <c r="AA4" s="33">
        <v>20</v>
      </c>
    </row>
    <row r="5" spans="1:27" x14ac:dyDescent="0.25">
      <c r="A5" s="40" t="s">
        <v>67</v>
      </c>
      <c r="B5" s="26">
        <f>+I5</f>
        <v>11739.892584865807</v>
      </c>
      <c r="C5" s="26">
        <f>+L5</f>
        <v>44024.597193246787</v>
      </c>
      <c r="D5" s="26">
        <f>+N5</f>
        <v>64569.409216761953</v>
      </c>
      <c r="E5" s="26">
        <f>+S5</f>
        <v>83646.734667168887</v>
      </c>
      <c r="F5" s="26">
        <f>+V5</f>
        <v>92451.654105818277</v>
      </c>
      <c r="G5" s="26">
        <f>+AA5</f>
        <v>107126.51983690054</v>
      </c>
      <c r="H5" s="87">
        <f t="shared" ref="H5:AA5" si="0">+H6+H9+H12</f>
        <v>2934.9731462164527</v>
      </c>
      <c r="I5" s="87">
        <f t="shared" si="0"/>
        <v>11739.892584865807</v>
      </c>
      <c r="J5" s="87">
        <f t="shared" si="0"/>
        <v>20544.812023515162</v>
      </c>
      <c r="K5" s="87">
        <f t="shared" si="0"/>
        <v>29349.73146216452</v>
      </c>
      <c r="L5" s="87">
        <f t="shared" si="0"/>
        <v>44024.597193246787</v>
      </c>
      <c r="M5" s="87">
        <f t="shared" si="0"/>
        <v>55764.489778112598</v>
      </c>
      <c r="N5" s="87">
        <f t="shared" si="0"/>
        <v>64569.409216761953</v>
      </c>
      <c r="O5" s="87">
        <f t="shared" si="0"/>
        <v>70439.355509194851</v>
      </c>
      <c r="P5" s="87">
        <f t="shared" si="0"/>
        <v>74841.815228519539</v>
      </c>
      <c r="Q5" s="87">
        <f t="shared" si="0"/>
        <v>77776.788374735988</v>
      </c>
      <c r="R5" s="87">
        <f t="shared" si="0"/>
        <v>80711.761520952452</v>
      </c>
      <c r="S5" s="87">
        <f t="shared" si="0"/>
        <v>83646.734667168887</v>
      </c>
      <c r="T5" s="87">
        <f t="shared" si="0"/>
        <v>86581.70781338535</v>
      </c>
      <c r="U5" s="87">
        <f t="shared" si="0"/>
        <v>89516.680959601814</v>
      </c>
      <c r="V5" s="87">
        <f t="shared" si="0"/>
        <v>92451.654105818277</v>
      </c>
      <c r="W5" s="87">
        <f t="shared" si="0"/>
        <v>95386.627252034727</v>
      </c>
      <c r="X5" s="87">
        <f t="shared" si="0"/>
        <v>98321.600398251176</v>
      </c>
      <c r="Y5" s="87">
        <f t="shared" si="0"/>
        <v>101256.57354446764</v>
      </c>
      <c r="Z5" s="87">
        <f t="shared" si="0"/>
        <v>104191.5466906841</v>
      </c>
      <c r="AA5" s="87">
        <f t="shared" si="0"/>
        <v>107126.51983690054</v>
      </c>
    </row>
    <row r="6" spans="1:27" s="3" customFormat="1" x14ac:dyDescent="0.25">
      <c r="A6" s="52" t="s">
        <v>68</v>
      </c>
      <c r="B6" s="48">
        <f t="shared" ref="B6:B30" si="1">+I6</f>
        <v>993.81182702297565</v>
      </c>
      <c r="C6" s="48">
        <f t="shared" ref="C6:C29" si="2">+L6</f>
        <v>3726.7943513361588</v>
      </c>
      <c r="D6" s="48">
        <f t="shared" ref="D6:D29" si="3">+N6</f>
        <v>5465.9650486263654</v>
      </c>
      <c r="E6" s="48">
        <f t="shared" ref="E6:E28" si="4">+S6</f>
        <v>7080.9092675387001</v>
      </c>
      <c r="F6" s="48">
        <f t="shared" ref="F6:F28" si="5">+V6</f>
        <v>7826.2681378059315</v>
      </c>
      <c r="G6" s="48">
        <f t="shared" ref="G6:G28" si="6">+AA6</f>
        <v>9068.5329215846505</v>
      </c>
      <c r="H6" s="231">
        <f t="shared" ref="H6:AA6" si="7">SUM(H7:H8)</f>
        <v>248.45295675574388</v>
      </c>
      <c r="I6" s="231">
        <f t="shared" si="7"/>
        <v>993.81182702297565</v>
      </c>
      <c r="J6" s="231">
        <f t="shared" si="7"/>
        <v>1739.1706972902075</v>
      </c>
      <c r="K6" s="231">
        <f t="shared" si="7"/>
        <v>2484.5295675574393</v>
      </c>
      <c r="L6" s="231">
        <f>SUM(L7:L8)</f>
        <v>3726.7943513361588</v>
      </c>
      <c r="M6" s="231">
        <f t="shared" si="7"/>
        <v>4720.606178359134</v>
      </c>
      <c r="N6" s="231">
        <f t="shared" si="7"/>
        <v>5465.9650486263654</v>
      </c>
      <c r="O6" s="231">
        <f t="shared" si="7"/>
        <v>5962.870962137853</v>
      </c>
      <c r="P6" s="231">
        <f t="shared" si="7"/>
        <v>6335.5503972714687</v>
      </c>
      <c r="Q6" s="231">
        <f t="shared" si="7"/>
        <v>6584.0033540272125</v>
      </c>
      <c r="R6" s="231">
        <f t="shared" si="7"/>
        <v>6832.4563107829563</v>
      </c>
      <c r="S6" s="231">
        <f t="shared" si="7"/>
        <v>7080.9092675387001</v>
      </c>
      <c r="T6" s="231">
        <f t="shared" si="7"/>
        <v>7329.3622242944439</v>
      </c>
      <c r="U6" s="231">
        <f t="shared" si="7"/>
        <v>7577.8151810501877</v>
      </c>
      <c r="V6" s="231">
        <f t="shared" si="7"/>
        <v>7826.2681378059315</v>
      </c>
      <c r="W6" s="231">
        <f t="shared" si="7"/>
        <v>8074.7210945616753</v>
      </c>
      <c r="X6" s="231">
        <f t="shared" si="7"/>
        <v>8323.1740513174191</v>
      </c>
      <c r="Y6" s="231">
        <f t="shared" si="7"/>
        <v>8571.6270080731629</v>
      </c>
      <c r="Z6" s="231">
        <f t="shared" si="7"/>
        <v>8820.0799648289067</v>
      </c>
      <c r="AA6" s="231">
        <f t="shared" si="7"/>
        <v>9068.5329215846505</v>
      </c>
    </row>
    <row r="7" spans="1:27" s="22" customFormat="1" x14ac:dyDescent="0.25">
      <c r="A7" s="232" t="s">
        <v>83</v>
      </c>
      <c r="B7" s="220">
        <f t="shared" si="1"/>
        <v>993.81182702297565</v>
      </c>
      <c r="C7" s="220">
        <f t="shared" si="2"/>
        <v>3726.7943513361588</v>
      </c>
      <c r="D7" s="220">
        <f t="shared" si="3"/>
        <v>5465.9650486263654</v>
      </c>
      <c r="E7" s="220">
        <f t="shared" si="4"/>
        <v>7080.9092675387001</v>
      </c>
      <c r="F7" s="220">
        <f t="shared" si="5"/>
        <v>7826.2681378059315</v>
      </c>
      <c r="G7" s="220">
        <f t="shared" si="6"/>
        <v>9068.5329215846505</v>
      </c>
      <c r="H7" s="105">
        <f>+('II. Area direct_indirect impact'!$B$4-'II. Area direct_indirect impact'!$C$4)*'VI. ParameterCarbonAssumptions'!B$48*'VI. ParameterCarbonAssumptions'!$B$9*'VI. ParameterCarbonAssumptions'!$B$3*'VI. ParameterCarbonAssumptions'!$B$11</f>
        <v>248.45295675574388</v>
      </c>
      <c r="I7" s="105">
        <f>+('II. Area direct_indirect impact'!$B$4-'II. Area direct_indirect impact'!$C$4)*'VI. ParameterCarbonAssumptions'!C$48*'VI. ParameterCarbonAssumptions'!$B$9*'VI. ParameterCarbonAssumptions'!$B$3*'VI. ParameterCarbonAssumptions'!$B$11+H7</f>
        <v>993.81182702297565</v>
      </c>
      <c r="J7" s="105">
        <f>+('II. Area direct_indirect impact'!$B$4-'II. Area direct_indirect impact'!$C$4)*'VI. ParameterCarbonAssumptions'!D$48*'VI. ParameterCarbonAssumptions'!$B$9*'VI. ParameterCarbonAssumptions'!$B$3*'VI. ParameterCarbonAssumptions'!$B$11+I7</f>
        <v>1739.1706972902075</v>
      </c>
      <c r="K7" s="105">
        <f>+('II. Area direct_indirect impact'!$B$4-'II. Area direct_indirect impact'!$C$4)*'VI. ParameterCarbonAssumptions'!E$48*'VI. ParameterCarbonAssumptions'!$B$9*'VI. ParameterCarbonAssumptions'!$B$3*'VI. ParameterCarbonAssumptions'!$B$11+J7</f>
        <v>2484.5295675574393</v>
      </c>
      <c r="L7" s="105">
        <f>+('II. Area direct_indirect impact'!$B$4-'II. Area direct_indirect impact'!$C$4)*'VI. ParameterCarbonAssumptions'!F$48*'VI. ParameterCarbonAssumptions'!$B$9*'VI. ParameterCarbonAssumptions'!$B$3*'VI. ParameterCarbonAssumptions'!$B$11+K7</f>
        <v>3726.7943513361588</v>
      </c>
      <c r="M7" s="105">
        <f>+('II. Area direct_indirect impact'!$B$4-'II. Area direct_indirect impact'!$C$4)*'VI. ParameterCarbonAssumptions'!G$48*'VI. ParameterCarbonAssumptions'!$B$9*'VI. ParameterCarbonAssumptions'!$B$3*'VI. ParameterCarbonAssumptions'!$B$11+L7</f>
        <v>4720.606178359134</v>
      </c>
      <c r="N7" s="105">
        <f>+('II. Area direct_indirect impact'!$B$4-'II. Area direct_indirect impact'!$C$4)*'VI. ParameterCarbonAssumptions'!H$48*'VI. ParameterCarbonAssumptions'!$B$9*'VI. ParameterCarbonAssumptions'!$B$3*'VI. ParameterCarbonAssumptions'!$B$11+M7</f>
        <v>5465.9650486263654</v>
      </c>
      <c r="O7" s="105">
        <f>+('II. Area direct_indirect impact'!$B$4-'II. Area direct_indirect impact'!$C$4)*'VI. ParameterCarbonAssumptions'!I$48*'VI. ParameterCarbonAssumptions'!$B$9*'VI. ParameterCarbonAssumptions'!$B$3*'VI. ParameterCarbonAssumptions'!$B$11+N7</f>
        <v>5962.870962137853</v>
      </c>
      <c r="P7" s="105">
        <f>+('II. Area direct_indirect impact'!$B$4-'II. Area direct_indirect impact'!$C$4)*'VI. ParameterCarbonAssumptions'!J$48*'VI. ParameterCarbonAssumptions'!$B$9*'VI. ParameterCarbonAssumptions'!$B$3*'VI. ParameterCarbonAssumptions'!$B$11+O7</f>
        <v>6335.5503972714687</v>
      </c>
      <c r="Q7" s="105">
        <f>+('II. Area direct_indirect impact'!$B$4-'II. Area direct_indirect impact'!$C$4)*'VI. ParameterCarbonAssumptions'!K$48*'VI. ParameterCarbonAssumptions'!$B$9*'VI. ParameterCarbonAssumptions'!$B$3*'VI. ParameterCarbonAssumptions'!$B$11+P7</f>
        <v>6584.0033540272125</v>
      </c>
      <c r="R7" s="105">
        <f>+('II. Area direct_indirect impact'!$B$4-'II. Area direct_indirect impact'!$C$4)*'VI. ParameterCarbonAssumptions'!L$48*'VI. ParameterCarbonAssumptions'!$B$9*'VI. ParameterCarbonAssumptions'!$B$3*'VI. ParameterCarbonAssumptions'!$B$11+Q7</f>
        <v>6832.4563107829563</v>
      </c>
      <c r="S7" s="105">
        <f>+('II. Area direct_indirect impact'!$B$4-'II. Area direct_indirect impact'!$C$4)*'VI. ParameterCarbonAssumptions'!M$48*'VI. ParameterCarbonAssumptions'!$B$9*'VI. ParameterCarbonAssumptions'!$B$3*'VI. ParameterCarbonAssumptions'!$B$11+R7</f>
        <v>7080.9092675387001</v>
      </c>
      <c r="T7" s="105">
        <f>+('II. Area direct_indirect impact'!$B$4-'II. Area direct_indirect impact'!$C$4)*'VI. ParameterCarbonAssumptions'!N$48*'VI. ParameterCarbonAssumptions'!$B$9*'VI. ParameterCarbonAssumptions'!$B$3*'VI. ParameterCarbonAssumptions'!$B$11+S7</f>
        <v>7329.3622242944439</v>
      </c>
      <c r="U7" s="105">
        <f>+('II. Area direct_indirect impact'!$B$4-'II. Area direct_indirect impact'!$C$4)*'VI. ParameterCarbonAssumptions'!O$48*'VI. ParameterCarbonAssumptions'!$B$9*'VI. ParameterCarbonAssumptions'!$B$3*'VI. ParameterCarbonAssumptions'!$B$11+T7</f>
        <v>7577.8151810501877</v>
      </c>
      <c r="V7" s="105">
        <f>+('II. Area direct_indirect impact'!$B$4-'II. Area direct_indirect impact'!$C$4)*'VI. ParameterCarbonAssumptions'!P$48*'VI. ParameterCarbonAssumptions'!$B$9*'VI. ParameterCarbonAssumptions'!$B$3*'VI. ParameterCarbonAssumptions'!$B$11+U7</f>
        <v>7826.2681378059315</v>
      </c>
      <c r="W7" s="105">
        <f>+('II. Area direct_indirect impact'!$B$4-'II. Area direct_indirect impact'!$C$4)*'VI. ParameterCarbonAssumptions'!Q$48*'VI. ParameterCarbonAssumptions'!$B$9*'VI. ParameterCarbonAssumptions'!$B$3*'VI. ParameterCarbonAssumptions'!$B$11+V7</f>
        <v>8074.7210945616753</v>
      </c>
      <c r="X7" s="105">
        <f>+('II. Area direct_indirect impact'!$B$4-'II. Area direct_indirect impact'!$C$4)*'VI. ParameterCarbonAssumptions'!R$48*'VI. ParameterCarbonAssumptions'!$B$9*'VI. ParameterCarbonAssumptions'!$B$3*'VI. ParameterCarbonAssumptions'!$B$11+W7</f>
        <v>8323.1740513174191</v>
      </c>
      <c r="Y7" s="105">
        <f>+('II. Area direct_indirect impact'!$B$4-'II. Area direct_indirect impact'!$C$4)*'VI. ParameterCarbonAssumptions'!S$48*'VI. ParameterCarbonAssumptions'!$B$9*'VI. ParameterCarbonAssumptions'!$B$3*'VI. ParameterCarbonAssumptions'!$B$11+X7</f>
        <v>8571.6270080731629</v>
      </c>
      <c r="Z7" s="105">
        <f>+('II. Area direct_indirect impact'!$B$4-'II. Area direct_indirect impact'!$C$4)*'VI. ParameterCarbonAssumptions'!T$48*'VI. ParameterCarbonAssumptions'!$B$9*'VI. ParameterCarbonAssumptions'!$B$3*'VI. ParameterCarbonAssumptions'!$B$11+Y7</f>
        <v>8820.0799648289067</v>
      </c>
      <c r="AA7" s="105">
        <f>+('II. Area direct_indirect impact'!$B$4-'II. Area direct_indirect impact'!$C$4)*'VI. ParameterCarbonAssumptions'!U$48*'VI. ParameterCarbonAssumptions'!$B$9*'VI. ParameterCarbonAssumptions'!$B$3*'VI. ParameterCarbonAssumptions'!$B$11+Z7</f>
        <v>9068.5329215846505</v>
      </c>
    </row>
    <row r="8" spans="1:27" s="22" customFormat="1" x14ac:dyDescent="0.25">
      <c r="A8" s="232" t="s">
        <v>84</v>
      </c>
      <c r="B8" s="220">
        <f t="shared" si="1"/>
        <v>0</v>
      </c>
      <c r="C8" s="220">
        <f t="shared" si="2"/>
        <v>0</v>
      </c>
      <c r="D8" s="220">
        <f t="shared" si="3"/>
        <v>0</v>
      </c>
      <c r="E8" s="220">
        <f t="shared" si="4"/>
        <v>0</v>
      </c>
      <c r="F8" s="220">
        <f t="shared" si="5"/>
        <v>0</v>
      </c>
      <c r="G8" s="220">
        <f t="shared" si="6"/>
        <v>0</v>
      </c>
      <c r="H8" s="105">
        <f>+('II. Area direct_indirect impact'!$B$4-'II. Area direct_indirect impact'!$C$4)*'III. AreaAnnual_distribution'!C$8*'VI. ParameterCarbonAssumptions'!B$48*'VI. ParameterCarbonAssumptions'!$B$9*'VI. ParameterCarbonAssumptions'!$B$3*'VI. ParameterCarbonAssumptions'!$B$11</f>
        <v>0</v>
      </c>
      <c r="I8" s="105">
        <f>+('II. Area direct_indirect impact'!$B$4-'II. Area direct_indirect impact'!$C$4)*'III. AreaAnnual_distribution'!D$8*'VI. ParameterCarbonAssumptions'!C$48*'VI. ParameterCarbonAssumptions'!$B$9*'VI. ParameterCarbonAssumptions'!$B$3*'VI. ParameterCarbonAssumptions'!$B$11+H8</f>
        <v>0</v>
      </c>
      <c r="J8" s="105">
        <f>+('II. Area direct_indirect impact'!$B$4-'II. Area direct_indirect impact'!$C$4)*'III. AreaAnnual_distribution'!E$8*'VI. ParameterCarbonAssumptions'!D$48*'VI. ParameterCarbonAssumptions'!$B$9*'VI. ParameterCarbonAssumptions'!$B$3*'VI. ParameterCarbonAssumptions'!$B$11+I8</f>
        <v>0</v>
      </c>
      <c r="K8" s="105">
        <f>+('II. Area direct_indirect impact'!$B$4-'II. Area direct_indirect impact'!$C$4)*'III. AreaAnnual_distribution'!F$8*'VI. ParameterCarbonAssumptions'!E$48*'VI. ParameterCarbonAssumptions'!$B$9*'VI. ParameterCarbonAssumptions'!$B$3*'VI. ParameterCarbonAssumptions'!$B$11+J8</f>
        <v>0</v>
      </c>
      <c r="L8" s="105">
        <f>+('II. Area direct_indirect impact'!$B$4-'II. Area direct_indirect impact'!$C$4)*'III. AreaAnnual_distribution'!G$8*'VI. ParameterCarbonAssumptions'!F$48*'VI. ParameterCarbonAssumptions'!$B$9*'VI. ParameterCarbonAssumptions'!$B$3*'VI. ParameterCarbonAssumptions'!$B$11+K8</f>
        <v>0</v>
      </c>
      <c r="M8" s="105">
        <f>+('II. Area direct_indirect impact'!$B$4-'II. Area direct_indirect impact'!$C$4)*'III. AreaAnnual_distribution'!H$8*'VI. ParameterCarbonAssumptions'!G$48*'VI. ParameterCarbonAssumptions'!$B$9*'VI. ParameterCarbonAssumptions'!$B$3*'VI. ParameterCarbonAssumptions'!$B$11+L8</f>
        <v>0</v>
      </c>
      <c r="N8" s="105">
        <f>+('II. Area direct_indirect impact'!$B$4-'II. Area direct_indirect impact'!$C$4)*'III. AreaAnnual_distribution'!I$8*'VI. ParameterCarbonAssumptions'!H$48*'VI. ParameterCarbonAssumptions'!$B$9*'VI. ParameterCarbonAssumptions'!$B$3*'VI. ParameterCarbonAssumptions'!$B$11+M8</f>
        <v>0</v>
      </c>
      <c r="O8" s="105">
        <f>+('II. Area direct_indirect impact'!$B$4-'II. Area direct_indirect impact'!$C$4)*'III. AreaAnnual_distribution'!J$8*'VI. ParameterCarbonAssumptions'!I$48*'VI. ParameterCarbonAssumptions'!$B$9*'VI. ParameterCarbonAssumptions'!$B$3*'VI. ParameterCarbonAssumptions'!$B$11+N8</f>
        <v>0</v>
      </c>
      <c r="P8" s="105">
        <f>+('II. Area direct_indirect impact'!$B$4-'II. Area direct_indirect impact'!$C$4)*'III. AreaAnnual_distribution'!K$8*'VI. ParameterCarbonAssumptions'!J$48*'VI. ParameterCarbonAssumptions'!$B$9*'VI. ParameterCarbonAssumptions'!$B$3*'VI. ParameterCarbonAssumptions'!$B$11+O8</f>
        <v>0</v>
      </c>
      <c r="Q8" s="105">
        <f>+('II. Area direct_indirect impact'!$B$4-'II. Area direct_indirect impact'!$C$4)*'III. AreaAnnual_distribution'!L$8*'VI. ParameterCarbonAssumptions'!K$48*'VI. ParameterCarbonAssumptions'!$B$9*'VI. ParameterCarbonAssumptions'!$B$3*'VI. ParameterCarbonAssumptions'!$B$11+P8</f>
        <v>0</v>
      </c>
      <c r="R8" s="105">
        <f>+('II. Area direct_indirect impact'!$B$4-'II. Area direct_indirect impact'!$C$4)*'III. AreaAnnual_distribution'!M$8*'VI. ParameterCarbonAssumptions'!L$48*'VI. ParameterCarbonAssumptions'!$B$9*'VI. ParameterCarbonAssumptions'!$B$3*'VI. ParameterCarbonAssumptions'!$B$11+Q8</f>
        <v>0</v>
      </c>
      <c r="S8" s="105">
        <f>+('II. Area direct_indirect impact'!$B$4-'II. Area direct_indirect impact'!$C$4)*'III. AreaAnnual_distribution'!N$8*'VI. ParameterCarbonAssumptions'!M$48*'VI. ParameterCarbonAssumptions'!$B$9*'VI. ParameterCarbonAssumptions'!$B$3*'VI. ParameterCarbonAssumptions'!$B$11+R8</f>
        <v>0</v>
      </c>
      <c r="T8" s="105">
        <f>+('II. Area direct_indirect impact'!$B$4-'II. Area direct_indirect impact'!$C$4)*'III. AreaAnnual_distribution'!O$8*'VI. ParameterCarbonAssumptions'!N$48*'VI. ParameterCarbonAssumptions'!$B$9*'VI. ParameterCarbonAssumptions'!$B$3*'VI. ParameterCarbonAssumptions'!$B$11+S8</f>
        <v>0</v>
      </c>
      <c r="U8" s="105">
        <f>+('II. Area direct_indirect impact'!$B$4-'II. Area direct_indirect impact'!$C$4)*'III. AreaAnnual_distribution'!P$8*'VI. ParameterCarbonAssumptions'!O$48*'VI. ParameterCarbonAssumptions'!$B$9*'VI. ParameterCarbonAssumptions'!$B$3*'VI. ParameterCarbonAssumptions'!$B$11+T8</f>
        <v>0</v>
      </c>
      <c r="V8" s="105">
        <f>+('II. Area direct_indirect impact'!$B$4-'II. Area direct_indirect impact'!$C$4)*'III. AreaAnnual_distribution'!Q$8*'VI. ParameterCarbonAssumptions'!P$48*'VI. ParameterCarbonAssumptions'!$B$9*'VI. ParameterCarbonAssumptions'!$B$3*'VI. ParameterCarbonAssumptions'!$B$11+U8</f>
        <v>0</v>
      </c>
      <c r="W8" s="105">
        <f>+('II. Area direct_indirect impact'!$B$4-'II. Area direct_indirect impact'!$C$4)*'III. AreaAnnual_distribution'!R$8*'VI. ParameterCarbonAssumptions'!Q$48*'VI. ParameterCarbonAssumptions'!$B$9*'VI. ParameterCarbonAssumptions'!$B$3*'VI. ParameterCarbonAssumptions'!$B$11+V8</f>
        <v>0</v>
      </c>
      <c r="X8" s="105">
        <f>+('II. Area direct_indirect impact'!$B$4-'II. Area direct_indirect impact'!$C$4)*'III. AreaAnnual_distribution'!S$8*'VI. ParameterCarbonAssumptions'!R$48*'VI. ParameterCarbonAssumptions'!$B$9*'VI. ParameterCarbonAssumptions'!$B$3*'VI. ParameterCarbonAssumptions'!$B$11+W8</f>
        <v>0</v>
      </c>
      <c r="Y8" s="105">
        <f>+('II. Area direct_indirect impact'!$B$4-'II. Area direct_indirect impact'!$C$4)*'III. AreaAnnual_distribution'!T$8*'VI. ParameterCarbonAssumptions'!S$48*'VI. ParameterCarbonAssumptions'!$B$9*'VI. ParameterCarbonAssumptions'!$B$3*'VI. ParameterCarbonAssumptions'!$B$11+X8</f>
        <v>0</v>
      </c>
      <c r="Z8" s="105">
        <f>+('II. Area direct_indirect impact'!$B$4-'II. Area direct_indirect impact'!$C$4)*'III. AreaAnnual_distribution'!U$8*'VI. ParameterCarbonAssumptions'!T$48*'VI. ParameterCarbonAssumptions'!$B$9*'VI. ParameterCarbonAssumptions'!$B$3*'VI. ParameterCarbonAssumptions'!$B$11+Y8</f>
        <v>0</v>
      </c>
      <c r="AA8" s="105">
        <f>+('II. Area direct_indirect impact'!$B$4-'II. Area direct_indirect impact'!$C$4)*'III. AreaAnnual_distribution'!V$8*'VI. ParameterCarbonAssumptions'!U$48*'VI. ParameterCarbonAssumptions'!$B$9*'VI. ParameterCarbonAssumptions'!$B$3*'VI. ParameterCarbonAssumptions'!$B$11+Z8</f>
        <v>0</v>
      </c>
    </row>
    <row r="9" spans="1:27" s="3" customFormat="1" x14ac:dyDescent="0.25">
      <c r="A9" s="52" t="s">
        <v>69</v>
      </c>
      <c r="B9" s="48">
        <f t="shared" si="1"/>
        <v>9454.6422462726296</v>
      </c>
      <c r="C9" s="48">
        <f t="shared" si="2"/>
        <v>35454.908423522364</v>
      </c>
      <c r="D9" s="48">
        <f t="shared" si="3"/>
        <v>52000.532354499468</v>
      </c>
      <c r="E9" s="48">
        <f t="shared" si="4"/>
        <v>67364.326004692499</v>
      </c>
      <c r="F9" s="48">
        <f t="shared" si="5"/>
        <v>74455.307689396985</v>
      </c>
      <c r="G9" s="48">
        <f t="shared" si="6"/>
        <v>86273.610497237794</v>
      </c>
      <c r="H9" s="231">
        <f t="shared" ref="H9:AA9" si="8">SUM(H10:H11)</f>
        <v>2363.6605615681583</v>
      </c>
      <c r="I9" s="231">
        <f t="shared" si="8"/>
        <v>9454.6422462726296</v>
      </c>
      <c r="J9" s="231">
        <f t="shared" si="8"/>
        <v>16545.623930977101</v>
      </c>
      <c r="K9" s="231">
        <f t="shared" si="8"/>
        <v>23636.605615681572</v>
      </c>
      <c r="L9" s="231">
        <f t="shared" si="8"/>
        <v>35454.908423522364</v>
      </c>
      <c r="M9" s="231">
        <f t="shared" si="8"/>
        <v>44909.550669794997</v>
      </c>
      <c r="N9" s="231">
        <f t="shared" si="8"/>
        <v>52000.532354499468</v>
      </c>
      <c r="O9" s="231">
        <f t="shared" si="8"/>
        <v>56727.853477635785</v>
      </c>
      <c r="P9" s="231">
        <f t="shared" si="8"/>
        <v>60273.34431998802</v>
      </c>
      <c r="Q9" s="231">
        <f t="shared" si="8"/>
        <v>62637.004881556175</v>
      </c>
      <c r="R9" s="231">
        <f t="shared" si="8"/>
        <v>65000.665443124337</v>
      </c>
      <c r="S9" s="231">
        <f t="shared" si="8"/>
        <v>67364.326004692499</v>
      </c>
      <c r="T9" s="231">
        <f t="shared" si="8"/>
        <v>69727.986566260661</v>
      </c>
      <c r="U9" s="231">
        <f t="shared" si="8"/>
        <v>72091.647127828823</v>
      </c>
      <c r="V9" s="231">
        <f t="shared" si="8"/>
        <v>74455.307689396985</v>
      </c>
      <c r="W9" s="231">
        <f t="shared" si="8"/>
        <v>76818.968250965147</v>
      </c>
      <c r="X9" s="231">
        <f t="shared" si="8"/>
        <v>79182.628812533309</v>
      </c>
      <c r="Y9" s="231">
        <f t="shared" si="8"/>
        <v>81546.28937410147</v>
      </c>
      <c r="Z9" s="231">
        <f t="shared" si="8"/>
        <v>83909.949935669632</v>
      </c>
      <c r="AA9" s="231">
        <f t="shared" si="8"/>
        <v>86273.610497237794</v>
      </c>
    </row>
    <row r="10" spans="1:27" s="22" customFormat="1" x14ac:dyDescent="0.25">
      <c r="A10" s="232" t="s">
        <v>83</v>
      </c>
      <c r="B10" s="220">
        <f t="shared" si="1"/>
        <v>0</v>
      </c>
      <c r="C10" s="220">
        <f t="shared" si="2"/>
        <v>0</v>
      </c>
      <c r="D10" s="220">
        <f t="shared" si="3"/>
        <v>0</v>
      </c>
      <c r="E10" s="220">
        <f t="shared" si="4"/>
        <v>0</v>
      </c>
      <c r="F10" s="220">
        <f t="shared" si="5"/>
        <v>0</v>
      </c>
      <c r="G10" s="220">
        <f t="shared" si="6"/>
        <v>0</v>
      </c>
      <c r="H10" s="105">
        <f>+('II. Area direct_indirect impact'!$B$5-'II. Area direct_indirect impact'!$C$5)*'III. AreaAnnual_distribution'!$C$10*'VI. ParameterCarbonAssumptions'!B$48*'VI. ParameterCarbonAssumptions'!$B$4*'VI. ParameterCarbonAssumptions'!$B$8*'VI. ParameterCarbonAssumptions'!$B$11</f>
        <v>0</v>
      </c>
      <c r="I10" s="105">
        <f>+('II. Area direct_indirect impact'!$B$5-'II. Area direct_indirect impact'!$C$5)*'III. AreaAnnual_distribution'!$C$10*'VI. ParameterCarbonAssumptions'!C$48*'VI. ParameterCarbonAssumptions'!$B$4*'VI. ParameterCarbonAssumptions'!$B$8*'VI. ParameterCarbonAssumptions'!$B$11+H10</f>
        <v>0</v>
      </c>
      <c r="J10" s="105">
        <f>+('II. Area direct_indirect impact'!$B$5-'II. Area direct_indirect impact'!$C$5)*'III. AreaAnnual_distribution'!$C$10*'VI. ParameterCarbonAssumptions'!D$48*'VI. ParameterCarbonAssumptions'!$B$4*'VI. ParameterCarbonAssumptions'!$B$8*'VI. ParameterCarbonAssumptions'!$B$11+I10</f>
        <v>0</v>
      </c>
      <c r="K10" s="105">
        <f>+('II. Area direct_indirect impact'!$B$5-'II. Area direct_indirect impact'!$C$5)*'III. AreaAnnual_distribution'!$C$10*'VI. ParameterCarbonAssumptions'!E$48*'VI. ParameterCarbonAssumptions'!$B$4*'VI. ParameterCarbonAssumptions'!$B$8*'VI. ParameterCarbonAssumptions'!$B$11+J10</f>
        <v>0</v>
      </c>
      <c r="L10" s="105">
        <f>+('II. Area direct_indirect impact'!$B$5-'II. Area direct_indirect impact'!$C$5)*'III. AreaAnnual_distribution'!$C$10*'VI. ParameterCarbonAssumptions'!F$48*'VI. ParameterCarbonAssumptions'!$B$4*'VI. ParameterCarbonAssumptions'!$B$8*'VI. ParameterCarbonAssumptions'!$B$11+K10</f>
        <v>0</v>
      </c>
      <c r="M10" s="105">
        <f>+('II. Area direct_indirect impact'!$B$5-'II. Area direct_indirect impact'!$C$5)*'III. AreaAnnual_distribution'!$C$10*'VI. ParameterCarbonAssumptions'!G$48*'VI. ParameterCarbonAssumptions'!$B$4*'VI. ParameterCarbonAssumptions'!$B$8*'VI. ParameterCarbonAssumptions'!$B$11+L10</f>
        <v>0</v>
      </c>
      <c r="N10" s="105">
        <f>+('II. Area direct_indirect impact'!$B$5-'II. Area direct_indirect impact'!$C$5)*'III. AreaAnnual_distribution'!$C$10*'VI. ParameterCarbonAssumptions'!H$48*'VI. ParameterCarbonAssumptions'!$B$4*'VI. ParameterCarbonAssumptions'!$B$8*'VI. ParameterCarbonAssumptions'!$B$11+M10</f>
        <v>0</v>
      </c>
      <c r="O10" s="105">
        <f>+('II. Area direct_indirect impact'!$B$5-'II. Area direct_indirect impact'!$C$5)*'III. AreaAnnual_distribution'!$C$10*'VI. ParameterCarbonAssumptions'!I$48*'VI. ParameterCarbonAssumptions'!$B$4*'VI. ParameterCarbonAssumptions'!$B$8*'VI. ParameterCarbonAssumptions'!$B$11+N10</f>
        <v>0</v>
      </c>
      <c r="P10" s="105">
        <f>+('II. Area direct_indirect impact'!$B$5-'II. Area direct_indirect impact'!$C$5)*'III. AreaAnnual_distribution'!$C$10*'VI. ParameterCarbonAssumptions'!J$48*'VI. ParameterCarbonAssumptions'!$B$4*'VI. ParameterCarbonAssumptions'!$B$8*'VI. ParameterCarbonAssumptions'!$B$11+O10</f>
        <v>0</v>
      </c>
      <c r="Q10" s="105">
        <f>+('II. Area direct_indirect impact'!$B$5-'II. Area direct_indirect impact'!$C$5)*'III. AreaAnnual_distribution'!$C$10*'VI. ParameterCarbonAssumptions'!K$48*'VI. ParameterCarbonAssumptions'!$B$4*'VI. ParameterCarbonAssumptions'!$B$8*'VI. ParameterCarbonAssumptions'!$B$11+P10</f>
        <v>0</v>
      </c>
      <c r="R10" s="105">
        <f>+('II. Area direct_indirect impact'!$B$5-'II. Area direct_indirect impact'!$C$5)*'III. AreaAnnual_distribution'!$C$10*'VI. ParameterCarbonAssumptions'!L$48*'VI. ParameterCarbonAssumptions'!$B$4*'VI. ParameterCarbonAssumptions'!$B$8*'VI. ParameterCarbonAssumptions'!$B$11+Q10</f>
        <v>0</v>
      </c>
      <c r="S10" s="105">
        <f>+('II. Area direct_indirect impact'!$B$5-'II. Area direct_indirect impact'!$C$5)*'III. AreaAnnual_distribution'!$C$10*'VI. ParameterCarbonAssumptions'!M$48*'VI. ParameterCarbonAssumptions'!$B$4*'VI. ParameterCarbonAssumptions'!$B$8*'VI. ParameterCarbonAssumptions'!$B$11+R10</f>
        <v>0</v>
      </c>
      <c r="T10" s="105">
        <f>+('II. Area direct_indirect impact'!$B$5-'II. Area direct_indirect impact'!$C$5)*'III. AreaAnnual_distribution'!$C$10*'VI. ParameterCarbonAssumptions'!N$48*'VI. ParameterCarbonAssumptions'!$B$4*'VI. ParameterCarbonAssumptions'!$B$8*'VI. ParameterCarbonAssumptions'!$B$11+S10</f>
        <v>0</v>
      </c>
      <c r="U10" s="105">
        <f>+('II. Area direct_indirect impact'!$B$5-'II. Area direct_indirect impact'!$C$5)*'III. AreaAnnual_distribution'!$C$10*'VI. ParameterCarbonAssumptions'!O$48*'VI. ParameterCarbonAssumptions'!$B$4*'VI. ParameterCarbonAssumptions'!$B$8*'VI. ParameterCarbonAssumptions'!$B$11+T10</f>
        <v>0</v>
      </c>
      <c r="V10" s="105">
        <f>+('II. Area direct_indirect impact'!$B$5-'II. Area direct_indirect impact'!$C$5)*'III. AreaAnnual_distribution'!$C$10*'VI. ParameterCarbonAssumptions'!P$48*'VI. ParameterCarbonAssumptions'!$B$4*'VI. ParameterCarbonAssumptions'!$B$8*'VI. ParameterCarbonAssumptions'!$B$11+U10</f>
        <v>0</v>
      </c>
      <c r="W10" s="105">
        <f>+('II. Area direct_indirect impact'!$B$5-'II. Area direct_indirect impact'!$C$5)*'III. AreaAnnual_distribution'!$C$10*'VI. ParameterCarbonAssumptions'!Q$48*'VI. ParameterCarbonAssumptions'!$B$4*'VI. ParameterCarbonAssumptions'!$B$8*'VI. ParameterCarbonAssumptions'!$B$11+V10</f>
        <v>0</v>
      </c>
      <c r="X10" s="105">
        <f>+('II. Area direct_indirect impact'!$B$5-'II. Area direct_indirect impact'!$C$5)*'III. AreaAnnual_distribution'!$C$10*'VI. ParameterCarbonAssumptions'!R$48*'VI. ParameterCarbonAssumptions'!$B$4*'VI. ParameterCarbonAssumptions'!$B$8*'VI. ParameterCarbonAssumptions'!$B$11+W10</f>
        <v>0</v>
      </c>
      <c r="Y10" s="105">
        <f>+('II. Area direct_indirect impact'!$B$5-'II. Area direct_indirect impact'!$C$5)*'III. AreaAnnual_distribution'!$C$10*'VI. ParameterCarbonAssumptions'!S$48*'VI. ParameterCarbonAssumptions'!$B$4*'VI. ParameterCarbonAssumptions'!$B$8*'VI. ParameterCarbonAssumptions'!$B$11+X10</f>
        <v>0</v>
      </c>
      <c r="Z10" s="105">
        <f>+('II. Area direct_indirect impact'!$B$5-'II. Area direct_indirect impact'!$C$5)*'III. AreaAnnual_distribution'!$C$10*'VI. ParameterCarbonAssumptions'!T$48*'VI. ParameterCarbonAssumptions'!$B$4*'VI. ParameterCarbonAssumptions'!$B$8*'VI. ParameterCarbonAssumptions'!$B$11+Y10</f>
        <v>0</v>
      </c>
      <c r="AA10" s="105">
        <f>+('II. Area direct_indirect impact'!$B$5-'II. Area direct_indirect impact'!$C$5)*'III. AreaAnnual_distribution'!$C$10*'VI. ParameterCarbonAssumptions'!U$48*'VI. ParameterCarbonAssumptions'!$B$4*'VI. ParameterCarbonAssumptions'!$B$8*'VI. ParameterCarbonAssumptions'!$B$11+Z10</f>
        <v>0</v>
      </c>
    </row>
    <row r="11" spans="1:27" s="22" customFormat="1" x14ac:dyDescent="0.25">
      <c r="A11" s="232" t="s">
        <v>84</v>
      </c>
      <c r="B11" s="220">
        <f t="shared" si="1"/>
        <v>9454.6422462726296</v>
      </c>
      <c r="C11" s="220">
        <f t="shared" si="2"/>
        <v>35454.908423522364</v>
      </c>
      <c r="D11" s="220">
        <f t="shared" si="3"/>
        <v>52000.532354499468</v>
      </c>
      <c r="E11" s="220">
        <f t="shared" si="4"/>
        <v>67364.326004692499</v>
      </c>
      <c r="F11" s="220">
        <f t="shared" si="5"/>
        <v>74455.307689396985</v>
      </c>
      <c r="G11" s="220">
        <f t="shared" si="6"/>
        <v>86273.610497237794</v>
      </c>
      <c r="H11" s="105">
        <f>+('II. Area direct_indirect impact'!$B$5-'II. Area direct_indirect impact'!$C$5)*'VI. ParameterCarbonAssumptions'!B$48*'VI. ParameterCarbonAssumptions'!$B$4*'VI. ParameterCarbonAssumptions'!$B$8*'VI. ParameterCarbonAssumptions'!$B$11</f>
        <v>2363.6605615681583</v>
      </c>
      <c r="I11" s="105">
        <f>+('II. Area direct_indirect impact'!$B$5-'II. Area direct_indirect impact'!$C$5)*'VI. ParameterCarbonAssumptions'!C$48*'VI. ParameterCarbonAssumptions'!$B$4*'VI. ParameterCarbonAssumptions'!$B$8*'VI. ParameterCarbonAssumptions'!$B$11+H11</f>
        <v>9454.6422462726296</v>
      </c>
      <c r="J11" s="105">
        <f>+('II. Area direct_indirect impact'!$B$5-'II. Area direct_indirect impact'!$C$5)*'VI. ParameterCarbonAssumptions'!D$48*'VI. ParameterCarbonAssumptions'!$B$4*'VI. ParameterCarbonAssumptions'!$B$8*'VI. ParameterCarbonAssumptions'!$B$11+I11</f>
        <v>16545.623930977101</v>
      </c>
      <c r="K11" s="105">
        <f>+('II. Area direct_indirect impact'!$B$5-'II. Area direct_indirect impact'!$C$5)*'VI. ParameterCarbonAssumptions'!E$48*'VI. ParameterCarbonAssumptions'!$B$4*'VI. ParameterCarbonAssumptions'!$B$8*'VI. ParameterCarbonAssumptions'!$B$11+J11</f>
        <v>23636.605615681572</v>
      </c>
      <c r="L11" s="105">
        <f>+('II. Area direct_indirect impact'!$B$5-'II. Area direct_indirect impact'!$C$5)*'VI. ParameterCarbonAssumptions'!F$48*'VI. ParameterCarbonAssumptions'!$B$4*'VI. ParameterCarbonAssumptions'!$B$8*'VI. ParameterCarbonAssumptions'!$B$11+K11</f>
        <v>35454.908423522364</v>
      </c>
      <c r="M11" s="105">
        <f>+('II. Area direct_indirect impact'!$B$5-'II. Area direct_indirect impact'!$C$5)*'VI. ParameterCarbonAssumptions'!G$48*'VI. ParameterCarbonAssumptions'!$B$4*'VI. ParameterCarbonAssumptions'!$B$8*'VI. ParameterCarbonAssumptions'!$B$11+L11</f>
        <v>44909.550669794997</v>
      </c>
      <c r="N11" s="105">
        <f>+('II. Area direct_indirect impact'!$B$5-'II. Area direct_indirect impact'!$C$5)*'VI. ParameterCarbonAssumptions'!H$48*'VI. ParameterCarbonAssumptions'!$B$4*'VI. ParameterCarbonAssumptions'!$B$8*'VI. ParameterCarbonAssumptions'!$B$11+M11</f>
        <v>52000.532354499468</v>
      </c>
      <c r="O11" s="105">
        <f>+('II. Area direct_indirect impact'!$B$5-'II. Area direct_indirect impact'!$C$5)*'VI. ParameterCarbonAssumptions'!I$48*'VI. ParameterCarbonAssumptions'!$B$4*'VI. ParameterCarbonAssumptions'!$B$8*'VI. ParameterCarbonAssumptions'!$B$11+N11</f>
        <v>56727.853477635785</v>
      </c>
      <c r="P11" s="105">
        <f>+('II. Area direct_indirect impact'!$B$5-'II. Area direct_indirect impact'!$C$5)*'VI. ParameterCarbonAssumptions'!J$48*'VI. ParameterCarbonAssumptions'!$B$4*'VI. ParameterCarbonAssumptions'!$B$8*'VI. ParameterCarbonAssumptions'!$B$11+O11</f>
        <v>60273.34431998802</v>
      </c>
      <c r="Q11" s="105">
        <f>+('II. Area direct_indirect impact'!$B$5-'II. Area direct_indirect impact'!$C$5)*'VI. ParameterCarbonAssumptions'!K$48*'VI. ParameterCarbonAssumptions'!$B$4*'VI. ParameterCarbonAssumptions'!$B$8*'VI. ParameterCarbonAssumptions'!$B$11+P11</f>
        <v>62637.004881556175</v>
      </c>
      <c r="R11" s="105">
        <f>+('II. Area direct_indirect impact'!$B$5-'II. Area direct_indirect impact'!$C$5)*'VI. ParameterCarbonAssumptions'!L$48*'VI. ParameterCarbonAssumptions'!$B$4*'VI. ParameterCarbonAssumptions'!$B$8*'VI. ParameterCarbonAssumptions'!$B$11+Q11</f>
        <v>65000.665443124337</v>
      </c>
      <c r="S11" s="105">
        <f>+('II. Area direct_indirect impact'!$B$5-'II. Area direct_indirect impact'!$C$5)*'VI. ParameterCarbonAssumptions'!M$48*'VI. ParameterCarbonAssumptions'!$B$4*'VI. ParameterCarbonAssumptions'!$B$8*'VI. ParameterCarbonAssumptions'!$B$11+R11</f>
        <v>67364.326004692499</v>
      </c>
      <c r="T11" s="105">
        <f>+('II. Area direct_indirect impact'!$B$5-'II. Area direct_indirect impact'!$C$5)*'VI. ParameterCarbonAssumptions'!N$48*'VI. ParameterCarbonAssumptions'!$B$4*'VI. ParameterCarbonAssumptions'!$B$8*'VI. ParameterCarbonAssumptions'!$B$11+S11</f>
        <v>69727.986566260661</v>
      </c>
      <c r="U11" s="105">
        <f>+('II. Area direct_indirect impact'!$B$5-'II. Area direct_indirect impact'!$C$5)*'VI. ParameterCarbonAssumptions'!O$48*'VI. ParameterCarbonAssumptions'!$B$4*'VI. ParameterCarbonAssumptions'!$B$8*'VI. ParameterCarbonAssumptions'!$B$11+T11</f>
        <v>72091.647127828823</v>
      </c>
      <c r="V11" s="105">
        <f>+('II. Area direct_indirect impact'!$B$5-'II. Area direct_indirect impact'!$C$5)*'VI. ParameterCarbonAssumptions'!P$48*'VI. ParameterCarbonAssumptions'!$B$4*'VI. ParameterCarbonAssumptions'!$B$8*'VI. ParameterCarbonAssumptions'!$B$11+U11</f>
        <v>74455.307689396985</v>
      </c>
      <c r="W11" s="105">
        <f>+('II. Area direct_indirect impact'!$B$5-'II. Area direct_indirect impact'!$C$5)*'VI. ParameterCarbonAssumptions'!Q$48*'VI. ParameterCarbonAssumptions'!$B$4*'VI. ParameterCarbonAssumptions'!$B$8*'VI. ParameterCarbonAssumptions'!$B$11+V11</f>
        <v>76818.968250965147</v>
      </c>
      <c r="X11" s="105">
        <f>+('II. Area direct_indirect impact'!$B$5-'II. Area direct_indirect impact'!$C$5)*'VI. ParameterCarbonAssumptions'!R$48*'VI. ParameterCarbonAssumptions'!$B$4*'VI. ParameterCarbonAssumptions'!$B$8*'VI. ParameterCarbonAssumptions'!$B$11+W11</f>
        <v>79182.628812533309</v>
      </c>
      <c r="Y11" s="105">
        <f>+('II. Area direct_indirect impact'!$B$5-'II. Area direct_indirect impact'!$C$5)*'VI. ParameterCarbonAssumptions'!S$48*'VI. ParameterCarbonAssumptions'!$B$4*'VI. ParameterCarbonAssumptions'!$B$8*'VI. ParameterCarbonAssumptions'!$B$11+X11</f>
        <v>81546.28937410147</v>
      </c>
      <c r="Z11" s="105">
        <f>+('II. Area direct_indirect impact'!$B$5-'II. Area direct_indirect impact'!$C$5)*'VI. ParameterCarbonAssumptions'!T$48*'VI. ParameterCarbonAssumptions'!$B$4*'VI. ParameterCarbonAssumptions'!$B$8*'VI. ParameterCarbonAssumptions'!$B$11+Y11</f>
        <v>83909.949935669632</v>
      </c>
      <c r="AA11" s="105">
        <f>+('II. Area direct_indirect impact'!$B$5-'II. Area direct_indirect impact'!$C$5)*'VI. ParameterCarbonAssumptions'!U$48*'VI. ParameterCarbonAssumptions'!$B$4*'VI. ParameterCarbonAssumptions'!$B$8*'VI. ParameterCarbonAssumptions'!$B$11+Z11</f>
        <v>86273.610497237794</v>
      </c>
    </row>
    <row r="12" spans="1:27" s="3" customFormat="1" x14ac:dyDescent="0.25">
      <c r="A12" s="52" t="s">
        <v>70</v>
      </c>
      <c r="B12" s="48">
        <f t="shared" si="1"/>
        <v>1291.4385115702034</v>
      </c>
      <c r="C12" s="48">
        <f t="shared" si="2"/>
        <v>4842.8944183882622</v>
      </c>
      <c r="D12" s="48">
        <f t="shared" si="3"/>
        <v>7102.9118136361185</v>
      </c>
      <c r="E12" s="48">
        <f t="shared" si="4"/>
        <v>9201.4993949376985</v>
      </c>
      <c r="F12" s="48">
        <f t="shared" si="5"/>
        <v>10170.07827861535</v>
      </c>
      <c r="G12" s="48">
        <f t="shared" si="6"/>
        <v>11784.376418078104</v>
      </c>
      <c r="H12" s="231">
        <f t="shared" ref="H12:AA12" si="9">SUM(H13:H14)</f>
        <v>322.85962789255086</v>
      </c>
      <c r="I12" s="231">
        <f t="shared" si="9"/>
        <v>1291.4385115702034</v>
      </c>
      <c r="J12" s="231">
        <f t="shared" si="9"/>
        <v>2260.0173952478558</v>
      </c>
      <c r="K12" s="231">
        <f t="shared" si="9"/>
        <v>3228.5962789255082</v>
      </c>
      <c r="L12" s="231">
        <f t="shared" si="9"/>
        <v>4842.8944183882622</v>
      </c>
      <c r="M12" s="231">
        <f t="shared" si="9"/>
        <v>6134.3329299584657</v>
      </c>
      <c r="N12" s="231">
        <f t="shared" si="9"/>
        <v>7102.9118136361185</v>
      </c>
      <c r="O12" s="231">
        <f t="shared" si="9"/>
        <v>7748.6310694212207</v>
      </c>
      <c r="P12" s="231">
        <f t="shared" si="9"/>
        <v>8232.9205112600466</v>
      </c>
      <c r="Q12" s="231">
        <f t="shared" si="9"/>
        <v>8555.7801391525973</v>
      </c>
      <c r="R12" s="231">
        <f t="shared" si="9"/>
        <v>8878.6397670451479</v>
      </c>
      <c r="S12" s="231">
        <f t="shared" si="9"/>
        <v>9201.4993949376985</v>
      </c>
      <c r="T12" s="231">
        <f t="shared" si="9"/>
        <v>9524.3590228302492</v>
      </c>
      <c r="U12" s="231">
        <f t="shared" si="9"/>
        <v>9847.2186507227998</v>
      </c>
      <c r="V12" s="231">
        <f t="shared" si="9"/>
        <v>10170.07827861535</v>
      </c>
      <c r="W12" s="231">
        <f t="shared" si="9"/>
        <v>10492.937906507901</v>
      </c>
      <c r="X12" s="231">
        <f t="shared" si="9"/>
        <v>10815.797534400452</v>
      </c>
      <c r="Y12" s="231">
        <f t="shared" si="9"/>
        <v>11138.657162293002</v>
      </c>
      <c r="Z12" s="231">
        <f t="shared" si="9"/>
        <v>11461.516790185553</v>
      </c>
      <c r="AA12" s="231">
        <f t="shared" si="9"/>
        <v>11784.376418078104</v>
      </c>
    </row>
    <row r="13" spans="1:27" s="22" customFormat="1" x14ac:dyDescent="0.25">
      <c r="A13" s="232" t="s">
        <v>83</v>
      </c>
      <c r="B13" s="220">
        <f t="shared" si="1"/>
        <v>1291.4385115702034</v>
      </c>
      <c r="C13" s="220">
        <f t="shared" si="2"/>
        <v>4842.8944183882622</v>
      </c>
      <c r="D13" s="220">
        <f t="shared" si="3"/>
        <v>7102.9118136361185</v>
      </c>
      <c r="E13" s="220">
        <f t="shared" si="4"/>
        <v>9201.4993949376985</v>
      </c>
      <c r="F13" s="220">
        <f t="shared" si="5"/>
        <v>10170.07827861535</v>
      </c>
      <c r="G13" s="220">
        <f t="shared" si="6"/>
        <v>11784.376418078104</v>
      </c>
      <c r="H13" s="105">
        <f>+('II. Area direct_indirect impact'!$B$6-'II. Area direct_indirect impact'!$C$6)*'VI. ParameterCarbonAssumptions'!B$48*'VI. ParameterCarbonAssumptions'!$B$5*'VI. ParameterCarbonAssumptions'!$B$10*'VI. ParameterCarbonAssumptions'!$B$12</f>
        <v>322.85962789255086</v>
      </c>
      <c r="I13" s="105">
        <f>+('II. Area direct_indirect impact'!$B$6-'II. Area direct_indirect impact'!$C$6)*'VI. ParameterCarbonAssumptions'!C$48*'VI. ParameterCarbonAssumptions'!$B$5*'VI. ParameterCarbonAssumptions'!$B$10*'VI. ParameterCarbonAssumptions'!$B$12+H13</f>
        <v>1291.4385115702034</v>
      </c>
      <c r="J13" s="105">
        <f>+('II. Area direct_indirect impact'!$B$6-'II. Area direct_indirect impact'!$C$6)*'VI. ParameterCarbonAssumptions'!D$48*'VI. ParameterCarbonAssumptions'!$B$5*'VI. ParameterCarbonAssumptions'!$B$10*'VI. ParameterCarbonAssumptions'!$B$12+I13</f>
        <v>2260.0173952478558</v>
      </c>
      <c r="K13" s="105">
        <f>+('II. Area direct_indirect impact'!$B$6-'II. Area direct_indirect impact'!$C$6)*'VI. ParameterCarbonAssumptions'!E$48*'VI. ParameterCarbonAssumptions'!$B$5*'VI. ParameterCarbonAssumptions'!$B$10*'VI. ParameterCarbonAssumptions'!$B$12+J13</f>
        <v>3228.5962789255082</v>
      </c>
      <c r="L13" s="105">
        <f>+('II. Area direct_indirect impact'!$B$6-'II. Area direct_indirect impact'!$C$6)*'VI. ParameterCarbonAssumptions'!F$48*'VI. ParameterCarbonAssumptions'!$B$5*'VI. ParameterCarbonAssumptions'!$B$10*'VI. ParameterCarbonAssumptions'!$B$12+K13</f>
        <v>4842.8944183882622</v>
      </c>
      <c r="M13" s="105">
        <f>+('II. Area direct_indirect impact'!$B$6-'II. Area direct_indirect impact'!$C$6)*'VI. ParameterCarbonAssumptions'!G$48*'VI. ParameterCarbonAssumptions'!$B$5*'VI. ParameterCarbonAssumptions'!$B$10*'VI. ParameterCarbonAssumptions'!$B$12+L13</f>
        <v>6134.3329299584657</v>
      </c>
      <c r="N13" s="105">
        <f>+('II. Area direct_indirect impact'!$B$6-'II. Area direct_indirect impact'!$C$6)*'VI. ParameterCarbonAssumptions'!H$48*'VI. ParameterCarbonAssumptions'!$B$5*'VI. ParameterCarbonAssumptions'!$B$10*'VI. ParameterCarbonAssumptions'!$B$12+M13</f>
        <v>7102.9118136361185</v>
      </c>
      <c r="O13" s="105">
        <f>+('II. Area direct_indirect impact'!$B$6-'II. Area direct_indirect impact'!$C$6)*'VI. ParameterCarbonAssumptions'!I$48*'VI. ParameterCarbonAssumptions'!$B$5*'VI. ParameterCarbonAssumptions'!$B$10*'VI. ParameterCarbonAssumptions'!$B$12+N13</f>
        <v>7748.6310694212207</v>
      </c>
      <c r="P13" s="105">
        <f>+('II. Area direct_indirect impact'!$B$6-'II. Area direct_indirect impact'!$C$6)*'VI. ParameterCarbonAssumptions'!J$48*'VI. ParameterCarbonAssumptions'!$B$5*'VI. ParameterCarbonAssumptions'!$B$10*'VI. ParameterCarbonAssumptions'!$B$12+O13</f>
        <v>8232.9205112600466</v>
      </c>
      <c r="Q13" s="105">
        <f>+('II. Area direct_indirect impact'!$B$6-'II. Area direct_indirect impact'!$C$6)*'VI. ParameterCarbonAssumptions'!K$48*'VI. ParameterCarbonAssumptions'!$B$5*'VI. ParameterCarbonAssumptions'!$B$10*'VI. ParameterCarbonAssumptions'!$B$12+P13</f>
        <v>8555.7801391525973</v>
      </c>
      <c r="R13" s="105">
        <f>+('II. Area direct_indirect impact'!$B$6-'II. Area direct_indirect impact'!$C$6)*'VI. ParameterCarbonAssumptions'!L$48*'VI. ParameterCarbonAssumptions'!$B$5*'VI. ParameterCarbonAssumptions'!$B$10*'VI. ParameterCarbonAssumptions'!$B$12+Q13</f>
        <v>8878.6397670451479</v>
      </c>
      <c r="S13" s="105">
        <f>+('II. Area direct_indirect impact'!$B$6-'II. Area direct_indirect impact'!$C$6)*'VI. ParameterCarbonAssumptions'!M$48*'VI. ParameterCarbonAssumptions'!$B$5*'VI. ParameterCarbonAssumptions'!$B$10*'VI. ParameterCarbonAssumptions'!$B$12+R13</f>
        <v>9201.4993949376985</v>
      </c>
      <c r="T13" s="105">
        <f>+('II. Area direct_indirect impact'!$B$6-'II. Area direct_indirect impact'!$C$6)*'VI. ParameterCarbonAssumptions'!N$48*'VI. ParameterCarbonAssumptions'!$B$5*'VI. ParameterCarbonAssumptions'!$B$10*'VI. ParameterCarbonAssumptions'!$B$12+S13</f>
        <v>9524.3590228302492</v>
      </c>
      <c r="U13" s="105">
        <f>+('II. Area direct_indirect impact'!$B$6-'II. Area direct_indirect impact'!$C$6)*'VI. ParameterCarbonAssumptions'!O$48*'VI. ParameterCarbonAssumptions'!$B$5*'VI. ParameterCarbonAssumptions'!$B$10*'VI. ParameterCarbonAssumptions'!$B$12+T13</f>
        <v>9847.2186507227998</v>
      </c>
      <c r="V13" s="105">
        <f>+('II. Area direct_indirect impact'!$B$6-'II. Area direct_indirect impact'!$C$6)*'VI. ParameterCarbonAssumptions'!P$48*'VI. ParameterCarbonAssumptions'!$B$5*'VI. ParameterCarbonAssumptions'!$B$10*'VI. ParameterCarbonAssumptions'!$B$12+U13</f>
        <v>10170.07827861535</v>
      </c>
      <c r="W13" s="105">
        <f>+('II. Area direct_indirect impact'!$B$6-'II. Area direct_indirect impact'!$C$6)*'VI. ParameterCarbonAssumptions'!Q$48*'VI. ParameterCarbonAssumptions'!$B$5*'VI. ParameterCarbonAssumptions'!$B$10*'VI. ParameterCarbonAssumptions'!$B$12+V13</f>
        <v>10492.937906507901</v>
      </c>
      <c r="X13" s="105">
        <f>+('II. Area direct_indirect impact'!$B$6-'II. Area direct_indirect impact'!$C$6)*'VI. ParameterCarbonAssumptions'!R$48*'VI. ParameterCarbonAssumptions'!$B$5*'VI. ParameterCarbonAssumptions'!$B$10*'VI. ParameterCarbonAssumptions'!$B$12+W13</f>
        <v>10815.797534400452</v>
      </c>
      <c r="Y13" s="105">
        <f>+('II. Area direct_indirect impact'!$B$6-'II. Area direct_indirect impact'!$C$6)*'VI. ParameterCarbonAssumptions'!S$48*'VI. ParameterCarbonAssumptions'!$B$5*'VI. ParameterCarbonAssumptions'!$B$10*'VI. ParameterCarbonAssumptions'!$B$12+X13</f>
        <v>11138.657162293002</v>
      </c>
      <c r="Z13" s="105">
        <f>+('II. Area direct_indirect impact'!$B$6-'II. Area direct_indirect impact'!$C$6)*'VI. ParameterCarbonAssumptions'!T$48*'VI. ParameterCarbonAssumptions'!$B$5*'VI. ParameterCarbonAssumptions'!$B$10*'VI. ParameterCarbonAssumptions'!$B$12+Y13</f>
        <v>11461.516790185553</v>
      </c>
      <c r="AA13" s="105">
        <f>+('II. Area direct_indirect impact'!$B$6-'II. Area direct_indirect impact'!$C$6)*'VI. ParameterCarbonAssumptions'!U$48*'VI. ParameterCarbonAssumptions'!$B$5*'VI. ParameterCarbonAssumptions'!$B$10*'VI. ParameterCarbonAssumptions'!$B$12+Z13</f>
        <v>11784.376418078104</v>
      </c>
    </row>
    <row r="14" spans="1:27" s="22" customFormat="1" x14ac:dyDescent="0.25">
      <c r="A14" s="232" t="s">
        <v>84</v>
      </c>
      <c r="B14" s="220">
        <f t="shared" si="1"/>
        <v>0</v>
      </c>
      <c r="C14" s="220">
        <f t="shared" si="2"/>
        <v>0</v>
      </c>
      <c r="D14" s="220">
        <f t="shared" si="3"/>
        <v>0</v>
      </c>
      <c r="E14" s="220">
        <f t="shared" si="4"/>
        <v>0</v>
      </c>
      <c r="F14" s="220">
        <f t="shared" si="5"/>
        <v>0</v>
      </c>
      <c r="G14" s="220">
        <f t="shared" si="6"/>
        <v>0</v>
      </c>
      <c r="H14" s="105">
        <f>+('II. Area direct_indirect impact'!$B$6-'II. Area direct_indirect impact'!$C$6)*'III. AreaAnnual_distribution'!C$14*'VI. ParameterCarbonAssumptions'!B$48*'VI. ParameterCarbonAssumptions'!$B$5*'VI. ParameterCarbonAssumptions'!$B$10*'VI. ParameterCarbonAssumptions'!$B$12</f>
        <v>0</v>
      </c>
      <c r="I14" s="105">
        <f>+('II. Area direct_indirect impact'!$B$6-'II. Area direct_indirect impact'!$C$6)*'III. AreaAnnual_distribution'!D$14*'VI. ParameterCarbonAssumptions'!C$48*'VI. ParameterCarbonAssumptions'!$B$5*'VI. ParameterCarbonAssumptions'!$B$10*'VI. ParameterCarbonAssumptions'!$B$12</f>
        <v>0</v>
      </c>
      <c r="J14" s="105">
        <f>+('II. Area direct_indirect impact'!$B$6-'II. Area direct_indirect impact'!$C$6)*'III. AreaAnnual_distribution'!E$14*'VI. ParameterCarbonAssumptions'!D$48*'VI. ParameterCarbonAssumptions'!$B$5*'VI. ParameterCarbonAssumptions'!$B$10*'VI. ParameterCarbonAssumptions'!$B$12</f>
        <v>0</v>
      </c>
      <c r="K14" s="105">
        <f>+('II. Area direct_indirect impact'!$B$6-'II. Area direct_indirect impact'!$C$6)*'III. AreaAnnual_distribution'!F$14*'VI. ParameterCarbonAssumptions'!E$48*'VI. ParameterCarbonAssumptions'!$B$5*'VI. ParameterCarbonAssumptions'!$B$10*'VI. ParameterCarbonAssumptions'!$B$12</f>
        <v>0</v>
      </c>
      <c r="L14" s="105">
        <f>+('II. Area direct_indirect impact'!$B$6-'II. Area direct_indirect impact'!$C$6)*'III. AreaAnnual_distribution'!G$14*'VI. ParameterCarbonAssumptions'!F$48*'VI. ParameterCarbonAssumptions'!$B$5*'VI. ParameterCarbonAssumptions'!$B$10*'VI. ParameterCarbonAssumptions'!$B$12</f>
        <v>0</v>
      </c>
      <c r="M14" s="105">
        <f>+('II. Area direct_indirect impact'!$B$6-'II. Area direct_indirect impact'!$C$6)*'III. AreaAnnual_distribution'!H$14*'VI. ParameterCarbonAssumptions'!G$48*'VI. ParameterCarbonAssumptions'!$B$5*'VI. ParameterCarbonAssumptions'!$B$10*'VI. ParameterCarbonAssumptions'!$B$12</f>
        <v>0</v>
      </c>
      <c r="N14" s="105">
        <f>+('II. Area direct_indirect impact'!$B$6-'II. Area direct_indirect impact'!$C$6)*'III. AreaAnnual_distribution'!I$14*'VI. ParameterCarbonAssumptions'!H$48*'VI. ParameterCarbonAssumptions'!$B$5*'VI. ParameterCarbonAssumptions'!$B$10*'VI. ParameterCarbonAssumptions'!$B$12</f>
        <v>0</v>
      </c>
      <c r="O14" s="105">
        <f>+('II. Area direct_indirect impact'!$B$6-'II. Area direct_indirect impact'!$C$6)*'III. AreaAnnual_distribution'!J$14*'VI. ParameterCarbonAssumptions'!I$48*'VI. ParameterCarbonAssumptions'!$B$5*'VI. ParameterCarbonAssumptions'!$B$10*'VI. ParameterCarbonAssumptions'!$B$12</f>
        <v>0</v>
      </c>
      <c r="P14" s="105">
        <f>+('II. Area direct_indirect impact'!$B$6-'II. Area direct_indirect impact'!$C$6)*'III. AreaAnnual_distribution'!K$14*'VI. ParameterCarbonAssumptions'!J$48*'VI. ParameterCarbonAssumptions'!$B$5*'VI. ParameterCarbonAssumptions'!$B$10*'VI. ParameterCarbonAssumptions'!$B$12</f>
        <v>0</v>
      </c>
      <c r="Q14" s="105">
        <f>+('II. Area direct_indirect impact'!$B$6-'II. Area direct_indirect impact'!$C$6)*'III. AreaAnnual_distribution'!L$14*'VI. ParameterCarbonAssumptions'!K$48*'VI. ParameterCarbonAssumptions'!$B$5*'VI. ParameterCarbonAssumptions'!$B$10*'VI. ParameterCarbonAssumptions'!$B$12</f>
        <v>0</v>
      </c>
      <c r="R14" s="105">
        <f>+('II. Area direct_indirect impact'!$B$6-'II. Area direct_indirect impact'!$C$6)*'III. AreaAnnual_distribution'!M$14*'VI. ParameterCarbonAssumptions'!L$48*'VI. ParameterCarbonAssumptions'!$B$5*'VI. ParameterCarbonAssumptions'!$B$10*'VI. ParameterCarbonAssumptions'!$B$12</f>
        <v>0</v>
      </c>
      <c r="S14" s="105">
        <f>+('II. Area direct_indirect impact'!$B$6-'II. Area direct_indirect impact'!$C$6)*'III. AreaAnnual_distribution'!N$14*'VI. ParameterCarbonAssumptions'!M$48*'VI. ParameterCarbonAssumptions'!$B$5*'VI. ParameterCarbonAssumptions'!$B$10*'VI. ParameterCarbonAssumptions'!$B$12</f>
        <v>0</v>
      </c>
      <c r="T14" s="105">
        <f>+('II. Area direct_indirect impact'!$B$6-'II. Area direct_indirect impact'!$C$6)*'III. AreaAnnual_distribution'!O$14*'VI. ParameterCarbonAssumptions'!N$48*'VI. ParameterCarbonAssumptions'!$B$5*'VI. ParameterCarbonAssumptions'!$B$10*'VI. ParameterCarbonAssumptions'!$B$12</f>
        <v>0</v>
      </c>
      <c r="U14" s="105">
        <f>+('II. Area direct_indirect impact'!$B$6-'II. Area direct_indirect impact'!$C$6)*'III. AreaAnnual_distribution'!P$14*'VI. ParameterCarbonAssumptions'!O$48*'VI. ParameterCarbonAssumptions'!$B$5*'VI. ParameterCarbonAssumptions'!$B$10*'VI. ParameterCarbonAssumptions'!$B$12</f>
        <v>0</v>
      </c>
      <c r="V14" s="105">
        <f>+('II. Area direct_indirect impact'!$B$6-'II. Area direct_indirect impact'!$C$6)*'III. AreaAnnual_distribution'!Q$14*'VI. ParameterCarbonAssumptions'!P$48*'VI. ParameterCarbonAssumptions'!$B$5*'VI. ParameterCarbonAssumptions'!$B$10*'VI. ParameterCarbonAssumptions'!$B$12</f>
        <v>0</v>
      </c>
      <c r="W14" s="105">
        <f>+('II. Area direct_indirect impact'!$B$6-'II. Area direct_indirect impact'!$C$6)*'III. AreaAnnual_distribution'!R$14*'VI. ParameterCarbonAssumptions'!Q$48*'VI. ParameterCarbonAssumptions'!$B$5*'VI. ParameterCarbonAssumptions'!$B$10*'VI. ParameterCarbonAssumptions'!$B$12</f>
        <v>0</v>
      </c>
      <c r="X14" s="105">
        <f>+('II. Area direct_indirect impact'!$B$6-'II. Area direct_indirect impact'!$C$6)*'III. AreaAnnual_distribution'!S$14*'VI. ParameterCarbonAssumptions'!R$48*'VI. ParameterCarbonAssumptions'!$B$5*'VI. ParameterCarbonAssumptions'!$B$10*'VI. ParameterCarbonAssumptions'!$B$12</f>
        <v>0</v>
      </c>
      <c r="Y14" s="105">
        <f>+('II. Area direct_indirect impact'!$B$6-'II. Area direct_indirect impact'!$C$6)*'III. AreaAnnual_distribution'!T$14*'VI. ParameterCarbonAssumptions'!S$48*'VI. ParameterCarbonAssumptions'!$B$5*'VI. ParameterCarbonAssumptions'!$B$10*'VI. ParameterCarbonAssumptions'!$B$12</f>
        <v>0</v>
      </c>
      <c r="Z14" s="105">
        <f>+('II. Area direct_indirect impact'!$B$6-'II. Area direct_indirect impact'!$C$6)*'III. AreaAnnual_distribution'!U$14*'VI. ParameterCarbonAssumptions'!T$48*'VI. ParameterCarbonAssumptions'!$B$5*'VI. ParameterCarbonAssumptions'!$B$10*'VI. ParameterCarbonAssumptions'!$B$12</f>
        <v>0</v>
      </c>
      <c r="AA14" s="105">
        <f>+('II. Area direct_indirect impact'!$B$6-'II. Area direct_indirect impact'!$C$6)*'III. AreaAnnual_distribution'!V$14*'VI. ParameterCarbonAssumptions'!U$48*'VI. ParameterCarbonAssumptions'!$B$5*'VI. ParameterCarbonAssumptions'!$B$10*'VI. ParameterCarbonAssumptions'!$B$12</f>
        <v>0</v>
      </c>
    </row>
    <row r="15" spans="1:27" x14ac:dyDescent="0.25">
      <c r="A15" s="42" t="s">
        <v>71</v>
      </c>
      <c r="B15" s="26">
        <f t="shared" si="1"/>
        <v>15140.579227926228</v>
      </c>
      <c r="C15" s="26">
        <f t="shared" si="2"/>
        <v>294261.92548527376</v>
      </c>
      <c r="D15" s="26">
        <f t="shared" si="3"/>
        <v>376358.83479069982</v>
      </c>
      <c r="E15" s="26">
        <f t="shared" si="4"/>
        <v>1292545.9027296456</v>
      </c>
      <c r="F15" s="26">
        <f t="shared" si="5"/>
        <v>1767503.3123865454</v>
      </c>
      <c r="G15" s="26">
        <f t="shared" si="6"/>
        <v>2559098.9951480441</v>
      </c>
      <c r="H15" s="88">
        <f t="shared" ref="H15:AA15" si="10">+H16+H19</f>
        <v>0</v>
      </c>
      <c r="I15" s="88">
        <f t="shared" si="10"/>
        <v>15140.579227926228</v>
      </c>
      <c r="J15" s="88">
        <f t="shared" si="10"/>
        <v>94745.660829803353</v>
      </c>
      <c r="K15" s="88">
        <f t="shared" si="10"/>
        <v>192895.40032824321</v>
      </c>
      <c r="L15" s="88">
        <f t="shared" si="10"/>
        <v>294261.92548527376</v>
      </c>
      <c r="M15" s="88">
        <f t="shared" si="10"/>
        <v>355387.21152135276</v>
      </c>
      <c r="N15" s="88">
        <f t="shared" si="10"/>
        <v>376358.83479069982</v>
      </c>
      <c r="O15" s="88">
        <f t="shared" si="10"/>
        <v>617738.89479463059</v>
      </c>
      <c r="P15" s="88">
        <f t="shared" si="10"/>
        <v>817588.49307274597</v>
      </c>
      <c r="Q15" s="88">
        <f t="shared" si="10"/>
        <v>975907.62962504593</v>
      </c>
      <c r="R15" s="88">
        <f t="shared" si="10"/>
        <v>1134226.7661773458</v>
      </c>
      <c r="S15" s="88">
        <f t="shared" si="10"/>
        <v>1292545.9027296456</v>
      </c>
      <c r="T15" s="101">
        <f t="shared" si="10"/>
        <v>1450865.0392819454</v>
      </c>
      <c r="U15" s="101">
        <f t="shared" si="10"/>
        <v>1609184.1758342453</v>
      </c>
      <c r="V15" s="101">
        <f t="shared" si="10"/>
        <v>1767503.3123865454</v>
      </c>
      <c r="W15" s="101">
        <f t="shared" si="10"/>
        <v>1925822.4489388452</v>
      </c>
      <c r="X15" s="101">
        <f t="shared" si="10"/>
        <v>2084141.585491145</v>
      </c>
      <c r="Y15" s="101">
        <f t="shared" si="10"/>
        <v>2242460.7220434449</v>
      </c>
      <c r="Z15" s="101">
        <f t="shared" si="10"/>
        <v>2400779.8585957447</v>
      </c>
      <c r="AA15" s="101">
        <f t="shared" si="10"/>
        <v>2559098.9951480441</v>
      </c>
    </row>
    <row r="16" spans="1:27" s="3" customFormat="1" x14ac:dyDescent="0.25">
      <c r="A16" s="234" t="s">
        <v>106</v>
      </c>
      <c r="B16" s="48">
        <f t="shared" si="1"/>
        <v>9542.1164353476397</v>
      </c>
      <c r="C16" s="48">
        <f t="shared" si="2"/>
        <v>203792.34386921034</v>
      </c>
      <c r="D16" s="48">
        <f t="shared" si="3"/>
        <v>256955.56400900433</v>
      </c>
      <c r="E16" s="48">
        <f t="shared" si="4"/>
        <v>699982.39850728726</v>
      </c>
      <c r="F16" s="48">
        <f t="shared" si="5"/>
        <v>904456.32212187944</v>
      </c>
      <c r="G16" s="48">
        <f t="shared" si="6"/>
        <v>1245246.1948128662</v>
      </c>
      <c r="H16" s="102">
        <f t="shared" ref="H16:AA16" si="11">SUM(H17:H18)</f>
        <v>0</v>
      </c>
      <c r="I16" s="102">
        <f t="shared" si="11"/>
        <v>9542.1164353476397</v>
      </c>
      <c r="J16" s="102">
        <f t="shared" si="11"/>
        <v>60660.597338995707</v>
      </c>
      <c r="K16" s="102">
        <f t="shared" si="11"/>
        <v>128818.57187719314</v>
      </c>
      <c r="L16" s="102">
        <f t="shared" si="11"/>
        <v>203792.34386921034</v>
      </c>
      <c r="M16" s="102">
        <f t="shared" si="11"/>
        <v>244687.12859212881</v>
      </c>
      <c r="N16" s="102">
        <f t="shared" si="11"/>
        <v>256955.56400900433</v>
      </c>
      <c r="O16" s="102">
        <f t="shared" si="11"/>
        <v>393271.51308539906</v>
      </c>
      <c r="P16" s="102">
        <f t="shared" si="11"/>
        <v>495508.47489269509</v>
      </c>
      <c r="Q16" s="102">
        <f t="shared" si="11"/>
        <v>563666.44943089248</v>
      </c>
      <c r="R16" s="102">
        <f t="shared" si="11"/>
        <v>631824.42396908987</v>
      </c>
      <c r="S16" s="102">
        <f t="shared" si="11"/>
        <v>699982.39850728726</v>
      </c>
      <c r="T16" s="102">
        <f t="shared" si="11"/>
        <v>768140.37304548465</v>
      </c>
      <c r="U16" s="102">
        <f t="shared" si="11"/>
        <v>836298.34758368204</v>
      </c>
      <c r="V16" s="102">
        <f t="shared" si="11"/>
        <v>904456.32212187944</v>
      </c>
      <c r="W16" s="102">
        <f t="shared" si="11"/>
        <v>972614.29666007683</v>
      </c>
      <c r="X16" s="102">
        <f t="shared" si="11"/>
        <v>1040772.2711982742</v>
      </c>
      <c r="Y16" s="102">
        <f t="shared" si="11"/>
        <v>1108930.2457364716</v>
      </c>
      <c r="Z16" s="102">
        <f t="shared" si="11"/>
        <v>1177088.2202746689</v>
      </c>
      <c r="AA16" s="102">
        <f t="shared" si="11"/>
        <v>1245246.1948128662</v>
      </c>
    </row>
    <row r="17" spans="1:27" s="22" customFormat="1" x14ac:dyDescent="0.25">
      <c r="A17" s="232" t="s">
        <v>83</v>
      </c>
      <c r="B17" s="220">
        <f t="shared" si="1"/>
        <v>9542.1164353476397</v>
      </c>
      <c r="C17" s="220">
        <f t="shared" si="2"/>
        <v>203792.34386921034</v>
      </c>
      <c r="D17" s="220">
        <f t="shared" si="3"/>
        <v>256955.56400900433</v>
      </c>
      <c r="E17" s="220">
        <f t="shared" si="4"/>
        <v>699982.39850728726</v>
      </c>
      <c r="F17" s="220">
        <f t="shared" si="5"/>
        <v>904456.32212187944</v>
      </c>
      <c r="G17" s="220">
        <f t="shared" si="6"/>
        <v>1245246.1948128662</v>
      </c>
      <c r="H17" s="105">
        <f>+'III. AreaAnnual_distribution'!C42*'VI. ParameterCarbonAssumptions'!$B$7*'VI. ParameterCarbonAssumptions'!$B$11*'VI. ParameterCarbonAssumptions'!B$46</f>
        <v>0</v>
      </c>
      <c r="I17" s="105">
        <f>+'III. AreaAnnual_distribution'!D42*'VI. ParameterCarbonAssumptions'!$B$7*'VI. ParameterCarbonAssumptions'!$B$11*'VI. ParameterCarbonAssumptions'!C$46+H17</f>
        <v>9542.1164353476397</v>
      </c>
      <c r="J17" s="105">
        <f>+'III. AreaAnnual_distribution'!E42*'VI. ParameterCarbonAssumptions'!$B$7*'VI. ParameterCarbonAssumptions'!$B$11*'VI. ParameterCarbonAssumptions'!D$46+I17</f>
        <v>60660.597338995707</v>
      </c>
      <c r="K17" s="105">
        <f>+'III. AreaAnnual_distribution'!F42*'VI. ParameterCarbonAssumptions'!$B$7*'VI. ParameterCarbonAssumptions'!$B$11*'VI. ParameterCarbonAssumptions'!E$46+J17</f>
        <v>128818.57187719314</v>
      </c>
      <c r="L17" s="105">
        <f>+'III. AreaAnnual_distribution'!G42*'VI. ParameterCarbonAssumptions'!$B$7*'VI. ParameterCarbonAssumptions'!$B$11*'VI. ParameterCarbonAssumptions'!F$46+K17</f>
        <v>203792.34386921034</v>
      </c>
      <c r="M17" s="105">
        <f>+'III. AreaAnnual_distribution'!H42*'VI. ParameterCarbonAssumptions'!$B$7*'VI. ParameterCarbonAssumptions'!$B$11*'VI. ParameterCarbonAssumptions'!G$46+L17</f>
        <v>244687.12859212881</v>
      </c>
      <c r="N17" s="105">
        <f>+'III. AreaAnnual_distribution'!I42*'VI. ParameterCarbonAssumptions'!$B$7*'VI. ParameterCarbonAssumptions'!$B$11*'VI. ParameterCarbonAssumptions'!H$46+M17</f>
        <v>256955.56400900433</v>
      </c>
      <c r="O17" s="105">
        <f>+'III. AreaAnnual_distribution'!J42*'VI. ParameterCarbonAssumptions'!$B$7*'VI. ParameterCarbonAssumptions'!$B$11*'VI. ParameterCarbonAssumptions'!I$46+N17</f>
        <v>393271.51308539906</v>
      </c>
      <c r="P17" s="105">
        <f>+'III. AreaAnnual_distribution'!K42*'VI. ParameterCarbonAssumptions'!$B$7*'VI. ParameterCarbonAssumptions'!$B$11*'VI. ParameterCarbonAssumptions'!J$46+O17</f>
        <v>495508.47489269509</v>
      </c>
      <c r="Q17" s="105">
        <f>+'III. AreaAnnual_distribution'!L42*'VI. ParameterCarbonAssumptions'!$B$7*'VI. ParameterCarbonAssumptions'!$B$11*'VI. ParameterCarbonAssumptions'!K$46+P17</f>
        <v>563666.44943089248</v>
      </c>
      <c r="R17" s="105">
        <f>+'III. AreaAnnual_distribution'!M42*'VI. ParameterCarbonAssumptions'!$B$7*'VI. ParameterCarbonAssumptions'!$B$11*'VI. ParameterCarbonAssumptions'!L$46+Q17</f>
        <v>631824.42396908987</v>
      </c>
      <c r="S17" s="105">
        <f>+'III. AreaAnnual_distribution'!N42*'VI. ParameterCarbonAssumptions'!$B$7*'VI. ParameterCarbonAssumptions'!$B$11*'VI. ParameterCarbonAssumptions'!M$46+R17</f>
        <v>699982.39850728726</v>
      </c>
      <c r="T17" s="105">
        <f>+'III. AreaAnnual_distribution'!O42*'VI. ParameterCarbonAssumptions'!$B$7*'VI. ParameterCarbonAssumptions'!$B$11*'VI. ParameterCarbonAssumptions'!N$46+S17</f>
        <v>768140.37304548465</v>
      </c>
      <c r="U17" s="105">
        <f>+'III. AreaAnnual_distribution'!P42*'VI. ParameterCarbonAssumptions'!$B$7*'VI. ParameterCarbonAssumptions'!$B$11*'VI. ParameterCarbonAssumptions'!O$46+T17</f>
        <v>836298.34758368204</v>
      </c>
      <c r="V17" s="105">
        <f>+'III. AreaAnnual_distribution'!Q42*'VI. ParameterCarbonAssumptions'!$B$7*'VI. ParameterCarbonAssumptions'!$B$11*'VI. ParameterCarbonAssumptions'!P$46+U17</f>
        <v>904456.32212187944</v>
      </c>
      <c r="W17" s="105">
        <f>+'III. AreaAnnual_distribution'!R42*'VI. ParameterCarbonAssumptions'!$B$7*'VI. ParameterCarbonAssumptions'!$B$11*'VI. ParameterCarbonAssumptions'!Q$46+V17</f>
        <v>972614.29666007683</v>
      </c>
      <c r="X17" s="105">
        <f>+'III. AreaAnnual_distribution'!S42*'VI. ParameterCarbonAssumptions'!$B$7*'VI. ParameterCarbonAssumptions'!$B$11*'VI. ParameterCarbonAssumptions'!R$46+W17</f>
        <v>1040772.2711982742</v>
      </c>
      <c r="Y17" s="105">
        <f>+'III. AreaAnnual_distribution'!T42*'VI. ParameterCarbonAssumptions'!$B$7*'VI. ParameterCarbonAssumptions'!$B$11*'VI. ParameterCarbonAssumptions'!S$46+X17</f>
        <v>1108930.2457364716</v>
      </c>
      <c r="Z17" s="105">
        <f>+'III. AreaAnnual_distribution'!U42*'VI. ParameterCarbonAssumptions'!$B$7*'VI. ParameterCarbonAssumptions'!$B$11*'VI. ParameterCarbonAssumptions'!T$46+Y17</f>
        <v>1177088.2202746689</v>
      </c>
      <c r="AA17" s="105">
        <f>+'III. AreaAnnual_distribution'!V42*'VI. ParameterCarbonAssumptions'!$B$7*'VI. ParameterCarbonAssumptions'!$B$11*'VI. ParameterCarbonAssumptions'!U$46+Z17</f>
        <v>1245246.1948128662</v>
      </c>
    </row>
    <row r="18" spans="1:27" s="22" customFormat="1" x14ac:dyDescent="0.25">
      <c r="A18" s="232" t="s">
        <v>84</v>
      </c>
      <c r="B18" s="220">
        <f t="shared" si="1"/>
        <v>0</v>
      </c>
      <c r="C18" s="220">
        <f t="shared" si="2"/>
        <v>0</v>
      </c>
      <c r="D18" s="220">
        <f t="shared" si="3"/>
        <v>0</v>
      </c>
      <c r="E18" s="220">
        <f t="shared" si="4"/>
        <v>0</v>
      </c>
      <c r="F18" s="220">
        <f t="shared" si="5"/>
        <v>0</v>
      </c>
      <c r="G18" s="220">
        <f t="shared" si="6"/>
        <v>0</v>
      </c>
      <c r="H18" s="105">
        <f>+'III. AreaAnnual_distribution'!C43*'VI. ParameterCarbonAssumptions'!$B$7*'VI. ParameterCarbonAssumptions'!$B$11*'VI. ParameterCarbonAssumptions'!B$46</f>
        <v>0</v>
      </c>
      <c r="I18" s="105">
        <f>+'III. AreaAnnual_distribution'!D43*'VI. ParameterCarbonAssumptions'!$B$7*'VI. ParameterCarbonAssumptions'!$B$11*'VI. ParameterCarbonAssumptions'!C$46+H18</f>
        <v>0</v>
      </c>
      <c r="J18" s="105">
        <f>+'III. AreaAnnual_distribution'!E43*'VI. ParameterCarbonAssumptions'!$B$7*'VI. ParameterCarbonAssumptions'!$B$11*'VI. ParameterCarbonAssumptions'!D$46+I18</f>
        <v>0</v>
      </c>
      <c r="K18" s="105">
        <f>+'III. AreaAnnual_distribution'!F43*'VI. ParameterCarbonAssumptions'!$B$7*'VI. ParameterCarbonAssumptions'!$B$11*'VI. ParameterCarbonAssumptions'!E$46+J18</f>
        <v>0</v>
      </c>
      <c r="L18" s="105">
        <f>+'III. AreaAnnual_distribution'!G43*'VI. ParameterCarbonAssumptions'!$B$7*'VI. ParameterCarbonAssumptions'!$B$11*'VI. ParameterCarbonAssumptions'!F$46+K18</f>
        <v>0</v>
      </c>
      <c r="M18" s="105">
        <f>+'III. AreaAnnual_distribution'!H43*'VI. ParameterCarbonAssumptions'!$B$7*'VI. ParameterCarbonAssumptions'!$B$11*'VI. ParameterCarbonAssumptions'!G$46+L18</f>
        <v>0</v>
      </c>
      <c r="N18" s="105">
        <f>+'III. AreaAnnual_distribution'!I43*'VI. ParameterCarbonAssumptions'!$B$7*'VI. ParameterCarbonAssumptions'!$B$11*'VI. ParameterCarbonAssumptions'!H$46+M18</f>
        <v>0</v>
      </c>
      <c r="O18" s="105">
        <f>+'III. AreaAnnual_distribution'!J43*'VI. ParameterCarbonAssumptions'!$B$7*'VI. ParameterCarbonAssumptions'!$B$11*'VI. ParameterCarbonAssumptions'!I$46+N18</f>
        <v>0</v>
      </c>
      <c r="P18" s="105">
        <f>+'III. AreaAnnual_distribution'!K43*'VI. ParameterCarbonAssumptions'!$B$7*'VI. ParameterCarbonAssumptions'!$B$11*'VI. ParameterCarbonAssumptions'!J$46+O18</f>
        <v>0</v>
      </c>
      <c r="Q18" s="105">
        <f>+'III. AreaAnnual_distribution'!L43*'VI. ParameterCarbonAssumptions'!$B$7*'VI. ParameterCarbonAssumptions'!$B$11*'VI. ParameterCarbonAssumptions'!K$46+P18</f>
        <v>0</v>
      </c>
      <c r="R18" s="105">
        <f>+'III. AreaAnnual_distribution'!M43*'VI. ParameterCarbonAssumptions'!$B$7*'VI. ParameterCarbonAssumptions'!$B$11*'VI. ParameterCarbonAssumptions'!L$46+Q18</f>
        <v>0</v>
      </c>
      <c r="S18" s="105">
        <f>+'III. AreaAnnual_distribution'!N43*'VI. ParameterCarbonAssumptions'!$B$7*'VI. ParameterCarbonAssumptions'!$B$11*'VI. ParameterCarbonAssumptions'!M$46+R18</f>
        <v>0</v>
      </c>
      <c r="T18" s="105">
        <f>+'III. AreaAnnual_distribution'!O43*'VI. ParameterCarbonAssumptions'!$B$7*'VI. ParameterCarbonAssumptions'!$B$11*'VI. ParameterCarbonAssumptions'!N$46+S18</f>
        <v>0</v>
      </c>
      <c r="U18" s="105">
        <f>+'III. AreaAnnual_distribution'!P43*'VI. ParameterCarbonAssumptions'!$B$7*'VI. ParameterCarbonAssumptions'!$B$11*'VI. ParameterCarbonAssumptions'!O$46+T18</f>
        <v>0</v>
      </c>
      <c r="V18" s="105">
        <f>+'III. AreaAnnual_distribution'!Q43*'VI. ParameterCarbonAssumptions'!$B$7*'VI. ParameterCarbonAssumptions'!$B$11*'VI. ParameterCarbonAssumptions'!P$46+U18</f>
        <v>0</v>
      </c>
      <c r="W18" s="105">
        <f>+'III. AreaAnnual_distribution'!R43*'VI. ParameterCarbonAssumptions'!$B$7*'VI. ParameterCarbonAssumptions'!$B$11*'VI. ParameterCarbonAssumptions'!Q$46+V18</f>
        <v>0</v>
      </c>
      <c r="X18" s="105">
        <f>+'III. AreaAnnual_distribution'!S43*'VI. ParameterCarbonAssumptions'!$B$7*'VI. ParameterCarbonAssumptions'!$B$11*'VI. ParameterCarbonAssumptions'!R$46+W18</f>
        <v>0</v>
      </c>
      <c r="Y18" s="105">
        <f>+'III. AreaAnnual_distribution'!T43*'VI. ParameterCarbonAssumptions'!$B$7*'VI. ParameterCarbonAssumptions'!$B$11*'VI. ParameterCarbonAssumptions'!S$46+X18</f>
        <v>0</v>
      </c>
      <c r="Z18" s="105">
        <f>+'III. AreaAnnual_distribution'!U43*'VI. ParameterCarbonAssumptions'!$B$7*'VI. ParameterCarbonAssumptions'!$B$11*'VI. ParameterCarbonAssumptions'!T$46+Y18</f>
        <v>0</v>
      </c>
      <c r="AA18" s="105">
        <f>+'III. AreaAnnual_distribution'!V43*'VI. ParameterCarbonAssumptions'!$B$7*'VI. ParameterCarbonAssumptions'!$B$11*'VI. ParameterCarbonAssumptions'!U$46+Z18</f>
        <v>0</v>
      </c>
    </row>
    <row r="19" spans="1:27" s="3" customFormat="1" x14ac:dyDescent="0.25">
      <c r="A19" s="52" t="s">
        <v>85</v>
      </c>
      <c r="B19" s="48">
        <f t="shared" si="1"/>
        <v>5598.4627925785881</v>
      </c>
      <c r="C19" s="48">
        <f t="shared" si="2"/>
        <v>90469.581616063428</v>
      </c>
      <c r="D19" s="48">
        <f t="shared" si="3"/>
        <v>119403.27078169549</v>
      </c>
      <c r="E19" s="48">
        <f t="shared" si="4"/>
        <v>592563.50422235834</v>
      </c>
      <c r="F19" s="48">
        <f t="shared" si="5"/>
        <v>863046.9902646658</v>
      </c>
      <c r="G19" s="48">
        <f t="shared" si="6"/>
        <v>1313852.8003351782</v>
      </c>
      <c r="H19" s="231">
        <f>+H20+H23</f>
        <v>0</v>
      </c>
      <c r="I19" s="231">
        <f t="shared" ref="I19:AA19" si="12">+I20+I23</f>
        <v>5598.4627925785881</v>
      </c>
      <c r="J19" s="231">
        <f t="shared" si="12"/>
        <v>34085.063490807646</v>
      </c>
      <c r="K19" s="231">
        <f t="shared" si="12"/>
        <v>64076.828451050074</v>
      </c>
      <c r="L19" s="231">
        <f t="shared" si="12"/>
        <v>90469.581616063428</v>
      </c>
      <c r="M19" s="231">
        <f t="shared" si="12"/>
        <v>110700.08292922392</v>
      </c>
      <c r="N19" s="231">
        <f t="shared" si="12"/>
        <v>119403.27078169549</v>
      </c>
      <c r="O19" s="231">
        <f t="shared" si="12"/>
        <v>224467.38170923159</v>
      </c>
      <c r="P19" s="231">
        <f t="shared" si="12"/>
        <v>322080.01818005089</v>
      </c>
      <c r="Q19" s="231">
        <f t="shared" si="12"/>
        <v>412241.18019415339</v>
      </c>
      <c r="R19" s="231">
        <f t="shared" si="12"/>
        <v>502402.3422082559</v>
      </c>
      <c r="S19" s="231">
        <f t="shared" si="12"/>
        <v>592563.50422235834</v>
      </c>
      <c r="T19" s="231">
        <f t="shared" si="12"/>
        <v>682724.66623646079</v>
      </c>
      <c r="U19" s="231">
        <f t="shared" si="12"/>
        <v>772885.82825056324</v>
      </c>
      <c r="V19" s="231">
        <f t="shared" si="12"/>
        <v>863046.9902646658</v>
      </c>
      <c r="W19" s="231">
        <f t="shared" si="12"/>
        <v>953208.15227876825</v>
      </c>
      <c r="X19" s="231">
        <f t="shared" si="12"/>
        <v>1043369.3142928707</v>
      </c>
      <c r="Y19" s="231">
        <f t="shared" si="12"/>
        <v>1133530.4763069733</v>
      </c>
      <c r="Z19" s="231">
        <f t="shared" si="12"/>
        <v>1223691.6383210756</v>
      </c>
      <c r="AA19" s="231">
        <f t="shared" si="12"/>
        <v>1313852.8003351782</v>
      </c>
    </row>
    <row r="20" spans="1:27" s="3" customFormat="1" x14ac:dyDescent="0.25">
      <c r="A20" s="52" t="s">
        <v>74</v>
      </c>
      <c r="B20" s="48">
        <f t="shared" si="1"/>
        <v>2086.4128478807061</v>
      </c>
      <c r="C20" s="48">
        <f t="shared" si="2"/>
        <v>34276.782500897309</v>
      </c>
      <c r="D20" s="48">
        <f t="shared" si="3"/>
        <v>45901.082653375524</v>
      </c>
      <c r="E20" s="48">
        <f t="shared" si="4"/>
        <v>142770.25059069402</v>
      </c>
      <c r="F20" s="48">
        <f t="shared" si="5"/>
        <v>187479.09733099487</v>
      </c>
      <c r="G20" s="48">
        <f t="shared" si="6"/>
        <v>261993.84189816297</v>
      </c>
      <c r="H20" s="102">
        <f>SUM(H21:H22)</f>
        <v>0</v>
      </c>
      <c r="I20" s="102">
        <f t="shared" ref="I20:AA20" si="13">SUM(I21:I22)</f>
        <v>2086.4128478807061</v>
      </c>
      <c r="J20" s="102">
        <f t="shared" si="13"/>
        <v>13263.624532955913</v>
      </c>
      <c r="K20" s="102">
        <f t="shared" si="13"/>
        <v>24440.836218031123</v>
      </c>
      <c r="L20" s="102">
        <f t="shared" si="13"/>
        <v>34276.782500897309</v>
      </c>
      <c r="M20" s="102">
        <f t="shared" si="13"/>
        <v>43218.551848957475</v>
      </c>
      <c r="N20" s="102">
        <f t="shared" si="13"/>
        <v>45901.082653375524</v>
      </c>
      <c r="O20" s="102">
        <f t="shared" si="13"/>
        <v>75706.980480242753</v>
      </c>
      <c r="P20" s="102">
        <f t="shared" si="13"/>
        <v>98061.403850393166</v>
      </c>
      <c r="Q20" s="102">
        <f t="shared" si="13"/>
        <v>112964.35276382678</v>
      </c>
      <c r="R20" s="102">
        <f t="shared" si="13"/>
        <v>127867.3016772604</v>
      </c>
      <c r="S20" s="102">
        <f t="shared" si="13"/>
        <v>142770.25059069402</v>
      </c>
      <c r="T20" s="102">
        <f t="shared" si="13"/>
        <v>157673.19950412764</v>
      </c>
      <c r="U20" s="102">
        <f t="shared" si="13"/>
        <v>172576.14841756126</v>
      </c>
      <c r="V20" s="102">
        <f t="shared" si="13"/>
        <v>187479.09733099487</v>
      </c>
      <c r="W20" s="102">
        <f t="shared" si="13"/>
        <v>202382.04624442849</v>
      </c>
      <c r="X20" s="102">
        <f t="shared" si="13"/>
        <v>217284.99515786211</v>
      </c>
      <c r="Y20" s="102">
        <f t="shared" si="13"/>
        <v>232187.94407129573</v>
      </c>
      <c r="Z20" s="102">
        <f t="shared" si="13"/>
        <v>247090.89298472935</v>
      </c>
      <c r="AA20" s="102">
        <f t="shared" si="13"/>
        <v>261993.84189816297</v>
      </c>
    </row>
    <row r="21" spans="1:27" s="22" customFormat="1" x14ac:dyDescent="0.25">
      <c r="A21" s="232" t="s">
        <v>83</v>
      </c>
      <c r="B21" s="220">
        <f t="shared" si="1"/>
        <v>2086.4128478807061</v>
      </c>
      <c r="C21" s="220">
        <f t="shared" si="2"/>
        <v>34276.782500897309</v>
      </c>
      <c r="D21" s="220">
        <f t="shared" si="3"/>
        <v>45901.082653375524</v>
      </c>
      <c r="E21" s="220">
        <f t="shared" si="4"/>
        <v>142770.25059069402</v>
      </c>
      <c r="F21" s="220">
        <f t="shared" si="5"/>
        <v>187479.09733099487</v>
      </c>
      <c r="G21" s="220">
        <f t="shared" si="6"/>
        <v>261993.84189816297</v>
      </c>
      <c r="H21" s="106">
        <f>+'III. AreaAnnual_distribution'!C46*'VI. ParameterCarbonAssumptions'!$B$6*'VI. ParameterCarbonAssumptions'!$B$11*'VI. ParameterCarbonAssumptions'!B$47</f>
        <v>0</v>
      </c>
      <c r="I21" s="106">
        <f>+'III. AreaAnnual_distribution'!D46*'VI. ParameterCarbonAssumptions'!$B$6*'VI. ParameterCarbonAssumptions'!$B$11*'VI. ParameterCarbonAssumptions'!C$47+H21</f>
        <v>2086.4128478807061</v>
      </c>
      <c r="J21" s="106">
        <f>+'III. AreaAnnual_distribution'!E46*'VI. ParameterCarbonAssumptions'!$B$6*'VI. ParameterCarbonAssumptions'!$B$11*'VI. ParameterCarbonAssumptions'!D$47+I21</f>
        <v>13263.624532955913</v>
      </c>
      <c r="K21" s="106">
        <f>+'III. AreaAnnual_distribution'!F46*'VI. ParameterCarbonAssumptions'!$B$6*'VI. ParameterCarbonAssumptions'!$B$11*'VI. ParameterCarbonAssumptions'!E$47+J21</f>
        <v>24440.836218031123</v>
      </c>
      <c r="L21" s="106">
        <f>+'III. AreaAnnual_distribution'!G46*'VI. ParameterCarbonAssumptions'!$B$6*'VI. ParameterCarbonAssumptions'!$B$11*'VI. ParameterCarbonAssumptions'!F$47+K21</f>
        <v>34276.782500897309</v>
      </c>
      <c r="M21" s="106">
        <f>+'III. AreaAnnual_distribution'!H46*'VI. ParameterCarbonAssumptions'!$B$6*'VI. ParameterCarbonAssumptions'!$B$11*'VI. ParameterCarbonAssumptions'!G$47+L21</f>
        <v>43218.551848957475</v>
      </c>
      <c r="N21" s="106">
        <f>+'III. AreaAnnual_distribution'!I46*'VI. ParameterCarbonAssumptions'!$B$6*'VI. ParameterCarbonAssumptions'!$B$11*'VI. ParameterCarbonAssumptions'!H$47+M21</f>
        <v>45901.082653375524</v>
      </c>
      <c r="O21" s="106">
        <f>+'III. AreaAnnual_distribution'!J46*'VI. ParameterCarbonAssumptions'!$B$6*'VI. ParameterCarbonAssumptions'!$B$11*'VI. ParameterCarbonAssumptions'!I$47+N21</f>
        <v>75706.980480242753</v>
      </c>
      <c r="P21" s="106">
        <f>+'III. AreaAnnual_distribution'!K46*'VI. ParameterCarbonAssumptions'!$B$6*'VI. ParameterCarbonAssumptions'!$B$11*'VI. ParameterCarbonAssumptions'!J$47+O21</f>
        <v>98061.403850393166</v>
      </c>
      <c r="Q21" s="106">
        <f>+'III. AreaAnnual_distribution'!L46*'VI. ParameterCarbonAssumptions'!$B$6*'VI. ParameterCarbonAssumptions'!$B$11*'VI. ParameterCarbonAssumptions'!K$47+P21</f>
        <v>112964.35276382678</v>
      </c>
      <c r="R21" s="106">
        <f>+'III. AreaAnnual_distribution'!M46*'VI. ParameterCarbonAssumptions'!$B$6*'VI. ParameterCarbonAssumptions'!$B$11*'VI. ParameterCarbonAssumptions'!L$47+Q21</f>
        <v>127867.3016772604</v>
      </c>
      <c r="S21" s="106">
        <f>+'III. AreaAnnual_distribution'!N46*'VI. ParameterCarbonAssumptions'!$B$6*'VI. ParameterCarbonAssumptions'!$B$11*'VI. ParameterCarbonAssumptions'!M$47+R21</f>
        <v>142770.25059069402</v>
      </c>
      <c r="T21" s="115">
        <f>+'III. AreaAnnual_distribution'!O46*'VI. ParameterCarbonAssumptions'!$B$6*'VI. ParameterCarbonAssumptions'!$B$11*'VI. ParameterCarbonAssumptions'!N$47+S21</f>
        <v>157673.19950412764</v>
      </c>
      <c r="U21" s="115">
        <f>+'III. AreaAnnual_distribution'!P46*'VI. ParameterCarbonAssumptions'!$B$6*'VI. ParameterCarbonAssumptions'!$B$11*'VI. ParameterCarbonAssumptions'!O$47+T21</f>
        <v>172576.14841756126</v>
      </c>
      <c r="V21" s="115">
        <f>+'III. AreaAnnual_distribution'!Q46*'VI. ParameterCarbonAssumptions'!$B$6*'VI. ParameterCarbonAssumptions'!$B$11*'VI. ParameterCarbonAssumptions'!P$47+U21</f>
        <v>187479.09733099487</v>
      </c>
      <c r="W21" s="115">
        <f>+'III. AreaAnnual_distribution'!R46*'VI. ParameterCarbonAssumptions'!$B$6*'VI. ParameterCarbonAssumptions'!$B$11*'VI. ParameterCarbonAssumptions'!Q$47+V21</f>
        <v>202382.04624442849</v>
      </c>
      <c r="X21" s="115">
        <f>+'III. AreaAnnual_distribution'!S46*'VI. ParameterCarbonAssumptions'!$B$6*'VI. ParameterCarbonAssumptions'!$B$11*'VI. ParameterCarbonAssumptions'!R$47+W21</f>
        <v>217284.99515786211</v>
      </c>
      <c r="Y21" s="115">
        <f>+'III. AreaAnnual_distribution'!T46*'VI. ParameterCarbonAssumptions'!$B$6*'VI. ParameterCarbonAssumptions'!$B$11*'VI. ParameterCarbonAssumptions'!S$47+X21</f>
        <v>232187.94407129573</v>
      </c>
      <c r="Z21" s="115">
        <f>+'III. AreaAnnual_distribution'!U46*'VI. ParameterCarbonAssumptions'!$B$6*'VI. ParameterCarbonAssumptions'!$B$11*'VI. ParameterCarbonAssumptions'!T$47+Y21</f>
        <v>247090.89298472935</v>
      </c>
      <c r="AA21" s="115">
        <f>+'III. AreaAnnual_distribution'!V46*'VI. ParameterCarbonAssumptions'!$B$6*'VI. ParameterCarbonAssumptions'!$B$11*'VI. ParameterCarbonAssumptions'!U$47+Z21</f>
        <v>261993.84189816297</v>
      </c>
    </row>
    <row r="22" spans="1:27" s="22" customFormat="1" x14ac:dyDescent="0.25">
      <c r="A22" s="232" t="s">
        <v>84</v>
      </c>
      <c r="B22" s="220">
        <f t="shared" si="1"/>
        <v>0</v>
      </c>
      <c r="C22" s="220">
        <f t="shared" si="2"/>
        <v>0</v>
      </c>
      <c r="D22" s="220">
        <f t="shared" si="3"/>
        <v>0</v>
      </c>
      <c r="E22" s="220">
        <f t="shared" si="4"/>
        <v>0</v>
      </c>
      <c r="F22" s="220">
        <f t="shared" si="5"/>
        <v>0</v>
      </c>
      <c r="G22" s="220">
        <f t="shared" si="6"/>
        <v>0</v>
      </c>
      <c r="H22" s="106">
        <f>+'III. AreaAnnual_distribution'!C47*'VI. ParameterCarbonAssumptions'!$B$6*'VI. ParameterCarbonAssumptions'!$B$11*'VI. ParameterCarbonAssumptions'!B$47</f>
        <v>0</v>
      </c>
      <c r="I22" s="106">
        <f>+'III. AreaAnnual_distribution'!D47*'VI. ParameterCarbonAssumptions'!$B$6*'VI. ParameterCarbonAssumptions'!$B$11*'VI. ParameterCarbonAssumptions'!C$47+H22</f>
        <v>0</v>
      </c>
      <c r="J22" s="106">
        <f>+'III. AreaAnnual_distribution'!E47*'VI. ParameterCarbonAssumptions'!$B$6*'VI. ParameterCarbonAssumptions'!$B$11*'VI. ParameterCarbonAssumptions'!D$47+I22</f>
        <v>0</v>
      </c>
      <c r="K22" s="106">
        <f>+'III. AreaAnnual_distribution'!F47*'VI. ParameterCarbonAssumptions'!$B$6*'VI. ParameterCarbonAssumptions'!$B$11*'VI. ParameterCarbonAssumptions'!E$47+J22</f>
        <v>0</v>
      </c>
      <c r="L22" s="106">
        <f>+'III. AreaAnnual_distribution'!G47*'VI. ParameterCarbonAssumptions'!$B$6*'VI. ParameterCarbonAssumptions'!$B$11*'VI. ParameterCarbonAssumptions'!F$47+K22</f>
        <v>0</v>
      </c>
      <c r="M22" s="106">
        <f>+'III. AreaAnnual_distribution'!H47*'VI. ParameterCarbonAssumptions'!$B$6*'VI. ParameterCarbonAssumptions'!$B$11*'VI. ParameterCarbonAssumptions'!G$47+L22</f>
        <v>0</v>
      </c>
      <c r="N22" s="106">
        <f>+'III. AreaAnnual_distribution'!I47*'VI. ParameterCarbonAssumptions'!$B$6*'VI. ParameterCarbonAssumptions'!$B$11*'VI. ParameterCarbonAssumptions'!H$47+M22</f>
        <v>0</v>
      </c>
      <c r="O22" s="106">
        <f>+'III. AreaAnnual_distribution'!J47*'VI. ParameterCarbonAssumptions'!$B$6*'VI. ParameterCarbonAssumptions'!$B$11*'VI. ParameterCarbonAssumptions'!I$47+N22</f>
        <v>0</v>
      </c>
      <c r="P22" s="106">
        <f>+'III. AreaAnnual_distribution'!K47*'VI. ParameterCarbonAssumptions'!$B$6*'VI. ParameterCarbonAssumptions'!$B$11*'VI. ParameterCarbonAssumptions'!J$47+O22</f>
        <v>0</v>
      </c>
      <c r="Q22" s="106">
        <f>+'III. AreaAnnual_distribution'!L47*'VI. ParameterCarbonAssumptions'!$B$6*'VI. ParameterCarbonAssumptions'!$B$11*'VI. ParameterCarbonAssumptions'!K$47+P22</f>
        <v>0</v>
      </c>
      <c r="R22" s="106">
        <f>+'III. AreaAnnual_distribution'!M47*'VI. ParameterCarbonAssumptions'!$B$6*'VI. ParameterCarbonAssumptions'!$B$11*'VI. ParameterCarbonAssumptions'!L$47+Q22</f>
        <v>0</v>
      </c>
      <c r="S22" s="106">
        <f>+'III. AreaAnnual_distribution'!N47*'VI. ParameterCarbonAssumptions'!$B$6*'VI. ParameterCarbonAssumptions'!$B$11*'VI. ParameterCarbonAssumptions'!M$47+R22</f>
        <v>0</v>
      </c>
      <c r="T22" s="106">
        <f>+'III. AreaAnnual_distribution'!O47*'VI. ParameterCarbonAssumptions'!$B$6*'VI. ParameterCarbonAssumptions'!$B$11*'VI. ParameterCarbonAssumptions'!N$47+S22</f>
        <v>0</v>
      </c>
      <c r="U22" s="106">
        <f>+'III. AreaAnnual_distribution'!P47*'VI. ParameterCarbonAssumptions'!$B$6*'VI. ParameterCarbonAssumptions'!$B$11*'VI. ParameterCarbonAssumptions'!O$47+T22</f>
        <v>0</v>
      </c>
      <c r="V22" s="106">
        <f>+'III. AreaAnnual_distribution'!Q47*'VI. ParameterCarbonAssumptions'!$B$6*'VI. ParameterCarbonAssumptions'!$B$11*'VI. ParameterCarbonAssumptions'!P$47+U22</f>
        <v>0</v>
      </c>
      <c r="W22" s="106">
        <f>+'III. AreaAnnual_distribution'!R47*'VI. ParameterCarbonAssumptions'!$B$6*'VI. ParameterCarbonAssumptions'!$B$11*'VI. ParameterCarbonAssumptions'!Q$47+V22</f>
        <v>0</v>
      </c>
      <c r="X22" s="106">
        <f>+'III. AreaAnnual_distribution'!S47*'VI. ParameterCarbonAssumptions'!$B$6*'VI. ParameterCarbonAssumptions'!$B$11*'VI. ParameterCarbonAssumptions'!R$47+W22</f>
        <v>0</v>
      </c>
      <c r="Y22" s="106">
        <f>+'III. AreaAnnual_distribution'!T47*'VI. ParameterCarbonAssumptions'!$B$6*'VI. ParameterCarbonAssumptions'!$B$11*'VI. ParameterCarbonAssumptions'!S$47+X22</f>
        <v>0</v>
      </c>
      <c r="Z22" s="106">
        <f>+'III. AreaAnnual_distribution'!U47*'VI. ParameterCarbonAssumptions'!$B$6*'VI. ParameterCarbonAssumptions'!$B$11*'VI. ParameterCarbonAssumptions'!T$47+Y22</f>
        <v>0</v>
      </c>
      <c r="AA22" s="106">
        <f>+'III. AreaAnnual_distribution'!V47*'VI. ParameterCarbonAssumptions'!$B$6*'VI. ParameterCarbonAssumptions'!$B$11*'VI. ParameterCarbonAssumptions'!U$47+Z22</f>
        <v>0</v>
      </c>
    </row>
    <row r="23" spans="1:27" s="3" customFormat="1" x14ac:dyDescent="0.25">
      <c r="A23" s="237" t="s">
        <v>127</v>
      </c>
      <c r="B23" s="48">
        <f t="shared" si="1"/>
        <v>3512.0499446978824</v>
      </c>
      <c r="C23" s="48">
        <f t="shared" si="2"/>
        <v>56192.799115166112</v>
      </c>
      <c r="D23" s="48">
        <f t="shared" si="3"/>
        <v>73502.188128319962</v>
      </c>
      <c r="E23" s="48">
        <f t="shared" si="4"/>
        <v>449793.25363166432</v>
      </c>
      <c r="F23" s="48">
        <f t="shared" si="5"/>
        <v>675567.8929336709</v>
      </c>
      <c r="G23" s="48">
        <f t="shared" si="6"/>
        <v>1051858.9584370153</v>
      </c>
      <c r="H23" s="236">
        <f>SUM(H24:H25)</f>
        <v>0</v>
      </c>
      <c r="I23" s="8">
        <f t="shared" ref="I23:AA23" si="14">SUM(I24:I25)</f>
        <v>3512.0499446978824</v>
      </c>
      <c r="J23" s="8">
        <f t="shared" si="14"/>
        <v>20821.438957851729</v>
      </c>
      <c r="K23" s="8">
        <f t="shared" si="14"/>
        <v>39635.992233018951</v>
      </c>
      <c r="L23" s="8">
        <f t="shared" si="14"/>
        <v>56192.799115166112</v>
      </c>
      <c r="M23" s="8">
        <f t="shared" si="14"/>
        <v>67481.531080266446</v>
      </c>
      <c r="N23" s="8">
        <f t="shared" si="14"/>
        <v>73502.188128319962</v>
      </c>
      <c r="O23" s="8">
        <f t="shared" si="14"/>
        <v>148760.40122898883</v>
      </c>
      <c r="P23" s="8">
        <f t="shared" si="14"/>
        <v>224018.61432965772</v>
      </c>
      <c r="Q23" s="8">
        <f t="shared" si="14"/>
        <v>299276.82743032661</v>
      </c>
      <c r="R23" s="8">
        <f t="shared" si="14"/>
        <v>374535.04053099547</v>
      </c>
      <c r="S23" s="8">
        <f t="shared" si="14"/>
        <v>449793.25363166432</v>
      </c>
      <c r="T23" s="8">
        <f t="shared" si="14"/>
        <v>525051.46673233318</v>
      </c>
      <c r="U23" s="8">
        <f t="shared" si="14"/>
        <v>600309.67983300204</v>
      </c>
      <c r="V23" s="8">
        <f t="shared" si="14"/>
        <v>675567.8929336709</v>
      </c>
      <c r="W23" s="8">
        <f t="shared" si="14"/>
        <v>750826.10603433975</v>
      </c>
      <c r="X23" s="8">
        <f t="shared" si="14"/>
        <v>826084.31913500861</v>
      </c>
      <c r="Y23" s="8">
        <f t="shared" si="14"/>
        <v>901342.53223567747</v>
      </c>
      <c r="Z23" s="8">
        <f t="shared" si="14"/>
        <v>976600.74533634633</v>
      </c>
      <c r="AA23" s="8">
        <f t="shared" si="14"/>
        <v>1051858.9584370153</v>
      </c>
    </row>
    <row r="24" spans="1:27" s="22" customFormat="1" x14ac:dyDescent="0.25">
      <c r="A24" s="232" t="s">
        <v>83</v>
      </c>
      <c r="B24" s="220">
        <f t="shared" si="1"/>
        <v>3512.0499446978824</v>
      </c>
      <c r="C24" s="220">
        <f t="shared" si="2"/>
        <v>56192.799115166112</v>
      </c>
      <c r="D24" s="220">
        <f t="shared" si="3"/>
        <v>73502.188128319962</v>
      </c>
      <c r="E24" s="220">
        <f t="shared" si="4"/>
        <v>449793.25363166432</v>
      </c>
      <c r="F24" s="220">
        <f t="shared" si="5"/>
        <v>675567.8929336709</v>
      </c>
      <c r="G24" s="220">
        <f t="shared" si="6"/>
        <v>1051858.9584370153</v>
      </c>
      <c r="H24" s="106">
        <f>+'III. AreaAnnual_distribution'!C49*'VI. ParameterCarbonAssumptions'!$B$6*'VI. ParameterCarbonAssumptions'!$B$11*'VI. ParameterCarbonAssumptions'!B$47</f>
        <v>0</v>
      </c>
      <c r="I24" s="20">
        <f>+'III. AreaAnnual_distribution'!D49*'VI. ParameterCarbonAssumptions'!$B$6*'VI. ParameterCarbonAssumptions'!$B$11*'VI. ParameterCarbonAssumptions'!C$47+H24</f>
        <v>3512.0499446978824</v>
      </c>
      <c r="J24" s="20">
        <f>+'III. AreaAnnual_distribution'!E49*'VI. ParameterCarbonAssumptions'!$B$6*'VI. ParameterCarbonAssumptions'!$B$11*'VI. ParameterCarbonAssumptions'!D$47+I24</f>
        <v>20821.438957851729</v>
      </c>
      <c r="K24" s="20">
        <f>+'III. AreaAnnual_distribution'!F49*'VI. ParameterCarbonAssumptions'!$B$6*'VI. ParameterCarbonAssumptions'!$B$11*'VI. ParameterCarbonAssumptions'!E$47+J24</f>
        <v>39635.992233018951</v>
      </c>
      <c r="L24" s="20">
        <f>+'III. AreaAnnual_distribution'!G49*'VI. ParameterCarbonAssumptions'!$B$6*'VI. ParameterCarbonAssumptions'!$B$11*'VI. ParameterCarbonAssumptions'!$F$47+K24</f>
        <v>56192.799115166112</v>
      </c>
      <c r="M24" s="20">
        <f>+'III. AreaAnnual_distribution'!H49*'VI. ParameterCarbonAssumptions'!$B$6*'VI. ParameterCarbonAssumptions'!$B$11*'VI. ParameterCarbonAssumptions'!$F$47+L24</f>
        <v>67481.531080266446</v>
      </c>
      <c r="N24" s="20">
        <f>+'III. AreaAnnual_distribution'!I49*'VI. ParameterCarbonAssumptions'!$B$6*'VI. ParameterCarbonAssumptions'!$B$11*'VI. ParameterCarbonAssumptions'!$F$47+M24</f>
        <v>73502.188128319962</v>
      </c>
      <c r="O24" s="20">
        <f>+'III. AreaAnnual_distribution'!J49*'VI. ParameterCarbonAssumptions'!$B$6*'VI. ParameterCarbonAssumptions'!$B$11*'VI. ParameterCarbonAssumptions'!$F$47+N24</f>
        <v>148760.40122898883</v>
      </c>
      <c r="P24" s="20">
        <f>+'III. AreaAnnual_distribution'!K49*'VI. ParameterCarbonAssumptions'!$B$6*'VI. ParameterCarbonAssumptions'!$B$11*'VI. ParameterCarbonAssumptions'!$F$47+O24</f>
        <v>224018.61432965772</v>
      </c>
      <c r="Q24" s="20">
        <f>+'III. AreaAnnual_distribution'!L49*'VI. ParameterCarbonAssumptions'!$B$6*'VI. ParameterCarbonAssumptions'!$B$11*'VI. ParameterCarbonAssumptions'!$F$47+P24</f>
        <v>299276.82743032661</v>
      </c>
      <c r="R24" s="20">
        <f>+'III. AreaAnnual_distribution'!M49*'VI. ParameterCarbonAssumptions'!$B$6*'VI. ParameterCarbonAssumptions'!$B$11*'VI. ParameterCarbonAssumptions'!$F$47+Q24</f>
        <v>374535.04053099547</v>
      </c>
      <c r="S24" s="20">
        <f>+'III. AreaAnnual_distribution'!N49*'VI. ParameterCarbonAssumptions'!$B$6*'VI. ParameterCarbonAssumptions'!$B$11*'VI. ParameterCarbonAssumptions'!$F$47+R24</f>
        <v>449793.25363166432</v>
      </c>
      <c r="T24" s="20">
        <f>+'III. AreaAnnual_distribution'!O49*'VI. ParameterCarbonAssumptions'!$B$6*'VI. ParameterCarbonAssumptions'!$B$11*'VI. ParameterCarbonAssumptions'!$F$47+S24</f>
        <v>525051.46673233318</v>
      </c>
      <c r="U24" s="20">
        <f>+'III. AreaAnnual_distribution'!P49*'VI. ParameterCarbonAssumptions'!$B$6*'VI. ParameterCarbonAssumptions'!$B$11*'VI. ParameterCarbonAssumptions'!$F$47+T24</f>
        <v>600309.67983300204</v>
      </c>
      <c r="V24" s="20">
        <f>+'III. AreaAnnual_distribution'!Q49*'VI. ParameterCarbonAssumptions'!$B$6*'VI. ParameterCarbonAssumptions'!$B$11*'VI. ParameterCarbonAssumptions'!$F$47+U24</f>
        <v>675567.8929336709</v>
      </c>
      <c r="W24" s="20">
        <f>+'III. AreaAnnual_distribution'!R49*'VI. ParameterCarbonAssumptions'!$B$6*'VI. ParameterCarbonAssumptions'!$B$11*'VI. ParameterCarbonAssumptions'!$F$47+V24</f>
        <v>750826.10603433975</v>
      </c>
      <c r="X24" s="20">
        <f>+'III. AreaAnnual_distribution'!S49*'VI. ParameterCarbonAssumptions'!$B$6*'VI. ParameterCarbonAssumptions'!$B$11*'VI. ParameterCarbonAssumptions'!$F$47+W24</f>
        <v>826084.31913500861</v>
      </c>
      <c r="Y24" s="20">
        <f>+'III. AreaAnnual_distribution'!T49*'VI. ParameterCarbonAssumptions'!$B$6*'VI. ParameterCarbonAssumptions'!$B$11*'VI. ParameterCarbonAssumptions'!$F$47+X24</f>
        <v>901342.53223567747</v>
      </c>
      <c r="Z24" s="20">
        <f>+'III. AreaAnnual_distribution'!U49*'VI. ParameterCarbonAssumptions'!$B$6*'VI. ParameterCarbonAssumptions'!$B$11*'VI. ParameterCarbonAssumptions'!$F$47+Y24</f>
        <v>976600.74533634633</v>
      </c>
      <c r="AA24" s="20">
        <f>+'III. AreaAnnual_distribution'!V49*'VI. ParameterCarbonAssumptions'!$B$6*'VI. ParameterCarbonAssumptions'!$B$11*'VI. ParameterCarbonAssumptions'!$F$47+Z24</f>
        <v>1051858.9584370153</v>
      </c>
    </row>
    <row r="25" spans="1:27" s="22" customFormat="1" x14ac:dyDescent="0.25">
      <c r="A25" s="232" t="s">
        <v>84</v>
      </c>
      <c r="B25" s="220">
        <f t="shared" si="1"/>
        <v>0</v>
      </c>
      <c r="C25" s="220">
        <f t="shared" si="2"/>
        <v>0</v>
      </c>
      <c r="D25" s="220">
        <f t="shared" si="3"/>
        <v>0</v>
      </c>
      <c r="E25" s="220">
        <f t="shared" si="4"/>
        <v>0</v>
      </c>
      <c r="F25" s="220">
        <f t="shared" si="5"/>
        <v>0</v>
      </c>
      <c r="G25" s="220">
        <f t="shared" si="6"/>
        <v>0</v>
      </c>
      <c r="H25" s="106">
        <f>+'III. AreaAnnual_distribution'!C50*'VI. ParameterCarbonAssumptions'!$B$6*'VI. ParameterCarbonAssumptions'!$B$11*'VI. ParameterCarbonAssumptions'!B$47</f>
        <v>0</v>
      </c>
      <c r="I25" s="106">
        <f>+'III. AreaAnnual_distribution'!D50*'VI. ParameterCarbonAssumptions'!$B$6*'VI. ParameterCarbonAssumptions'!$B$11*'VI. ParameterCarbonAssumptions'!C$47+H25</f>
        <v>0</v>
      </c>
      <c r="J25" s="106">
        <f>+'III. AreaAnnual_distribution'!E50*'VI. ParameterCarbonAssumptions'!$B$6*'VI. ParameterCarbonAssumptions'!$B$11*'VI. ParameterCarbonAssumptions'!D$47+I25</f>
        <v>0</v>
      </c>
      <c r="K25" s="106">
        <f>+'III. AreaAnnual_distribution'!F50*'VI. ParameterCarbonAssumptions'!$B$6*'VI. ParameterCarbonAssumptions'!$B$11*'VI. ParameterCarbonAssumptions'!E$47+J25</f>
        <v>0</v>
      </c>
      <c r="L25" s="106">
        <f>+'III. AreaAnnual_distribution'!G50*'VI. ParameterCarbonAssumptions'!$B$6*'VI. ParameterCarbonAssumptions'!$B$11*'VI. ParameterCarbonAssumptions'!F$47+K25</f>
        <v>0</v>
      </c>
      <c r="M25" s="106">
        <f>+'III. AreaAnnual_distribution'!H50*'VI. ParameterCarbonAssumptions'!$B$6*'VI. ParameterCarbonAssumptions'!$B$11*'VI. ParameterCarbonAssumptions'!G$47+L25</f>
        <v>0</v>
      </c>
      <c r="N25" s="106">
        <f>+'III. AreaAnnual_distribution'!I50*'VI. ParameterCarbonAssumptions'!$B$6*'VI. ParameterCarbonAssumptions'!$B$11*'VI. ParameterCarbonAssumptions'!H$47+M25</f>
        <v>0</v>
      </c>
      <c r="O25" s="106">
        <f>+'III. AreaAnnual_distribution'!J50*'VI. ParameterCarbonAssumptions'!$B$6*'VI. ParameterCarbonAssumptions'!$B$11*'VI. ParameterCarbonAssumptions'!I$47+N25</f>
        <v>0</v>
      </c>
      <c r="P25" s="106">
        <f>+'III. AreaAnnual_distribution'!K50*'VI. ParameterCarbonAssumptions'!$B$6*'VI. ParameterCarbonAssumptions'!$B$11*'VI. ParameterCarbonAssumptions'!J$47+O25</f>
        <v>0</v>
      </c>
      <c r="Q25" s="106">
        <f>+'III. AreaAnnual_distribution'!L50*'VI. ParameterCarbonAssumptions'!$B$6*'VI. ParameterCarbonAssumptions'!$B$11*'VI. ParameterCarbonAssumptions'!K$47+P25</f>
        <v>0</v>
      </c>
      <c r="R25" s="106">
        <f>+'III. AreaAnnual_distribution'!M50*'VI. ParameterCarbonAssumptions'!$B$6*'VI. ParameterCarbonAssumptions'!$B$11*'VI. ParameterCarbonAssumptions'!L$47+Q25</f>
        <v>0</v>
      </c>
      <c r="S25" s="106">
        <f>+'III. AreaAnnual_distribution'!N50*'VI. ParameterCarbonAssumptions'!$B$6*'VI. ParameterCarbonAssumptions'!$B$11*'VI. ParameterCarbonAssumptions'!M$47+R25</f>
        <v>0</v>
      </c>
      <c r="T25" s="106">
        <f>+'III. AreaAnnual_distribution'!O50*'VI. ParameterCarbonAssumptions'!$B$6*'VI. ParameterCarbonAssumptions'!$B$11*'VI. ParameterCarbonAssumptions'!N$47+S25</f>
        <v>0</v>
      </c>
      <c r="U25" s="106">
        <f>+'III. AreaAnnual_distribution'!P50*'VI. ParameterCarbonAssumptions'!$B$6*'VI. ParameterCarbonAssumptions'!$B$11*'VI. ParameterCarbonAssumptions'!O$47+T25</f>
        <v>0</v>
      </c>
      <c r="V25" s="106">
        <f>+'III. AreaAnnual_distribution'!Q50*'VI. ParameterCarbonAssumptions'!$B$6*'VI. ParameterCarbonAssumptions'!$B$11*'VI. ParameterCarbonAssumptions'!P$47+U25</f>
        <v>0</v>
      </c>
      <c r="W25" s="106">
        <f>+'III. AreaAnnual_distribution'!R50*'VI. ParameterCarbonAssumptions'!$B$6*'VI. ParameterCarbonAssumptions'!$B$11*'VI. ParameterCarbonAssumptions'!Q$47+V25</f>
        <v>0</v>
      </c>
      <c r="X25" s="106">
        <f>+'III. AreaAnnual_distribution'!S50*'VI. ParameterCarbonAssumptions'!$B$6*'VI. ParameterCarbonAssumptions'!$B$11*'VI. ParameterCarbonAssumptions'!R$47+W25</f>
        <v>0</v>
      </c>
      <c r="Y25" s="106">
        <f>+'III. AreaAnnual_distribution'!T50*'VI. ParameterCarbonAssumptions'!$B$6*'VI. ParameterCarbonAssumptions'!$B$11*'VI. ParameterCarbonAssumptions'!S$47+X25</f>
        <v>0</v>
      </c>
      <c r="Z25" s="106">
        <f>+'III. AreaAnnual_distribution'!U50*'VI. ParameterCarbonAssumptions'!$B$6*'VI. ParameterCarbonAssumptions'!$B$11*'VI. ParameterCarbonAssumptions'!T$47+Y25</f>
        <v>0</v>
      </c>
      <c r="AA25" s="106">
        <f>+'III. AreaAnnual_distribution'!V50*'VI. ParameterCarbonAssumptions'!$B$6*'VI. ParameterCarbonAssumptions'!$B$11*'VI. ParameterCarbonAssumptions'!U$47+Z25</f>
        <v>0</v>
      </c>
    </row>
    <row r="26" spans="1:27" x14ac:dyDescent="0.25">
      <c r="A26" s="83" t="s">
        <v>256</v>
      </c>
      <c r="B26" s="26">
        <f>SUM(B27:B29)</f>
        <v>1347394.3644512866</v>
      </c>
      <c r="C26" s="26">
        <f t="shared" ref="C26:H26" si="15">SUM(C27:C29)</f>
        <v>6613417.453673536</v>
      </c>
      <c r="D26" s="26">
        <f t="shared" si="15"/>
        <v>9757337.6373932045</v>
      </c>
      <c r="E26" s="26">
        <f t="shared" si="15"/>
        <v>11046059.653495103</v>
      </c>
      <c r="F26" s="26">
        <f t="shared" si="15"/>
        <v>11849909.871209983</v>
      </c>
      <c r="G26" s="26">
        <f t="shared" si="15"/>
        <v>12646116.087331709</v>
      </c>
      <c r="H26" s="26">
        <f t="shared" si="15"/>
        <v>449131.45481709554</v>
      </c>
      <c r="I26" s="26">
        <f t="shared" ref="I26:AA26" si="16">SUM(I27:I29)</f>
        <v>1347394.3644512866</v>
      </c>
      <c r="J26" s="26">
        <f t="shared" si="16"/>
        <v>2694788.7289025728</v>
      </c>
      <c r="K26" s="26">
        <f t="shared" si="16"/>
        <v>4450129.7586433226</v>
      </c>
      <c r="L26" s="26">
        <f t="shared" si="16"/>
        <v>6613417.453673536</v>
      </c>
      <c r="M26" s="26">
        <f t="shared" si="16"/>
        <v>8409943.2729419172</v>
      </c>
      <c r="N26" s="26">
        <f t="shared" si="16"/>
        <v>9757337.6373932045</v>
      </c>
      <c r="O26" s="26">
        <f t="shared" si="16"/>
        <v>10655600.547027394</v>
      </c>
      <c r="P26" s="26">
        <f t="shared" si="16"/>
        <v>11329297.729253039</v>
      </c>
      <c r="Q26" s="26">
        <f t="shared" si="16"/>
        <v>11778429.184070135</v>
      </c>
      <c r="R26" s="26">
        <f t="shared" si="16"/>
        <v>12227560.63888723</v>
      </c>
      <c r="S26" s="26">
        <f t="shared" si="16"/>
        <v>12676692.093704324</v>
      </c>
      <c r="T26" s="26">
        <f t="shared" si="16"/>
        <v>13125823.54852142</v>
      </c>
      <c r="U26" s="26">
        <f t="shared" si="16"/>
        <v>13574955.003338516</v>
      </c>
      <c r="V26" s="26">
        <f t="shared" si="16"/>
        <v>14024086.45815561</v>
      </c>
      <c r="W26" s="26">
        <f t="shared" si="16"/>
        <v>14473217.912972705</v>
      </c>
      <c r="X26" s="26">
        <f t="shared" si="16"/>
        <v>14922349.367789801</v>
      </c>
      <c r="Y26" s="26">
        <f t="shared" si="16"/>
        <v>15371480.822606897</v>
      </c>
      <c r="Z26" s="26">
        <f t="shared" si="16"/>
        <v>15820612.277423993</v>
      </c>
      <c r="AA26" s="26">
        <f t="shared" si="16"/>
        <v>16269743.732241087</v>
      </c>
    </row>
    <row r="27" spans="1:27" s="22" customFormat="1" x14ac:dyDescent="0.25">
      <c r="A27" s="239" t="s">
        <v>242</v>
      </c>
      <c r="B27" s="219">
        <f t="shared" si="1"/>
        <v>136751.70239557567</v>
      </c>
      <c r="C27" s="219">
        <f t="shared" si="2"/>
        <v>683758.5119778784</v>
      </c>
      <c r="D27" s="219">
        <f t="shared" si="3"/>
        <v>1002845.817567555</v>
      </c>
      <c r="E27" s="219">
        <f t="shared" si="4"/>
        <v>1299141.1727579688</v>
      </c>
      <c r="F27" s="219">
        <f t="shared" si="5"/>
        <v>1435892.8751535444</v>
      </c>
      <c r="G27" s="219">
        <f t="shared" si="6"/>
        <v>1663812.3791461703</v>
      </c>
      <c r="H27" s="240">
        <f>+'III. AreaAnnual_distribution'!C56*'VI. ParameterCarbonAssumptions'!$B$7*'VI. ParameterCarbonAssumptions'!$B$11*'VI. ParameterCarbonAssumptions'!B$46</f>
        <v>45583.900798525225</v>
      </c>
      <c r="I27" s="183">
        <f>+'III. AreaAnnual_distribution'!D56*'VI. ParameterCarbonAssumptions'!$B$7*'VI. ParameterCarbonAssumptions'!$B$11*'VI. ParameterCarbonAssumptions'!C$46+H27</f>
        <v>136751.70239557567</v>
      </c>
      <c r="J27" s="183">
        <f>+'III. AreaAnnual_distribution'!E56*'VI. ParameterCarbonAssumptions'!$B$7*'VI. ParameterCarbonAssumptions'!$B$11*'VI. ParameterCarbonAssumptions'!D$46+I27</f>
        <v>273503.40479115135</v>
      </c>
      <c r="K27" s="183">
        <f>+'III. AreaAnnual_distribution'!F56*'VI. ParameterCarbonAssumptions'!$B$7*'VI. ParameterCarbonAssumptions'!$B$11*'VI. ParameterCarbonAssumptions'!E$46+J27</f>
        <v>455839.00798525225</v>
      </c>
      <c r="L27" s="183">
        <f>+'III. AreaAnnual_distribution'!G56*'VI. ParameterCarbonAssumptions'!$B$7*'VI. ParameterCarbonAssumptions'!$B$11*'VI. ParameterCarbonAssumptions'!F$46+K27</f>
        <v>683758.5119778784</v>
      </c>
      <c r="M27" s="183">
        <f>+'III. AreaAnnual_distribution'!H56*'VI. ParameterCarbonAssumptions'!$B$7*'VI. ParameterCarbonAssumptions'!$B$11*'VI. ParameterCarbonAssumptions'!G$46+L27</f>
        <v>866094.1151719793</v>
      </c>
      <c r="N27" s="183">
        <f>+'III. AreaAnnual_distribution'!I56*'VI. ParameterCarbonAssumptions'!$B$7*'VI. ParameterCarbonAssumptions'!$B$11*'VI. ParameterCarbonAssumptions'!H$46+M27</f>
        <v>1002845.817567555</v>
      </c>
      <c r="O27" s="183">
        <f>+'III. AreaAnnual_distribution'!J56*'VI. ParameterCarbonAssumptions'!$B$7*'VI. ParameterCarbonAssumptions'!$B$11*'VI. ParameterCarbonAssumptions'!I$46+N27</f>
        <v>1094013.6191646054</v>
      </c>
      <c r="P27" s="183">
        <f>+'III. AreaAnnual_distribution'!K56*'VI. ParameterCarbonAssumptions'!$B$7*'VI. ParameterCarbonAssumptions'!$B$11*'VI. ParameterCarbonAssumptions'!J$46+O27</f>
        <v>1162389.4703623932</v>
      </c>
      <c r="Q27" s="183">
        <f>+'III. AreaAnnual_distribution'!L56*'VI. ParameterCarbonAssumptions'!$B$7*'VI. ParameterCarbonAssumptions'!$B$11*'VI. ParameterCarbonAssumptions'!K$46+P27</f>
        <v>1207973.3711609184</v>
      </c>
      <c r="R27" s="183">
        <f>+'III. AreaAnnual_distribution'!M56*'VI. ParameterCarbonAssumptions'!$B$7*'VI. ParameterCarbonAssumptions'!$B$11*'VI. ParameterCarbonAssumptions'!L$46+Q27</f>
        <v>1253557.2719594436</v>
      </c>
      <c r="S27" s="183">
        <f>+'III. AreaAnnual_distribution'!N56*'VI. ParameterCarbonAssumptions'!$B$7*'VI. ParameterCarbonAssumptions'!$B$11*'VI. ParameterCarbonAssumptions'!$M$46+R27</f>
        <v>1299141.1727579688</v>
      </c>
      <c r="T27" s="183">
        <f>+'III. AreaAnnual_distribution'!O56*'VI. ParameterCarbonAssumptions'!$B$7*'VI. ParameterCarbonAssumptions'!$B$11*'VI. ParameterCarbonAssumptions'!$M$46+S27</f>
        <v>1344725.073556494</v>
      </c>
      <c r="U27" s="183">
        <f>+'III. AreaAnnual_distribution'!P56*'VI. ParameterCarbonAssumptions'!$B$7*'VI. ParameterCarbonAssumptions'!$B$11*'VI. ParameterCarbonAssumptions'!$M$46+T27</f>
        <v>1390308.9743550192</v>
      </c>
      <c r="V27" s="183">
        <f>+'III. AreaAnnual_distribution'!Q56*'VI. ParameterCarbonAssumptions'!$B$7*'VI. ParameterCarbonAssumptions'!$B$11*'VI. ParameterCarbonAssumptions'!$M$46+U27</f>
        <v>1435892.8751535444</v>
      </c>
      <c r="W27" s="183">
        <f>+'III. AreaAnnual_distribution'!R56*'VI. ParameterCarbonAssumptions'!$B$7*'VI. ParameterCarbonAssumptions'!$B$11*'VI. ParameterCarbonAssumptions'!$M$46+V27</f>
        <v>1481476.7759520696</v>
      </c>
      <c r="X27" s="183">
        <f>+'III. AreaAnnual_distribution'!S56*'VI. ParameterCarbonAssumptions'!$B$7*'VI. ParameterCarbonAssumptions'!$B$11*'VI. ParameterCarbonAssumptions'!$M$46+W27</f>
        <v>1527060.6767505948</v>
      </c>
      <c r="Y27" s="183">
        <f>+'III. AreaAnnual_distribution'!T56*'VI. ParameterCarbonAssumptions'!$B$7*'VI. ParameterCarbonAssumptions'!$B$11*'VI. ParameterCarbonAssumptions'!$M$46+X27</f>
        <v>1572644.5775491199</v>
      </c>
      <c r="Z27" s="183">
        <f>+'III. AreaAnnual_distribution'!U56*'VI. ParameterCarbonAssumptions'!$B$7*'VI. ParameterCarbonAssumptions'!$B$11*'VI. ParameterCarbonAssumptions'!$M$46+Y27</f>
        <v>1618228.4783476451</v>
      </c>
      <c r="AA27" s="183">
        <f>+'III. AreaAnnual_distribution'!V56*'VI. ParameterCarbonAssumptions'!$B$7*'VI. ParameterCarbonAssumptions'!$B$11*'VI. ParameterCarbonAssumptions'!$M$46+Z27</f>
        <v>1663812.3791461703</v>
      </c>
    </row>
    <row r="28" spans="1:27" s="22" customFormat="1" x14ac:dyDescent="0.25">
      <c r="A28" s="239" t="s">
        <v>243</v>
      </c>
      <c r="B28" s="219">
        <f t="shared" si="1"/>
        <v>123554.36858289689</v>
      </c>
      <c r="C28" s="219">
        <f t="shared" si="2"/>
        <v>494217.47433158744</v>
      </c>
      <c r="D28" s="219">
        <f t="shared" si="3"/>
        <v>782511.00102501351</v>
      </c>
      <c r="E28" s="219">
        <f t="shared" si="4"/>
        <v>1050212.1329546236</v>
      </c>
      <c r="F28" s="219">
        <f t="shared" si="5"/>
        <v>1173766.5015375204</v>
      </c>
      <c r="G28" s="219">
        <f t="shared" si="6"/>
        <v>1379690.4491756819</v>
      </c>
      <c r="H28" s="240">
        <f>+'III. AreaAnnual_distribution'!C57*'VI. ParameterCarbonAssumptions'!$B$6*'VI. ParameterCarbonAssumptions'!$B$11*'VI. ParameterCarbonAssumptions'!B$47</f>
        <v>41184.789527632296</v>
      </c>
      <c r="I28" s="183">
        <f>+'III. AreaAnnual_distribution'!D57*'VI. ParameterCarbonAssumptions'!$B$6*'VI. ParameterCarbonAssumptions'!$B$11*'VI. ParameterCarbonAssumptions'!C$47+H28</f>
        <v>123554.36858289689</v>
      </c>
      <c r="J28" s="183">
        <f>+'III. AreaAnnual_distribution'!E57*'VI. ParameterCarbonAssumptions'!$B$6*'VI. ParameterCarbonAssumptions'!$B$11*'VI. ParameterCarbonAssumptions'!D$47+I28</f>
        <v>247108.73716579375</v>
      </c>
      <c r="K28" s="183">
        <f>+'III. AreaAnnual_distribution'!F57*'VI. ParameterCarbonAssumptions'!$B$6*'VI. ParameterCarbonAssumptions'!$B$11*'VI. ParameterCarbonAssumptions'!E$47+J28</f>
        <v>370663.10574869061</v>
      </c>
      <c r="L28" s="183">
        <f>+'III. AreaAnnual_distribution'!G57*'VI. ParameterCarbonAssumptions'!$B$6*'VI. ParameterCarbonAssumptions'!$B$11*'VI. ParameterCarbonAssumptions'!F$47+K28</f>
        <v>494217.47433158744</v>
      </c>
      <c r="M28" s="183">
        <f>+'III. AreaAnnual_distribution'!H57*'VI. ParameterCarbonAssumptions'!$B$6*'VI. ParameterCarbonAssumptions'!$B$11*'VI. ParameterCarbonAssumptions'!G$47+L28</f>
        <v>658956.63244211662</v>
      </c>
      <c r="N28" s="183">
        <f>+'III. AreaAnnual_distribution'!I57*'VI. ParameterCarbonAssumptions'!$B$6*'VI. ParameterCarbonAssumptions'!$B$11*'VI. ParameterCarbonAssumptions'!H$47+M28</f>
        <v>782511.00102501351</v>
      </c>
      <c r="O28" s="183">
        <f>+'III. AreaAnnual_distribution'!J57*'VI. ParameterCarbonAssumptions'!$B$6*'VI. ParameterCarbonAssumptions'!$B$11*'VI. ParameterCarbonAssumptions'!I$47+N28</f>
        <v>864880.5800802781</v>
      </c>
      <c r="P28" s="183">
        <f>+'III. AreaAnnual_distribution'!K57*'VI. ParameterCarbonAssumptions'!$B$6*'VI. ParameterCarbonAssumptions'!$B$11*'VI. ParameterCarbonAssumptions'!J$47+O28</f>
        <v>926657.76437172655</v>
      </c>
      <c r="Q28" s="183">
        <f>+'III. AreaAnnual_distribution'!L57*'VI. ParameterCarbonAssumptions'!$B$6*'VI. ParameterCarbonAssumptions'!$B$11*'VI. ParameterCarbonAssumptions'!K$47+P28</f>
        <v>967842.55389935884</v>
      </c>
      <c r="R28" s="183">
        <f>+'III. AreaAnnual_distribution'!M57*'VI. ParameterCarbonAssumptions'!$B$6*'VI. ParameterCarbonAssumptions'!$B$11*'VI. ParameterCarbonAssumptions'!L$47+Q28</f>
        <v>1009027.3434269911</v>
      </c>
      <c r="S28" s="183">
        <f>+'III. AreaAnnual_distribution'!N57*'VI. ParameterCarbonAssumptions'!$B$6*'VI. ParameterCarbonAssumptions'!$B$11*'VI. ParameterCarbonAssumptions'!M$47+R28</f>
        <v>1050212.1329546236</v>
      </c>
      <c r="T28" s="183">
        <f>+'III. AreaAnnual_distribution'!O57*'VI. ParameterCarbonAssumptions'!$B$6*'VI. ParameterCarbonAssumptions'!$B$11*'VI. ParameterCarbonAssumptions'!N$47+S28</f>
        <v>1091396.9224822558</v>
      </c>
      <c r="U28" s="183">
        <f>+'III. AreaAnnual_distribution'!P57*'VI. ParameterCarbonAssumptions'!$B$6*'VI. ParameterCarbonAssumptions'!$B$11*'VI. ParameterCarbonAssumptions'!O$47+T28</f>
        <v>1132581.7120098881</v>
      </c>
      <c r="V28" s="183">
        <f>+'III. AreaAnnual_distribution'!Q57*'VI. ParameterCarbonAssumptions'!$B$6*'VI. ParameterCarbonAssumptions'!$B$11*'VI. ParameterCarbonAssumptions'!P$47+U28</f>
        <v>1173766.5015375204</v>
      </c>
      <c r="W28" s="183">
        <f>+'III. AreaAnnual_distribution'!R57*'VI. ParameterCarbonAssumptions'!$B$6*'VI. ParameterCarbonAssumptions'!$B$11*'VI. ParameterCarbonAssumptions'!Q$47+V28</f>
        <v>1214951.2910651527</v>
      </c>
      <c r="X28" s="183">
        <f>+'III. AreaAnnual_distribution'!S57*'VI. ParameterCarbonAssumptions'!$B$6*'VI. ParameterCarbonAssumptions'!$B$11*'VI. ParameterCarbonAssumptions'!R$47+W28</f>
        <v>1256136.080592785</v>
      </c>
      <c r="Y28" s="183">
        <f>+'III. AreaAnnual_distribution'!T57*'VI. ParameterCarbonAssumptions'!$B$6*'VI. ParameterCarbonAssumptions'!$B$11*'VI. ParameterCarbonAssumptions'!S$47+X28</f>
        <v>1297320.8701204173</v>
      </c>
      <c r="Z28" s="183">
        <f>+'III. AreaAnnual_distribution'!U57*'VI. ParameterCarbonAssumptions'!$B$6*'VI. ParameterCarbonAssumptions'!$B$11*'VI. ParameterCarbonAssumptions'!T$47+Y28</f>
        <v>1338505.6596480496</v>
      </c>
      <c r="AA28" s="183">
        <f>+'III. AreaAnnual_distribution'!V57*'VI. ParameterCarbonAssumptions'!$B$6*'VI. ParameterCarbonAssumptions'!$B$11*'VI. ParameterCarbonAssumptions'!U$47+Z28</f>
        <v>1379690.4491756819</v>
      </c>
    </row>
    <row r="29" spans="1:27" s="22" customFormat="1" x14ac:dyDescent="0.25">
      <c r="A29" s="239" t="s">
        <v>244</v>
      </c>
      <c r="B29" s="219">
        <f t="shared" si="1"/>
        <v>1087088.2934728141</v>
      </c>
      <c r="C29" s="219">
        <f t="shared" si="2"/>
        <v>5435441.46736407</v>
      </c>
      <c r="D29" s="219">
        <f t="shared" si="3"/>
        <v>7971980.8188006356</v>
      </c>
      <c r="E29" s="219">
        <f>+O29</f>
        <v>8696706.3477825113</v>
      </c>
      <c r="F29" s="219">
        <f>+P29</f>
        <v>9240250.4945189189</v>
      </c>
      <c r="G29" s="219">
        <f>+Q29</f>
        <v>9602613.2590098567</v>
      </c>
      <c r="H29" s="240">
        <f>+'III. AreaAnnual_distribution'!C59*'VI. ParameterCarbonAssumptions'!$B$7*'VI. ParameterCarbonAssumptions'!$B$11*'VI. ParameterCarbonAssumptions'!B$46</f>
        <v>362362.76449093805</v>
      </c>
      <c r="I29" s="240">
        <f>+'III. AreaAnnual_distribution'!D59*'VI. ParameterCarbonAssumptions'!$B$7*'VI. ParameterCarbonAssumptions'!$B$11*'VI. ParameterCarbonAssumptions'!C$46+H29</f>
        <v>1087088.2934728141</v>
      </c>
      <c r="J29" s="240">
        <f>+'III. AreaAnnual_distribution'!E59*'VI. ParameterCarbonAssumptions'!$B$7*'VI. ParameterCarbonAssumptions'!$B$11*'VI. ParameterCarbonAssumptions'!D$46+I29</f>
        <v>2174176.5869456278</v>
      </c>
      <c r="K29" s="240">
        <f>+'III. AreaAnnual_distribution'!F59*'VI. ParameterCarbonAssumptions'!$B$7*'VI. ParameterCarbonAssumptions'!$B$11*'VI. ParameterCarbonAssumptions'!E$46+J29</f>
        <v>3623627.64490938</v>
      </c>
      <c r="L29" s="240">
        <f>+'III. AreaAnnual_distribution'!G59*'VI. ParameterCarbonAssumptions'!$B$7*'VI. ParameterCarbonAssumptions'!$B$11*'VI. ParameterCarbonAssumptions'!F$46+K29</f>
        <v>5435441.46736407</v>
      </c>
      <c r="M29" s="240">
        <f>+'III. AreaAnnual_distribution'!H59*'VI. ParameterCarbonAssumptions'!$B$7*'VI. ParameterCarbonAssumptions'!$B$11*'VI. ParameterCarbonAssumptions'!G$46+L29</f>
        <v>6884892.5253278222</v>
      </c>
      <c r="N29" s="240">
        <f>+'III. AreaAnnual_distribution'!I59*'VI. ParameterCarbonAssumptions'!$B$7*'VI. ParameterCarbonAssumptions'!$B$11*'VI. ParameterCarbonAssumptions'!H$46+M29</f>
        <v>7971980.8188006356</v>
      </c>
      <c r="O29" s="240">
        <f>+'III. AreaAnnual_distribution'!J59*'VI. ParameterCarbonAssumptions'!$B$7*'VI. ParameterCarbonAssumptions'!$B$11*'VI. ParameterCarbonAssumptions'!I$46+N29</f>
        <v>8696706.3477825113</v>
      </c>
      <c r="P29" s="240">
        <f>+'III. AreaAnnual_distribution'!K59*'VI. ParameterCarbonAssumptions'!$B$7*'VI. ParameterCarbonAssumptions'!$B$11*'VI. ParameterCarbonAssumptions'!J$46+O29</f>
        <v>9240250.4945189189</v>
      </c>
      <c r="Q29" s="240">
        <f>+'III. AreaAnnual_distribution'!L59*'VI. ParameterCarbonAssumptions'!$B$7*'VI. ParameterCarbonAssumptions'!$B$11*'VI. ParameterCarbonAssumptions'!K$46+P29</f>
        <v>9602613.2590098567</v>
      </c>
      <c r="R29" s="240">
        <f>+'III. AreaAnnual_distribution'!M59*'VI. ParameterCarbonAssumptions'!$B$7*'VI. ParameterCarbonAssumptions'!$B$11*'VI. ParameterCarbonAssumptions'!L$46+Q29</f>
        <v>9964976.0235007945</v>
      </c>
      <c r="S29" s="240">
        <f>+'III. AreaAnnual_distribution'!N59*'VI. ParameterCarbonAssumptions'!$B$7*'VI. ParameterCarbonAssumptions'!$B$11*'VI. ParameterCarbonAssumptions'!M$46+R29</f>
        <v>10327338.787991732</v>
      </c>
      <c r="T29" s="240">
        <f>+'III. AreaAnnual_distribution'!O59*'VI. ParameterCarbonAssumptions'!$B$7*'VI. ParameterCarbonAssumptions'!$B$11*'VI. ParameterCarbonAssumptions'!N$46+S29</f>
        <v>10689701.55248267</v>
      </c>
      <c r="U29" s="240">
        <f>+'III. AreaAnnual_distribution'!P59*'VI. ParameterCarbonAssumptions'!$B$7*'VI. ParameterCarbonAssumptions'!$B$11*'VI. ParameterCarbonAssumptions'!O$46+T29</f>
        <v>11052064.316973608</v>
      </c>
      <c r="V29" s="240">
        <f>+'III. AreaAnnual_distribution'!Q59*'VI. ParameterCarbonAssumptions'!$B$7*'VI. ParameterCarbonAssumptions'!$B$11*'VI. ParameterCarbonAssumptions'!P$46+U29</f>
        <v>11414427.081464546</v>
      </c>
      <c r="W29" s="240">
        <f>+'III. AreaAnnual_distribution'!R59*'VI. ParameterCarbonAssumptions'!$B$7*'VI. ParameterCarbonAssumptions'!$B$11*'VI. ParameterCarbonAssumptions'!Q$46+V29</f>
        <v>11776789.845955484</v>
      </c>
      <c r="X29" s="240">
        <f>+'III. AreaAnnual_distribution'!S59*'VI. ParameterCarbonAssumptions'!$B$7*'VI. ParameterCarbonAssumptions'!$B$11*'VI. ParameterCarbonAssumptions'!R$46+W29</f>
        <v>12139152.610446421</v>
      </c>
      <c r="Y29" s="240">
        <f>+'III. AreaAnnual_distribution'!T59*'VI. ParameterCarbonAssumptions'!$B$7*'VI. ParameterCarbonAssumptions'!$B$11*'VI. ParameterCarbonAssumptions'!S$46+X29</f>
        <v>12501515.374937359</v>
      </c>
      <c r="Z29" s="240">
        <f>+'III. AreaAnnual_distribution'!U59*'VI. ParameterCarbonAssumptions'!$B$7*'VI. ParameterCarbonAssumptions'!$B$11*'VI. ParameterCarbonAssumptions'!T$46+Y29</f>
        <v>12863878.139428297</v>
      </c>
      <c r="AA29" s="240">
        <f>+'III. AreaAnnual_distribution'!V59*'VI. ParameterCarbonAssumptions'!$B$7*'VI. ParameterCarbonAssumptions'!$B$11*'VI. ParameterCarbonAssumptions'!U$46+Z29</f>
        <v>13226240.903919235</v>
      </c>
    </row>
    <row r="30" spans="1:27" s="22" customFormat="1" x14ac:dyDescent="0.25">
      <c r="A30" s="232" t="s">
        <v>64</v>
      </c>
      <c r="B30" s="219">
        <f t="shared" si="1"/>
        <v>0</v>
      </c>
      <c r="C30" s="219"/>
      <c r="D30" s="219"/>
      <c r="E30" s="219"/>
      <c r="F30" s="219"/>
      <c r="G30" s="219"/>
      <c r="H30" s="106"/>
      <c r="I30" s="20"/>
      <c r="J30" s="20"/>
      <c r="K30" s="20"/>
      <c r="L30" s="20"/>
      <c r="M30" s="20"/>
      <c r="N30" s="20"/>
      <c r="O30" s="20"/>
      <c r="P30" s="20"/>
      <c r="Q30" s="20"/>
      <c r="R30" s="20"/>
      <c r="S30" s="20"/>
      <c r="T30" s="20"/>
      <c r="U30" s="20"/>
      <c r="V30" s="20"/>
      <c r="W30" s="20"/>
      <c r="X30" s="20"/>
      <c r="Y30" s="20"/>
      <c r="Z30" s="20"/>
      <c r="AA30" s="20"/>
    </row>
    <row r="31" spans="1:27" x14ac:dyDescent="0.25">
      <c r="A31" s="82" t="s">
        <v>245</v>
      </c>
      <c r="B31" s="26"/>
      <c r="C31" s="26"/>
      <c r="D31" s="26"/>
      <c r="E31" s="26"/>
      <c r="F31" s="26"/>
      <c r="G31" s="26"/>
      <c r="H31" s="90"/>
      <c r="I31" s="29"/>
      <c r="J31" s="29"/>
      <c r="K31" s="29"/>
      <c r="L31" s="29"/>
      <c r="M31" s="29"/>
      <c r="N31" s="29"/>
      <c r="O31" s="29"/>
      <c r="P31" s="29"/>
      <c r="Q31" s="29"/>
      <c r="R31" s="29"/>
      <c r="S31" s="29"/>
      <c r="T31" s="29"/>
      <c r="U31" s="29"/>
      <c r="V31" s="29"/>
      <c r="W31" s="29"/>
      <c r="X31" s="29"/>
      <c r="Y31" s="29"/>
      <c r="Z31" s="29"/>
      <c r="AA31" s="29"/>
    </row>
    <row r="32" spans="1:27" x14ac:dyDescent="0.25">
      <c r="A32" s="84" t="s">
        <v>246</v>
      </c>
      <c r="B32" s="26">
        <f>+B5+B15</f>
        <v>26880.471812792035</v>
      </c>
      <c r="C32" s="26">
        <f t="shared" ref="C32:AA32" si="17">+C5+C15</f>
        <v>338286.52267852053</v>
      </c>
      <c r="D32" s="26">
        <f t="shared" si="17"/>
        <v>440928.24400746176</v>
      </c>
      <c r="E32" s="26">
        <f t="shared" si="17"/>
        <v>1376192.6373968145</v>
      </c>
      <c r="F32" s="26">
        <f t="shared" si="17"/>
        <v>1859954.9664923637</v>
      </c>
      <c r="G32" s="26">
        <f t="shared" si="17"/>
        <v>2666225.5149849448</v>
      </c>
      <c r="H32" s="26">
        <f t="shared" si="17"/>
        <v>2934.9731462164527</v>
      </c>
      <c r="I32" s="26">
        <f t="shared" si="17"/>
        <v>26880.471812792035</v>
      </c>
      <c r="J32" s="26">
        <f t="shared" si="17"/>
        <v>115290.47285331851</v>
      </c>
      <c r="K32" s="26">
        <f t="shared" si="17"/>
        <v>222245.13179040773</v>
      </c>
      <c r="L32" s="26">
        <f t="shared" si="17"/>
        <v>338286.52267852053</v>
      </c>
      <c r="M32" s="26">
        <f t="shared" si="17"/>
        <v>411151.70129946538</v>
      </c>
      <c r="N32" s="26">
        <f t="shared" si="17"/>
        <v>440928.24400746176</v>
      </c>
      <c r="O32" s="26">
        <f t="shared" si="17"/>
        <v>688178.25030382548</v>
      </c>
      <c r="P32" s="26">
        <f t="shared" si="17"/>
        <v>892430.30830126547</v>
      </c>
      <c r="Q32" s="26">
        <f t="shared" si="17"/>
        <v>1053684.4179997819</v>
      </c>
      <c r="R32" s="26">
        <f t="shared" si="17"/>
        <v>1214938.5276982982</v>
      </c>
      <c r="S32" s="26">
        <f t="shared" si="17"/>
        <v>1376192.6373968145</v>
      </c>
      <c r="T32" s="26">
        <f t="shared" si="17"/>
        <v>1537446.7470953309</v>
      </c>
      <c r="U32" s="26">
        <f t="shared" si="17"/>
        <v>1698700.8567938472</v>
      </c>
      <c r="V32" s="26">
        <f t="shared" si="17"/>
        <v>1859954.9664923637</v>
      </c>
      <c r="W32" s="26">
        <f t="shared" si="17"/>
        <v>2021209.07619088</v>
      </c>
      <c r="X32" s="26">
        <f t="shared" si="17"/>
        <v>2182463.1858893964</v>
      </c>
      <c r="Y32" s="26">
        <f t="shared" si="17"/>
        <v>2343717.2955879127</v>
      </c>
      <c r="Z32" s="26">
        <f t="shared" si="17"/>
        <v>2504971.405286429</v>
      </c>
      <c r="AA32" s="26">
        <f t="shared" si="17"/>
        <v>2666225.5149849448</v>
      </c>
    </row>
    <row r="33" spans="1:27" x14ac:dyDescent="0.25">
      <c r="A33" s="84" t="s">
        <v>247</v>
      </c>
      <c r="B33" s="26">
        <f>+B26</f>
        <v>1347394.3644512866</v>
      </c>
      <c r="C33" s="26">
        <f t="shared" ref="C33:AA33" si="18">+C26</f>
        <v>6613417.453673536</v>
      </c>
      <c r="D33" s="26">
        <f t="shared" si="18"/>
        <v>9757337.6373932045</v>
      </c>
      <c r="E33" s="26">
        <f t="shared" si="18"/>
        <v>11046059.653495103</v>
      </c>
      <c r="F33" s="26">
        <f t="shared" si="18"/>
        <v>11849909.871209983</v>
      </c>
      <c r="G33" s="26">
        <f t="shared" si="18"/>
        <v>12646116.087331709</v>
      </c>
      <c r="H33" s="26">
        <f t="shared" si="18"/>
        <v>449131.45481709554</v>
      </c>
      <c r="I33" s="26">
        <f t="shared" si="18"/>
        <v>1347394.3644512866</v>
      </c>
      <c r="J33" s="26">
        <f t="shared" si="18"/>
        <v>2694788.7289025728</v>
      </c>
      <c r="K33" s="26">
        <f t="shared" si="18"/>
        <v>4450129.7586433226</v>
      </c>
      <c r="L33" s="26">
        <f t="shared" si="18"/>
        <v>6613417.453673536</v>
      </c>
      <c r="M33" s="26">
        <f t="shared" si="18"/>
        <v>8409943.2729419172</v>
      </c>
      <c r="N33" s="26">
        <f t="shared" si="18"/>
        <v>9757337.6373932045</v>
      </c>
      <c r="O33" s="26">
        <f t="shared" si="18"/>
        <v>10655600.547027394</v>
      </c>
      <c r="P33" s="26">
        <f t="shared" si="18"/>
        <v>11329297.729253039</v>
      </c>
      <c r="Q33" s="26">
        <f t="shared" si="18"/>
        <v>11778429.184070135</v>
      </c>
      <c r="R33" s="26">
        <f t="shared" si="18"/>
        <v>12227560.63888723</v>
      </c>
      <c r="S33" s="26">
        <f t="shared" si="18"/>
        <v>12676692.093704324</v>
      </c>
      <c r="T33" s="26">
        <f t="shared" si="18"/>
        <v>13125823.54852142</v>
      </c>
      <c r="U33" s="26">
        <f t="shared" si="18"/>
        <v>13574955.003338516</v>
      </c>
      <c r="V33" s="26">
        <f t="shared" si="18"/>
        <v>14024086.45815561</v>
      </c>
      <c r="W33" s="26">
        <f t="shared" si="18"/>
        <v>14473217.912972705</v>
      </c>
      <c r="X33" s="26">
        <f t="shared" si="18"/>
        <v>14922349.367789801</v>
      </c>
      <c r="Y33" s="26">
        <f t="shared" si="18"/>
        <v>15371480.822606897</v>
      </c>
      <c r="Z33" s="26">
        <f t="shared" si="18"/>
        <v>15820612.277423993</v>
      </c>
      <c r="AA33" s="26">
        <f t="shared" si="18"/>
        <v>16269743.732241087</v>
      </c>
    </row>
    <row r="34" spans="1:27" x14ac:dyDescent="0.25">
      <c r="A34" s="85" t="s">
        <v>248</v>
      </c>
      <c r="B34" s="86">
        <f>SUM(B32:B33)</f>
        <v>1374274.8362640787</v>
      </c>
      <c r="C34" s="86">
        <f t="shared" ref="C34:AA34" si="19">SUM(C32:C33)</f>
        <v>6951703.9763520565</v>
      </c>
      <c r="D34" s="86">
        <f>SUM(D32:D33)</f>
        <v>10198265.881400667</v>
      </c>
      <c r="E34" s="86">
        <f t="shared" si="19"/>
        <v>12422252.290891917</v>
      </c>
      <c r="F34" s="86">
        <f t="shared" si="19"/>
        <v>13709864.837702347</v>
      </c>
      <c r="G34" s="86">
        <f t="shared" si="19"/>
        <v>15312341.602316653</v>
      </c>
      <c r="H34" s="86">
        <f t="shared" si="19"/>
        <v>452066.42796331202</v>
      </c>
      <c r="I34" s="86">
        <f t="shared" si="19"/>
        <v>1374274.8362640787</v>
      </c>
      <c r="J34" s="86">
        <f t="shared" si="19"/>
        <v>2810079.2017558911</v>
      </c>
      <c r="K34" s="86">
        <f t="shared" si="19"/>
        <v>4672374.8904337306</v>
      </c>
      <c r="L34" s="86">
        <f t="shared" si="19"/>
        <v>6951703.9763520565</v>
      </c>
      <c r="M34" s="86">
        <f t="shared" si="19"/>
        <v>8821094.9742413834</v>
      </c>
      <c r="N34" s="86">
        <f t="shared" si="19"/>
        <v>10198265.881400667</v>
      </c>
      <c r="O34" s="86">
        <f t="shared" si="19"/>
        <v>11343778.79733122</v>
      </c>
      <c r="P34" s="86">
        <f t="shared" si="19"/>
        <v>12221728.037554305</v>
      </c>
      <c r="Q34" s="86">
        <f t="shared" si="19"/>
        <v>12832113.602069916</v>
      </c>
      <c r="R34" s="86">
        <f t="shared" si="19"/>
        <v>13442499.166585529</v>
      </c>
      <c r="S34" s="86">
        <f t="shared" si="19"/>
        <v>14052884.731101139</v>
      </c>
      <c r="T34" s="86">
        <f t="shared" si="19"/>
        <v>14663270.295616752</v>
      </c>
      <c r="U34" s="86">
        <f t="shared" si="19"/>
        <v>15273655.860132363</v>
      </c>
      <c r="V34" s="86">
        <f t="shared" si="19"/>
        <v>15884041.424647974</v>
      </c>
      <c r="W34" s="86">
        <f t="shared" si="19"/>
        <v>16494426.989163585</v>
      </c>
      <c r="X34" s="86">
        <f t="shared" si="19"/>
        <v>17104812.553679198</v>
      </c>
      <c r="Y34" s="86">
        <f t="shared" si="19"/>
        <v>17715198.118194811</v>
      </c>
      <c r="Z34" s="86">
        <f t="shared" si="19"/>
        <v>18325583.68271042</v>
      </c>
      <c r="AA34" s="86">
        <f t="shared" si="19"/>
        <v>18935969.24722603</v>
      </c>
    </row>
  </sheetData>
  <mergeCells count="11">
    <mergeCell ref="G3:G4"/>
    <mergeCell ref="A1:AA1"/>
    <mergeCell ref="A2:A4"/>
    <mergeCell ref="B2:G2"/>
    <mergeCell ref="H2:AA2"/>
    <mergeCell ref="B3:B4"/>
    <mergeCell ref="C3:C4"/>
    <mergeCell ref="D3:D4"/>
    <mergeCell ref="E3:E4"/>
    <mergeCell ref="F3:F4"/>
    <mergeCell ref="H3:AA3"/>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tabColor theme="6" tint="-0.249977111117893"/>
  </sheetPr>
  <dimension ref="A1:AB59"/>
  <sheetViews>
    <sheetView tabSelected="1" topLeftCell="A39" zoomScaleNormal="100" workbookViewId="0">
      <selection activeCell="L35" sqref="L35"/>
    </sheetView>
  </sheetViews>
  <sheetFormatPr baseColWidth="10" defaultColWidth="11.42578125" defaultRowHeight="15" x14ac:dyDescent="0.25"/>
  <cols>
    <col min="1" max="1" width="84.28515625" customWidth="1"/>
    <col min="2" max="2" width="15.5703125" style="14" customWidth="1"/>
    <col min="3" max="3" width="14.140625" style="14" bestFit="1" customWidth="1"/>
    <col min="4" max="4" width="23.28515625" style="14" bestFit="1" customWidth="1"/>
    <col min="5" max="5" width="28.5703125" style="14" customWidth="1"/>
    <col min="6" max="6" width="12" style="14" customWidth="1"/>
    <col min="7" max="7" width="14.140625" customWidth="1"/>
    <col min="8" max="8" width="10.85546875" customWidth="1"/>
    <col min="9" max="9" width="21.85546875" customWidth="1"/>
    <col min="10" max="10" width="12.28515625" customWidth="1"/>
    <col min="11" max="11" width="12.140625" bestFit="1" customWidth="1"/>
    <col min="12" max="12" width="14.140625" bestFit="1" customWidth="1"/>
    <col min="13" max="27" width="14.7109375" bestFit="1" customWidth="1"/>
  </cols>
  <sheetData>
    <row r="1" spans="1:28" s="14" customFormat="1" x14ac:dyDescent="0.25">
      <c r="A1" s="296" t="s">
        <v>233</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row>
    <row r="2" spans="1:28" s="14" customFormat="1" x14ac:dyDescent="0.25">
      <c r="A2" s="296" t="s">
        <v>257</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row>
    <row r="3" spans="1:28" s="14" customFormat="1" x14ac:dyDescent="0.25">
      <c r="A3" s="336" t="s">
        <v>61</v>
      </c>
      <c r="B3" s="336" t="s">
        <v>359</v>
      </c>
      <c r="C3" s="336"/>
      <c r="D3" s="336"/>
      <c r="E3" s="336"/>
      <c r="F3" s="336"/>
      <c r="G3" s="336"/>
      <c r="H3" s="339" t="s">
        <v>89</v>
      </c>
      <c r="I3" s="339"/>
      <c r="J3" s="339"/>
      <c r="K3" s="339"/>
      <c r="L3" s="339"/>
      <c r="M3" s="339"/>
      <c r="N3" s="339"/>
      <c r="O3" s="339"/>
      <c r="P3" s="339"/>
      <c r="Q3" s="339"/>
      <c r="R3" s="339"/>
      <c r="S3" s="339"/>
      <c r="T3" s="339"/>
      <c r="U3" s="339"/>
      <c r="V3" s="339"/>
      <c r="W3" s="339"/>
      <c r="X3" s="339"/>
      <c r="Y3" s="339"/>
      <c r="Z3" s="339"/>
      <c r="AA3" s="339"/>
    </row>
    <row r="4" spans="1:28" s="14" customFormat="1" x14ac:dyDescent="0.25">
      <c r="A4" s="336"/>
      <c r="B4" s="336" t="s">
        <v>235</v>
      </c>
      <c r="C4" s="336" t="s">
        <v>236</v>
      </c>
      <c r="D4" s="336" t="s">
        <v>237</v>
      </c>
      <c r="E4" s="336" t="s">
        <v>238</v>
      </c>
      <c r="F4" s="336" t="s">
        <v>239</v>
      </c>
      <c r="G4" s="336" t="s">
        <v>240</v>
      </c>
      <c r="H4" s="340" t="s">
        <v>356</v>
      </c>
      <c r="I4" s="341"/>
      <c r="J4" s="341"/>
      <c r="K4" s="341"/>
      <c r="L4" s="341"/>
      <c r="M4" s="341"/>
      <c r="N4" s="341"/>
      <c r="O4" s="341"/>
      <c r="P4" s="341"/>
      <c r="Q4" s="341"/>
      <c r="R4" s="341"/>
      <c r="S4" s="341"/>
      <c r="T4" s="341"/>
      <c r="U4" s="341"/>
      <c r="V4" s="341"/>
      <c r="W4" s="341"/>
      <c r="X4" s="341"/>
      <c r="Y4" s="341"/>
      <c r="Z4" s="341"/>
      <c r="AA4" s="342"/>
    </row>
    <row r="5" spans="1:28" s="14" customFormat="1" x14ac:dyDescent="0.25">
      <c r="A5" s="336"/>
      <c r="B5" s="336"/>
      <c r="C5" s="336"/>
      <c r="D5" s="336"/>
      <c r="E5" s="336"/>
      <c r="F5" s="336"/>
      <c r="G5" s="336"/>
      <c r="H5" s="34">
        <v>1</v>
      </c>
      <c r="I5" s="33">
        <v>2</v>
      </c>
      <c r="J5" s="34">
        <v>3</v>
      </c>
      <c r="K5" s="33">
        <v>4</v>
      </c>
      <c r="L5" s="34">
        <v>5</v>
      </c>
      <c r="M5" s="33">
        <v>6</v>
      </c>
      <c r="N5" s="34">
        <v>7</v>
      </c>
      <c r="O5" s="33">
        <v>8</v>
      </c>
      <c r="P5" s="34">
        <v>9</v>
      </c>
      <c r="Q5" s="33">
        <v>10</v>
      </c>
      <c r="R5" s="34">
        <v>11</v>
      </c>
      <c r="S5" s="33">
        <v>12</v>
      </c>
      <c r="T5" s="34">
        <v>13</v>
      </c>
      <c r="U5" s="33">
        <v>14</v>
      </c>
      <c r="V5" s="34">
        <v>15</v>
      </c>
      <c r="W5" s="33">
        <v>16</v>
      </c>
      <c r="X5" s="34">
        <v>17</v>
      </c>
      <c r="Y5" s="33">
        <v>18</v>
      </c>
      <c r="Z5" s="34">
        <v>19</v>
      </c>
      <c r="AA5" s="33">
        <v>20</v>
      </c>
    </row>
    <row r="6" spans="1:28" s="14" customFormat="1" ht="16.5" customHeight="1" x14ac:dyDescent="0.25">
      <c r="A6" s="26" t="s">
        <v>67</v>
      </c>
      <c r="B6" s="26">
        <f>+I6</f>
        <v>83585.181464428504</v>
      </c>
      <c r="C6" s="26">
        <f>+L6</f>
        <v>884668.52030349232</v>
      </c>
      <c r="D6" s="26">
        <f>+N6</f>
        <v>1090930.6789248004</v>
      </c>
      <c r="E6" s="26">
        <f>+S6</f>
        <v>6168338.5377679374</v>
      </c>
      <c r="F6" s="26">
        <f>+V6</f>
        <v>9182751.451183239</v>
      </c>
      <c r="G6" s="26">
        <f>+AA6</f>
        <v>14127174.17379899</v>
      </c>
      <c r="H6" s="26">
        <f t="shared" ref="H6:AA6" si="0">+H7+H10+H13</f>
        <v>2934.9731462164527</v>
      </c>
      <c r="I6" s="26">
        <f t="shared" si="0"/>
        <v>83585.181464428504</v>
      </c>
      <c r="J6" s="26">
        <f t="shared" si="0"/>
        <v>343987.0110152741</v>
      </c>
      <c r="K6" s="26">
        <f t="shared" si="0"/>
        <v>621865.76616796653</v>
      </c>
      <c r="L6" s="26">
        <f t="shared" si="0"/>
        <v>884668.52030349232</v>
      </c>
      <c r="M6" s="26">
        <f t="shared" si="0"/>
        <v>1023040.7869610755</v>
      </c>
      <c r="N6" s="26">
        <f t="shared" si="0"/>
        <v>1090930.6789248004</v>
      </c>
      <c r="O6" s="26">
        <f t="shared" si="0"/>
        <v>2110915.9257340282</v>
      </c>
      <c r="P6" s="26">
        <f t="shared" si="0"/>
        <v>3129433.6859701476</v>
      </c>
      <c r="Q6" s="26">
        <f t="shared" si="0"/>
        <v>4146483.9596331585</v>
      </c>
      <c r="R6" s="26">
        <f t="shared" si="0"/>
        <v>5163534.2332961699</v>
      </c>
      <c r="S6" s="26">
        <f t="shared" si="0"/>
        <v>6168338.5377679374</v>
      </c>
      <c r="T6" s="26">
        <f t="shared" si="0"/>
        <v>7173142.842239704</v>
      </c>
      <c r="U6" s="26">
        <f t="shared" si="0"/>
        <v>8177947.1467114715</v>
      </c>
      <c r="V6" s="26">
        <f t="shared" si="0"/>
        <v>9182751.451183239</v>
      </c>
      <c r="W6" s="26">
        <f t="shared" si="0"/>
        <v>10175309.786463764</v>
      </c>
      <c r="X6" s="26">
        <f t="shared" si="0"/>
        <v>11167868.121744286</v>
      </c>
      <c r="Y6" s="26">
        <f t="shared" si="0"/>
        <v>12154303.47242919</v>
      </c>
      <c r="Z6" s="26">
        <f t="shared" si="0"/>
        <v>13140738.82311409</v>
      </c>
      <c r="AA6" s="26">
        <f t="shared" si="0"/>
        <v>14127174.17379899</v>
      </c>
    </row>
    <row r="7" spans="1:28" s="3" customFormat="1" x14ac:dyDescent="0.25">
      <c r="A7" s="103" t="s">
        <v>68</v>
      </c>
      <c r="B7" s="48">
        <f t="shared" ref="B7:B33" si="1">+I7</f>
        <v>6623.3367972773012</v>
      </c>
      <c r="C7" s="48">
        <f t="shared" ref="C7:C33" si="2">+L7</f>
        <v>72085.31184728154</v>
      </c>
      <c r="D7" s="48">
        <f t="shared" ref="D7:D33" si="3">+N7</f>
        <v>85887.750337973877</v>
      </c>
      <c r="E7" s="48">
        <f t="shared" ref="E7:E33" si="4">+S7</f>
        <v>489611.62100362376</v>
      </c>
      <c r="F7" s="48">
        <f t="shared" ref="F7:F33" si="5">+V7</f>
        <v>731622.33574193355</v>
      </c>
      <c r="G7" s="48">
        <f t="shared" ref="G7:G33" si="6">+AA7</f>
        <v>1134973.5269724496</v>
      </c>
      <c r="H7" s="103">
        <f t="shared" ref="H7:AA7" si="7">SUM(H8:H9)</f>
        <v>248.45295675574388</v>
      </c>
      <c r="I7" s="103">
        <f t="shared" si="7"/>
        <v>6623.3367972773012</v>
      </c>
      <c r="J7" s="103">
        <f t="shared" si="7"/>
        <v>25865.70628409446</v>
      </c>
      <c r="K7" s="103">
        <f t="shared" si="7"/>
        <v>50737.600741165945</v>
      </c>
      <c r="L7" s="103">
        <f>SUM(L8:L9)</f>
        <v>72085.31184728154</v>
      </c>
      <c r="M7" s="103">
        <f t="shared" si="7"/>
        <v>81121.302203239262</v>
      </c>
      <c r="N7" s="103">
        <f t="shared" si="7"/>
        <v>85887.750337973877</v>
      </c>
      <c r="O7" s="103">
        <f t="shared" si="7"/>
        <v>166806.44154083286</v>
      </c>
      <c r="P7" s="103">
        <f t="shared" si="7"/>
        <v>247600.90626531397</v>
      </c>
      <c r="Q7" s="103">
        <f t="shared" si="7"/>
        <v>328271.14451141725</v>
      </c>
      <c r="R7" s="103">
        <f t="shared" si="7"/>
        <v>408941.38275752048</v>
      </c>
      <c r="S7" s="103">
        <f t="shared" si="7"/>
        <v>489611.62100362376</v>
      </c>
      <c r="T7" s="103">
        <f t="shared" si="7"/>
        <v>570281.85924972699</v>
      </c>
      <c r="U7" s="103">
        <f t="shared" si="7"/>
        <v>650952.09749583027</v>
      </c>
      <c r="V7" s="103">
        <f t="shared" si="7"/>
        <v>731622.33574193355</v>
      </c>
      <c r="W7" s="103">
        <f t="shared" si="7"/>
        <v>812292.57398803672</v>
      </c>
      <c r="X7" s="103">
        <f t="shared" si="7"/>
        <v>892962.81223414</v>
      </c>
      <c r="Y7" s="103">
        <f t="shared" si="7"/>
        <v>973633.05048024328</v>
      </c>
      <c r="Z7" s="103">
        <f t="shared" si="7"/>
        <v>1054303.2887263466</v>
      </c>
      <c r="AA7" s="103">
        <f t="shared" si="7"/>
        <v>1134973.5269724496</v>
      </c>
      <c r="AB7" s="280"/>
    </row>
    <row r="8" spans="1:28" s="193" customFormat="1" x14ac:dyDescent="0.25">
      <c r="A8" s="59" t="s">
        <v>83</v>
      </c>
      <c r="B8" s="48">
        <f t="shared" si="1"/>
        <v>6623.3367972773012</v>
      </c>
      <c r="C8" s="48">
        <f t="shared" si="2"/>
        <v>72085.31184728154</v>
      </c>
      <c r="D8" s="48">
        <f t="shared" si="3"/>
        <v>85887.750337973877</v>
      </c>
      <c r="E8" s="48">
        <f t="shared" si="4"/>
        <v>489611.62100362376</v>
      </c>
      <c r="F8" s="48">
        <f t="shared" si="5"/>
        <v>731622.33574193355</v>
      </c>
      <c r="G8" s="48">
        <f t="shared" si="6"/>
        <v>1134973.5269724496</v>
      </c>
      <c r="H8" s="221">
        <f>+'VIII. CarbonflowRemoval'!H8+'IX. CarbonflowAvoidedEmission'!H7</f>
        <v>248.45295675574388</v>
      </c>
      <c r="I8" s="221">
        <f>+'VIII. CarbonflowRemoval'!I8+'IX. CarbonflowAvoidedEmission'!I7</f>
        <v>6623.3367972773012</v>
      </c>
      <c r="J8" s="221">
        <f>+'VIII. CarbonflowRemoval'!J8+'IX. CarbonflowAvoidedEmission'!J7</f>
        <v>25865.70628409446</v>
      </c>
      <c r="K8" s="221">
        <f>+'VIII. CarbonflowRemoval'!K8+'IX. CarbonflowAvoidedEmission'!K7</f>
        <v>50737.600741165945</v>
      </c>
      <c r="L8" s="221">
        <f>+'VIII. CarbonflowRemoval'!L8+'IX. CarbonflowAvoidedEmission'!L7</f>
        <v>72085.31184728154</v>
      </c>
      <c r="M8" s="221">
        <f>+'VIII. CarbonflowRemoval'!M8+'IX. CarbonflowAvoidedEmission'!M7</f>
        <v>81121.302203239262</v>
      </c>
      <c r="N8" s="221">
        <f>+'VIII. CarbonflowRemoval'!N8+'IX. CarbonflowAvoidedEmission'!N7</f>
        <v>85887.750337973877</v>
      </c>
      <c r="O8" s="221">
        <f>+'VIII. CarbonflowRemoval'!O8+'IX. CarbonflowAvoidedEmission'!O7</f>
        <v>166806.44154083286</v>
      </c>
      <c r="P8" s="221">
        <f>+'VIII. CarbonflowRemoval'!P8+'IX. CarbonflowAvoidedEmission'!P7</f>
        <v>247600.90626531397</v>
      </c>
      <c r="Q8" s="221">
        <f>+'VIII. CarbonflowRemoval'!Q8+'IX. CarbonflowAvoidedEmission'!Q7</f>
        <v>328271.14451141725</v>
      </c>
      <c r="R8" s="221">
        <f>+'VIII. CarbonflowRemoval'!R8+'IX. CarbonflowAvoidedEmission'!R7</f>
        <v>408941.38275752048</v>
      </c>
      <c r="S8" s="221">
        <f>+'VIII. CarbonflowRemoval'!S8+'IX. CarbonflowAvoidedEmission'!S7</f>
        <v>489611.62100362376</v>
      </c>
      <c r="T8" s="221">
        <f>+'VIII. CarbonflowRemoval'!T8+'IX. CarbonflowAvoidedEmission'!T7</f>
        <v>570281.85924972699</v>
      </c>
      <c r="U8" s="221">
        <f>+'VIII. CarbonflowRemoval'!U8+'IX. CarbonflowAvoidedEmission'!U7</f>
        <v>650952.09749583027</v>
      </c>
      <c r="V8" s="221">
        <f>+'VIII. CarbonflowRemoval'!V8+'IX. CarbonflowAvoidedEmission'!V7</f>
        <v>731622.33574193355</v>
      </c>
      <c r="W8" s="221">
        <f>+'VIII. CarbonflowRemoval'!W8+'IX. CarbonflowAvoidedEmission'!W7</f>
        <v>812292.57398803672</v>
      </c>
      <c r="X8" s="221">
        <f>+'VIII. CarbonflowRemoval'!X8+'IX. CarbonflowAvoidedEmission'!X7</f>
        <v>892962.81223414</v>
      </c>
      <c r="Y8" s="221">
        <f>+'VIII. CarbonflowRemoval'!Y8+'IX. CarbonflowAvoidedEmission'!Y7</f>
        <v>973633.05048024328</v>
      </c>
      <c r="Z8" s="221">
        <f>+'VIII. CarbonflowRemoval'!Z8+'IX. CarbonflowAvoidedEmission'!Z7</f>
        <v>1054303.2887263466</v>
      </c>
      <c r="AA8" s="221">
        <f>+'VIII. CarbonflowRemoval'!AA8+'IX. CarbonflowAvoidedEmission'!AA7</f>
        <v>1134973.5269724496</v>
      </c>
    </row>
    <row r="9" spans="1:28" s="193" customFormat="1" x14ac:dyDescent="0.25">
      <c r="A9" s="59" t="s">
        <v>84</v>
      </c>
      <c r="B9" s="48">
        <f t="shared" si="1"/>
        <v>0</v>
      </c>
      <c r="C9" s="48">
        <f t="shared" si="2"/>
        <v>0</v>
      </c>
      <c r="D9" s="48">
        <f t="shared" si="3"/>
        <v>0</v>
      </c>
      <c r="E9" s="48">
        <f t="shared" si="4"/>
        <v>0</v>
      </c>
      <c r="F9" s="48">
        <f t="shared" si="5"/>
        <v>0</v>
      </c>
      <c r="G9" s="48">
        <f t="shared" si="6"/>
        <v>0</v>
      </c>
      <c r="H9" s="221">
        <f>+'VIII. CarbonflowRemoval'!H9+'IX. CarbonflowAvoidedEmission'!H8</f>
        <v>0</v>
      </c>
      <c r="I9" s="221">
        <f>+'VIII. CarbonflowRemoval'!I9+'IX. CarbonflowAvoidedEmission'!I8</f>
        <v>0</v>
      </c>
      <c r="J9" s="221">
        <f>+'VIII. CarbonflowRemoval'!J9+'IX. CarbonflowAvoidedEmission'!J8</f>
        <v>0</v>
      </c>
      <c r="K9" s="221">
        <f>+'VIII. CarbonflowRemoval'!K9+'IX. CarbonflowAvoidedEmission'!K8</f>
        <v>0</v>
      </c>
      <c r="L9" s="221">
        <f>+'VIII. CarbonflowRemoval'!L9+'IX. CarbonflowAvoidedEmission'!L8</f>
        <v>0</v>
      </c>
      <c r="M9" s="221">
        <f>+'VIII. CarbonflowRemoval'!M9+'IX. CarbonflowAvoidedEmission'!M8</f>
        <v>0</v>
      </c>
      <c r="N9" s="221">
        <f>+'VIII. CarbonflowRemoval'!N9+'IX. CarbonflowAvoidedEmission'!N8</f>
        <v>0</v>
      </c>
      <c r="O9" s="221">
        <f>+'VIII. CarbonflowRemoval'!O9+'IX. CarbonflowAvoidedEmission'!O8</f>
        <v>0</v>
      </c>
      <c r="P9" s="221">
        <f>+'VIII. CarbonflowRemoval'!P9+'IX. CarbonflowAvoidedEmission'!P8</f>
        <v>0</v>
      </c>
      <c r="Q9" s="221">
        <f>+'VIII. CarbonflowRemoval'!Q9+'IX. CarbonflowAvoidedEmission'!Q8</f>
        <v>0</v>
      </c>
      <c r="R9" s="221">
        <f>+'VIII. CarbonflowRemoval'!R9+'IX. CarbonflowAvoidedEmission'!R8</f>
        <v>0</v>
      </c>
      <c r="S9" s="221">
        <f>+'VIII. CarbonflowRemoval'!S9+'IX. CarbonflowAvoidedEmission'!S8</f>
        <v>0</v>
      </c>
      <c r="T9" s="221">
        <f>+'VIII. CarbonflowRemoval'!T9+'IX. CarbonflowAvoidedEmission'!T8</f>
        <v>0</v>
      </c>
      <c r="U9" s="221">
        <f>+'VIII. CarbonflowRemoval'!U9+'IX. CarbonflowAvoidedEmission'!U8</f>
        <v>0</v>
      </c>
      <c r="V9" s="221">
        <f>+'VIII. CarbonflowRemoval'!V9+'IX. CarbonflowAvoidedEmission'!V8</f>
        <v>0</v>
      </c>
      <c r="W9" s="221">
        <f>+'VIII. CarbonflowRemoval'!W9+'IX. CarbonflowAvoidedEmission'!W8</f>
        <v>0</v>
      </c>
      <c r="X9" s="221">
        <f>+'VIII. CarbonflowRemoval'!X9+'IX. CarbonflowAvoidedEmission'!X8</f>
        <v>0</v>
      </c>
      <c r="Y9" s="221">
        <f>+'VIII. CarbonflowRemoval'!Y9+'IX. CarbonflowAvoidedEmission'!Y8</f>
        <v>0</v>
      </c>
      <c r="Z9" s="221">
        <f>+'VIII. CarbonflowRemoval'!Z9+'IX. CarbonflowAvoidedEmission'!Z8</f>
        <v>0</v>
      </c>
      <c r="AA9" s="221">
        <f>+'VIII. CarbonflowRemoval'!AA9+'IX. CarbonflowAvoidedEmission'!AA8</f>
        <v>0</v>
      </c>
    </row>
    <row r="10" spans="1:28" s="3" customFormat="1" x14ac:dyDescent="0.25">
      <c r="A10" s="103" t="s">
        <v>69</v>
      </c>
      <c r="B10" s="48">
        <f t="shared" si="1"/>
        <v>21302.042877865264</v>
      </c>
      <c r="C10" s="48">
        <f t="shared" si="2"/>
        <v>170853.77278458106</v>
      </c>
      <c r="D10" s="48">
        <f t="shared" si="3"/>
        <v>221249.11280582281</v>
      </c>
      <c r="E10" s="48">
        <f t="shared" si="4"/>
        <v>1009379.9935651699</v>
      </c>
      <c r="F10" s="48">
        <f t="shared" si="5"/>
        <v>1450740.9014563817</v>
      </c>
      <c r="G10" s="48">
        <f t="shared" si="6"/>
        <v>2106743.6148653161</v>
      </c>
      <c r="H10" s="103">
        <f t="shared" ref="H10:AA10" si="8">SUM(H11:H12)</f>
        <v>2363.6605615681583</v>
      </c>
      <c r="I10" s="103">
        <f t="shared" si="8"/>
        <v>21302.042877865264</v>
      </c>
      <c r="J10" s="103">
        <f t="shared" si="8"/>
        <v>67320.198066374112</v>
      </c>
      <c r="K10" s="103">
        <f t="shared" si="8"/>
        <v>125185.75388647558</v>
      </c>
      <c r="L10" s="103">
        <f t="shared" si="8"/>
        <v>170853.77278458106</v>
      </c>
      <c r="M10" s="103">
        <f t="shared" si="8"/>
        <v>205695.7020985522</v>
      </c>
      <c r="N10" s="103">
        <f t="shared" si="8"/>
        <v>221249.11280582281</v>
      </c>
      <c r="O10" s="103">
        <f t="shared" si="8"/>
        <v>382979.04518903873</v>
      </c>
      <c r="P10" s="103">
        <f t="shared" si="8"/>
        <v>543527.14729147055</v>
      </c>
      <c r="Q10" s="103">
        <f t="shared" si="8"/>
        <v>702893.4191131182</v>
      </c>
      <c r="R10" s="103">
        <f t="shared" si="8"/>
        <v>862259.69093476608</v>
      </c>
      <c r="S10" s="103">
        <f t="shared" si="8"/>
        <v>1009379.9935651699</v>
      </c>
      <c r="T10" s="103">
        <f t="shared" si="8"/>
        <v>1156500.2961955736</v>
      </c>
      <c r="U10" s="103">
        <f t="shared" si="8"/>
        <v>1303620.5988259776</v>
      </c>
      <c r="V10" s="103">
        <f t="shared" si="8"/>
        <v>1450740.9014563817</v>
      </c>
      <c r="W10" s="103">
        <f t="shared" si="8"/>
        <v>1585615.2348955416</v>
      </c>
      <c r="X10" s="103">
        <f t="shared" si="8"/>
        <v>1720489.5683347019</v>
      </c>
      <c r="Y10" s="103">
        <f t="shared" si="8"/>
        <v>1849240.9171782401</v>
      </c>
      <c r="Z10" s="103">
        <f t="shared" si="8"/>
        <v>1977992.2660217781</v>
      </c>
      <c r="AA10" s="103">
        <f t="shared" si="8"/>
        <v>2106743.6148653161</v>
      </c>
    </row>
    <row r="11" spans="1:28" s="22" customFormat="1" x14ac:dyDescent="0.25">
      <c r="A11" s="8" t="s">
        <v>83</v>
      </c>
      <c r="B11" s="48">
        <f t="shared" si="1"/>
        <v>0</v>
      </c>
      <c r="C11" s="48">
        <f t="shared" si="2"/>
        <v>0</v>
      </c>
      <c r="D11" s="48">
        <f t="shared" si="3"/>
        <v>0</v>
      </c>
      <c r="E11" s="48">
        <f t="shared" si="4"/>
        <v>0</v>
      </c>
      <c r="F11" s="48">
        <f t="shared" si="5"/>
        <v>0</v>
      </c>
      <c r="G11" s="48">
        <f t="shared" si="6"/>
        <v>0</v>
      </c>
      <c r="H11" s="100">
        <f>+'VIII. CarbonflowRemoval'!H11+'IX. CarbonflowAvoidedEmission'!H10</f>
        <v>0</v>
      </c>
      <c r="I11" s="100">
        <f>+'VIII. CarbonflowRemoval'!I11+'IX. CarbonflowAvoidedEmission'!I10</f>
        <v>0</v>
      </c>
      <c r="J11" s="100">
        <f>+'VIII. CarbonflowRemoval'!J11+'IX. CarbonflowAvoidedEmission'!J10</f>
        <v>0</v>
      </c>
      <c r="K11" s="100">
        <f>+'VIII. CarbonflowRemoval'!K11+'IX. CarbonflowAvoidedEmission'!K10</f>
        <v>0</v>
      </c>
      <c r="L11" s="100">
        <f>+'VIII. CarbonflowRemoval'!L11+'IX. CarbonflowAvoidedEmission'!L10</f>
        <v>0</v>
      </c>
      <c r="M11" s="100">
        <f>+'VIII. CarbonflowRemoval'!M11+'IX. CarbonflowAvoidedEmission'!M10</f>
        <v>0</v>
      </c>
      <c r="N11" s="100">
        <f>+'VIII. CarbonflowRemoval'!N11+'IX. CarbonflowAvoidedEmission'!N10</f>
        <v>0</v>
      </c>
      <c r="O11" s="100">
        <f>+'VIII. CarbonflowRemoval'!O11+'IX. CarbonflowAvoidedEmission'!O10</f>
        <v>0</v>
      </c>
      <c r="P11" s="100">
        <f>+'VIII. CarbonflowRemoval'!P11+'IX. CarbonflowAvoidedEmission'!P10</f>
        <v>0</v>
      </c>
      <c r="Q11" s="100">
        <f>+'VIII. CarbonflowRemoval'!Q11+'IX. CarbonflowAvoidedEmission'!Q10</f>
        <v>0</v>
      </c>
      <c r="R11" s="100">
        <f>+'VIII. CarbonflowRemoval'!R11+'IX. CarbonflowAvoidedEmission'!R10</f>
        <v>0</v>
      </c>
      <c r="S11" s="100">
        <f>+'VIII. CarbonflowRemoval'!S11+'IX. CarbonflowAvoidedEmission'!S10</f>
        <v>0</v>
      </c>
      <c r="T11" s="100">
        <f>+'VIII. CarbonflowRemoval'!T11+'IX. CarbonflowAvoidedEmission'!T10</f>
        <v>0</v>
      </c>
      <c r="U11" s="100">
        <f>+'VIII. CarbonflowRemoval'!U11+'IX. CarbonflowAvoidedEmission'!U10</f>
        <v>0</v>
      </c>
      <c r="V11" s="100">
        <f>+'VIII. CarbonflowRemoval'!V11+'IX. CarbonflowAvoidedEmission'!V10</f>
        <v>0</v>
      </c>
      <c r="W11" s="100">
        <f>+'VIII. CarbonflowRemoval'!W11+'IX. CarbonflowAvoidedEmission'!W10</f>
        <v>0</v>
      </c>
      <c r="X11" s="100">
        <f>+'VIII. CarbonflowRemoval'!X11+'IX. CarbonflowAvoidedEmission'!X10</f>
        <v>0</v>
      </c>
      <c r="Y11" s="100">
        <f>+'VIII. CarbonflowRemoval'!Y11+'IX. CarbonflowAvoidedEmission'!Y10</f>
        <v>0</v>
      </c>
      <c r="Z11" s="100">
        <f>+'VIII. CarbonflowRemoval'!Z11+'IX. CarbonflowAvoidedEmission'!Z10</f>
        <v>0</v>
      </c>
      <c r="AA11" s="100">
        <f>+'VIII. CarbonflowRemoval'!AA11+'IX. CarbonflowAvoidedEmission'!AA10</f>
        <v>0</v>
      </c>
    </row>
    <row r="12" spans="1:28" s="22" customFormat="1" x14ac:dyDescent="0.25">
      <c r="A12" s="8" t="s">
        <v>84</v>
      </c>
      <c r="B12" s="48">
        <f t="shared" si="1"/>
        <v>21302.042877865264</v>
      </c>
      <c r="C12" s="48">
        <f t="shared" si="2"/>
        <v>170853.77278458106</v>
      </c>
      <c r="D12" s="48">
        <f t="shared" si="3"/>
        <v>221249.11280582281</v>
      </c>
      <c r="E12" s="48">
        <f t="shared" si="4"/>
        <v>1009379.9935651699</v>
      </c>
      <c r="F12" s="48">
        <f t="shared" si="5"/>
        <v>1450740.9014563817</v>
      </c>
      <c r="G12" s="48">
        <f t="shared" si="6"/>
        <v>2106743.6148653161</v>
      </c>
      <c r="H12" s="100">
        <f>+'VIII. CarbonflowRemoval'!H12+'IX. CarbonflowAvoidedEmission'!H11+VII.LivestockMethane_Carbon!B26</f>
        <v>2363.6605615681583</v>
      </c>
      <c r="I12" s="100">
        <f>+'VIII. CarbonflowRemoval'!I12+'IX. CarbonflowAvoidedEmission'!I11+VII.LivestockMethane_Carbon!C26</f>
        <v>21302.042877865264</v>
      </c>
      <c r="J12" s="100">
        <f>+'VIII. CarbonflowRemoval'!J12+'IX. CarbonflowAvoidedEmission'!J11+VII.LivestockMethane_Carbon!D26</f>
        <v>67320.198066374112</v>
      </c>
      <c r="K12" s="100">
        <f>+'VIII. CarbonflowRemoval'!K12+'IX. CarbonflowAvoidedEmission'!K11+VII.LivestockMethane_Carbon!E26</f>
        <v>125185.75388647558</v>
      </c>
      <c r="L12" s="100">
        <f>+'VIII. CarbonflowRemoval'!L12+'IX. CarbonflowAvoidedEmission'!L11+VII.LivestockMethane_Carbon!F26</f>
        <v>170853.77278458106</v>
      </c>
      <c r="M12" s="100">
        <f>+'VIII. CarbonflowRemoval'!M12+'IX. CarbonflowAvoidedEmission'!M11+VII.LivestockMethane_Carbon!G26</f>
        <v>205695.7020985522</v>
      </c>
      <c r="N12" s="100">
        <f>+'VIII. CarbonflowRemoval'!N12+'IX. CarbonflowAvoidedEmission'!N11+VII.LivestockMethane_Carbon!H26</f>
        <v>221249.11280582281</v>
      </c>
      <c r="O12" s="100">
        <f>+'VIII. CarbonflowRemoval'!O12+'IX. CarbonflowAvoidedEmission'!O11+VII.LivestockMethane_Carbon!I26</f>
        <v>382979.04518903873</v>
      </c>
      <c r="P12" s="100">
        <f>+'VIII. CarbonflowRemoval'!P12+'IX. CarbonflowAvoidedEmission'!P11+VII.LivestockMethane_Carbon!J26</f>
        <v>543527.14729147055</v>
      </c>
      <c r="Q12" s="100">
        <f>+'VIII. CarbonflowRemoval'!Q12+'IX. CarbonflowAvoidedEmission'!Q11+VII.LivestockMethane_Carbon!K26</f>
        <v>702893.4191131182</v>
      </c>
      <c r="R12" s="100">
        <f>+'VIII. CarbonflowRemoval'!R12+'IX. CarbonflowAvoidedEmission'!R11+VII.LivestockMethane_Carbon!L26</f>
        <v>862259.69093476608</v>
      </c>
      <c r="S12" s="100">
        <f>+'VIII. CarbonflowRemoval'!S12+'IX. CarbonflowAvoidedEmission'!S11+VII.LivestockMethane_Carbon!M26</f>
        <v>1009379.9935651699</v>
      </c>
      <c r="T12" s="100">
        <f>+'VIII. CarbonflowRemoval'!T12+'IX. CarbonflowAvoidedEmission'!T11+VII.LivestockMethane_Carbon!N26</f>
        <v>1156500.2961955736</v>
      </c>
      <c r="U12" s="100">
        <f>+'VIII. CarbonflowRemoval'!U12+'IX. CarbonflowAvoidedEmission'!U11+VII.LivestockMethane_Carbon!O26</f>
        <v>1303620.5988259776</v>
      </c>
      <c r="V12" s="100">
        <f>+'VIII. CarbonflowRemoval'!V12+'IX. CarbonflowAvoidedEmission'!V11+VII.LivestockMethane_Carbon!P26</f>
        <v>1450740.9014563817</v>
      </c>
      <c r="W12" s="100">
        <f>+'VIII. CarbonflowRemoval'!W12+'IX. CarbonflowAvoidedEmission'!W11+VII.LivestockMethane_Carbon!Q26</f>
        <v>1585615.2348955416</v>
      </c>
      <c r="X12" s="100">
        <f>+'VIII. CarbonflowRemoval'!X12+'IX. CarbonflowAvoidedEmission'!X11+VII.LivestockMethane_Carbon!R26</f>
        <v>1720489.5683347019</v>
      </c>
      <c r="Y12" s="100">
        <f>+'VIII. CarbonflowRemoval'!Y12+'IX. CarbonflowAvoidedEmission'!Y11+VII.LivestockMethane_Carbon!S26</f>
        <v>1849240.9171782401</v>
      </c>
      <c r="Z12" s="100">
        <f>+'VIII. CarbonflowRemoval'!Z12+'IX. CarbonflowAvoidedEmission'!Z11+VII.LivestockMethane_Carbon!T26</f>
        <v>1977992.2660217781</v>
      </c>
      <c r="AA12" s="100">
        <f>+'VIII. CarbonflowRemoval'!AA12+'IX. CarbonflowAvoidedEmission'!AA11+VII.LivestockMethane_Carbon!U26</f>
        <v>2106743.6148653161</v>
      </c>
    </row>
    <row r="13" spans="1:28" s="3" customFormat="1" x14ac:dyDescent="0.25">
      <c r="A13" s="103" t="s">
        <v>70</v>
      </c>
      <c r="B13" s="48">
        <f t="shared" si="1"/>
        <v>55659.801789285943</v>
      </c>
      <c r="C13" s="48">
        <f t="shared" si="2"/>
        <v>641729.43567162973</v>
      </c>
      <c r="D13" s="48">
        <f t="shared" si="3"/>
        <v>783793.81578100368</v>
      </c>
      <c r="E13" s="48">
        <f t="shared" si="4"/>
        <v>4669346.9231991433</v>
      </c>
      <c r="F13" s="48">
        <f t="shared" si="5"/>
        <v>7000388.2139849234</v>
      </c>
      <c r="G13" s="48">
        <f t="shared" si="6"/>
        <v>10885457.031961225</v>
      </c>
      <c r="H13" s="103">
        <f t="shared" ref="H13:AA13" si="9">SUM(H14:H15)</f>
        <v>322.85962789255086</v>
      </c>
      <c r="I13" s="103">
        <f t="shared" si="9"/>
        <v>55659.801789285943</v>
      </c>
      <c r="J13" s="103">
        <f t="shared" si="9"/>
        <v>250801.1066648055</v>
      </c>
      <c r="K13" s="103">
        <f t="shared" si="9"/>
        <v>445942.41154032503</v>
      </c>
      <c r="L13" s="103">
        <f t="shared" si="9"/>
        <v>641729.43567162973</v>
      </c>
      <c r="M13" s="103">
        <f t="shared" si="9"/>
        <v>736223.78265928407</v>
      </c>
      <c r="N13" s="103">
        <f t="shared" si="9"/>
        <v>783793.81578100368</v>
      </c>
      <c r="O13" s="103">
        <f t="shared" si="9"/>
        <v>1561130.4390041565</v>
      </c>
      <c r="P13" s="103">
        <f t="shared" si="9"/>
        <v>2338305.6324133631</v>
      </c>
      <c r="Q13" s="103">
        <f t="shared" si="9"/>
        <v>3115319.3960086228</v>
      </c>
      <c r="R13" s="103">
        <f t="shared" si="9"/>
        <v>3892333.159603883</v>
      </c>
      <c r="S13" s="103">
        <f t="shared" si="9"/>
        <v>4669346.9231991433</v>
      </c>
      <c r="T13" s="103">
        <f t="shared" si="9"/>
        <v>5446360.6867944039</v>
      </c>
      <c r="U13" s="103">
        <f t="shared" si="9"/>
        <v>6223374.4503896637</v>
      </c>
      <c r="V13" s="103">
        <f t="shared" si="9"/>
        <v>7000388.2139849234</v>
      </c>
      <c r="W13" s="103">
        <f t="shared" si="9"/>
        <v>7777401.9775801841</v>
      </c>
      <c r="X13" s="103">
        <f t="shared" si="9"/>
        <v>8554415.7411754448</v>
      </c>
      <c r="Y13" s="103">
        <f t="shared" si="9"/>
        <v>9331429.5047707055</v>
      </c>
      <c r="Z13" s="103">
        <f t="shared" si="9"/>
        <v>10108443.268365964</v>
      </c>
      <c r="AA13" s="103">
        <f t="shared" si="9"/>
        <v>10885457.031961225</v>
      </c>
    </row>
    <row r="14" spans="1:28" s="22" customFormat="1" x14ac:dyDescent="0.25">
      <c r="A14" s="8" t="s">
        <v>83</v>
      </c>
      <c r="B14" s="48">
        <f t="shared" si="1"/>
        <v>55659.801789285943</v>
      </c>
      <c r="C14" s="48">
        <f t="shared" si="2"/>
        <v>641729.43567162973</v>
      </c>
      <c r="D14" s="48">
        <f t="shared" si="3"/>
        <v>783793.81578100368</v>
      </c>
      <c r="E14" s="48">
        <f t="shared" si="4"/>
        <v>4669346.9231991433</v>
      </c>
      <c r="F14" s="48">
        <f t="shared" si="5"/>
        <v>7000388.2139849234</v>
      </c>
      <c r="G14" s="48">
        <f t="shared" si="6"/>
        <v>10885457.031961225</v>
      </c>
      <c r="H14" s="100">
        <f>+'VIII. CarbonflowRemoval'!H14+'IX. CarbonflowAvoidedEmission'!H13</f>
        <v>322.85962789255086</v>
      </c>
      <c r="I14" s="100">
        <f>+'VIII. CarbonflowRemoval'!I14+'IX. CarbonflowAvoidedEmission'!I13</f>
        <v>55659.801789285943</v>
      </c>
      <c r="J14" s="100">
        <f>+'VIII. CarbonflowRemoval'!J14+'IX. CarbonflowAvoidedEmission'!J13</f>
        <v>250801.1066648055</v>
      </c>
      <c r="K14" s="100">
        <f>+'VIII. CarbonflowRemoval'!K14+'IX. CarbonflowAvoidedEmission'!K13</f>
        <v>445942.41154032503</v>
      </c>
      <c r="L14" s="100">
        <f>+'VIII. CarbonflowRemoval'!L14+'IX. CarbonflowAvoidedEmission'!L13</f>
        <v>641729.43567162973</v>
      </c>
      <c r="M14" s="100">
        <f>+'VIII. CarbonflowRemoval'!M14+'IX. CarbonflowAvoidedEmission'!M13</f>
        <v>736223.78265928407</v>
      </c>
      <c r="N14" s="100">
        <f>+'VIII. CarbonflowRemoval'!N14+'IX. CarbonflowAvoidedEmission'!N13</f>
        <v>783793.81578100368</v>
      </c>
      <c r="O14" s="100">
        <f>+'VIII. CarbonflowRemoval'!O14+'IX. CarbonflowAvoidedEmission'!O13</f>
        <v>1561130.4390041565</v>
      </c>
      <c r="P14" s="100">
        <f>+'VIII. CarbonflowRemoval'!P14+'IX. CarbonflowAvoidedEmission'!P13</f>
        <v>2338305.6324133631</v>
      </c>
      <c r="Q14" s="100">
        <f>+'VIII. CarbonflowRemoval'!Q14+'IX. CarbonflowAvoidedEmission'!Q13</f>
        <v>3115319.3960086228</v>
      </c>
      <c r="R14" s="100">
        <f>+'VIII. CarbonflowRemoval'!R14+'IX. CarbonflowAvoidedEmission'!R13</f>
        <v>3892333.159603883</v>
      </c>
      <c r="S14" s="100">
        <f>+'VIII. CarbonflowRemoval'!S14+'IX. CarbonflowAvoidedEmission'!S13</f>
        <v>4669346.9231991433</v>
      </c>
      <c r="T14" s="100">
        <f>+'VIII. CarbonflowRemoval'!T14+'IX. CarbonflowAvoidedEmission'!T13</f>
        <v>5446360.6867944039</v>
      </c>
      <c r="U14" s="100">
        <f>+'VIII. CarbonflowRemoval'!U14+'IX. CarbonflowAvoidedEmission'!U13</f>
        <v>6223374.4503896637</v>
      </c>
      <c r="V14" s="100">
        <f>+'VIII. CarbonflowRemoval'!V14+'IX. CarbonflowAvoidedEmission'!V13</f>
        <v>7000388.2139849234</v>
      </c>
      <c r="W14" s="100">
        <f>+'VIII. CarbonflowRemoval'!W14+'IX. CarbonflowAvoidedEmission'!W13</f>
        <v>7777401.9775801841</v>
      </c>
      <c r="X14" s="100">
        <f>+'VIII. CarbonflowRemoval'!X14+'IX. CarbonflowAvoidedEmission'!X13</f>
        <v>8554415.7411754448</v>
      </c>
      <c r="Y14" s="100">
        <f>+'VIII. CarbonflowRemoval'!Y14+'IX. CarbonflowAvoidedEmission'!Y13</f>
        <v>9331429.5047707055</v>
      </c>
      <c r="Z14" s="100">
        <f>+'VIII. CarbonflowRemoval'!Z14+'IX. CarbonflowAvoidedEmission'!Z13</f>
        <v>10108443.268365964</v>
      </c>
      <c r="AA14" s="100">
        <f>+'VIII. CarbonflowRemoval'!AA14+'IX. CarbonflowAvoidedEmission'!AA13</f>
        <v>10885457.031961225</v>
      </c>
    </row>
    <row r="15" spans="1:28" s="22" customFormat="1" x14ac:dyDescent="0.25">
      <c r="A15" s="8" t="s">
        <v>84</v>
      </c>
      <c r="B15" s="48">
        <f t="shared" si="1"/>
        <v>0</v>
      </c>
      <c r="C15" s="48">
        <f t="shared" si="2"/>
        <v>0</v>
      </c>
      <c r="D15" s="48">
        <f t="shared" si="3"/>
        <v>0</v>
      </c>
      <c r="E15" s="48">
        <f t="shared" si="4"/>
        <v>0</v>
      </c>
      <c r="F15" s="48">
        <f t="shared" si="5"/>
        <v>0</v>
      </c>
      <c r="G15" s="48">
        <f t="shared" si="6"/>
        <v>0</v>
      </c>
      <c r="H15" s="100">
        <f>+'VIII. CarbonflowRemoval'!H15+'IX. CarbonflowAvoidedEmission'!H14</f>
        <v>0</v>
      </c>
      <c r="I15" s="100">
        <f>+'VIII. CarbonflowRemoval'!I15+'IX. CarbonflowAvoidedEmission'!I14</f>
        <v>0</v>
      </c>
      <c r="J15" s="100">
        <f>+'VIII. CarbonflowRemoval'!J15+'IX. CarbonflowAvoidedEmission'!J14</f>
        <v>0</v>
      </c>
      <c r="K15" s="100">
        <f>+'VIII. CarbonflowRemoval'!K15+'IX. CarbonflowAvoidedEmission'!K14</f>
        <v>0</v>
      </c>
      <c r="L15" s="100">
        <f>+'VIII. CarbonflowRemoval'!L15+'IX. CarbonflowAvoidedEmission'!L14</f>
        <v>0</v>
      </c>
      <c r="M15" s="100">
        <f>+'VIII. CarbonflowRemoval'!M15+'IX. CarbonflowAvoidedEmission'!M14</f>
        <v>0</v>
      </c>
      <c r="N15" s="100">
        <f>+'VIII. CarbonflowRemoval'!N15+'IX. CarbonflowAvoidedEmission'!N14</f>
        <v>0</v>
      </c>
      <c r="O15" s="100">
        <f>+'VIII. CarbonflowRemoval'!O15+'IX. CarbonflowAvoidedEmission'!O14</f>
        <v>0</v>
      </c>
      <c r="P15" s="100">
        <f>+'VIII. CarbonflowRemoval'!P15+'IX. CarbonflowAvoidedEmission'!P14</f>
        <v>0</v>
      </c>
      <c r="Q15" s="100">
        <f>+'VIII. CarbonflowRemoval'!Q15+'IX. CarbonflowAvoidedEmission'!Q14</f>
        <v>0</v>
      </c>
      <c r="R15" s="100">
        <f>+'VIII. CarbonflowRemoval'!R15+'IX. CarbonflowAvoidedEmission'!R14</f>
        <v>0</v>
      </c>
      <c r="S15" s="100">
        <f>+'VIII. CarbonflowRemoval'!S15+'IX. CarbonflowAvoidedEmission'!S14</f>
        <v>0</v>
      </c>
      <c r="T15" s="100">
        <f>+'VIII. CarbonflowRemoval'!T15+'IX. CarbonflowAvoidedEmission'!T14</f>
        <v>0</v>
      </c>
      <c r="U15" s="100">
        <f>+'VIII. CarbonflowRemoval'!U15+'IX. CarbonflowAvoidedEmission'!U14</f>
        <v>0</v>
      </c>
      <c r="V15" s="100">
        <f>+'VIII. CarbonflowRemoval'!V15+'IX. CarbonflowAvoidedEmission'!V14</f>
        <v>0</v>
      </c>
      <c r="W15" s="100">
        <f>+'VIII. CarbonflowRemoval'!W15+'IX. CarbonflowAvoidedEmission'!W14</f>
        <v>0</v>
      </c>
      <c r="X15" s="100">
        <f>+'VIII. CarbonflowRemoval'!X15+'IX. CarbonflowAvoidedEmission'!X14</f>
        <v>0</v>
      </c>
      <c r="Y15" s="100">
        <f>+'VIII. CarbonflowRemoval'!Y15+'IX. CarbonflowAvoidedEmission'!Y14</f>
        <v>0</v>
      </c>
      <c r="Z15" s="100">
        <f>+'VIII. CarbonflowRemoval'!Z15+'IX. CarbonflowAvoidedEmission'!Z14</f>
        <v>0</v>
      </c>
      <c r="AA15" s="100">
        <f>+'VIII. CarbonflowRemoval'!AA15+'IX. CarbonflowAvoidedEmission'!AA14</f>
        <v>0</v>
      </c>
    </row>
    <row r="16" spans="1:28" s="121" customFormat="1" x14ac:dyDescent="0.25">
      <c r="A16" s="39" t="s">
        <v>71</v>
      </c>
      <c r="B16" s="26">
        <f t="shared" si="1"/>
        <v>157947.09375966864</v>
      </c>
      <c r="C16" s="26">
        <f t="shared" si="2"/>
        <v>1895294.7615829133</v>
      </c>
      <c r="D16" s="26">
        <f t="shared" si="3"/>
        <v>2416451.8995298771</v>
      </c>
      <c r="E16" s="26">
        <f t="shared" si="4"/>
        <v>13533104.291164706</v>
      </c>
      <c r="F16" s="26">
        <f t="shared" si="5"/>
        <v>19324250.802482143</v>
      </c>
      <c r="G16" s="26">
        <f t="shared" si="6"/>
        <v>28976161.654677872</v>
      </c>
      <c r="H16" s="39">
        <f t="shared" ref="H16:AA16" si="10">+H17+H20</f>
        <v>0</v>
      </c>
      <c r="I16" s="39">
        <f t="shared" si="10"/>
        <v>157947.09375966864</v>
      </c>
      <c r="J16" s="39">
        <f t="shared" si="10"/>
        <v>736934.7565000297</v>
      </c>
      <c r="K16" s="39">
        <f t="shared" si="10"/>
        <v>1345107.7621832639</v>
      </c>
      <c r="L16" s="39">
        <f t="shared" si="10"/>
        <v>1895294.7615829133</v>
      </c>
      <c r="M16" s="39">
        <f t="shared" si="10"/>
        <v>2262434.0073298691</v>
      </c>
      <c r="N16" s="39">
        <f t="shared" si="10"/>
        <v>2416451.8995298771</v>
      </c>
      <c r="O16" s="39">
        <f t="shared" si="10"/>
        <v>4697925.0242729839</v>
      </c>
      <c r="P16" s="39">
        <f t="shared" si="10"/>
        <v>6937867.6872902755</v>
      </c>
      <c r="Q16" s="39">
        <f t="shared" si="10"/>
        <v>9136279.8885817528</v>
      </c>
      <c r="R16" s="39">
        <f t="shared" si="10"/>
        <v>11334692.089873228</v>
      </c>
      <c r="S16" s="39">
        <f t="shared" si="10"/>
        <v>13533104.291164706</v>
      </c>
      <c r="T16" s="39">
        <f t="shared" si="10"/>
        <v>15463486.461603852</v>
      </c>
      <c r="U16" s="39">
        <f t="shared" si="10"/>
        <v>17393868.632042997</v>
      </c>
      <c r="V16" s="39">
        <f t="shared" si="10"/>
        <v>19324250.802482143</v>
      </c>
      <c r="W16" s="39">
        <f t="shared" si="10"/>
        <v>21254632.97292129</v>
      </c>
      <c r="X16" s="39">
        <f t="shared" si="10"/>
        <v>23185015.143360436</v>
      </c>
      <c r="Y16" s="39">
        <f t="shared" si="10"/>
        <v>25115397.313799582</v>
      </c>
      <c r="Z16" s="39">
        <f t="shared" si="10"/>
        <v>27045779.484238725</v>
      </c>
      <c r="AA16" s="39">
        <f t="shared" si="10"/>
        <v>28976161.654677872</v>
      </c>
    </row>
    <row r="17" spans="1:27" s="3" customFormat="1" x14ac:dyDescent="0.25">
      <c r="A17" s="48" t="s">
        <v>106</v>
      </c>
      <c r="B17" s="48">
        <f t="shared" si="1"/>
        <v>93214.511873519179</v>
      </c>
      <c r="C17" s="48">
        <f t="shared" si="2"/>
        <v>1148095.0923857177</v>
      </c>
      <c r="D17" s="48">
        <f t="shared" si="3"/>
        <v>1452275.4988400263</v>
      </c>
      <c r="E17" s="48">
        <f t="shared" si="4"/>
        <v>7871902.007493414</v>
      </c>
      <c r="F17" s="48">
        <f t="shared" si="5"/>
        <v>11662335.735601069</v>
      </c>
      <c r="G17" s="48">
        <f t="shared" si="6"/>
        <v>17979725.282447163</v>
      </c>
      <c r="H17" s="48">
        <f t="shared" ref="H17:AA17" si="11">SUM(H18:H19)</f>
        <v>0</v>
      </c>
      <c r="I17" s="48">
        <f t="shared" si="11"/>
        <v>93214.511873519179</v>
      </c>
      <c r="J17" s="48">
        <f t="shared" si="11"/>
        <v>443162.97648492275</v>
      </c>
      <c r="K17" s="48">
        <f t="shared" si="11"/>
        <v>810150.93473087577</v>
      </c>
      <c r="L17" s="48">
        <f t="shared" si="11"/>
        <v>1148095.0923857177</v>
      </c>
      <c r="M17" s="48">
        <f t="shared" si="11"/>
        <v>1368287.8673332897</v>
      </c>
      <c r="N17" s="48">
        <f t="shared" si="11"/>
        <v>1452275.4988400263</v>
      </c>
      <c r="O17" s="48">
        <f t="shared" si="11"/>
        <v>2783911.3827474415</v>
      </c>
      <c r="P17" s="48">
        <f t="shared" si="11"/>
        <v>4081468.2793857586</v>
      </c>
      <c r="Q17" s="48">
        <f t="shared" si="11"/>
        <v>5344946.1887549767</v>
      </c>
      <c r="R17" s="48">
        <f t="shared" si="11"/>
        <v>6608424.0981241949</v>
      </c>
      <c r="S17" s="48">
        <f t="shared" si="11"/>
        <v>7871902.007493414</v>
      </c>
      <c r="T17" s="48">
        <f t="shared" si="11"/>
        <v>9135379.9168626331</v>
      </c>
      <c r="U17" s="48">
        <f t="shared" si="11"/>
        <v>10398857.82623185</v>
      </c>
      <c r="V17" s="48">
        <f t="shared" si="11"/>
        <v>11662335.735601069</v>
      </c>
      <c r="W17" s="48">
        <f t="shared" si="11"/>
        <v>12925813.644970289</v>
      </c>
      <c r="X17" s="48">
        <f t="shared" si="11"/>
        <v>14189291.554339508</v>
      </c>
      <c r="Y17" s="48">
        <f t="shared" si="11"/>
        <v>15452769.463708727</v>
      </c>
      <c r="Z17" s="48">
        <f t="shared" si="11"/>
        <v>16716247.373077944</v>
      </c>
      <c r="AA17" s="48">
        <f t="shared" si="11"/>
        <v>17979725.282447163</v>
      </c>
    </row>
    <row r="18" spans="1:27" s="22" customFormat="1" x14ac:dyDescent="0.25">
      <c r="A18" s="8" t="s">
        <v>83</v>
      </c>
      <c r="B18" s="48">
        <f t="shared" si="1"/>
        <v>93214.511873519179</v>
      </c>
      <c r="C18" s="48">
        <f t="shared" si="2"/>
        <v>1148095.0923857177</v>
      </c>
      <c r="D18" s="48">
        <f t="shared" si="3"/>
        <v>1452275.4988400263</v>
      </c>
      <c r="E18" s="48">
        <f t="shared" si="4"/>
        <v>7871902.007493414</v>
      </c>
      <c r="F18" s="48">
        <f t="shared" si="5"/>
        <v>11662335.735601069</v>
      </c>
      <c r="G18" s="48">
        <f t="shared" si="6"/>
        <v>17979725.282447163</v>
      </c>
      <c r="H18" s="100">
        <f>+'VIII. CarbonflowRemoval'!H18+'IX. CarbonflowAvoidedEmission'!H17</f>
        <v>0</v>
      </c>
      <c r="I18" s="100">
        <f>+'VIII. CarbonflowRemoval'!I18+'IX. CarbonflowAvoidedEmission'!I17</f>
        <v>93214.511873519179</v>
      </c>
      <c r="J18" s="100">
        <f>+'VIII. CarbonflowRemoval'!J18+'IX. CarbonflowAvoidedEmission'!J17</f>
        <v>443162.97648492275</v>
      </c>
      <c r="K18" s="100">
        <f>+'VIII. CarbonflowRemoval'!K18+'IX. CarbonflowAvoidedEmission'!K17</f>
        <v>810150.93473087577</v>
      </c>
      <c r="L18" s="100">
        <f>+'VIII. CarbonflowRemoval'!L18+'IX. CarbonflowAvoidedEmission'!L17</f>
        <v>1148095.0923857177</v>
      </c>
      <c r="M18" s="100">
        <f>+'VIII. CarbonflowRemoval'!M18+'IX. CarbonflowAvoidedEmission'!M17</f>
        <v>1368287.8673332897</v>
      </c>
      <c r="N18" s="100">
        <f>+'VIII. CarbonflowRemoval'!N18+'IX. CarbonflowAvoidedEmission'!N17</f>
        <v>1452275.4988400263</v>
      </c>
      <c r="O18" s="100">
        <f>+'VIII. CarbonflowRemoval'!O18+'IX. CarbonflowAvoidedEmission'!O17</f>
        <v>2783911.3827474415</v>
      </c>
      <c r="P18" s="100">
        <f>+'VIII. CarbonflowRemoval'!P18+'IX. CarbonflowAvoidedEmission'!P17</f>
        <v>4081468.2793857586</v>
      </c>
      <c r="Q18" s="100">
        <f>+'VIII. CarbonflowRemoval'!Q18+'IX. CarbonflowAvoidedEmission'!Q17</f>
        <v>5344946.1887549767</v>
      </c>
      <c r="R18" s="100">
        <f>+'VIII. CarbonflowRemoval'!R18+'IX. CarbonflowAvoidedEmission'!R17</f>
        <v>6608424.0981241949</v>
      </c>
      <c r="S18" s="100">
        <f>+'VIII. CarbonflowRemoval'!S18+'IX. CarbonflowAvoidedEmission'!S17</f>
        <v>7871902.007493414</v>
      </c>
      <c r="T18" s="100">
        <f>+'VIII. CarbonflowRemoval'!T18+'IX. CarbonflowAvoidedEmission'!T17</f>
        <v>9135379.9168626331</v>
      </c>
      <c r="U18" s="100">
        <f>+'VIII. CarbonflowRemoval'!U18+'IX. CarbonflowAvoidedEmission'!U17</f>
        <v>10398857.82623185</v>
      </c>
      <c r="V18" s="100">
        <f>+'VIII. CarbonflowRemoval'!V18+'IX. CarbonflowAvoidedEmission'!V17</f>
        <v>11662335.735601069</v>
      </c>
      <c r="W18" s="100">
        <f>+'VIII. CarbonflowRemoval'!W18+'IX. CarbonflowAvoidedEmission'!W17</f>
        <v>12925813.644970289</v>
      </c>
      <c r="X18" s="100">
        <f>+'VIII. CarbonflowRemoval'!X18+'IX. CarbonflowAvoidedEmission'!X17</f>
        <v>14189291.554339508</v>
      </c>
      <c r="Y18" s="100">
        <f>+'VIII. CarbonflowRemoval'!Y18+'IX. CarbonflowAvoidedEmission'!Y17</f>
        <v>15452769.463708727</v>
      </c>
      <c r="Z18" s="100">
        <f>+'VIII. CarbonflowRemoval'!Z18+'IX. CarbonflowAvoidedEmission'!Z17</f>
        <v>16716247.373077944</v>
      </c>
      <c r="AA18" s="100">
        <f>+'VIII. CarbonflowRemoval'!AA18+'IX. CarbonflowAvoidedEmission'!AA17</f>
        <v>17979725.282447163</v>
      </c>
    </row>
    <row r="19" spans="1:27" s="22" customFormat="1" x14ac:dyDescent="0.25">
      <c r="A19" s="8" t="s">
        <v>84</v>
      </c>
      <c r="B19" s="48">
        <f t="shared" si="1"/>
        <v>0</v>
      </c>
      <c r="C19" s="48">
        <f t="shared" si="2"/>
        <v>0</v>
      </c>
      <c r="D19" s="48">
        <f t="shared" si="3"/>
        <v>0</v>
      </c>
      <c r="E19" s="48">
        <f t="shared" si="4"/>
        <v>0</v>
      </c>
      <c r="F19" s="48">
        <f t="shared" si="5"/>
        <v>0</v>
      </c>
      <c r="G19" s="48">
        <f t="shared" si="6"/>
        <v>0</v>
      </c>
      <c r="H19" s="100">
        <f>+'III. AreaAnnual_distribution'!C43*'VI. ParameterCarbonAssumptions'!$B$7*'VI. ParameterCarbonAssumptions'!$C$25*'VI. ParameterCarbonAssumptions'!B$46+'III. AreaAnnual_distribution'!C43*('VI. ParameterCarbonAssumptions'!$C$37-'VI. ParameterCarbonAssumptions'!$B$37)</f>
        <v>0</v>
      </c>
      <c r="I19" s="100">
        <f>+'III. AreaAnnual_distribution'!D43*'VI. ParameterCarbonAssumptions'!$B$7*'VI. ParameterCarbonAssumptions'!$C$25*'VI. ParameterCarbonAssumptions'!C$46+'III. AreaAnnual_distribution'!D43*('VI. ParameterCarbonAssumptions'!$C$37-'VI. ParameterCarbonAssumptions'!$B$37)+H19</f>
        <v>0</v>
      </c>
      <c r="J19" s="100">
        <f>+'III. AreaAnnual_distribution'!E43*'VI. ParameterCarbonAssumptions'!$B$7*'VI. ParameterCarbonAssumptions'!$C$25*'VI. ParameterCarbonAssumptions'!D$46+'III. AreaAnnual_distribution'!E43*('VI. ParameterCarbonAssumptions'!$C$37-'VI. ParameterCarbonAssumptions'!$B$37)+I19</f>
        <v>0</v>
      </c>
      <c r="K19" s="100">
        <f>+'III. AreaAnnual_distribution'!F43*'VI. ParameterCarbonAssumptions'!$B$7*'VI. ParameterCarbonAssumptions'!$C$25*'VI. ParameterCarbonAssumptions'!E$46+'III. AreaAnnual_distribution'!F43*('VI. ParameterCarbonAssumptions'!$C$37-'VI. ParameterCarbonAssumptions'!$B$37)+J19</f>
        <v>0</v>
      </c>
      <c r="L19" s="100">
        <f>+'III. AreaAnnual_distribution'!G43*'VI. ParameterCarbonAssumptions'!$B$7*'VI. ParameterCarbonAssumptions'!$C$25*'VI. ParameterCarbonAssumptions'!$F$46+'III. AreaAnnual_distribution'!G43*('VI. ParameterCarbonAssumptions'!$C$37-'VI. ParameterCarbonAssumptions'!$B$37)+K19</f>
        <v>0</v>
      </c>
      <c r="M19" s="100">
        <f>+'III. AreaAnnual_distribution'!H43*'VI. ParameterCarbonAssumptions'!$B$7*'VI. ParameterCarbonAssumptions'!$C$25*'VI. ParameterCarbonAssumptions'!$F$46+'III. AreaAnnual_distribution'!H43*('VI. ParameterCarbonAssumptions'!$C$37-'VI. ParameterCarbonAssumptions'!$B$37)+L19</f>
        <v>0</v>
      </c>
      <c r="N19" s="100">
        <f>+'III. AreaAnnual_distribution'!I43*'VI. ParameterCarbonAssumptions'!$B$7*'VI. ParameterCarbonAssumptions'!$C$25*'VI. ParameterCarbonAssumptions'!$F$46+'III. AreaAnnual_distribution'!I43*('VI. ParameterCarbonAssumptions'!$C$37-'VI. ParameterCarbonAssumptions'!$B$37)+M19</f>
        <v>0</v>
      </c>
      <c r="O19" s="100">
        <f>+'III. AreaAnnual_distribution'!J43*'VI. ParameterCarbonAssumptions'!$B$7*'VI. ParameterCarbonAssumptions'!$C$25*'VI. ParameterCarbonAssumptions'!$F$46+'III. AreaAnnual_distribution'!J43*('VI. ParameterCarbonAssumptions'!$C$37-'VI. ParameterCarbonAssumptions'!$B$37)+N19</f>
        <v>0</v>
      </c>
      <c r="P19" s="100">
        <f>+'III. AreaAnnual_distribution'!K43*'VI. ParameterCarbonAssumptions'!$B$7*'VI. ParameterCarbonAssumptions'!$C$25*'VI. ParameterCarbonAssumptions'!$F$46+'III. AreaAnnual_distribution'!K43*('VI. ParameterCarbonAssumptions'!$C$37-'VI. ParameterCarbonAssumptions'!$B$37)+O19</f>
        <v>0</v>
      </c>
      <c r="Q19" s="100">
        <f>+'III. AreaAnnual_distribution'!L43*'VI. ParameterCarbonAssumptions'!$B$7*'VI. ParameterCarbonAssumptions'!$C$25*'VI. ParameterCarbonAssumptions'!$F$46+'III. AreaAnnual_distribution'!L43*('VI. ParameterCarbonAssumptions'!$C$37-'VI. ParameterCarbonAssumptions'!$B$37)+P19</f>
        <v>0</v>
      </c>
      <c r="R19" s="100">
        <f>+'III. AreaAnnual_distribution'!M43*'VI. ParameterCarbonAssumptions'!$B$7*'VI. ParameterCarbonAssumptions'!$C$25*'VI. ParameterCarbonAssumptions'!$F$46+'III. AreaAnnual_distribution'!M43*('VI. ParameterCarbonAssumptions'!$C$37-'VI. ParameterCarbonAssumptions'!$B$37)+Q19</f>
        <v>0</v>
      </c>
      <c r="S19" s="100">
        <f>+'III. AreaAnnual_distribution'!N43*'VI. ParameterCarbonAssumptions'!$B$7*'VI. ParameterCarbonAssumptions'!$C$25*'VI. ParameterCarbonAssumptions'!$F$46+'III. AreaAnnual_distribution'!N43*('VI. ParameterCarbonAssumptions'!$C$37-'VI. ParameterCarbonAssumptions'!$B$37)+R19</f>
        <v>0</v>
      </c>
      <c r="T19" s="100">
        <f>+'III. AreaAnnual_distribution'!O43*'VI. ParameterCarbonAssumptions'!$B$7*'VI. ParameterCarbonAssumptions'!$C$25*'VI. ParameterCarbonAssumptions'!$F$46+'III. AreaAnnual_distribution'!O43*('VI. ParameterCarbonAssumptions'!$C$37-'VI. ParameterCarbonAssumptions'!$B$37)+S19</f>
        <v>0</v>
      </c>
      <c r="U19" s="100">
        <f>+'III. AreaAnnual_distribution'!P43*'VI. ParameterCarbonAssumptions'!$B$7*'VI. ParameterCarbonAssumptions'!$C$25*'VI. ParameterCarbonAssumptions'!$F$46+'III. AreaAnnual_distribution'!P43*('VI. ParameterCarbonAssumptions'!$C$37-'VI. ParameterCarbonAssumptions'!$B$37)+T19</f>
        <v>0</v>
      </c>
      <c r="V19" s="100">
        <f>+'III. AreaAnnual_distribution'!Q43*'VI. ParameterCarbonAssumptions'!$B$7*'VI. ParameterCarbonAssumptions'!$C$25*'VI. ParameterCarbonAssumptions'!$F$46+'III. AreaAnnual_distribution'!Q43*('VI. ParameterCarbonAssumptions'!$C$37-'VI. ParameterCarbonAssumptions'!$B$37)+U19</f>
        <v>0</v>
      </c>
      <c r="W19" s="100">
        <f>+'III. AreaAnnual_distribution'!R43*'VI. ParameterCarbonAssumptions'!$B$7*'VI. ParameterCarbonAssumptions'!$C$25*'VI. ParameterCarbonAssumptions'!$F$46+'III. AreaAnnual_distribution'!R43*('VI. ParameterCarbonAssumptions'!$C$37-'VI. ParameterCarbonAssumptions'!$B$37)+V19</f>
        <v>0</v>
      </c>
      <c r="X19" s="100">
        <f>+'III. AreaAnnual_distribution'!S43*'VI. ParameterCarbonAssumptions'!$B$7*'VI. ParameterCarbonAssumptions'!$C$25*'VI. ParameterCarbonAssumptions'!$F$46+'III. AreaAnnual_distribution'!S43*('VI. ParameterCarbonAssumptions'!$C$37-'VI. ParameterCarbonAssumptions'!$B$37)+W19</f>
        <v>0</v>
      </c>
      <c r="Y19" s="100">
        <f>+'III. AreaAnnual_distribution'!T43*'VI. ParameterCarbonAssumptions'!$B$7*'VI. ParameterCarbonAssumptions'!$C$25*'VI. ParameterCarbonAssumptions'!$F$46+'III. AreaAnnual_distribution'!T43*('VI. ParameterCarbonAssumptions'!$C$37-'VI. ParameterCarbonAssumptions'!$B$37)+X19</f>
        <v>0</v>
      </c>
      <c r="Z19" s="100">
        <f>+'III. AreaAnnual_distribution'!U43*'VI. ParameterCarbonAssumptions'!$B$7*'VI. ParameterCarbonAssumptions'!$C$25*'VI. ParameterCarbonAssumptions'!$F$46+'III. AreaAnnual_distribution'!U43*('VI. ParameterCarbonAssumptions'!$C$37-'VI. ParameterCarbonAssumptions'!$B$37)+Y19</f>
        <v>0</v>
      </c>
      <c r="AA19" s="100">
        <f>+'III. AreaAnnual_distribution'!V43*'VI. ParameterCarbonAssumptions'!$B$7*'VI. ParameterCarbonAssumptions'!$C$25*'VI. ParameterCarbonAssumptions'!$F$46+'III. AreaAnnual_distribution'!V43*('VI. ParameterCarbonAssumptions'!$C$37-'VI. ParameterCarbonAssumptions'!$B$37)+Z19</f>
        <v>0</v>
      </c>
    </row>
    <row r="20" spans="1:27" s="3" customFormat="1" x14ac:dyDescent="0.25">
      <c r="A20" s="103" t="s">
        <v>85</v>
      </c>
      <c r="B20" s="48">
        <f t="shared" si="1"/>
        <v>64732.581886149477</v>
      </c>
      <c r="C20" s="48">
        <f t="shared" si="2"/>
        <v>747199.66919719579</v>
      </c>
      <c r="D20" s="48">
        <f t="shared" si="3"/>
        <v>964176.40068985103</v>
      </c>
      <c r="E20" s="48">
        <f t="shared" si="4"/>
        <v>5661202.2836712915</v>
      </c>
      <c r="F20" s="48">
        <f t="shared" si="5"/>
        <v>7661915.0668810718</v>
      </c>
      <c r="G20" s="48">
        <f t="shared" si="6"/>
        <v>10996436.372230709</v>
      </c>
      <c r="H20" s="103">
        <f>+H21+H24</f>
        <v>0</v>
      </c>
      <c r="I20" s="103">
        <f t="shared" ref="I20:AA20" si="12">+I21+I24</f>
        <v>64732.581886149477</v>
      </c>
      <c r="J20" s="103">
        <f t="shared" si="12"/>
        <v>293771.78001510695</v>
      </c>
      <c r="K20" s="103">
        <f t="shared" si="12"/>
        <v>534956.82745238824</v>
      </c>
      <c r="L20" s="103">
        <f t="shared" si="12"/>
        <v>747199.66919719579</v>
      </c>
      <c r="M20" s="103">
        <f t="shared" si="12"/>
        <v>894146.13999657962</v>
      </c>
      <c r="N20" s="103">
        <f t="shared" si="12"/>
        <v>964176.40068985103</v>
      </c>
      <c r="O20" s="103">
        <f t="shared" si="12"/>
        <v>1914013.6415255426</v>
      </c>
      <c r="P20" s="103">
        <f t="shared" si="12"/>
        <v>2856399.4079045174</v>
      </c>
      <c r="Q20" s="103">
        <f t="shared" si="12"/>
        <v>3791333.6998267751</v>
      </c>
      <c r="R20" s="103">
        <f t="shared" si="12"/>
        <v>4726267.9917490333</v>
      </c>
      <c r="S20" s="103">
        <f t="shared" si="12"/>
        <v>5661202.2836712915</v>
      </c>
      <c r="T20" s="103">
        <f t="shared" si="12"/>
        <v>6328106.5447412189</v>
      </c>
      <c r="U20" s="103">
        <f t="shared" si="12"/>
        <v>6995010.8058111463</v>
      </c>
      <c r="V20" s="103">
        <f t="shared" si="12"/>
        <v>7661915.0668810718</v>
      </c>
      <c r="W20" s="103">
        <f t="shared" si="12"/>
        <v>8328819.3279509991</v>
      </c>
      <c r="X20" s="103">
        <f t="shared" si="12"/>
        <v>8995723.5890209265</v>
      </c>
      <c r="Y20" s="103">
        <f t="shared" si="12"/>
        <v>9662627.8500908539</v>
      </c>
      <c r="Z20" s="103">
        <f t="shared" si="12"/>
        <v>10329532.111160781</v>
      </c>
      <c r="AA20" s="103">
        <f t="shared" si="12"/>
        <v>10996436.372230709</v>
      </c>
    </row>
    <row r="21" spans="1:27" s="3" customFormat="1" x14ac:dyDescent="0.25">
      <c r="A21" s="103" t="s">
        <v>74</v>
      </c>
      <c r="B21" s="48">
        <f t="shared" si="1"/>
        <v>23978.134279364898</v>
      </c>
      <c r="C21" s="48">
        <f t="shared" si="2"/>
        <v>281340.49579907599</v>
      </c>
      <c r="D21" s="48">
        <f t="shared" si="3"/>
        <v>358639.96024600678</v>
      </c>
      <c r="E21" s="48">
        <f t="shared" si="4"/>
        <v>2019203.5161464815</v>
      </c>
      <c r="F21" s="48">
        <f t="shared" si="5"/>
        <v>2198038.9031076846</v>
      </c>
      <c r="G21" s="48">
        <f t="shared" si="6"/>
        <v>2496097.8813763564</v>
      </c>
      <c r="H21" s="103">
        <f>SUM(H22:H23)</f>
        <v>0</v>
      </c>
      <c r="I21" s="103">
        <f t="shared" ref="I21:T21" si="13">SUM(I22:I23)</f>
        <v>23978.134279364898</v>
      </c>
      <c r="J21" s="103">
        <f t="shared" si="13"/>
        <v>113340.06536259792</v>
      </c>
      <c r="K21" s="103">
        <f t="shared" si="13"/>
        <v>202701.99644583094</v>
      </c>
      <c r="L21" s="103">
        <f t="shared" si="13"/>
        <v>281340.49579907599</v>
      </c>
      <c r="M21" s="103">
        <f t="shared" si="13"/>
        <v>337193.09678603086</v>
      </c>
      <c r="N21" s="103">
        <f t="shared" si="13"/>
        <v>358639.96024600678</v>
      </c>
      <c r="O21" s="103">
        <f t="shared" si="13"/>
        <v>701184.73566550529</v>
      </c>
      <c r="P21" s="103">
        <f t="shared" si="13"/>
        <v>1036278.0366282869</v>
      </c>
      <c r="Q21" s="103">
        <f t="shared" si="13"/>
        <v>1363919.8631343518</v>
      </c>
      <c r="R21" s="103">
        <f t="shared" si="13"/>
        <v>1691561.6896404165</v>
      </c>
      <c r="S21" s="103">
        <f t="shared" si="13"/>
        <v>2019203.5161464815</v>
      </c>
      <c r="T21" s="103">
        <f t="shared" si="13"/>
        <v>2078815.3118002159</v>
      </c>
      <c r="U21" s="103">
        <f t="shared" ref="U21:AA21" si="14">SUM(U22:U23)</f>
        <v>2138427.1074539502</v>
      </c>
      <c r="V21" s="103">
        <f t="shared" si="14"/>
        <v>2198038.9031076846</v>
      </c>
      <c r="W21" s="103">
        <f t="shared" si="14"/>
        <v>2257650.6987614189</v>
      </c>
      <c r="X21" s="103">
        <f t="shared" si="14"/>
        <v>2317262.4944151533</v>
      </c>
      <c r="Y21" s="103">
        <f t="shared" si="14"/>
        <v>2376874.2900688876</v>
      </c>
      <c r="Z21" s="103">
        <f t="shared" si="14"/>
        <v>2436486.085722622</v>
      </c>
      <c r="AA21" s="103">
        <f t="shared" si="14"/>
        <v>2496097.8813763564</v>
      </c>
    </row>
    <row r="22" spans="1:27" s="22" customFormat="1" x14ac:dyDescent="0.25">
      <c r="A22" s="8" t="s">
        <v>83</v>
      </c>
      <c r="B22" s="48">
        <f t="shared" si="1"/>
        <v>23978.134279364898</v>
      </c>
      <c r="C22" s="48">
        <f t="shared" si="2"/>
        <v>281340.49579907599</v>
      </c>
      <c r="D22" s="48">
        <f t="shared" si="3"/>
        <v>358639.96024600678</v>
      </c>
      <c r="E22" s="48">
        <f t="shared" si="4"/>
        <v>2019203.5161464815</v>
      </c>
      <c r="F22" s="48">
        <f t="shared" si="5"/>
        <v>2198038.9031076846</v>
      </c>
      <c r="G22" s="48">
        <f t="shared" si="6"/>
        <v>2496097.8813763564</v>
      </c>
      <c r="H22" s="20">
        <f>+'VIII. CarbonflowRemoval'!H22+'IX. CarbonflowAvoidedEmission'!H21</f>
        <v>0</v>
      </c>
      <c r="I22" s="20">
        <f>+'VIII. CarbonflowRemoval'!I22+'IX. CarbonflowAvoidedEmission'!I21</f>
        <v>23978.134279364898</v>
      </c>
      <c r="J22" s="20">
        <f>+'VIII. CarbonflowRemoval'!J22+'IX. CarbonflowAvoidedEmission'!J21</f>
        <v>113340.06536259792</v>
      </c>
      <c r="K22" s="20">
        <f>+'VIII. CarbonflowRemoval'!K22+'IX. CarbonflowAvoidedEmission'!K21</f>
        <v>202701.99644583094</v>
      </c>
      <c r="L22" s="20">
        <f>+'VIII. CarbonflowRemoval'!L22+'IX. CarbonflowAvoidedEmission'!L21</f>
        <v>281340.49579907599</v>
      </c>
      <c r="M22" s="20">
        <f>+'VIII. CarbonflowRemoval'!M22+'IX. CarbonflowAvoidedEmission'!M21</f>
        <v>337193.09678603086</v>
      </c>
      <c r="N22" s="20">
        <f>+'VIII. CarbonflowRemoval'!N22+'IX. CarbonflowAvoidedEmission'!N21</f>
        <v>358639.96024600678</v>
      </c>
      <c r="O22" s="20">
        <f>+'VIII. CarbonflowRemoval'!O22+'IX. CarbonflowAvoidedEmission'!O21</f>
        <v>701184.73566550529</v>
      </c>
      <c r="P22" s="20">
        <f>+'VIII. CarbonflowRemoval'!P22+'IX. CarbonflowAvoidedEmission'!P21</f>
        <v>1036278.0366282869</v>
      </c>
      <c r="Q22" s="20">
        <f>+'VIII. CarbonflowRemoval'!Q22+'IX. CarbonflowAvoidedEmission'!Q21</f>
        <v>1363919.8631343518</v>
      </c>
      <c r="R22" s="20">
        <f>+'VIII. CarbonflowRemoval'!R22+'IX. CarbonflowAvoidedEmission'!R21</f>
        <v>1691561.6896404165</v>
      </c>
      <c r="S22" s="20">
        <f>+'VIII. CarbonflowRemoval'!S22+'IX. CarbonflowAvoidedEmission'!S21</f>
        <v>2019203.5161464815</v>
      </c>
      <c r="T22" s="20">
        <f>+'VIII. CarbonflowRemoval'!T22+'IX. CarbonflowAvoidedEmission'!T21</f>
        <v>2078815.3118002159</v>
      </c>
      <c r="U22" s="20">
        <f>+'VIII. CarbonflowRemoval'!U22+'IX. CarbonflowAvoidedEmission'!U21</f>
        <v>2138427.1074539502</v>
      </c>
      <c r="V22" s="20">
        <f>+'VIII. CarbonflowRemoval'!V22+'IX. CarbonflowAvoidedEmission'!V21</f>
        <v>2198038.9031076846</v>
      </c>
      <c r="W22" s="20">
        <f>+'VIII. CarbonflowRemoval'!W22+'IX. CarbonflowAvoidedEmission'!W21</f>
        <v>2257650.6987614189</v>
      </c>
      <c r="X22" s="20">
        <f>+'VIII. CarbonflowRemoval'!X22+'IX. CarbonflowAvoidedEmission'!X21</f>
        <v>2317262.4944151533</v>
      </c>
      <c r="Y22" s="20">
        <f>+'VIII. CarbonflowRemoval'!Y22+'IX. CarbonflowAvoidedEmission'!Y21</f>
        <v>2376874.2900688876</v>
      </c>
      <c r="Z22" s="20">
        <f>+'VIII. CarbonflowRemoval'!Z22+'IX. CarbonflowAvoidedEmission'!Z21</f>
        <v>2436486.085722622</v>
      </c>
      <c r="AA22" s="20">
        <f>+'VIII. CarbonflowRemoval'!AA22+'IX. CarbonflowAvoidedEmission'!AA21</f>
        <v>2496097.8813763564</v>
      </c>
    </row>
    <row r="23" spans="1:27" s="22" customFormat="1" x14ac:dyDescent="0.25">
      <c r="A23" s="8" t="s">
        <v>84</v>
      </c>
      <c r="B23" s="48">
        <f t="shared" si="1"/>
        <v>0</v>
      </c>
      <c r="C23" s="48">
        <f t="shared" si="2"/>
        <v>0</v>
      </c>
      <c r="D23" s="48">
        <f t="shared" si="3"/>
        <v>0</v>
      </c>
      <c r="E23" s="48">
        <f t="shared" si="4"/>
        <v>0</v>
      </c>
      <c r="F23" s="48">
        <f t="shared" si="5"/>
        <v>0</v>
      </c>
      <c r="G23" s="48">
        <f t="shared" si="6"/>
        <v>0</v>
      </c>
      <c r="H23" s="20">
        <f>+'VIII. CarbonflowRemoval'!H23+'IX. CarbonflowAvoidedEmission'!H22</f>
        <v>0</v>
      </c>
      <c r="I23" s="20">
        <f>+'VIII. CarbonflowRemoval'!I23+'IX. CarbonflowAvoidedEmission'!I22</f>
        <v>0</v>
      </c>
      <c r="J23" s="20">
        <f>+'VIII. CarbonflowRemoval'!J23+'IX. CarbonflowAvoidedEmission'!J22</f>
        <v>0</v>
      </c>
      <c r="K23" s="20">
        <f>+'VIII. CarbonflowRemoval'!K23+'IX. CarbonflowAvoidedEmission'!K22</f>
        <v>0</v>
      </c>
      <c r="L23" s="20">
        <f>+'VIII. CarbonflowRemoval'!L23+'IX. CarbonflowAvoidedEmission'!L22</f>
        <v>0</v>
      </c>
      <c r="M23" s="20">
        <f>+'VIII. CarbonflowRemoval'!M23+'IX. CarbonflowAvoidedEmission'!M22</f>
        <v>0</v>
      </c>
      <c r="N23" s="20">
        <f>+'VIII. CarbonflowRemoval'!N23+'IX. CarbonflowAvoidedEmission'!N22</f>
        <v>0</v>
      </c>
      <c r="O23" s="20">
        <f>+'VIII. CarbonflowRemoval'!O23+'IX. CarbonflowAvoidedEmission'!O22</f>
        <v>0</v>
      </c>
      <c r="P23" s="20">
        <f>+'VIII. CarbonflowRemoval'!P23+'IX. CarbonflowAvoidedEmission'!P22</f>
        <v>0</v>
      </c>
      <c r="Q23" s="20">
        <f>+'VIII. CarbonflowRemoval'!Q23+'IX. CarbonflowAvoidedEmission'!Q22</f>
        <v>0</v>
      </c>
      <c r="R23" s="20">
        <f>+'VIII. CarbonflowRemoval'!R23+'IX. CarbonflowAvoidedEmission'!R22</f>
        <v>0</v>
      </c>
      <c r="S23" s="20">
        <f>+'VIII. CarbonflowRemoval'!S23+'IX. CarbonflowAvoidedEmission'!S22</f>
        <v>0</v>
      </c>
      <c r="T23" s="20">
        <f>+'VIII. CarbonflowRemoval'!T23+'IX. CarbonflowAvoidedEmission'!T22</f>
        <v>0</v>
      </c>
      <c r="U23" s="20">
        <f>+'VIII. CarbonflowRemoval'!U23+'IX. CarbonflowAvoidedEmission'!U22</f>
        <v>0</v>
      </c>
      <c r="V23" s="20">
        <f>+'VIII. CarbonflowRemoval'!V23+'IX. CarbonflowAvoidedEmission'!V22</f>
        <v>0</v>
      </c>
      <c r="W23" s="20">
        <f>+'VIII. CarbonflowRemoval'!W23+'IX. CarbonflowAvoidedEmission'!W22</f>
        <v>0</v>
      </c>
      <c r="X23" s="20">
        <f>+'VIII. CarbonflowRemoval'!X23+'IX. CarbonflowAvoidedEmission'!X22</f>
        <v>0</v>
      </c>
      <c r="Y23" s="20">
        <f>+'VIII. CarbonflowRemoval'!Y23+'IX. CarbonflowAvoidedEmission'!Y22</f>
        <v>0</v>
      </c>
      <c r="Z23" s="20">
        <f>+'VIII. CarbonflowRemoval'!Z23+'IX. CarbonflowAvoidedEmission'!Z22</f>
        <v>0</v>
      </c>
      <c r="AA23" s="20">
        <f>+'VIII. CarbonflowRemoval'!AA23+'IX. CarbonflowAvoidedEmission'!AA22</f>
        <v>0</v>
      </c>
    </row>
    <row r="24" spans="1:27" s="3" customFormat="1" x14ac:dyDescent="0.25">
      <c r="A24" s="59" t="s">
        <v>127</v>
      </c>
      <c r="B24" s="48">
        <f t="shared" si="1"/>
        <v>40754.447606784583</v>
      </c>
      <c r="C24" s="48">
        <f t="shared" si="2"/>
        <v>465859.1733981198</v>
      </c>
      <c r="D24" s="48">
        <f t="shared" si="3"/>
        <v>605536.44044384419</v>
      </c>
      <c r="E24" s="48">
        <f t="shared" si="4"/>
        <v>3641998.7675248096</v>
      </c>
      <c r="F24" s="48">
        <f t="shared" si="5"/>
        <v>5463876.1637733877</v>
      </c>
      <c r="G24" s="48">
        <f t="shared" si="6"/>
        <v>8500338.4908543527</v>
      </c>
      <c r="H24" s="8">
        <f>SUM(H25:H26)</f>
        <v>0</v>
      </c>
      <c r="I24" s="8">
        <f t="shared" ref="I24:T24" si="15">SUM(I25:I26)</f>
        <v>40754.447606784583</v>
      </c>
      <c r="J24" s="8">
        <f t="shared" si="15"/>
        <v>180431.71465250902</v>
      </c>
      <c r="K24" s="8">
        <f t="shared" si="15"/>
        <v>332254.83100655733</v>
      </c>
      <c r="L24" s="8">
        <f t="shared" si="15"/>
        <v>465859.1733981198</v>
      </c>
      <c r="M24" s="8">
        <f t="shared" si="15"/>
        <v>556953.0432105487</v>
      </c>
      <c r="N24" s="8">
        <f t="shared" si="15"/>
        <v>605536.44044384419</v>
      </c>
      <c r="O24" s="8">
        <f t="shared" si="15"/>
        <v>1212828.9058600373</v>
      </c>
      <c r="P24" s="8">
        <f t="shared" si="15"/>
        <v>1820121.3712762306</v>
      </c>
      <c r="Q24" s="8">
        <f t="shared" si="15"/>
        <v>2427413.8366924236</v>
      </c>
      <c r="R24" s="8">
        <f t="shared" si="15"/>
        <v>3034706.3021086166</v>
      </c>
      <c r="S24" s="8">
        <f t="shared" si="15"/>
        <v>3641998.7675248096</v>
      </c>
      <c r="T24" s="8">
        <f t="shared" si="15"/>
        <v>4249291.2329410026</v>
      </c>
      <c r="U24" s="8">
        <f t="shared" ref="U24:AA24" si="16">SUM(U25:U26)</f>
        <v>4856583.6983571956</v>
      </c>
      <c r="V24" s="8">
        <f t="shared" si="16"/>
        <v>5463876.1637733877</v>
      </c>
      <c r="W24" s="8">
        <f t="shared" si="16"/>
        <v>6071168.6291895807</v>
      </c>
      <c r="X24" s="8">
        <f t="shared" si="16"/>
        <v>6678461.0946057737</v>
      </c>
      <c r="Y24" s="8">
        <f t="shared" si="16"/>
        <v>7285753.5600219667</v>
      </c>
      <c r="Z24" s="8">
        <f t="shared" si="16"/>
        <v>7893046.0254381597</v>
      </c>
      <c r="AA24" s="8">
        <f t="shared" si="16"/>
        <v>8500338.4908543527</v>
      </c>
    </row>
    <row r="25" spans="1:27" s="22" customFormat="1" x14ac:dyDescent="0.25">
      <c r="A25" s="8" t="s">
        <v>83</v>
      </c>
      <c r="B25" s="48">
        <f t="shared" si="1"/>
        <v>40754.447606784583</v>
      </c>
      <c r="C25" s="48">
        <f t="shared" si="2"/>
        <v>465859.1733981198</v>
      </c>
      <c r="D25" s="48">
        <f t="shared" si="3"/>
        <v>605536.44044384419</v>
      </c>
      <c r="E25" s="48">
        <f t="shared" si="4"/>
        <v>3641998.7675248096</v>
      </c>
      <c r="F25" s="48">
        <f t="shared" si="5"/>
        <v>5463876.1637733877</v>
      </c>
      <c r="G25" s="48">
        <f t="shared" si="6"/>
        <v>8500338.4908543527</v>
      </c>
      <c r="H25" s="20">
        <f>+'VIII. CarbonflowRemoval'!H25+'IX. CarbonflowAvoidedEmission'!H24</f>
        <v>0</v>
      </c>
      <c r="I25" s="20">
        <f>+'VIII. CarbonflowRemoval'!I25+'IX. CarbonflowAvoidedEmission'!I24</f>
        <v>40754.447606784583</v>
      </c>
      <c r="J25" s="20">
        <f>+'VIII. CarbonflowRemoval'!J25+'IX. CarbonflowAvoidedEmission'!J24</f>
        <v>180431.71465250902</v>
      </c>
      <c r="K25" s="20">
        <f>+'VIII. CarbonflowRemoval'!K25+'IX. CarbonflowAvoidedEmission'!K24</f>
        <v>332254.83100655733</v>
      </c>
      <c r="L25" s="20">
        <f>+'VIII. CarbonflowRemoval'!L25+'IX. CarbonflowAvoidedEmission'!L24</f>
        <v>465859.1733981198</v>
      </c>
      <c r="M25" s="20">
        <f>+'VIII. CarbonflowRemoval'!M25+'IX. CarbonflowAvoidedEmission'!M24</f>
        <v>556953.0432105487</v>
      </c>
      <c r="N25" s="20">
        <f>+'VIII. CarbonflowRemoval'!N25+'IX. CarbonflowAvoidedEmission'!N24</f>
        <v>605536.44044384419</v>
      </c>
      <c r="O25" s="20">
        <f>+'VIII. CarbonflowRemoval'!O25+'IX. CarbonflowAvoidedEmission'!O24</f>
        <v>1212828.9058600373</v>
      </c>
      <c r="P25" s="20">
        <f>+'VIII. CarbonflowRemoval'!P25+'IX. CarbonflowAvoidedEmission'!P24</f>
        <v>1820121.3712762306</v>
      </c>
      <c r="Q25" s="20">
        <f>+'VIII. CarbonflowRemoval'!Q25+'IX. CarbonflowAvoidedEmission'!Q24</f>
        <v>2427413.8366924236</v>
      </c>
      <c r="R25" s="20">
        <f>+'VIII. CarbonflowRemoval'!R25+'IX. CarbonflowAvoidedEmission'!R24</f>
        <v>3034706.3021086166</v>
      </c>
      <c r="S25" s="20">
        <f>+'VIII. CarbonflowRemoval'!S25+'IX. CarbonflowAvoidedEmission'!S24</f>
        <v>3641998.7675248096</v>
      </c>
      <c r="T25" s="20">
        <f>+'VIII. CarbonflowRemoval'!T25+'IX. CarbonflowAvoidedEmission'!T24</f>
        <v>4249291.2329410026</v>
      </c>
      <c r="U25" s="20">
        <f>+'VIII. CarbonflowRemoval'!U25+'IX. CarbonflowAvoidedEmission'!U24</f>
        <v>4856583.6983571956</v>
      </c>
      <c r="V25" s="20">
        <f>+'VIII. CarbonflowRemoval'!V25+'IX. CarbonflowAvoidedEmission'!V24</f>
        <v>5463876.1637733877</v>
      </c>
      <c r="W25" s="20">
        <f>+'VIII. CarbonflowRemoval'!W25+'IX. CarbonflowAvoidedEmission'!W24</f>
        <v>6071168.6291895807</v>
      </c>
      <c r="X25" s="20">
        <f>+'VIII. CarbonflowRemoval'!X25+'IX. CarbonflowAvoidedEmission'!X24</f>
        <v>6678461.0946057737</v>
      </c>
      <c r="Y25" s="20">
        <f>+'VIII. CarbonflowRemoval'!Y25+'IX. CarbonflowAvoidedEmission'!Y24</f>
        <v>7285753.5600219667</v>
      </c>
      <c r="Z25" s="20">
        <f>+'VIII. CarbonflowRemoval'!Z25+'IX. CarbonflowAvoidedEmission'!Z24</f>
        <v>7893046.0254381597</v>
      </c>
      <c r="AA25" s="20">
        <f>+'VIII. CarbonflowRemoval'!AA25+'IX. CarbonflowAvoidedEmission'!AA24</f>
        <v>8500338.4908543527</v>
      </c>
    </row>
    <row r="26" spans="1:27" s="22" customFormat="1" x14ac:dyDescent="0.25">
      <c r="A26" s="8" t="s">
        <v>84</v>
      </c>
      <c r="B26" s="48">
        <f t="shared" si="1"/>
        <v>0</v>
      </c>
      <c r="C26" s="48">
        <f t="shared" si="2"/>
        <v>0</v>
      </c>
      <c r="D26" s="48">
        <f t="shared" si="3"/>
        <v>0</v>
      </c>
      <c r="E26" s="48">
        <f t="shared" si="4"/>
        <v>0</v>
      </c>
      <c r="F26" s="48">
        <f t="shared" si="5"/>
        <v>0</v>
      </c>
      <c r="G26" s="48">
        <f t="shared" si="6"/>
        <v>0</v>
      </c>
      <c r="H26" s="20">
        <f>+'VIII. CarbonflowRemoval'!H26+'IX. CarbonflowAvoidedEmission'!H25</f>
        <v>0</v>
      </c>
      <c r="I26" s="20">
        <f>+'VIII. CarbonflowRemoval'!I26+'IX. CarbonflowAvoidedEmission'!I25</f>
        <v>0</v>
      </c>
      <c r="J26" s="20">
        <f>+'VIII. CarbonflowRemoval'!J26+'IX. CarbonflowAvoidedEmission'!J25</f>
        <v>0</v>
      </c>
      <c r="K26" s="20">
        <f>+'VIII. CarbonflowRemoval'!K26+'IX. CarbonflowAvoidedEmission'!K25</f>
        <v>0</v>
      </c>
      <c r="L26" s="20">
        <f>+'VIII. CarbonflowRemoval'!L26+'IX. CarbonflowAvoidedEmission'!L25</f>
        <v>0</v>
      </c>
      <c r="M26" s="20">
        <f>+'VIII. CarbonflowRemoval'!M26+'IX. CarbonflowAvoidedEmission'!M25</f>
        <v>0</v>
      </c>
      <c r="N26" s="20">
        <f>+'VIII. CarbonflowRemoval'!N26+'IX. CarbonflowAvoidedEmission'!N25</f>
        <v>0</v>
      </c>
      <c r="O26" s="20">
        <f>+'VIII. CarbonflowRemoval'!O26+'IX. CarbonflowAvoidedEmission'!O25</f>
        <v>0</v>
      </c>
      <c r="P26" s="20">
        <f>+'VIII. CarbonflowRemoval'!P26+'IX. CarbonflowAvoidedEmission'!P25</f>
        <v>0</v>
      </c>
      <c r="Q26" s="20">
        <f>+'VIII. CarbonflowRemoval'!Q26+'IX. CarbonflowAvoidedEmission'!Q25</f>
        <v>0</v>
      </c>
      <c r="R26" s="20">
        <f>+'VIII. CarbonflowRemoval'!R26+'IX. CarbonflowAvoidedEmission'!R25</f>
        <v>0</v>
      </c>
      <c r="S26" s="20">
        <f>+'VIII. CarbonflowRemoval'!S26+'IX. CarbonflowAvoidedEmission'!S25</f>
        <v>0</v>
      </c>
      <c r="T26" s="20">
        <f>+'VIII. CarbonflowRemoval'!T26+'IX. CarbonflowAvoidedEmission'!T25</f>
        <v>0</v>
      </c>
      <c r="U26" s="20">
        <f>+'VIII. CarbonflowRemoval'!U26+'IX. CarbonflowAvoidedEmission'!U25</f>
        <v>0</v>
      </c>
      <c r="V26" s="20">
        <f>+'VIII. CarbonflowRemoval'!V26+'IX. CarbonflowAvoidedEmission'!V25</f>
        <v>0</v>
      </c>
      <c r="W26" s="20">
        <f>+'VIII. CarbonflowRemoval'!W26+'IX. CarbonflowAvoidedEmission'!W25</f>
        <v>0</v>
      </c>
      <c r="X26" s="20">
        <f>+'VIII. CarbonflowRemoval'!X26+'IX. CarbonflowAvoidedEmission'!X25</f>
        <v>0</v>
      </c>
      <c r="Y26" s="20">
        <f>+'VIII. CarbonflowRemoval'!Y26+'IX. CarbonflowAvoidedEmission'!Y25</f>
        <v>0</v>
      </c>
      <c r="Z26" s="20">
        <f>+'VIII. CarbonflowRemoval'!Z26+'IX. CarbonflowAvoidedEmission'!Z25</f>
        <v>0</v>
      </c>
      <c r="AA26" s="20">
        <f>+'VIII. CarbonflowRemoval'!AA26+'IX. CarbonflowAvoidedEmission'!AA25</f>
        <v>0</v>
      </c>
    </row>
    <row r="27" spans="1:27" s="121" customFormat="1" x14ac:dyDescent="0.25">
      <c r="A27" s="39" t="s">
        <v>256</v>
      </c>
      <c r="B27" s="26">
        <f t="shared" si="1"/>
        <v>4870822.5852901079</v>
      </c>
      <c r="C27" s="26">
        <f t="shared" si="2"/>
        <v>15421988.00577059</v>
      </c>
      <c r="D27" s="26">
        <f t="shared" si="3"/>
        <v>22089336.410329081</v>
      </c>
      <c r="E27" s="26">
        <f t="shared" si="4"/>
        <v>33817261.418737255</v>
      </c>
      <c r="F27" s="26">
        <f t="shared" si="5"/>
        <v>40449798.114446774</v>
      </c>
      <c r="G27" s="26">
        <f t="shared" si="6"/>
        <v>51504025.940629303</v>
      </c>
      <c r="H27" s="104">
        <f t="shared" ref="H27:AA27" si="17">SUM(H28:H30)</f>
        <v>2210845.5652365061</v>
      </c>
      <c r="I27" s="26">
        <f t="shared" si="17"/>
        <v>4870822.5852901079</v>
      </c>
      <c r="J27" s="26">
        <f t="shared" si="17"/>
        <v>7979931.0601608045</v>
      </c>
      <c r="K27" s="26">
        <f t="shared" si="17"/>
        <v>11496986.200320967</v>
      </c>
      <c r="L27" s="26">
        <f t="shared" si="17"/>
        <v>15421988.00577059</v>
      </c>
      <c r="M27" s="26">
        <f t="shared" si="17"/>
        <v>18980227.935458384</v>
      </c>
      <c r="N27" s="26">
        <f t="shared" si="17"/>
        <v>22089336.410329081</v>
      </c>
      <c r="O27" s="26">
        <f t="shared" si="17"/>
        <v>24749313.430382684</v>
      </c>
      <c r="P27" s="26">
        <f t="shared" si="17"/>
        <v>27184724.723027736</v>
      </c>
      <c r="Q27" s="26">
        <f t="shared" si="17"/>
        <v>29395570.288264241</v>
      </c>
      <c r="R27" s="26">
        <f t="shared" si="17"/>
        <v>31606415.853500746</v>
      </c>
      <c r="S27" s="26">
        <f t="shared" si="17"/>
        <v>33817261.418737255</v>
      </c>
      <c r="T27" s="26">
        <f t="shared" si="17"/>
        <v>36028106.983973764</v>
      </c>
      <c r="U27" s="26">
        <f t="shared" si="17"/>
        <v>38238952.549210265</v>
      </c>
      <c r="V27" s="26">
        <f t="shared" si="17"/>
        <v>40449798.114446774</v>
      </c>
      <c r="W27" s="26">
        <f t="shared" si="17"/>
        <v>42660643.679683283</v>
      </c>
      <c r="X27" s="26">
        <f t="shared" si="17"/>
        <v>44871489.244919792</v>
      </c>
      <c r="Y27" s="26">
        <f t="shared" si="17"/>
        <v>47082334.810156286</v>
      </c>
      <c r="Z27" s="26">
        <f t="shared" si="17"/>
        <v>49293180.375392795</v>
      </c>
      <c r="AA27" s="26">
        <f t="shared" si="17"/>
        <v>51504025.940629303</v>
      </c>
    </row>
    <row r="28" spans="1:27" s="22" customFormat="1" x14ac:dyDescent="0.25">
      <c r="A28" s="183" t="s">
        <v>242</v>
      </c>
      <c r="B28" s="219">
        <f t="shared" si="1"/>
        <v>1913256.8061152636</v>
      </c>
      <c r="C28" s="219">
        <f t="shared" si="2"/>
        <v>5125021.2712770989</v>
      </c>
      <c r="D28" s="219">
        <f t="shared" si="3"/>
        <v>7220613.6805864647</v>
      </c>
      <c r="E28" s="219">
        <f t="shared" si="4"/>
        <v>11958171.7950761</v>
      </c>
      <c r="F28" s="219">
        <f t="shared" si="5"/>
        <v>14759681.153051209</v>
      </c>
      <c r="G28" s="219">
        <f t="shared" si="6"/>
        <v>19428863.416343056</v>
      </c>
      <c r="H28" s="183">
        <f>+'VIII. CarbonflowRemoval'!H29+'IX. CarbonflowAvoidedEmission'!H27</f>
        <v>933836.45265836921</v>
      </c>
      <c r="I28" s="183">
        <f>+'VIII. CarbonflowRemoval'!I29+'IX. CarbonflowAvoidedEmission'!I27</f>
        <v>1913256.8061152636</v>
      </c>
      <c r="J28" s="183">
        <f>+'VIII. CarbonflowRemoval'!J29+'IX. CarbonflowAvoidedEmission'!J27</f>
        <v>2938261.0603706832</v>
      </c>
      <c r="K28" s="183">
        <f>+'VIII. CarbonflowRemoval'!K29+'IX. CarbonflowAvoidedEmission'!K27</f>
        <v>4008849.2154246285</v>
      </c>
      <c r="L28" s="183">
        <f>+'VIII. CarbonflowRemoval'!L29+'IX. CarbonflowAvoidedEmission'!L27</f>
        <v>5125021.2712770989</v>
      </c>
      <c r="M28" s="183">
        <f>+'VIII. CarbonflowRemoval'!M29+'IX. CarbonflowAvoidedEmission'!M27</f>
        <v>6195609.4263310442</v>
      </c>
      <c r="N28" s="183">
        <f>+'VIII. CarbonflowRemoval'!N29+'IX. CarbonflowAvoidedEmission'!N27</f>
        <v>7220613.6805864647</v>
      </c>
      <c r="O28" s="183">
        <f>+'VIII. CarbonflowRemoval'!O29+'IX. CarbonflowAvoidedEmission'!O27</f>
        <v>8200034.0340433596</v>
      </c>
      <c r="P28" s="183">
        <f>+'VIII. CarbonflowRemoval'!P29+'IX. CarbonflowAvoidedEmission'!P27</f>
        <v>9156662.4371009916</v>
      </c>
      <c r="Q28" s="183">
        <f>+'VIII. CarbonflowRemoval'!Q29+'IX. CarbonflowAvoidedEmission'!Q27</f>
        <v>10090498.889759362</v>
      </c>
      <c r="R28" s="183">
        <f>+'VIII. CarbonflowRemoval'!R29+'IX. CarbonflowAvoidedEmission'!R27</f>
        <v>11024335.342417732</v>
      </c>
      <c r="S28" s="183">
        <f>+'VIII. CarbonflowRemoval'!S29+'IX. CarbonflowAvoidedEmission'!S27</f>
        <v>11958171.7950761</v>
      </c>
      <c r="T28" s="183">
        <f>+'VIII. CarbonflowRemoval'!T29+'IX. CarbonflowAvoidedEmission'!T27</f>
        <v>12892008.24773447</v>
      </c>
      <c r="U28" s="183">
        <f>+'VIII. CarbonflowRemoval'!U29+'IX. CarbonflowAvoidedEmission'!U27</f>
        <v>13825844.70039284</v>
      </c>
      <c r="V28" s="183">
        <f>+'VIII. CarbonflowRemoval'!V29+'IX. CarbonflowAvoidedEmission'!V27</f>
        <v>14759681.153051209</v>
      </c>
      <c r="W28" s="183">
        <f>+'VIII. CarbonflowRemoval'!W29+'IX. CarbonflowAvoidedEmission'!W27</f>
        <v>15693517.605709579</v>
      </c>
      <c r="X28" s="183">
        <f>+'VIII. CarbonflowRemoval'!X29+'IX. CarbonflowAvoidedEmission'!X27</f>
        <v>16627354.058367949</v>
      </c>
      <c r="Y28" s="183">
        <f>+'VIII. CarbonflowRemoval'!Y29+'IX. CarbonflowAvoidedEmission'!Y27</f>
        <v>17561190.511026319</v>
      </c>
      <c r="Z28" s="183">
        <f>+'VIII. CarbonflowRemoval'!Z29+'IX. CarbonflowAvoidedEmission'!Z27</f>
        <v>18495026.963684686</v>
      </c>
      <c r="AA28" s="183">
        <f>+'VIII. CarbonflowRemoval'!AA29+'IX. CarbonflowAvoidedEmission'!AA27</f>
        <v>19428863.416343056</v>
      </c>
    </row>
    <row r="29" spans="1:27" s="22" customFormat="1" x14ac:dyDescent="0.25">
      <c r="A29" s="183" t="s">
        <v>243</v>
      </c>
      <c r="B29" s="219">
        <f t="shared" si="1"/>
        <v>1870477.4857020301</v>
      </c>
      <c r="C29" s="219">
        <f t="shared" si="2"/>
        <v>4861525.2671294203</v>
      </c>
      <c r="D29" s="219">
        <f t="shared" si="3"/>
        <v>6896741.9109419798</v>
      </c>
      <c r="E29" s="219">
        <f t="shared" si="4"/>
        <v>11531750.835669423</v>
      </c>
      <c r="F29" s="219">
        <f t="shared" si="5"/>
        <v>14275689.87993102</v>
      </c>
      <c r="G29" s="219">
        <f t="shared" si="6"/>
        <v>18848921.620367013</v>
      </c>
      <c r="H29" s="183">
        <f>+'VIII. CarbonflowRemoval'!H30+'IX. CarbonflowAvoidedEmission'!H28</f>
        <v>914646.34808719892</v>
      </c>
      <c r="I29" s="183">
        <f>+'VIII. CarbonflowRemoval'!I30+'IX. CarbonflowAvoidedEmission'!I28</f>
        <v>1870477.4857020301</v>
      </c>
      <c r="J29" s="183">
        <f>+'VIII. CarbonflowRemoval'!J30+'IX. CarbonflowAvoidedEmission'!J28</f>
        <v>2867493.4128444935</v>
      </c>
      <c r="K29" s="183">
        <f>+'VIII. CarbonflowRemoval'!K30+'IX. CarbonflowAvoidedEmission'!K28</f>
        <v>3864509.3399869571</v>
      </c>
      <c r="L29" s="183">
        <f>+'VIII. CarbonflowRemoval'!L30+'IX. CarbonflowAvoidedEmission'!L28</f>
        <v>4861525.2671294203</v>
      </c>
      <c r="M29" s="183">
        <f>+'VIII. CarbonflowRemoval'!M30+'IX. CarbonflowAvoidedEmission'!M28</f>
        <v>5899725.9837995162</v>
      </c>
      <c r="N29" s="183">
        <f>+'VIII. CarbonflowRemoval'!N30+'IX. CarbonflowAvoidedEmission'!N28</f>
        <v>6896741.9109419798</v>
      </c>
      <c r="O29" s="183">
        <f>+'VIII. CarbonflowRemoval'!O30+'IX. CarbonflowAvoidedEmission'!O28</f>
        <v>7852573.0485568112</v>
      </c>
      <c r="P29" s="183">
        <f>+'VIII. CarbonflowRemoval'!P30+'IX. CarbonflowAvoidedEmission'!P28</f>
        <v>8787811.7914078254</v>
      </c>
      <c r="Q29" s="183">
        <f>+'VIII. CarbonflowRemoval'!Q30+'IX. CarbonflowAvoidedEmission'!Q28</f>
        <v>9702458.1394950245</v>
      </c>
      <c r="R29" s="183">
        <f>+'VIII. CarbonflowRemoval'!R30+'IX. CarbonflowAvoidedEmission'!R28</f>
        <v>10617104.487582223</v>
      </c>
      <c r="S29" s="183">
        <f>+'VIII. CarbonflowRemoval'!S30+'IX. CarbonflowAvoidedEmission'!S28</f>
        <v>11531750.835669423</v>
      </c>
      <c r="T29" s="183">
        <f>+'VIII. CarbonflowRemoval'!T30+'IX. CarbonflowAvoidedEmission'!T28</f>
        <v>12446397.183756622</v>
      </c>
      <c r="U29" s="183">
        <f>+'VIII. CarbonflowRemoval'!U30+'IX. CarbonflowAvoidedEmission'!U28</f>
        <v>13361043.531843821</v>
      </c>
      <c r="V29" s="183">
        <f>+'VIII. CarbonflowRemoval'!V30+'IX. CarbonflowAvoidedEmission'!V28</f>
        <v>14275689.87993102</v>
      </c>
      <c r="W29" s="183">
        <f>+'VIII. CarbonflowRemoval'!W30+'IX. CarbonflowAvoidedEmission'!W28</f>
        <v>15190336.228018219</v>
      </c>
      <c r="X29" s="183">
        <f>+'VIII. CarbonflowRemoval'!X30+'IX. CarbonflowAvoidedEmission'!X28</f>
        <v>16104982.576105418</v>
      </c>
      <c r="Y29" s="183">
        <f>+'VIII. CarbonflowRemoval'!Y30+'IX. CarbonflowAvoidedEmission'!Y28</f>
        <v>17019628.924192615</v>
      </c>
      <c r="Z29" s="183">
        <f>+'VIII. CarbonflowRemoval'!Z30+'IX. CarbonflowAvoidedEmission'!Z28</f>
        <v>17934275.272279814</v>
      </c>
      <c r="AA29" s="183">
        <f>+'VIII. CarbonflowRemoval'!AA30+'IX. CarbonflowAvoidedEmission'!AA28</f>
        <v>18848921.620367013</v>
      </c>
    </row>
    <row r="30" spans="1:27" s="22" customFormat="1" x14ac:dyDescent="0.25">
      <c r="A30" s="183" t="s">
        <v>244</v>
      </c>
      <c r="B30" s="219">
        <f t="shared" si="1"/>
        <v>1087088.2934728141</v>
      </c>
      <c r="C30" s="219">
        <f t="shared" si="2"/>
        <v>5435441.46736407</v>
      </c>
      <c r="D30" s="219">
        <f t="shared" si="3"/>
        <v>7971980.8188006356</v>
      </c>
      <c r="E30" s="219">
        <f t="shared" si="4"/>
        <v>10327338.787991732</v>
      </c>
      <c r="F30" s="219">
        <f t="shared" si="5"/>
        <v>11414427.081464546</v>
      </c>
      <c r="G30" s="219">
        <f t="shared" si="6"/>
        <v>13226240.903919235</v>
      </c>
      <c r="H30" s="183">
        <f>+'IX. CarbonflowAvoidedEmission'!H29</f>
        <v>362362.76449093805</v>
      </c>
      <c r="I30" s="183">
        <f>+'IX. CarbonflowAvoidedEmission'!I29</f>
        <v>1087088.2934728141</v>
      </c>
      <c r="J30" s="183">
        <f>+'IX. CarbonflowAvoidedEmission'!J29</f>
        <v>2174176.5869456278</v>
      </c>
      <c r="K30" s="183">
        <f>+'IX. CarbonflowAvoidedEmission'!K29</f>
        <v>3623627.64490938</v>
      </c>
      <c r="L30" s="183">
        <f>+'IX. CarbonflowAvoidedEmission'!L29</f>
        <v>5435441.46736407</v>
      </c>
      <c r="M30" s="183">
        <f>+'IX. CarbonflowAvoidedEmission'!M29</f>
        <v>6884892.5253278222</v>
      </c>
      <c r="N30" s="183">
        <f>+'IX. CarbonflowAvoidedEmission'!N29</f>
        <v>7971980.8188006356</v>
      </c>
      <c r="O30" s="183">
        <f>+'IX. CarbonflowAvoidedEmission'!O29</f>
        <v>8696706.3477825113</v>
      </c>
      <c r="P30" s="183">
        <f>+'IX. CarbonflowAvoidedEmission'!P29</f>
        <v>9240250.4945189189</v>
      </c>
      <c r="Q30" s="183">
        <f>+'IX. CarbonflowAvoidedEmission'!Q29</f>
        <v>9602613.2590098567</v>
      </c>
      <c r="R30" s="183">
        <f>+'IX. CarbonflowAvoidedEmission'!R29</f>
        <v>9964976.0235007945</v>
      </c>
      <c r="S30" s="183">
        <f>+'IX. CarbonflowAvoidedEmission'!S29</f>
        <v>10327338.787991732</v>
      </c>
      <c r="T30" s="183">
        <f>+'IX. CarbonflowAvoidedEmission'!T29</f>
        <v>10689701.55248267</v>
      </c>
      <c r="U30" s="183">
        <f>+'IX. CarbonflowAvoidedEmission'!U29</f>
        <v>11052064.316973608</v>
      </c>
      <c r="V30" s="183">
        <f>+'IX. CarbonflowAvoidedEmission'!V29</f>
        <v>11414427.081464546</v>
      </c>
      <c r="W30" s="183">
        <f>+'IX. CarbonflowAvoidedEmission'!W29</f>
        <v>11776789.845955484</v>
      </c>
      <c r="X30" s="183">
        <f>+'IX. CarbonflowAvoidedEmission'!X29</f>
        <v>12139152.610446421</v>
      </c>
      <c r="Y30" s="183">
        <f>+'IX. CarbonflowAvoidedEmission'!Y29</f>
        <v>12501515.374937359</v>
      </c>
      <c r="Z30" s="183">
        <f>+'IX. CarbonflowAvoidedEmission'!Z29</f>
        <v>12863878.139428297</v>
      </c>
      <c r="AA30" s="183">
        <f>+'IX. CarbonflowAvoidedEmission'!AA29</f>
        <v>13226240.903919235</v>
      </c>
    </row>
    <row r="31" spans="1:27" s="121" customFormat="1" x14ac:dyDescent="0.25">
      <c r="A31" s="65" t="s">
        <v>245</v>
      </c>
      <c r="B31" s="26">
        <f t="shared" si="1"/>
        <v>5112354.8605142049</v>
      </c>
      <c r="C31" s="26">
        <f t="shared" si="2"/>
        <v>18201951.287656996</v>
      </c>
      <c r="D31" s="26">
        <f t="shared" si="3"/>
        <v>25596718.988783758</v>
      </c>
      <c r="E31" s="26">
        <f t="shared" si="4"/>
        <v>53518704.247669898</v>
      </c>
      <c r="F31" s="26">
        <f t="shared" si="5"/>
        <v>68956800.368112147</v>
      </c>
      <c r="G31" s="26">
        <f t="shared" si="6"/>
        <v>94607361.769106165</v>
      </c>
      <c r="H31" s="123">
        <f t="shared" ref="H31:AA31" si="18">SUM(H32:H33)</f>
        <v>2213780.5383827225</v>
      </c>
      <c r="I31" s="123">
        <f t="shared" si="18"/>
        <v>5112354.8605142049</v>
      </c>
      <c r="J31" s="123">
        <f t="shared" si="18"/>
        <v>9060852.8276761081</v>
      </c>
      <c r="K31" s="123">
        <f t="shared" si="18"/>
        <v>13463959.728672197</v>
      </c>
      <c r="L31" s="123">
        <f t="shared" si="18"/>
        <v>18201951.287656996</v>
      </c>
      <c r="M31" s="123">
        <f t="shared" si="18"/>
        <v>22265702.729749329</v>
      </c>
      <c r="N31" s="123">
        <f t="shared" si="18"/>
        <v>25596718.988783758</v>
      </c>
      <c r="O31" s="123">
        <f t="shared" si="18"/>
        <v>31558154.380389698</v>
      </c>
      <c r="P31" s="123">
        <f t="shared" si="18"/>
        <v>37252026.096288159</v>
      </c>
      <c r="Q31" s="123">
        <f t="shared" si="18"/>
        <v>42678334.136479154</v>
      </c>
      <c r="R31" s="123">
        <f t="shared" si="18"/>
        <v>48104642.176670149</v>
      </c>
      <c r="S31" s="123">
        <f t="shared" si="18"/>
        <v>53518704.247669898</v>
      </c>
      <c r="T31" s="123">
        <f t="shared" si="18"/>
        <v>58664736.287817322</v>
      </c>
      <c r="U31" s="123">
        <f t="shared" si="18"/>
        <v>63810768.327964738</v>
      </c>
      <c r="V31" s="123">
        <f t="shared" si="18"/>
        <v>68956800.368112147</v>
      </c>
      <c r="W31" s="123">
        <f t="shared" si="18"/>
        <v>74090586.439068332</v>
      </c>
      <c r="X31" s="123">
        <f t="shared" si="18"/>
        <v>79224372.510024518</v>
      </c>
      <c r="Y31" s="123">
        <f t="shared" si="18"/>
        <v>84352035.596385062</v>
      </c>
      <c r="Z31" s="123">
        <f t="shared" si="18"/>
        <v>89479698.682745606</v>
      </c>
      <c r="AA31" s="123">
        <f t="shared" si="18"/>
        <v>94607361.769106165</v>
      </c>
    </row>
    <row r="32" spans="1:27" s="22" customFormat="1" x14ac:dyDescent="0.25">
      <c r="A32" s="20" t="s">
        <v>246</v>
      </c>
      <c r="B32" s="220">
        <f t="shared" si="1"/>
        <v>241532.27522409713</v>
      </c>
      <c r="C32" s="220">
        <f t="shared" si="2"/>
        <v>2779963.2818864058</v>
      </c>
      <c r="D32" s="220">
        <f t="shared" si="3"/>
        <v>3507382.5784546775</v>
      </c>
      <c r="E32" s="220">
        <f t="shared" si="4"/>
        <v>19701442.828932643</v>
      </c>
      <c r="F32" s="220">
        <f t="shared" si="5"/>
        <v>28507002.25366538</v>
      </c>
      <c r="G32" s="220">
        <f t="shared" si="6"/>
        <v>43103335.828476861</v>
      </c>
      <c r="H32" s="20">
        <f t="shared" ref="H32:AA32" si="19">+H6+H16</f>
        <v>2934.9731462164527</v>
      </c>
      <c r="I32" s="20">
        <f t="shared" si="19"/>
        <v>241532.27522409713</v>
      </c>
      <c r="J32" s="20">
        <f t="shared" si="19"/>
        <v>1080921.7675153038</v>
      </c>
      <c r="K32" s="20">
        <f t="shared" si="19"/>
        <v>1966973.5283512305</v>
      </c>
      <c r="L32" s="20">
        <f t="shared" si="19"/>
        <v>2779963.2818864058</v>
      </c>
      <c r="M32" s="20">
        <f t="shared" si="19"/>
        <v>3285474.7942909445</v>
      </c>
      <c r="N32" s="20">
        <f t="shared" si="19"/>
        <v>3507382.5784546775</v>
      </c>
      <c r="O32" s="20">
        <f t="shared" si="19"/>
        <v>6808840.9500070121</v>
      </c>
      <c r="P32" s="20">
        <f t="shared" si="19"/>
        <v>10067301.373260424</v>
      </c>
      <c r="Q32" s="20">
        <f t="shared" si="19"/>
        <v>13282763.848214911</v>
      </c>
      <c r="R32" s="20">
        <f t="shared" si="19"/>
        <v>16498226.323169399</v>
      </c>
      <c r="S32" s="20">
        <f t="shared" si="19"/>
        <v>19701442.828932643</v>
      </c>
      <c r="T32" s="20">
        <f t="shared" si="19"/>
        <v>22636629.303843558</v>
      </c>
      <c r="U32" s="20">
        <f t="shared" si="19"/>
        <v>25571815.778754469</v>
      </c>
      <c r="V32" s="20">
        <f t="shared" si="19"/>
        <v>28507002.25366538</v>
      </c>
      <c r="W32" s="20">
        <f t="shared" si="19"/>
        <v>31429942.759385053</v>
      </c>
      <c r="X32" s="20">
        <f t="shared" si="19"/>
        <v>34352883.265104726</v>
      </c>
      <c r="Y32" s="20">
        <f t="shared" si="19"/>
        <v>37269700.786228776</v>
      </c>
      <c r="Z32" s="20">
        <f t="shared" si="19"/>
        <v>40186518.307352811</v>
      </c>
      <c r="AA32" s="20">
        <f t="shared" si="19"/>
        <v>43103335.828476861</v>
      </c>
    </row>
    <row r="33" spans="1:27" s="22" customFormat="1" x14ac:dyDescent="0.25">
      <c r="A33" s="20" t="s">
        <v>247</v>
      </c>
      <c r="B33" s="220">
        <f t="shared" si="1"/>
        <v>4870822.5852901079</v>
      </c>
      <c r="C33" s="220">
        <f t="shared" si="2"/>
        <v>15421988.00577059</v>
      </c>
      <c r="D33" s="220">
        <f t="shared" si="3"/>
        <v>22089336.410329081</v>
      </c>
      <c r="E33" s="220">
        <f t="shared" si="4"/>
        <v>33817261.418737255</v>
      </c>
      <c r="F33" s="220">
        <f t="shared" si="5"/>
        <v>40449798.114446774</v>
      </c>
      <c r="G33" s="220">
        <f t="shared" si="6"/>
        <v>51504025.940629303</v>
      </c>
      <c r="H33" s="20">
        <f t="shared" ref="H33:AA33" si="20">+H27</f>
        <v>2210845.5652365061</v>
      </c>
      <c r="I33" s="20">
        <f t="shared" si="20"/>
        <v>4870822.5852901079</v>
      </c>
      <c r="J33" s="20">
        <f t="shared" si="20"/>
        <v>7979931.0601608045</v>
      </c>
      <c r="K33" s="20">
        <f t="shared" si="20"/>
        <v>11496986.200320967</v>
      </c>
      <c r="L33" s="20">
        <f t="shared" si="20"/>
        <v>15421988.00577059</v>
      </c>
      <c r="M33" s="20">
        <f t="shared" si="20"/>
        <v>18980227.935458384</v>
      </c>
      <c r="N33" s="20">
        <f t="shared" si="20"/>
        <v>22089336.410329081</v>
      </c>
      <c r="O33" s="20">
        <f t="shared" si="20"/>
        <v>24749313.430382684</v>
      </c>
      <c r="P33" s="20">
        <f t="shared" si="20"/>
        <v>27184724.723027736</v>
      </c>
      <c r="Q33" s="20">
        <f t="shared" si="20"/>
        <v>29395570.288264241</v>
      </c>
      <c r="R33" s="20">
        <f t="shared" si="20"/>
        <v>31606415.853500746</v>
      </c>
      <c r="S33" s="20">
        <f t="shared" si="20"/>
        <v>33817261.418737255</v>
      </c>
      <c r="T33" s="20">
        <f t="shared" si="20"/>
        <v>36028106.983973764</v>
      </c>
      <c r="U33" s="20">
        <f t="shared" si="20"/>
        <v>38238952.549210265</v>
      </c>
      <c r="V33" s="20">
        <f t="shared" si="20"/>
        <v>40449798.114446774</v>
      </c>
      <c r="W33" s="20">
        <f t="shared" si="20"/>
        <v>42660643.679683283</v>
      </c>
      <c r="X33" s="20">
        <f t="shared" si="20"/>
        <v>44871489.244919792</v>
      </c>
      <c r="Y33" s="20">
        <f t="shared" si="20"/>
        <v>47082334.810156286</v>
      </c>
      <c r="Z33" s="20">
        <f t="shared" si="20"/>
        <v>49293180.375392795</v>
      </c>
      <c r="AA33" s="20">
        <f t="shared" si="20"/>
        <v>51504025.940629303</v>
      </c>
    </row>
    <row r="34" spans="1:27" s="121" customFormat="1" x14ac:dyDescent="0.25">
      <c r="A34" s="65" t="s">
        <v>64</v>
      </c>
      <c r="B34" s="65">
        <f t="shared" ref="B34:G34" si="21">+B32+B33</f>
        <v>5112354.8605142049</v>
      </c>
      <c r="C34" s="65">
        <f t="shared" si="21"/>
        <v>18201951.287656996</v>
      </c>
      <c r="D34" s="65">
        <f t="shared" si="21"/>
        <v>25596718.988783758</v>
      </c>
      <c r="E34" s="65">
        <f t="shared" si="21"/>
        <v>53518704.247669898</v>
      </c>
      <c r="F34" s="65">
        <f t="shared" si="21"/>
        <v>68956800.368112147</v>
      </c>
      <c r="G34" s="65">
        <f t="shared" si="21"/>
        <v>94607361.769106165</v>
      </c>
      <c r="H34" s="65">
        <f t="shared" ref="H34:AA34" si="22">+H32+H33</f>
        <v>2213780.5383827225</v>
      </c>
      <c r="I34" s="65">
        <f t="shared" si="22"/>
        <v>5112354.8605142049</v>
      </c>
      <c r="J34" s="65">
        <f t="shared" si="22"/>
        <v>9060852.8276761081</v>
      </c>
      <c r="K34" s="65">
        <f t="shared" si="22"/>
        <v>13463959.728672197</v>
      </c>
      <c r="L34" s="65">
        <f t="shared" si="22"/>
        <v>18201951.287656996</v>
      </c>
      <c r="M34" s="65">
        <f t="shared" si="22"/>
        <v>22265702.729749329</v>
      </c>
      <c r="N34" s="65">
        <f t="shared" si="22"/>
        <v>25596718.988783758</v>
      </c>
      <c r="O34" s="65">
        <f t="shared" si="22"/>
        <v>31558154.380389698</v>
      </c>
      <c r="P34" s="65">
        <f t="shared" si="22"/>
        <v>37252026.096288159</v>
      </c>
      <c r="Q34" s="65">
        <f t="shared" si="22"/>
        <v>42678334.136479154</v>
      </c>
      <c r="R34" s="65">
        <f t="shared" si="22"/>
        <v>48104642.176670149</v>
      </c>
      <c r="S34" s="65">
        <f t="shared" si="22"/>
        <v>53518704.247669898</v>
      </c>
      <c r="T34" s="65">
        <f t="shared" si="22"/>
        <v>58664736.287817322</v>
      </c>
      <c r="U34" s="65">
        <f t="shared" si="22"/>
        <v>63810768.327964738</v>
      </c>
      <c r="V34" s="65">
        <f t="shared" si="22"/>
        <v>68956800.368112147</v>
      </c>
      <c r="W34" s="65">
        <f t="shared" si="22"/>
        <v>74090586.439068332</v>
      </c>
      <c r="X34" s="65">
        <f t="shared" si="22"/>
        <v>79224372.510024518</v>
      </c>
      <c r="Y34" s="65">
        <f t="shared" si="22"/>
        <v>84352035.596385062</v>
      </c>
      <c r="Z34" s="65">
        <f t="shared" si="22"/>
        <v>89479698.682745606</v>
      </c>
      <c r="AA34" s="65">
        <f t="shared" si="22"/>
        <v>94607361.769106165</v>
      </c>
    </row>
    <row r="35" spans="1:27" s="3" customFormat="1" x14ac:dyDescent="0.25">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row>
    <row r="36" spans="1:27" s="3" customFormat="1" x14ac:dyDescent="0.25">
      <c r="A36" s="124"/>
      <c r="B36" s="124"/>
      <c r="C36" s="124"/>
      <c r="D36" s="124"/>
      <c r="E36" s="124"/>
      <c r="F36" s="124"/>
      <c r="G36" s="124"/>
      <c r="H36" s="124"/>
      <c r="I36" s="124"/>
      <c r="J36" s="124"/>
      <c r="K36" s="124"/>
      <c r="L36" s="124"/>
      <c r="M36" s="124"/>
      <c r="N36" s="124"/>
      <c r="O36" s="124"/>
      <c r="P36" s="124"/>
      <c r="Q36" s="281"/>
      <c r="R36" s="124"/>
      <c r="S36" s="124"/>
      <c r="T36" s="124"/>
      <c r="U36" s="124"/>
      <c r="V36" s="124"/>
      <c r="W36" s="124"/>
      <c r="X36" s="124"/>
      <c r="Y36" s="124"/>
      <c r="Z36" s="124"/>
      <c r="AA36" s="124"/>
    </row>
    <row r="37" spans="1:27" s="3" customFormat="1" x14ac:dyDescent="0.25">
      <c r="A37" s="338" t="s">
        <v>258</v>
      </c>
      <c r="B37" s="338"/>
      <c r="C37" s="338"/>
      <c r="D37" s="338"/>
      <c r="E37" s="338"/>
      <c r="F37" s="338"/>
      <c r="G37" s="125"/>
      <c r="H37" s="125"/>
      <c r="I37" s="125"/>
      <c r="J37" s="125"/>
      <c r="K37" s="125"/>
      <c r="L37" s="125"/>
      <c r="M37" s="125"/>
      <c r="N37" s="125"/>
      <c r="O37" s="125"/>
      <c r="P37" s="125"/>
      <c r="Q37" s="125"/>
      <c r="R37" s="125"/>
      <c r="S37" s="125"/>
      <c r="T37" s="125"/>
      <c r="U37" s="125"/>
      <c r="V37" s="125"/>
      <c r="W37" s="125"/>
      <c r="X37" s="125"/>
      <c r="Y37" s="125"/>
      <c r="Z37" s="125"/>
      <c r="AA37" s="125"/>
    </row>
    <row r="38" spans="1:27" x14ac:dyDescent="0.25">
      <c r="A38" s="4"/>
      <c r="B38" s="212" t="s">
        <v>259</v>
      </c>
      <c r="C38" s="212" t="s">
        <v>260</v>
      </c>
      <c r="D38" s="212" t="s">
        <v>261</v>
      </c>
      <c r="E38" s="212" t="s">
        <v>262</v>
      </c>
      <c r="F38" s="2"/>
      <c r="G38" s="3"/>
      <c r="H38" s="14"/>
      <c r="I38" s="14"/>
      <c r="J38" s="14"/>
      <c r="K38" s="14"/>
      <c r="L38" s="14"/>
      <c r="M38" s="14"/>
      <c r="N38" s="14"/>
      <c r="O38" s="14"/>
      <c r="P38" s="14"/>
      <c r="Q38" s="14"/>
      <c r="R38" s="14"/>
      <c r="S38" s="14"/>
      <c r="T38" s="14"/>
      <c r="U38" s="14"/>
      <c r="V38" s="14"/>
      <c r="W38" s="14"/>
      <c r="X38" s="14"/>
      <c r="Y38" s="14"/>
      <c r="Z38" s="14"/>
      <c r="AA38" s="14"/>
    </row>
    <row r="39" spans="1:27" s="3" customFormat="1" x14ac:dyDescent="0.25">
      <c r="A39" s="2" t="s">
        <v>263</v>
      </c>
      <c r="B39" s="218">
        <f>+H$31*'VI. ParameterCarbonAssumptions'!$B$14</f>
        <v>1106890.2691913613</v>
      </c>
      <c r="C39" s="114">
        <f>+B39/'VI. ParameterCarbonAssumptions'!$B$13</f>
        <v>1.1068902691913614</v>
      </c>
      <c r="D39" s="47">
        <f>+B39*'I. General_Invest_parameters'!$B$6</f>
        <v>5534451.3459568061</v>
      </c>
      <c r="E39" s="8">
        <f>+B39*'I. General_Invest_parameters'!$B$7</f>
        <v>33206708.075740837</v>
      </c>
      <c r="F39" s="2"/>
      <c r="K39" s="337"/>
    </row>
    <row r="40" spans="1:27" s="3" customFormat="1" x14ac:dyDescent="0.25">
      <c r="A40" s="2" t="s">
        <v>264</v>
      </c>
      <c r="B40" s="218">
        <f>+I31*'VI. ParameterCarbonAssumptions'!$B$14</f>
        <v>2556177.4302571025</v>
      </c>
      <c r="C40" s="114">
        <f>+B40/'VI. ParameterCarbonAssumptions'!$B$13</f>
        <v>2.5561774302571023</v>
      </c>
      <c r="D40" s="47">
        <f>+B40*'I. General_Invest_parameters'!$B$6</f>
        <v>12780887.151285512</v>
      </c>
      <c r="E40" s="8">
        <f>+B40*'I. General_Invest_parameters'!$B$7</f>
        <v>76685322.907713071</v>
      </c>
      <c r="F40" s="2"/>
      <c r="K40" s="337"/>
    </row>
    <row r="41" spans="1:27" s="3" customFormat="1" x14ac:dyDescent="0.25">
      <c r="A41" s="2" t="s">
        <v>265</v>
      </c>
      <c r="B41" s="218">
        <f>+J31*'VI. ParameterCarbonAssumptions'!$B$14</f>
        <v>4530426.4138380541</v>
      </c>
      <c r="C41" s="114">
        <f>+B41/'VI. ParameterCarbonAssumptions'!$B$13</f>
        <v>4.5304264138380539</v>
      </c>
      <c r="D41" s="47">
        <f>+B41*'I. General_Invest_parameters'!$B$6</f>
        <v>22652132.069190271</v>
      </c>
      <c r="E41" s="8">
        <f>+B41*'I. General_Invest_parameters'!$B$7</f>
        <v>135912792.41514161</v>
      </c>
      <c r="F41" s="2"/>
      <c r="K41" s="337"/>
    </row>
    <row r="42" spans="1:27" s="14" customFormat="1" x14ac:dyDescent="0.25">
      <c r="A42" s="2" t="s">
        <v>266</v>
      </c>
      <c r="B42" s="218">
        <f>+K31*'VI. ParameterCarbonAssumptions'!$B$14</f>
        <v>6731979.8643360985</v>
      </c>
      <c r="C42" s="114">
        <f>+B42/'VI. ParameterCarbonAssumptions'!$B$13</f>
        <v>6.7319798643360986</v>
      </c>
      <c r="D42" s="47">
        <f>+B42*'I. General_Invest_parameters'!$B$6</f>
        <v>33659899.321680494</v>
      </c>
      <c r="E42" s="8">
        <f>+B42*'I. General_Invest_parameters'!$B$7</f>
        <v>201959395.93008295</v>
      </c>
      <c r="F42" s="2"/>
      <c r="G42" s="3"/>
      <c r="K42" s="337"/>
    </row>
    <row r="43" spans="1:27" s="252" customFormat="1" x14ac:dyDescent="0.25">
      <c r="A43" s="247" t="s">
        <v>267</v>
      </c>
      <c r="B43" s="248">
        <f>+L31*'VI. ParameterCarbonAssumptions'!$B$14</f>
        <v>9100975.6438284982</v>
      </c>
      <c r="C43" s="249">
        <f>+B43/'VI. ParameterCarbonAssumptions'!$B$13</f>
        <v>9.1009756438284981</v>
      </c>
      <c r="D43" s="250">
        <f>+B43*'I. General_Invest_parameters'!$B$6</f>
        <v>45504878.219142489</v>
      </c>
      <c r="E43" s="251">
        <f>+B43*'I. General_Invest_parameters'!$B$7</f>
        <v>273029269.31485492</v>
      </c>
      <c r="F43" s="247"/>
      <c r="K43" s="337"/>
    </row>
    <row r="44" spans="1:27" x14ac:dyDescent="0.25">
      <c r="A44" s="2" t="s">
        <v>268</v>
      </c>
      <c r="B44" s="11">
        <f>+M31*'VI. ParameterCarbonAssumptions'!$B$14</f>
        <v>11132851.364874665</v>
      </c>
      <c r="C44" s="114">
        <f>+B44/'VI. ParameterCarbonAssumptions'!$B$13</f>
        <v>11.132851364874664</v>
      </c>
      <c r="D44" s="47">
        <f>+B44*'I. General_Invest_parameters'!$B$6</f>
        <v>55664256.82437332</v>
      </c>
      <c r="E44" s="8">
        <f>+B44*'I. General_Invest_parameters'!$B$7</f>
        <v>333985540.94623995</v>
      </c>
      <c r="F44" s="2"/>
      <c r="G44" s="3"/>
      <c r="H44" s="14"/>
      <c r="I44" s="14"/>
      <c r="J44" s="14"/>
      <c r="K44" s="14"/>
      <c r="L44" s="14"/>
      <c r="M44" s="14"/>
      <c r="N44" s="14"/>
      <c r="O44" s="14"/>
      <c r="P44" s="14"/>
      <c r="Q44" s="14"/>
      <c r="R44" s="14"/>
      <c r="S44" s="14"/>
      <c r="T44" s="14"/>
      <c r="U44" s="14"/>
      <c r="V44" s="14"/>
      <c r="W44" s="14"/>
      <c r="X44" s="14"/>
      <c r="Y44" s="14"/>
      <c r="Z44" s="14"/>
      <c r="AA44" s="14"/>
    </row>
    <row r="45" spans="1:27" s="252" customFormat="1" x14ac:dyDescent="0.25">
      <c r="A45" s="247" t="s">
        <v>269</v>
      </c>
      <c r="B45" s="248">
        <f>+N31*'VI. ParameterCarbonAssumptions'!$B$14</f>
        <v>12798359.494391879</v>
      </c>
      <c r="C45" s="249">
        <f>+B45/'VI. ParameterCarbonAssumptions'!$B$13</f>
        <v>12.79835949439188</v>
      </c>
      <c r="D45" s="250">
        <f>+B45*'I. General_Invest_parameters'!$B$6</f>
        <v>63991797.471959397</v>
      </c>
      <c r="E45" s="251">
        <f>+B45*'I. General_Invest_parameters'!$B$7</f>
        <v>383950784.83175635</v>
      </c>
      <c r="F45" s="247"/>
      <c r="K45" s="253"/>
    </row>
    <row r="46" spans="1:27" x14ac:dyDescent="0.25">
      <c r="A46" s="2" t="s">
        <v>270</v>
      </c>
      <c r="B46" s="11">
        <f>+O31*'VI. ParameterCarbonAssumptions'!$B$14</f>
        <v>15779077.190194849</v>
      </c>
      <c r="C46" s="114">
        <f>+B46/'VI. ParameterCarbonAssumptions'!$B$13</f>
        <v>15.779077190194849</v>
      </c>
      <c r="D46" s="47">
        <f>+B46*'I. General_Invest_parameters'!$B$6</f>
        <v>78895385.950974241</v>
      </c>
      <c r="E46" s="8">
        <f>+B46*'I. General_Invest_parameters'!$B$7</f>
        <v>473372315.70584548</v>
      </c>
      <c r="F46" s="2"/>
      <c r="G46" s="3"/>
      <c r="H46" s="14"/>
      <c r="I46" s="14"/>
      <c r="J46" s="14"/>
      <c r="K46" s="14"/>
      <c r="L46" s="14"/>
      <c r="M46" s="14"/>
      <c r="N46" s="14"/>
      <c r="O46" s="14"/>
      <c r="P46" s="14"/>
      <c r="Q46" s="14"/>
      <c r="R46" s="14"/>
      <c r="S46" s="14"/>
      <c r="T46" s="14"/>
      <c r="U46" s="14"/>
      <c r="V46" s="14"/>
      <c r="W46" s="14"/>
      <c r="X46" s="14"/>
      <c r="Y46" s="14"/>
      <c r="Z46" s="14"/>
      <c r="AA46" s="14"/>
    </row>
    <row r="47" spans="1:27" x14ac:dyDescent="0.25">
      <c r="A47" s="2" t="s">
        <v>271</v>
      </c>
      <c r="B47" s="11">
        <f>+P31*'VI. ParameterCarbonAssumptions'!$B$14</f>
        <v>18626013.04814408</v>
      </c>
      <c r="C47" s="114">
        <f>+B47/'VI. ParameterCarbonAssumptions'!$B$13</f>
        <v>18.626013048144081</v>
      </c>
      <c r="D47" s="47">
        <f>+B47*'I. General_Invest_parameters'!$B$6</f>
        <v>93130065.240720391</v>
      </c>
      <c r="E47" s="8">
        <f>+B47*'I. General_Invest_parameters'!$B$7</f>
        <v>558780391.44432235</v>
      </c>
      <c r="F47" s="2"/>
      <c r="G47" s="3"/>
      <c r="H47" s="14"/>
      <c r="I47" s="14"/>
      <c r="J47" s="14"/>
      <c r="K47" s="14"/>
      <c r="L47" s="14"/>
      <c r="M47" s="14"/>
      <c r="N47" s="14"/>
      <c r="O47" s="14"/>
      <c r="P47" s="14"/>
      <c r="Q47" s="14"/>
      <c r="R47" s="14"/>
      <c r="S47" s="14"/>
      <c r="T47" s="14"/>
      <c r="U47" s="14"/>
      <c r="V47" s="14"/>
      <c r="W47" s="14"/>
      <c r="X47" s="14"/>
      <c r="Y47" s="14"/>
      <c r="Z47" s="14"/>
      <c r="AA47" s="14"/>
    </row>
    <row r="48" spans="1:27" x14ac:dyDescent="0.25">
      <c r="A48" s="2" t="s">
        <v>272</v>
      </c>
      <c r="B48" s="11">
        <f>+Q31*'VI. ParameterCarbonAssumptions'!$B$14</f>
        <v>21339167.068239577</v>
      </c>
      <c r="C48" s="114">
        <f>+B48/'VI. ParameterCarbonAssumptions'!$B$13</f>
        <v>21.339167068239576</v>
      </c>
      <c r="D48" s="47">
        <f>+B48*'I. General_Invest_parameters'!$B$6</f>
        <v>106695835.34119788</v>
      </c>
      <c r="E48" s="8">
        <f>+B48*'I. General_Invest_parameters'!$B$7</f>
        <v>640175012.04718733</v>
      </c>
      <c r="F48" s="2"/>
      <c r="G48" s="3"/>
      <c r="H48" s="14"/>
      <c r="I48" s="14"/>
      <c r="J48" s="14"/>
      <c r="K48" s="14"/>
      <c r="L48" s="14"/>
      <c r="M48" s="14"/>
      <c r="N48" s="14"/>
      <c r="O48" s="14"/>
      <c r="P48" s="14"/>
      <c r="Q48" s="14"/>
      <c r="R48" s="14"/>
      <c r="S48" s="14"/>
      <c r="T48" s="14"/>
      <c r="U48" s="14"/>
      <c r="V48" s="14"/>
      <c r="W48" s="14"/>
      <c r="X48" s="14"/>
      <c r="Y48" s="14"/>
      <c r="Z48" s="14"/>
      <c r="AA48" s="14"/>
    </row>
    <row r="49" spans="1:7" x14ac:dyDescent="0.25">
      <c r="A49" s="2" t="s">
        <v>273</v>
      </c>
      <c r="B49" s="11">
        <f>+R31*'VI. ParameterCarbonAssumptions'!$B$14</f>
        <v>24052321.088335074</v>
      </c>
      <c r="C49" s="114">
        <f>+B49/'VI. ParameterCarbonAssumptions'!$B$13</f>
        <v>24.052321088335074</v>
      </c>
      <c r="D49" s="47">
        <f>+B49*'I. General_Invest_parameters'!$B$6</f>
        <v>120261605.44167536</v>
      </c>
      <c r="E49" s="8">
        <f>+B49*'I. General_Invest_parameters'!$B$7</f>
        <v>721569632.65005219</v>
      </c>
      <c r="F49" s="2"/>
      <c r="G49" s="3"/>
    </row>
    <row r="50" spans="1:7" x14ac:dyDescent="0.25">
      <c r="A50" s="2" t="s">
        <v>274</v>
      </c>
      <c r="B50" s="11">
        <f>+S31*'VI. ParameterCarbonAssumptions'!$B$14</f>
        <v>26759352.123834949</v>
      </c>
      <c r="C50" s="114">
        <f>+B50/'VI. ParameterCarbonAssumptions'!$B$13</f>
        <v>26.759352123834947</v>
      </c>
      <c r="D50" s="47">
        <f>+B50*'I. General_Invest_parameters'!$B$6</f>
        <v>133796760.61917475</v>
      </c>
      <c r="E50" s="8">
        <f>+B50*'I. General_Invest_parameters'!$B$7</f>
        <v>802780563.71504843</v>
      </c>
      <c r="F50" s="2"/>
      <c r="G50" s="3"/>
    </row>
    <row r="51" spans="1:7" x14ac:dyDescent="0.25">
      <c r="A51" s="2" t="s">
        <v>275</v>
      </c>
      <c r="B51" s="11">
        <f>+T31*'VI. ParameterCarbonAssumptions'!$B$14</f>
        <v>29332368.143908661</v>
      </c>
      <c r="C51" s="114">
        <f>+B51/'VI. ParameterCarbonAssumptions'!$B$13</f>
        <v>29.33236814390866</v>
      </c>
      <c r="D51" s="47">
        <f>+B51*'I. General_Invest_parameters'!$B$6</f>
        <v>146661840.71954331</v>
      </c>
      <c r="E51" s="8">
        <f>+B51*'I. General_Invest_parameters'!$B$7</f>
        <v>879971044.31725979</v>
      </c>
      <c r="F51" s="2"/>
      <c r="G51" s="3"/>
    </row>
    <row r="52" spans="1:7" x14ac:dyDescent="0.25">
      <c r="A52" s="2" t="s">
        <v>276</v>
      </c>
      <c r="B52" s="11">
        <f>+U31*'VI. ParameterCarbonAssumptions'!$B$14</f>
        <v>31905384.163982369</v>
      </c>
      <c r="C52" s="114">
        <f>+B52/'VI. ParameterCarbonAssumptions'!$B$13</f>
        <v>31.905384163982369</v>
      </c>
      <c r="D52" s="47">
        <f>+B52*'I. General_Invest_parameters'!$B$6</f>
        <v>159526920.81991184</v>
      </c>
      <c r="E52" s="8">
        <f>+B52*'I. General_Invest_parameters'!$B$7</f>
        <v>957161524.91947103</v>
      </c>
      <c r="F52" s="2"/>
      <c r="G52" s="3"/>
    </row>
    <row r="53" spans="1:7" x14ac:dyDescent="0.25">
      <c r="A53" s="2" t="s">
        <v>277</v>
      </c>
      <c r="B53" s="11">
        <f>+V31*'VI. ParameterCarbonAssumptions'!$B$14</f>
        <v>34478400.184056073</v>
      </c>
      <c r="C53" s="114">
        <f>+B53/'VI. ParameterCarbonAssumptions'!$B$13</f>
        <v>34.478400184056071</v>
      </c>
      <c r="D53" s="47">
        <f>+B53*'I. General_Invest_parameters'!$B$6</f>
        <v>172392000.92028037</v>
      </c>
      <c r="E53" s="8">
        <f>+B53*'I. General_Invest_parameters'!$B$7</f>
        <v>1034352005.5216823</v>
      </c>
      <c r="F53" s="2"/>
      <c r="G53" s="3"/>
    </row>
    <row r="54" spans="1:7" x14ac:dyDescent="0.25">
      <c r="A54" s="2" t="s">
        <v>278</v>
      </c>
      <c r="B54" s="11">
        <f>+W31*'VI. ParameterCarbonAssumptions'!$B$14</f>
        <v>37045293.219534166</v>
      </c>
      <c r="C54" s="114">
        <f>+B54/'VI. ParameterCarbonAssumptions'!$B$13</f>
        <v>37.045293219534166</v>
      </c>
      <c r="D54" s="47">
        <f>+B54*'I. General_Invest_parameters'!$B$6</f>
        <v>185226466.09767082</v>
      </c>
      <c r="E54" s="8">
        <f>+B54*'I. General_Invest_parameters'!$B$7</f>
        <v>1111358796.586025</v>
      </c>
      <c r="F54" s="2"/>
      <c r="G54" s="3"/>
    </row>
    <row r="55" spans="1:7" x14ac:dyDescent="0.25">
      <c r="A55" s="2" t="s">
        <v>279</v>
      </c>
      <c r="B55" s="11">
        <f>+X31*'VI. ParameterCarbonAssumptions'!$B$14</f>
        <v>39612186.255012259</v>
      </c>
      <c r="C55" s="114">
        <f>+B55/'VI. ParameterCarbonAssumptions'!$B$13</f>
        <v>39.612186255012261</v>
      </c>
      <c r="D55" s="47">
        <f>+B55*'I. General_Invest_parameters'!$B$6</f>
        <v>198060931.27506131</v>
      </c>
      <c r="E55" s="8">
        <f>+B55*'I. General_Invest_parameters'!$B$7</f>
        <v>1188365587.6503677</v>
      </c>
      <c r="F55" s="2"/>
      <c r="G55" s="3"/>
    </row>
    <row r="56" spans="1:7" x14ac:dyDescent="0.25">
      <c r="A56" s="2" t="s">
        <v>280</v>
      </c>
      <c r="B56" s="11">
        <f>+Y31*'VI. ParameterCarbonAssumptions'!$B$14</f>
        <v>42176017.798192531</v>
      </c>
      <c r="C56" s="114">
        <f>+B56/'VI. ParameterCarbonAssumptions'!$B$13</f>
        <v>42.176017798192532</v>
      </c>
      <c r="D56" s="47">
        <f>+B56*'I. General_Invest_parameters'!$B$6</f>
        <v>210880088.99096265</v>
      </c>
      <c r="E56" s="8">
        <f>+B56*'I. General_Invest_parameters'!$B$7</f>
        <v>1265280533.945776</v>
      </c>
      <c r="F56" s="2"/>
      <c r="G56" s="3"/>
    </row>
    <row r="57" spans="1:7" x14ac:dyDescent="0.25">
      <c r="A57" s="2" t="s">
        <v>281</v>
      </c>
      <c r="B57" s="11">
        <f>+Z31*'VI. ParameterCarbonAssumptions'!$B$14</f>
        <v>44739849.341372803</v>
      </c>
      <c r="C57" s="114">
        <f>+B57/'VI. ParameterCarbonAssumptions'!$B$13</f>
        <v>44.739849341372803</v>
      </c>
      <c r="D57" s="47">
        <f>+B57*'I. General_Invest_parameters'!$B$6</f>
        <v>223699246.706864</v>
      </c>
      <c r="E57" s="8">
        <f>+B57*'I. General_Invest_parameters'!$B$7</f>
        <v>1342195480.241184</v>
      </c>
      <c r="F57" s="2"/>
      <c r="G57" s="3"/>
    </row>
    <row r="58" spans="1:7" s="252" customFormat="1" x14ac:dyDescent="0.25">
      <c r="A58" s="247" t="s">
        <v>282</v>
      </c>
      <c r="B58" s="248">
        <f>+AA31*'VI. ParameterCarbonAssumptions'!$B$14</f>
        <v>47303680.884553082</v>
      </c>
      <c r="C58" s="282">
        <f>+B58/'VI. ParameterCarbonAssumptions'!$B$13</f>
        <v>47.303680884553081</v>
      </c>
      <c r="D58" s="250">
        <f>+B58*'I. General_Invest_parameters'!$B$6</f>
        <v>236518404.4227654</v>
      </c>
      <c r="E58" s="251">
        <f>+B58*'I. General_Invest_parameters'!$B$7</f>
        <v>1419110426.5365925</v>
      </c>
      <c r="F58" s="247"/>
    </row>
    <row r="59" spans="1:7" x14ac:dyDescent="0.25">
      <c r="A59" s="14"/>
      <c r="F59" s="3"/>
      <c r="G59" s="3"/>
    </row>
  </sheetData>
  <mergeCells count="14">
    <mergeCell ref="K39:K43"/>
    <mergeCell ref="A37:F37"/>
    <mergeCell ref="A1:AA1"/>
    <mergeCell ref="A2:AA2"/>
    <mergeCell ref="A3:A5"/>
    <mergeCell ref="H3:AA3"/>
    <mergeCell ref="B3:G3"/>
    <mergeCell ref="B4:B5"/>
    <mergeCell ref="C4:C5"/>
    <mergeCell ref="D4:D5"/>
    <mergeCell ref="E4:E5"/>
    <mergeCell ref="F4:F5"/>
    <mergeCell ref="G4:G5"/>
    <mergeCell ref="H4:AA4"/>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tabColor theme="6" tint="-0.249977111117893"/>
  </sheetPr>
  <dimension ref="A1:N77"/>
  <sheetViews>
    <sheetView topLeftCell="A52" zoomScale="80" zoomScaleNormal="80" workbookViewId="0">
      <selection activeCell="C76" sqref="C76"/>
    </sheetView>
  </sheetViews>
  <sheetFormatPr baseColWidth="10" defaultColWidth="11.42578125" defaultRowHeight="15" x14ac:dyDescent="0.25"/>
  <cols>
    <col min="1" max="1" width="83" bestFit="1" customWidth="1"/>
    <col min="2" max="2" width="30.5703125" customWidth="1"/>
    <col min="3" max="3" width="50.140625" customWidth="1"/>
    <col min="4" max="4" width="34.42578125" customWidth="1"/>
    <col min="5" max="5" width="22.5703125" customWidth="1"/>
    <col min="6" max="6" width="13.140625" bestFit="1" customWidth="1"/>
    <col min="7" max="7" width="15.5703125" bestFit="1" customWidth="1"/>
    <col min="8" max="11" width="14.140625" bestFit="1" customWidth="1"/>
    <col min="12" max="12" width="13.85546875" customWidth="1"/>
    <col min="13" max="13" width="12.28515625" bestFit="1" customWidth="1"/>
    <col min="14" max="14" width="14.42578125" customWidth="1"/>
  </cols>
  <sheetData>
    <row r="1" spans="1:4" s="14" customFormat="1" x14ac:dyDescent="0.25">
      <c r="A1" s="274" t="s">
        <v>283</v>
      </c>
      <c r="B1" s="274" t="s">
        <v>284</v>
      </c>
      <c r="C1" s="274" t="s">
        <v>35</v>
      </c>
    </row>
    <row r="2" spans="1:4" s="14" customFormat="1" x14ac:dyDescent="0.25">
      <c r="A2" s="1" t="s">
        <v>285</v>
      </c>
      <c r="B2" s="172">
        <v>14.3</v>
      </c>
      <c r="C2" s="343" t="s">
        <v>286</v>
      </c>
    </row>
    <row r="3" spans="1:4" s="14" customFormat="1" x14ac:dyDescent="0.25">
      <c r="A3" s="1" t="s">
        <v>287</v>
      </c>
      <c r="B3" s="173">
        <v>0.04</v>
      </c>
      <c r="C3" s="344"/>
    </row>
    <row r="4" spans="1:4" s="14" customFormat="1" x14ac:dyDescent="0.25">
      <c r="A4" s="1" t="s">
        <v>288</v>
      </c>
      <c r="B4" s="173">
        <v>0.22</v>
      </c>
      <c r="C4" s="344"/>
    </row>
    <row r="5" spans="1:4" s="14" customFormat="1" x14ac:dyDescent="0.25">
      <c r="A5" s="1" t="s">
        <v>289</v>
      </c>
      <c r="B5" s="174">
        <f>+B2*B3+B2*B4</f>
        <v>3.7180000000000004</v>
      </c>
      <c r="C5" s="344"/>
    </row>
    <row r="6" spans="1:4" s="14" customFormat="1" x14ac:dyDescent="0.25">
      <c r="A6" s="1" t="s">
        <v>290</v>
      </c>
      <c r="B6" s="180">
        <f>+ROUND(B2-B5,0)</f>
        <v>11</v>
      </c>
      <c r="C6" s="344"/>
    </row>
    <row r="7" spans="1:4" s="14" customFormat="1" ht="45" x14ac:dyDescent="0.25">
      <c r="A7" s="1" t="s">
        <v>291</v>
      </c>
      <c r="B7" s="181">
        <v>0.5</v>
      </c>
      <c r="C7" s="344"/>
      <c r="D7" s="51" t="s">
        <v>292</v>
      </c>
    </row>
    <row r="8" spans="1:4" x14ac:dyDescent="0.25">
      <c r="A8" s="1" t="s">
        <v>293</v>
      </c>
      <c r="B8" s="13">
        <f>SUM(B9:B11)</f>
        <v>1</v>
      </c>
      <c r="C8" s="344"/>
      <c r="D8" s="14"/>
    </row>
    <row r="9" spans="1:4" x14ac:dyDescent="0.25">
      <c r="A9" s="1" t="s">
        <v>294</v>
      </c>
      <c r="B9" s="13">
        <v>0.9</v>
      </c>
      <c r="C9" s="344"/>
      <c r="D9" s="14"/>
    </row>
    <row r="10" spans="1:4" x14ac:dyDescent="0.25">
      <c r="A10" s="1" t="s">
        <v>295</v>
      </c>
      <c r="B10" s="13">
        <v>0.05</v>
      </c>
      <c r="C10" s="344"/>
      <c r="D10" s="14"/>
    </row>
    <row r="11" spans="1:4" x14ac:dyDescent="0.25">
      <c r="A11" s="1" t="s">
        <v>296</v>
      </c>
      <c r="B11" s="13">
        <v>0.05</v>
      </c>
      <c r="C11" s="344"/>
      <c r="D11" s="14"/>
    </row>
    <row r="12" spans="1:4" x14ac:dyDescent="0.25">
      <c r="A12" s="1"/>
      <c r="B12" s="1"/>
      <c r="C12" s="344"/>
      <c r="D12" s="14"/>
    </row>
    <row r="13" spans="1:4" x14ac:dyDescent="0.25">
      <c r="A13" s="274" t="s">
        <v>297</v>
      </c>
      <c r="B13" s="177" t="s">
        <v>284</v>
      </c>
      <c r="C13" s="344"/>
      <c r="D13" s="14"/>
    </row>
    <row r="14" spans="1:4" s="14" customFormat="1" x14ac:dyDescent="0.25">
      <c r="A14" s="1" t="s">
        <v>298</v>
      </c>
      <c r="B14" s="13">
        <v>0.05</v>
      </c>
      <c r="C14" s="344"/>
    </row>
    <row r="15" spans="1:4" s="14" customFormat="1" x14ac:dyDescent="0.25">
      <c r="A15" s="1" t="s">
        <v>299</v>
      </c>
      <c r="B15" s="13">
        <v>0.03</v>
      </c>
      <c r="C15" s="344"/>
    </row>
    <row r="16" spans="1:4" s="14" customFormat="1" x14ac:dyDescent="0.25">
      <c r="A16" s="1" t="s">
        <v>300</v>
      </c>
      <c r="B16" s="13">
        <v>0.01</v>
      </c>
      <c r="C16" s="344"/>
    </row>
    <row r="17" spans="1:14" s="14" customFormat="1" x14ac:dyDescent="0.25">
      <c r="A17" s="1" t="s">
        <v>301</v>
      </c>
      <c r="B17" s="13">
        <v>0.02</v>
      </c>
      <c r="C17" s="344"/>
    </row>
    <row r="18" spans="1:14" x14ac:dyDescent="0.25">
      <c r="A18" s="175" t="s">
        <v>302</v>
      </c>
      <c r="B18" s="13">
        <v>0.69</v>
      </c>
      <c r="C18" s="344"/>
      <c r="D18" s="14"/>
      <c r="E18" s="14"/>
      <c r="F18" s="14"/>
      <c r="G18" s="14"/>
      <c r="H18" s="14"/>
      <c r="I18" s="14"/>
      <c r="J18" s="14"/>
      <c r="K18" s="14"/>
      <c r="L18" s="14"/>
      <c r="M18" s="14"/>
      <c r="N18" s="14"/>
    </row>
    <row r="19" spans="1:14" x14ac:dyDescent="0.25">
      <c r="A19" s="1" t="s">
        <v>303</v>
      </c>
      <c r="B19" s="13">
        <v>0.2</v>
      </c>
      <c r="C19" s="344"/>
      <c r="D19" s="14"/>
      <c r="E19" s="14"/>
      <c r="F19" s="14"/>
      <c r="G19" s="14"/>
      <c r="H19" s="14"/>
      <c r="I19" s="14"/>
      <c r="J19" s="14"/>
      <c r="K19" s="14"/>
      <c r="L19" s="14"/>
      <c r="M19" s="14"/>
      <c r="N19" s="14"/>
    </row>
    <row r="20" spans="1:14" x14ac:dyDescent="0.25">
      <c r="A20" s="1" t="s">
        <v>304</v>
      </c>
      <c r="B20" s="13">
        <v>0.5</v>
      </c>
      <c r="C20" s="344"/>
      <c r="D20" s="14"/>
      <c r="E20" s="14"/>
      <c r="F20" s="14"/>
      <c r="G20" s="14"/>
      <c r="H20" s="14"/>
      <c r="I20" s="14"/>
      <c r="J20" s="14"/>
      <c r="K20" s="14"/>
      <c r="L20" s="14"/>
      <c r="M20" s="14"/>
      <c r="N20" s="14"/>
    </row>
    <row r="21" spans="1:14" x14ac:dyDescent="0.25">
      <c r="A21" s="1" t="s">
        <v>305</v>
      </c>
      <c r="B21" s="13">
        <v>0.5</v>
      </c>
      <c r="C21" s="344"/>
      <c r="D21" s="14"/>
      <c r="E21" s="14"/>
      <c r="F21" s="14"/>
      <c r="G21" s="14"/>
      <c r="H21" s="14"/>
      <c r="I21" s="14"/>
      <c r="J21" s="14"/>
      <c r="K21" s="14"/>
      <c r="L21" s="14"/>
      <c r="M21" s="14"/>
      <c r="N21" s="14"/>
    </row>
    <row r="22" spans="1:14" s="14" customFormat="1" x14ac:dyDescent="0.25">
      <c r="B22" s="9"/>
    </row>
    <row r="23" spans="1:14" s="14" customFormat="1" x14ac:dyDescent="0.25">
      <c r="A23" s="178" t="s">
        <v>306</v>
      </c>
      <c r="B23" s="179" t="s">
        <v>307</v>
      </c>
      <c r="C23" s="346" t="s">
        <v>308</v>
      </c>
      <c r="D23" s="346"/>
      <c r="E23" s="191" t="s">
        <v>35</v>
      </c>
    </row>
    <row r="24" spans="1:14" s="3" customFormat="1" x14ac:dyDescent="0.25">
      <c r="A24" s="2">
        <v>2020</v>
      </c>
      <c r="B24" s="244">
        <v>0</v>
      </c>
      <c r="C24" s="13">
        <v>0</v>
      </c>
      <c r="D24" s="244" t="s">
        <v>309</v>
      </c>
      <c r="E24" s="345" t="s">
        <v>310</v>
      </c>
    </row>
    <row r="25" spans="1:14" s="3" customFormat="1" x14ac:dyDescent="0.25">
      <c r="A25" s="208">
        <v>2021</v>
      </c>
      <c r="B25" s="13">
        <v>0.04</v>
      </c>
      <c r="C25" s="13">
        <v>0.04</v>
      </c>
      <c r="D25" s="244" t="s">
        <v>311</v>
      </c>
      <c r="E25" s="345"/>
    </row>
    <row r="26" spans="1:14" s="3" customFormat="1" x14ac:dyDescent="0.25">
      <c r="A26" s="208">
        <v>2022</v>
      </c>
      <c r="B26" s="13">
        <v>0</v>
      </c>
      <c r="C26" s="244">
        <v>0.5</v>
      </c>
      <c r="D26" s="207" t="s">
        <v>312</v>
      </c>
      <c r="E26" s="345"/>
    </row>
    <row r="27" spans="1:14" s="3" customFormat="1" x14ac:dyDescent="0.25">
      <c r="A27" s="2">
        <v>2023</v>
      </c>
      <c r="B27" s="13">
        <v>0.38</v>
      </c>
      <c r="C27" s="244">
        <v>0.5</v>
      </c>
      <c r="D27" s="207" t="s">
        <v>312</v>
      </c>
      <c r="E27" s="345"/>
    </row>
    <row r="28" spans="1:14" s="3" customFormat="1" x14ac:dyDescent="0.25">
      <c r="A28" s="2">
        <v>2024</v>
      </c>
      <c r="B28" s="13">
        <v>0.57999999999999996</v>
      </c>
      <c r="C28" s="244">
        <v>0.5</v>
      </c>
      <c r="D28" s="207" t="s">
        <v>313</v>
      </c>
      <c r="E28" s="345"/>
    </row>
    <row r="29" spans="1:14" s="3" customFormat="1" x14ac:dyDescent="0.25">
      <c r="A29" s="2">
        <v>2025</v>
      </c>
      <c r="B29" s="13">
        <v>0</v>
      </c>
      <c r="C29" s="244">
        <v>0.5</v>
      </c>
      <c r="D29" s="207" t="s">
        <v>313</v>
      </c>
      <c r="E29" s="345"/>
    </row>
    <row r="30" spans="1:14" s="3" customFormat="1" x14ac:dyDescent="0.25">
      <c r="B30" s="245">
        <f>SUM(B24:B29)</f>
        <v>1</v>
      </c>
      <c r="D30" s="190"/>
      <c r="E30" s="246"/>
    </row>
    <row r="31" spans="1:14" x14ac:dyDescent="0.25">
      <c r="A31" s="14"/>
      <c r="B31" s="14"/>
      <c r="C31" s="14"/>
      <c r="D31" s="14"/>
      <c r="E31" s="14"/>
      <c r="F31" s="14"/>
      <c r="G31" s="14"/>
      <c r="H31" s="14"/>
      <c r="I31" s="14"/>
      <c r="J31" s="14"/>
      <c r="K31" s="14"/>
      <c r="L31" s="14"/>
      <c r="M31" s="14"/>
      <c r="N31" s="14"/>
    </row>
    <row r="32" spans="1:14" x14ac:dyDescent="0.25">
      <c r="A32" s="312" t="s">
        <v>314</v>
      </c>
      <c r="B32" s="312" t="s">
        <v>357</v>
      </c>
      <c r="C32" s="350" t="s">
        <v>315</v>
      </c>
      <c r="D32" s="314" t="s">
        <v>316</v>
      </c>
      <c r="E32" s="314"/>
      <c r="F32" s="314"/>
      <c r="G32" s="314"/>
      <c r="H32" s="314"/>
      <c r="I32" s="314"/>
      <c r="J32" s="314"/>
      <c r="K32" s="314"/>
      <c r="L32" s="314"/>
      <c r="M32" s="314"/>
      <c r="N32" s="314"/>
    </row>
    <row r="33" spans="1:14" s="14" customFormat="1" ht="15" customHeight="1" x14ac:dyDescent="0.25">
      <c r="A33" s="312"/>
      <c r="B33" s="312"/>
      <c r="C33" s="350"/>
      <c r="D33" s="312" t="s">
        <v>317</v>
      </c>
      <c r="E33" s="312"/>
      <c r="F33" s="312"/>
      <c r="G33" s="312"/>
      <c r="H33" s="347" t="s">
        <v>318</v>
      </c>
      <c r="I33" s="348"/>
      <c r="J33" s="348"/>
      <c r="K33" s="348"/>
      <c r="L33" s="348"/>
      <c r="M33" s="348"/>
      <c r="N33" s="349"/>
    </row>
    <row r="34" spans="1:14" s="14" customFormat="1" ht="33" customHeight="1" x14ac:dyDescent="0.25">
      <c r="A34" s="312"/>
      <c r="B34" s="312"/>
      <c r="C34" s="350"/>
      <c r="D34" s="275" t="s">
        <v>319</v>
      </c>
      <c r="E34" s="275" t="s">
        <v>320</v>
      </c>
      <c r="F34" s="275" t="s">
        <v>296</v>
      </c>
      <c r="G34" s="275" t="s">
        <v>294</v>
      </c>
      <c r="H34" s="275" t="s">
        <v>321</v>
      </c>
      <c r="I34" s="275" t="s">
        <v>322</v>
      </c>
      <c r="J34" s="49" t="s">
        <v>323</v>
      </c>
      <c r="K34" s="49" t="s">
        <v>324</v>
      </c>
      <c r="L34" s="49" t="s">
        <v>325</v>
      </c>
      <c r="M34" s="50" t="s">
        <v>326</v>
      </c>
      <c r="N34" s="50" t="s">
        <v>327</v>
      </c>
    </row>
    <row r="35" spans="1:14" s="3" customFormat="1" x14ac:dyDescent="0.25">
      <c r="A35" s="2" t="s">
        <v>263</v>
      </c>
      <c r="B35" s="46">
        <f>+'X. Totalcarbonflow'!C39</f>
        <v>1.1068902691913614</v>
      </c>
      <c r="C35" s="47">
        <f>+'X. Totalcarbonflow'!D39</f>
        <v>5534451.3459568061</v>
      </c>
      <c r="D35" s="8">
        <f>+C35*$B$8</f>
        <v>5534451.3459568061</v>
      </c>
      <c r="E35" s="8">
        <f>+D35*$B$10</f>
        <v>276722.56729784032</v>
      </c>
      <c r="F35" s="8">
        <f>+D35*$B$11</f>
        <v>276722.56729784032</v>
      </c>
      <c r="G35" s="8">
        <f>+C35*$B$9</f>
        <v>4981006.211361126</v>
      </c>
      <c r="H35" s="8">
        <f>+$G35*$B$14</f>
        <v>249050.3105680563</v>
      </c>
      <c r="I35" s="8">
        <f>+$G35*$B$15</f>
        <v>149430.18634083378</v>
      </c>
      <c r="J35" s="8">
        <f>+$G35*$B$16</f>
        <v>49810.06211361126</v>
      </c>
      <c r="K35" s="8">
        <f>+$G35*$B$17</f>
        <v>99620.124227222521</v>
      </c>
      <c r="L35" s="8">
        <f>+$G35*$B$18</f>
        <v>3436894.2858391767</v>
      </c>
      <c r="M35" s="8">
        <f>+$G35*$B$19*$B$20</f>
        <v>498100.6211361126</v>
      </c>
      <c r="N35" s="8">
        <f>+$G35*$B$19*$B$21</f>
        <v>498100.6211361126</v>
      </c>
    </row>
    <row r="36" spans="1:14" s="3" customFormat="1" x14ac:dyDescent="0.25">
      <c r="A36" s="2" t="s">
        <v>264</v>
      </c>
      <c r="B36" s="46">
        <f>+'X. Totalcarbonflow'!C40</f>
        <v>2.5561774302571023</v>
      </c>
      <c r="C36" s="47">
        <f>+'X. Totalcarbonflow'!D40</f>
        <v>12780887.151285512</v>
      </c>
      <c r="D36" s="8">
        <f t="shared" ref="D36:D54" si="0">+C36*$B$8</f>
        <v>12780887.151285512</v>
      </c>
      <c r="E36" s="8">
        <f t="shared" ref="E36:E54" si="1">+D36*$B$10</f>
        <v>639044.35756427562</v>
      </c>
      <c r="F36" s="8">
        <f t="shared" ref="F36:F54" si="2">+D36*$B$11</f>
        <v>639044.35756427562</v>
      </c>
      <c r="G36" s="8">
        <f t="shared" ref="G36:G54" si="3">+C36*$B$9</f>
        <v>11502798.436156962</v>
      </c>
      <c r="H36" s="8">
        <f t="shared" ref="H36:H54" si="4">+$G36*$B$14</f>
        <v>575139.92180784815</v>
      </c>
      <c r="I36" s="8">
        <f t="shared" ref="I36:I54" si="5">+$G36*$B$15</f>
        <v>345083.95308470883</v>
      </c>
      <c r="J36" s="8">
        <f t="shared" ref="J36:J54" si="6">+$G36*$B$16</f>
        <v>115027.98436156963</v>
      </c>
      <c r="K36" s="8">
        <f t="shared" ref="K36:K54" si="7">+$G36*$B$17</f>
        <v>230055.96872313926</v>
      </c>
      <c r="L36" s="8">
        <f t="shared" ref="L36:L54" si="8">+$G36*$B$18</f>
        <v>7936930.9209483033</v>
      </c>
      <c r="M36" s="8">
        <f t="shared" ref="M36:M54" si="9">+$G36*$B$19*$B$20</f>
        <v>1150279.8436156963</v>
      </c>
      <c r="N36" s="8">
        <f t="shared" ref="N36:N54" si="10">+$G36*$B$19*$B$21</f>
        <v>1150279.8436156963</v>
      </c>
    </row>
    <row r="37" spans="1:14" s="3" customFormat="1" x14ac:dyDescent="0.25">
      <c r="A37" s="2" t="s">
        <v>265</v>
      </c>
      <c r="B37" s="46">
        <f>+'X. Totalcarbonflow'!C41</f>
        <v>4.5304264138380539</v>
      </c>
      <c r="C37" s="47">
        <f>+'X. Totalcarbonflow'!D41</f>
        <v>22652132.069190271</v>
      </c>
      <c r="D37" s="8">
        <f t="shared" si="0"/>
        <v>22652132.069190271</v>
      </c>
      <c r="E37" s="8">
        <f t="shared" si="1"/>
        <v>1132606.6034595135</v>
      </c>
      <c r="F37" s="8">
        <f t="shared" si="2"/>
        <v>1132606.6034595135</v>
      </c>
      <c r="G37" s="8">
        <f t="shared" si="3"/>
        <v>20386918.862271246</v>
      </c>
      <c r="H37" s="8">
        <f t="shared" si="4"/>
        <v>1019345.9431135623</v>
      </c>
      <c r="I37" s="8">
        <f t="shared" si="5"/>
        <v>611607.56586813729</v>
      </c>
      <c r="J37" s="8">
        <f t="shared" si="6"/>
        <v>203869.18862271245</v>
      </c>
      <c r="K37" s="8">
        <f t="shared" si="7"/>
        <v>407738.3772454249</v>
      </c>
      <c r="L37" s="8">
        <f t="shared" si="8"/>
        <v>14066974.014967158</v>
      </c>
      <c r="M37" s="8">
        <f t="shared" si="9"/>
        <v>2038691.8862271246</v>
      </c>
      <c r="N37" s="8">
        <f t="shared" si="10"/>
        <v>2038691.8862271246</v>
      </c>
    </row>
    <row r="38" spans="1:14" s="3" customFormat="1" x14ac:dyDescent="0.25">
      <c r="A38" s="2" t="s">
        <v>266</v>
      </c>
      <c r="B38" s="46">
        <f>+'X. Totalcarbonflow'!C42</f>
        <v>6.7319798643360986</v>
      </c>
      <c r="C38" s="47">
        <f>+'X. Totalcarbonflow'!D42</f>
        <v>33659899.321680494</v>
      </c>
      <c r="D38" s="8">
        <f t="shared" si="0"/>
        <v>33659899.321680494</v>
      </c>
      <c r="E38" s="8">
        <f t="shared" si="1"/>
        <v>1682994.9660840249</v>
      </c>
      <c r="F38" s="8">
        <f t="shared" si="2"/>
        <v>1682994.9660840249</v>
      </c>
      <c r="G38" s="8">
        <f t="shared" si="3"/>
        <v>30293909.389512446</v>
      </c>
      <c r="H38" s="8">
        <f t="shared" si="4"/>
        <v>1514695.4694756223</v>
      </c>
      <c r="I38" s="8">
        <f t="shared" si="5"/>
        <v>908817.2816853734</v>
      </c>
      <c r="J38" s="8">
        <f t="shared" si="6"/>
        <v>302939.09389512445</v>
      </c>
      <c r="K38" s="8">
        <f t="shared" si="7"/>
        <v>605878.18779024889</v>
      </c>
      <c r="L38" s="8">
        <f t="shared" si="8"/>
        <v>20902797.478763588</v>
      </c>
      <c r="M38" s="8">
        <f t="shared" si="9"/>
        <v>3029390.9389512446</v>
      </c>
      <c r="N38" s="8">
        <f t="shared" si="10"/>
        <v>3029390.9389512446</v>
      </c>
    </row>
    <row r="39" spans="1:14" s="3" customFormat="1" x14ac:dyDescent="0.25">
      <c r="A39" s="2" t="s">
        <v>267</v>
      </c>
      <c r="B39" s="46">
        <f>+'X. Totalcarbonflow'!C43</f>
        <v>9.1009756438284981</v>
      </c>
      <c r="C39" s="47">
        <f>+'X. Totalcarbonflow'!D43</f>
        <v>45504878.219142489</v>
      </c>
      <c r="D39" s="8">
        <f t="shared" si="0"/>
        <v>45504878.219142489</v>
      </c>
      <c r="E39" s="8">
        <f t="shared" si="1"/>
        <v>2275243.9109571245</v>
      </c>
      <c r="F39" s="8">
        <f t="shared" si="2"/>
        <v>2275243.9109571245</v>
      </c>
      <c r="G39" s="8">
        <f t="shared" si="3"/>
        <v>40954390.397228241</v>
      </c>
      <c r="H39" s="59">
        <f t="shared" si="4"/>
        <v>2047719.5198614122</v>
      </c>
      <c r="I39" s="59">
        <f t="shared" si="5"/>
        <v>1228631.7119168472</v>
      </c>
      <c r="J39" s="8">
        <f t="shared" si="6"/>
        <v>409543.90397228242</v>
      </c>
      <c r="K39" s="59">
        <f t="shared" si="7"/>
        <v>819087.80794456485</v>
      </c>
      <c r="L39" s="59">
        <f t="shared" si="8"/>
        <v>28258529.374087483</v>
      </c>
      <c r="M39" s="8">
        <f t="shared" si="9"/>
        <v>4095439.0397228245</v>
      </c>
      <c r="N39" s="8">
        <f t="shared" si="10"/>
        <v>4095439.0397228245</v>
      </c>
    </row>
    <row r="40" spans="1:14" s="3" customFormat="1" x14ac:dyDescent="0.25">
      <c r="A40" s="2" t="s">
        <v>268</v>
      </c>
      <c r="B40" s="46">
        <f>+'X. Totalcarbonflow'!C44</f>
        <v>11.132851364874664</v>
      </c>
      <c r="C40" s="47">
        <f>+'X. Totalcarbonflow'!D44</f>
        <v>55664256.82437332</v>
      </c>
      <c r="D40" s="8">
        <f t="shared" si="0"/>
        <v>55664256.82437332</v>
      </c>
      <c r="E40" s="8">
        <f t="shared" si="1"/>
        <v>2783212.8412186662</v>
      </c>
      <c r="F40" s="8">
        <f t="shared" si="2"/>
        <v>2783212.8412186662</v>
      </c>
      <c r="G40" s="8">
        <f t="shared" si="3"/>
        <v>50097831.141935989</v>
      </c>
      <c r="H40" s="59">
        <f t="shared" si="4"/>
        <v>2504891.5570967994</v>
      </c>
      <c r="I40" s="8">
        <f t="shared" si="5"/>
        <v>1502934.9342580796</v>
      </c>
      <c r="J40" s="8">
        <f t="shared" si="6"/>
        <v>500978.31141935987</v>
      </c>
      <c r="K40" s="8">
        <f t="shared" si="7"/>
        <v>1001956.6228387197</v>
      </c>
      <c r="L40" s="8">
        <f t="shared" si="8"/>
        <v>34567503.487935834</v>
      </c>
      <c r="M40" s="8">
        <f t="shared" si="9"/>
        <v>5009783.1141935987</v>
      </c>
      <c r="N40" s="8">
        <f t="shared" si="10"/>
        <v>5009783.1141935987</v>
      </c>
    </row>
    <row r="41" spans="1:14" s="3" customFormat="1" x14ac:dyDescent="0.25">
      <c r="A41" s="2" t="s">
        <v>269</v>
      </c>
      <c r="B41" s="46">
        <f>+'X. Totalcarbonflow'!C45</f>
        <v>12.79835949439188</v>
      </c>
      <c r="C41" s="47">
        <f>+'X. Totalcarbonflow'!D45</f>
        <v>63991797.471959397</v>
      </c>
      <c r="D41" s="8">
        <f t="shared" si="0"/>
        <v>63991797.471959397</v>
      </c>
      <c r="E41" s="8">
        <f t="shared" si="1"/>
        <v>3199589.8735979702</v>
      </c>
      <c r="F41" s="8">
        <f t="shared" si="2"/>
        <v>3199589.8735979702</v>
      </c>
      <c r="G41" s="8">
        <f t="shared" si="3"/>
        <v>57592617.72476346</v>
      </c>
      <c r="H41" s="8">
        <f t="shared" si="4"/>
        <v>2879630.8862381731</v>
      </c>
      <c r="I41" s="8">
        <f t="shared" si="5"/>
        <v>1727778.5317429036</v>
      </c>
      <c r="J41" s="8">
        <f t="shared" si="6"/>
        <v>575926.17724763462</v>
      </c>
      <c r="K41" s="59">
        <f t="shared" si="7"/>
        <v>1151852.3544952692</v>
      </c>
      <c r="L41" s="59">
        <f t="shared" si="8"/>
        <v>39738906.230086781</v>
      </c>
      <c r="M41" s="8">
        <f t="shared" si="9"/>
        <v>5759261.7724763462</v>
      </c>
      <c r="N41" s="8">
        <f t="shared" si="10"/>
        <v>5759261.7724763462</v>
      </c>
    </row>
    <row r="42" spans="1:14" s="3" customFormat="1" x14ac:dyDescent="0.25">
      <c r="A42" s="2" t="s">
        <v>270</v>
      </c>
      <c r="B42" s="46">
        <f>+'X. Totalcarbonflow'!C46</f>
        <v>15.779077190194849</v>
      </c>
      <c r="C42" s="47">
        <f>+'X. Totalcarbonflow'!D46</f>
        <v>78895385.950974241</v>
      </c>
      <c r="D42" s="8">
        <f t="shared" si="0"/>
        <v>78895385.950974241</v>
      </c>
      <c r="E42" s="8">
        <f t="shared" si="1"/>
        <v>3944769.2975487122</v>
      </c>
      <c r="F42" s="8">
        <f t="shared" si="2"/>
        <v>3944769.2975487122</v>
      </c>
      <c r="G42" s="8">
        <f t="shared" si="3"/>
        <v>71005847.355876818</v>
      </c>
      <c r="H42" s="8">
        <f t="shared" si="4"/>
        <v>3550292.3677938413</v>
      </c>
      <c r="I42" s="8">
        <f t="shared" si="5"/>
        <v>2130175.4206763045</v>
      </c>
      <c r="J42" s="8">
        <f t="shared" si="6"/>
        <v>710058.47355876816</v>
      </c>
      <c r="K42" s="8">
        <f t="shared" si="7"/>
        <v>1420116.9471175363</v>
      </c>
      <c r="L42" s="8">
        <f t="shared" si="8"/>
        <v>48994034.675554998</v>
      </c>
      <c r="M42" s="8">
        <f t="shared" si="9"/>
        <v>7100584.7355876826</v>
      </c>
      <c r="N42" s="8">
        <f t="shared" si="10"/>
        <v>7100584.7355876826</v>
      </c>
    </row>
    <row r="43" spans="1:14" s="3" customFormat="1" x14ac:dyDescent="0.25">
      <c r="A43" s="2" t="s">
        <v>271</v>
      </c>
      <c r="B43" s="46">
        <f>+'X. Totalcarbonflow'!C47</f>
        <v>18.626013048144081</v>
      </c>
      <c r="C43" s="47">
        <f>+'X. Totalcarbonflow'!D47</f>
        <v>93130065.240720391</v>
      </c>
      <c r="D43" s="8">
        <f t="shared" si="0"/>
        <v>93130065.240720391</v>
      </c>
      <c r="E43" s="8">
        <f t="shared" si="1"/>
        <v>4656503.2620360199</v>
      </c>
      <c r="F43" s="8">
        <f t="shared" si="2"/>
        <v>4656503.2620360199</v>
      </c>
      <c r="G43" s="8">
        <f t="shared" si="3"/>
        <v>83817058.716648355</v>
      </c>
      <c r="H43" s="8">
        <f t="shared" si="4"/>
        <v>4190852.935832418</v>
      </c>
      <c r="I43" s="8">
        <f t="shared" si="5"/>
        <v>2514511.7614994505</v>
      </c>
      <c r="J43" s="8">
        <f t="shared" si="6"/>
        <v>838170.58716648351</v>
      </c>
      <c r="K43" s="8">
        <f t="shared" si="7"/>
        <v>1676341.174332967</v>
      </c>
      <c r="L43" s="8">
        <f t="shared" si="8"/>
        <v>57833770.514487363</v>
      </c>
      <c r="M43" s="8">
        <f t="shared" si="9"/>
        <v>8381705.8716648361</v>
      </c>
      <c r="N43" s="8">
        <f t="shared" si="10"/>
        <v>8381705.8716648361</v>
      </c>
    </row>
    <row r="44" spans="1:14" s="3" customFormat="1" x14ac:dyDescent="0.25">
      <c r="A44" s="2" t="s">
        <v>188</v>
      </c>
      <c r="B44" s="46">
        <f>+'X. Totalcarbonflow'!C48</f>
        <v>21.339167068239576</v>
      </c>
      <c r="C44" s="47">
        <f>+'X. Totalcarbonflow'!D48</f>
        <v>106695835.34119788</v>
      </c>
      <c r="D44" s="8">
        <f t="shared" si="0"/>
        <v>106695835.34119788</v>
      </c>
      <c r="E44" s="8">
        <f t="shared" si="1"/>
        <v>5334791.7670598943</v>
      </c>
      <c r="F44" s="8">
        <f t="shared" si="2"/>
        <v>5334791.7670598943</v>
      </c>
      <c r="G44" s="8">
        <f t="shared" si="3"/>
        <v>96026251.807078093</v>
      </c>
      <c r="H44" s="8">
        <f t="shared" si="4"/>
        <v>4801312.5903539052</v>
      </c>
      <c r="I44" s="8">
        <f t="shared" si="5"/>
        <v>2880787.5542123425</v>
      </c>
      <c r="J44" s="8">
        <f t="shared" si="6"/>
        <v>960262.5180707809</v>
      </c>
      <c r="K44" s="8">
        <f t="shared" si="7"/>
        <v>1920525.0361415618</v>
      </c>
      <c r="L44" s="8">
        <f t="shared" si="8"/>
        <v>66258113.746883877</v>
      </c>
      <c r="M44" s="8">
        <f t="shared" si="9"/>
        <v>9602625.1807078104</v>
      </c>
      <c r="N44" s="8">
        <f t="shared" si="10"/>
        <v>9602625.1807078104</v>
      </c>
    </row>
    <row r="45" spans="1:14" s="3" customFormat="1" x14ac:dyDescent="0.25">
      <c r="A45" s="2" t="s">
        <v>273</v>
      </c>
      <c r="B45" s="46">
        <f>+'X. Totalcarbonflow'!C49</f>
        <v>24.052321088335074</v>
      </c>
      <c r="C45" s="47">
        <f>+'X. Totalcarbonflow'!D49</f>
        <v>120261605.44167536</v>
      </c>
      <c r="D45" s="8">
        <f t="shared" si="0"/>
        <v>120261605.44167536</v>
      </c>
      <c r="E45" s="8">
        <f t="shared" si="1"/>
        <v>6013080.2720837686</v>
      </c>
      <c r="F45" s="8">
        <f t="shared" si="2"/>
        <v>6013080.2720837686</v>
      </c>
      <c r="G45" s="8">
        <f t="shared" si="3"/>
        <v>108235444.89750783</v>
      </c>
      <c r="H45" s="8">
        <f t="shared" si="4"/>
        <v>5411772.2448753919</v>
      </c>
      <c r="I45" s="8">
        <f t="shared" si="5"/>
        <v>3247063.3469252349</v>
      </c>
      <c r="J45" s="8">
        <f t="shared" si="6"/>
        <v>1082354.4489750783</v>
      </c>
      <c r="K45" s="8">
        <f t="shared" si="7"/>
        <v>2164708.8979501566</v>
      </c>
      <c r="L45" s="8">
        <f t="shared" si="8"/>
        <v>74682456.979280397</v>
      </c>
      <c r="M45" s="8">
        <f t="shared" si="9"/>
        <v>10823544.489750784</v>
      </c>
      <c r="N45" s="8">
        <f t="shared" si="10"/>
        <v>10823544.489750784</v>
      </c>
    </row>
    <row r="46" spans="1:14" s="3" customFormat="1" x14ac:dyDescent="0.25">
      <c r="A46" s="2" t="s">
        <v>274</v>
      </c>
      <c r="B46" s="46">
        <f>+'X. Totalcarbonflow'!C50</f>
        <v>26.759352123834947</v>
      </c>
      <c r="C46" s="47">
        <f>+'X. Totalcarbonflow'!D50</f>
        <v>133796760.61917475</v>
      </c>
      <c r="D46" s="8">
        <f t="shared" si="0"/>
        <v>133796760.61917475</v>
      </c>
      <c r="E46" s="8">
        <f t="shared" si="1"/>
        <v>6689838.0309587382</v>
      </c>
      <c r="F46" s="8">
        <f t="shared" si="2"/>
        <v>6689838.0309587382</v>
      </c>
      <c r="G46" s="8">
        <f t="shared" si="3"/>
        <v>120417084.55725728</v>
      </c>
      <c r="H46" s="8">
        <f t="shared" si="4"/>
        <v>6020854.2278628647</v>
      </c>
      <c r="I46" s="8">
        <f t="shared" si="5"/>
        <v>3612512.5367177185</v>
      </c>
      <c r="J46" s="8">
        <f t="shared" si="6"/>
        <v>1204170.8455725729</v>
      </c>
      <c r="K46" s="59">
        <f t="shared" si="7"/>
        <v>2408341.6911451458</v>
      </c>
      <c r="L46" s="59">
        <f t="shared" si="8"/>
        <v>83087788.344507515</v>
      </c>
      <c r="M46" s="8">
        <f t="shared" si="9"/>
        <v>12041708.455725729</v>
      </c>
      <c r="N46" s="8">
        <f t="shared" si="10"/>
        <v>12041708.455725729</v>
      </c>
    </row>
    <row r="47" spans="1:14" s="3" customFormat="1" x14ac:dyDescent="0.25">
      <c r="A47" s="2" t="s">
        <v>275</v>
      </c>
      <c r="B47" s="46">
        <f>+'X. Totalcarbonflow'!C51</f>
        <v>29.33236814390866</v>
      </c>
      <c r="C47" s="47">
        <f>+'X. Totalcarbonflow'!D51</f>
        <v>146661840.71954331</v>
      </c>
      <c r="D47" s="8">
        <f t="shared" si="0"/>
        <v>146661840.71954331</v>
      </c>
      <c r="E47" s="8">
        <f t="shared" si="1"/>
        <v>7333092.0359771661</v>
      </c>
      <c r="F47" s="8">
        <f t="shared" si="2"/>
        <v>7333092.0359771661</v>
      </c>
      <c r="G47" s="8">
        <f t="shared" si="3"/>
        <v>131995656.64758898</v>
      </c>
      <c r="H47" s="8">
        <f t="shared" si="4"/>
        <v>6599782.8323794492</v>
      </c>
      <c r="I47" s="8">
        <f t="shared" si="5"/>
        <v>3959869.6994276694</v>
      </c>
      <c r="J47" s="8">
        <f t="shared" si="6"/>
        <v>1319956.5664758899</v>
      </c>
      <c r="K47" s="8">
        <f t="shared" si="7"/>
        <v>2639913.1329517798</v>
      </c>
      <c r="L47" s="8">
        <f t="shared" si="8"/>
        <v>91077003.086836398</v>
      </c>
      <c r="M47" s="8">
        <f t="shared" si="9"/>
        <v>13199565.664758898</v>
      </c>
      <c r="N47" s="8">
        <f t="shared" si="10"/>
        <v>13199565.664758898</v>
      </c>
    </row>
    <row r="48" spans="1:14" s="3" customFormat="1" x14ac:dyDescent="0.25">
      <c r="A48" s="2" t="s">
        <v>276</v>
      </c>
      <c r="B48" s="46">
        <f>+'X. Totalcarbonflow'!C52</f>
        <v>31.905384163982369</v>
      </c>
      <c r="C48" s="47">
        <f>+'X. Totalcarbonflow'!D52</f>
        <v>159526920.81991184</v>
      </c>
      <c r="D48" s="8">
        <f t="shared" si="0"/>
        <v>159526920.81991184</v>
      </c>
      <c r="E48" s="8">
        <f t="shared" si="1"/>
        <v>7976346.0409955923</v>
      </c>
      <c r="F48" s="8">
        <f t="shared" si="2"/>
        <v>7976346.0409955923</v>
      </c>
      <c r="G48" s="8">
        <f t="shared" si="3"/>
        <v>143574228.73792067</v>
      </c>
      <c r="H48" s="8">
        <f t="shared" si="4"/>
        <v>7178711.4368960336</v>
      </c>
      <c r="I48" s="8">
        <f t="shared" si="5"/>
        <v>4307226.8621376203</v>
      </c>
      <c r="J48" s="8">
        <f t="shared" si="6"/>
        <v>1435742.2873792069</v>
      </c>
      <c r="K48" s="8">
        <f t="shared" si="7"/>
        <v>2871484.5747584137</v>
      </c>
      <c r="L48" s="8">
        <f t="shared" si="8"/>
        <v>99066217.82916525</v>
      </c>
      <c r="M48" s="8">
        <f t="shared" si="9"/>
        <v>14357422.873792067</v>
      </c>
      <c r="N48" s="8">
        <f t="shared" si="10"/>
        <v>14357422.873792067</v>
      </c>
    </row>
    <row r="49" spans="1:14" s="3" customFormat="1" x14ac:dyDescent="0.25">
      <c r="A49" s="2" t="s">
        <v>277</v>
      </c>
      <c r="B49" s="46">
        <f>+'X. Totalcarbonflow'!C53</f>
        <v>34.478400184056071</v>
      </c>
      <c r="C49" s="47">
        <f>+'X. Totalcarbonflow'!D53</f>
        <v>172392000.92028037</v>
      </c>
      <c r="D49" s="8">
        <f t="shared" si="0"/>
        <v>172392000.92028037</v>
      </c>
      <c r="E49" s="8">
        <f t="shared" si="1"/>
        <v>8619600.0460140184</v>
      </c>
      <c r="F49" s="8">
        <f t="shared" si="2"/>
        <v>8619600.0460140184</v>
      </c>
      <c r="G49" s="8">
        <f t="shared" si="3"/>
        <v>155152800.82825235</v>
      </c>
      <c r="H49" s="8">
        <f t="shared" si="4"/>
        <v>7757640.041412618</v>
      </c>
      <c r="I49" s="8">
        <f t="shared" si="5"/>
        <v>4654584.0248475699</v>
      </c>
      <c r="J49" s="8">
        <f t="shared" si="6"/>
        <v>1551528.0082825234</v>
      </c>
      <c r="K49" s="8">
        <f t="shared" si="7"/>
        <v>3103056.0165650467</v>
      </c>
      <c r="L49" s="8">
        <f t="shared" si="8"/>
        <v>107055432.57149412</v>
      </c>
      <c r="M49" s="8">
        <f t="shared" si="9"/>
        <v>15515280.082825236</v>
      </c>
      <c r="N49" s="8">
        <f t="shared" si="10"/>
        <v>15515280.082825236</v>
      </c>
    </row>
    <row r="50" spans="1:14" s="3" customFormat="1" x14ac:dyDescent="0.25">
      <c r="A50" s="2" t="s">
        <v>278</v>
      </c>
      <c r="B50" s="46">
        <f>+'X. Totalcarbonflow'!C54</f>
        <v>37.045293219534166</v>
      </c>
      <c r="C50" s="47">
        <f>+'X. Totalcarbonflow'!D54</f>
        <v>185226466.09767082</v>
      </c>
      <c r="D50" s="8">
        <f t="shared" si="0"/>
        <v>185226466.09767082</v>
      </c>
      <c r="E50" s="8">
        <f t="shared" si="1"/>
        <v>9261323.3048835415</v>
      </c>
      <c r="F50" s="8">
        <f t="shared" si="2"/>
        <v>9261323.3048835415</v>
      </c>
      <c r="G50" s="8">
        <f t="shared" si="3"/>
        <v>166703819.48790374</v>
      </c>
      <c r="H50" s="8">
        <f t="shared" si="4"/>
        <v>8335190.9743951876</v>
      </c>
      <c r="I50" s="8">
        <f t="shared" si="5"/>
        <v>5001114.584637112</v>
      </c>
      <c r="J50" s="8">
        <f t="shared" si="6"/>
        <v>1667038.1948790376</v>
      </c>
      <c r="K50" s="8">
        <f t="shared" si="7"/>
        <v>3334076.3897580751</v>
      </c>
      <c r="L50" s="8">
        <f t="shared" si="8"/>
        <v>115025635.44665357</v>
      </c>
      <c r="M50" s="8">
        <f t="shared" si="9"/>
        <v>16670381.948790375</v>
      </c>
      <c r="N50" s="8">
        <f t="shared" si="10"/>
        <v>16670381.948790375</v>
      </c>
    </row>
    <row r="51" spans="1:14" s="3" customFormat="1" x14ac:dyDescent="0.25">
      <c r="A51" s="2" t="s">
        <v>279</v>
      </c>
      <c r="B51" s="46">
        <f>+'X. Totalcarbonflow'!C55</f>
        <v>39.612186255012261</v>
      </c>
      <c r="C51" s="47">
        <f>+'X. Totalcarbonflow'!D55</f>
        <v>198060931.27506131</v>
      </c>
      <c r="D51" s="8">
        <f t="shared" si="0"/>
        <v>198060931.27506131</v>
      </c>
      <c r="E51" s="8">
        <f t="shared" si="1"/>
        <v>9903046.5637530666</v>
      </c>
      <c r="F51" s="8">
        <f t="shared" si="2"/>
        <v>9903046.5637530666</v>
      </c>
      <c r="G51" s="8">
        <f t="shared" si="3"/>
        <v>178254838.14755517</v>
      </c>
      <c r="H51" s="8">
        <f t="shared" si="4"/>
        <v>8912741.907377759</v>
      </c>
      <c r="I51" s="8">
        <f t="shared" si="5"/>
        <v>5347645.144426655</v>
      </c>
      <c r="J51" s="8">
        <f t="shared" si="6"/>
        <v>1782548.3814755518</v>
      </c>
      <c r="K51" s="8">
        <f t="shared" si="7"/>
        <v>3565096.7629511035</v>
      </c>
      <c r="L51" s="8">
        <f t="shared" si="8"/>
        <v>122995838.32181306</v>
      </c>
      <c r="M51" s="8">
        <f t="shared" si="9"/>
        <v>17825483.814755518</v>
      </c>
      <c r="N51" s="8">
        <f t="shared" si="10"/>
        <v>17825483.814755518</v>
      </c>
    </row>
    <row r="52" spans="1:14" s="3" customFormat="1" x14ac:dyDescent="0.25">
      <c r="A52" s="2" t="s">
        <v>280</v>
      </c>
      <c r="B52" s="46">
        <f>+'X. Totalcarbonflow'!C56</f>
        <v>42.176017798192532</v>
      </c>
      <c r="C52" s="47">
        <f>+'X. Totalcarbonflow'!D56</f>
        <v>210880088.99096265</v>
      </c>
      <c r="D52" s="8">
        <f t="shared" si="0"/>
        <v>210880088.99096265</v>
      </c>
      <c r="E52" s="8">
        <f t="shared" si="1"/>
        <v>10544004.449548133</v>
      </c>
      <c r="F52" s="8">
        <f t="shared" si="2"/>
        <v>10544004.449548133</v>
      </c>
      <c r="G52" s="8">
        <f t="shared" si="3"/>
        <v>189792080.0918664</v>
      </c>
      <c r="H52" s="8">
        <f t="shared" si="4"/>
        <v>9489604.0045933202</v>
      </c>
      <c r="I52" s="8">
        <f t="shared" si="5"/>
        <v>5693762.4027559916</v>
      </c>
      <c r="J52" s="8">
        <f t="shared" si="6"/>
        <v>1897920.8009186641</v>
      </c>
      <c r="K52" s="8">
        <f t="shared" si="7"/>
        <v>3795841.6018373282</v>
      </c>
      <c r="L52" s="8">
        <f t="shared" si="8"/>
        <v>130956535.26338781</v>
      </c>
      <c r="M52" s="8">
        <f t="shared" si="9"/>
        <v>18979208.00918664</v>
      </c>
      <c r="N52" s="8">
        <f t="shared" si="10"/>
        <v>18979208.00918664</v>
      </c>
    </row>
    <row r="53" spans="1:14" s="3" customFormat="1" x14ac:dyDescent="0.25">
      <c r="A53" s="2" t="s">
        <v>281</v>
      </c>
      <c r="B53" s="46">
        <f>+'X. Totalcarbonflow'!C57</f>
        <v>44.739849341372803</v>
      </c>
      <c r="C53" s="47">
        <f>+'X. Totalcarbonflow'!D57</f>
        <v>223699246.706864</v>
      </c>
      <c r="D53" s="8">
        <f t="shared" si="0"/>
        <v>223699246.706864</v>
      </c>
      <c r="E53" s="8">
        <f t="shared" si="1"/>
        <v>11184962.335343201</v>
      </c>
      <c r="F53" s="8">
        <f t="shared" si="2"/>
        <v>11184962.335343201</v>
      </c>
      <c r="G53" s="8">
        <f t="shared" si="3"/>
        <v>201329322.03617761</v>
      </c>
      <c r="H53" s="8">
        <f t="shared" si="4"/>
        <v>10066466.101808881</v>
      </c>
      <c r="I53" s="8">
        <f t="shared" si="5"/>
        <v>6039879.6610853281</v>
      </c>
      <c r="J53" s="8">
        <f t="shared" si="6"/>
        <v>2013293.2203617762</v>
      </c>
      <c r="K53" s="8">
        <f t="shared" si="7"/>
        <v>4026586.4407235524</v>
      </c>
      <c r="L53" s="8">
        <f t="shared" si="8"/>
        <v>138917232.20496255</v>
      </c>
      <c r="M53" s="8">
        <f t="shared" si="9"/>
        <v>20132932.203617763</v>
      </c>
      <c r="N53" s="8">
        <f t="shared" si="10"/>
        <v>20132932.203617763</v>
      </c>
    </row>
    <row r="54" spans="1:14" x14ac:dyDescent="0.25">
      <c r="A54" s="2" t="s">
        <v>282</v>
      </c>
      <c r="B54" s="46">
        <f>+'X. Totalcarbonflow'!C58</f>
        <v>47.303680884553081</v>
      </c>
      <c r="C54" s="47">
        <f>+'X. Totalcarbonflow'!D58</f>
        <v>236518404.4227654</v>
      </c>
      <c r="D54" s="8">
        <f t="shared" si="0"/>
        <v>236518404.4227654</v>
      </c>
      <c r="E54" s="8">
        <f t="shared" si="1"/>
        <v>11825920.221138271</v>
      </c>
      <c r="F54" s="8">
        <f t="shared" si="2"/>
        <v>11825920.221138271</v>
      </c>
      <c r="G54" s="8">
        <f t="shared" si="3"/>
        <v>212866563.98048887</v>
      </c>
      <c r="H54" s="8">
        <f t="shared" si="4"/>
        <v>10643328.199024444</v>
      </c>
      <c r="I54" s="8">
        <f t="shared" si="5"/>
        <v>6385996.9194146655</v>
      </c>
      <c r="J54" s="8">
        <f t="shared" si="6"/>
        <v>2128665.6398048885</v>
      </c>
      <c r="K54" s="8">
        <f t="shared" si="7"/>
        <v>4257331.279609777</v>
      </c>
      <c r="L54" s="8">
        <f t="shared" si="8"/>
        <v>146877929.1465373</v>
      </c>
      <c r="M54" s="8">
        <f t="shared" si="9"/>
        <v>21286656.398048889</v>
      </c>
      <c r="N54" s="8">
        <f t="shared" si="10"/>
        <v>21286656.398048889</v>
      </c>
    </row>
    <row r="56" spans="1:14" x14ac:dyDescent="0.25">
      <c r="A56" s="314" t="s">
        <v>328</v>
      </c>
      <c r="B56" s="314"/>
      <c r="C56" s="314"/>
      <c r="D56" s="314"/>
      <c r="E56" s="314"/>
      <c r="F56" s="314" t="s">
        <v>329</v>
      </c>
      <c r="G56" s="314"/>
      <c r="H56" s="314"/>
      <c r="I56" s="314"/>
      <c r="J56" s="314"/>
      <c r="K56" s="6"/>
      <c r="L56" s="14"/>
      <c r="M56" s="14"/>
      <c r="N56" s="14"/>
    </row>
    <row r="57" spans="1:14" x14ac:dyDescent="0.25">
      <c r="A57" s="215" t="s">
        <v>330</v>
      </c>
      <c r="B57" s="215" t="s">
        <v>331</v>
      </c>
      <c r="C57" s="270" t="s">
        <v>363</v>
      </c>
      <c r="D57" s="270" t="s">
        <v>332</v>
      </c>
      <c r="E57" s="270" t="s">
        <v>333</v>
      </c>
      <c r="F57" s="6">
        <v>2020</v>
      </c>
      <c r="G57" s="61">
        <v>2021</v>
      </c>
      <c r="H57" s="6">
        <v>2022</v>
      </c>
      <c r="I57" s="61">
        <v>2023</v>
      </c>
      <c r="J57" s="6">
        <v>2024</v>
      </c>
      <c r="K57" s="61">
        <v>2025</v>
      </c>
      <c r="L57" s="14"/>
      <c r="M57" s="14"/>
      <c r="N57" s="14"/>
    </row>
    <row r="58" spans="1:14" s="14" customFormat="1" x14ac:dyDescent="0.25">
      <c r="A58" s="111">
        <v>1</v>
      </c>
      <c r="B58" s="111">
        <v>2020</v>
      </c>
      <c r="C58" s="198">
        <f>+$B$39*$B24</f>
        <v>0</v>
      </c>
      <c r="D58" s="197">
        <f>+$B$6*$B24</f>
        <v>0</v>
      </c>
      <c r="E58" s="168"/>
      <c r="F58" s="1"/>
      <c r="G58" s="127"/>
      <c r="H58" s="1"/>
      <c r="I58" s="1"/>
      <c r="J58" s="1"/>
      <c r="K58" s="1"/>
    </row>
    <row r="59" spans="1:14" x14ac:dyDescent="0.25">
      <c r="A59" s="112">
        <v>2</v>
      </c>
      <c r="B59" s="112">
        <v>2021</v>
      </c>
      <c r="C59" s="114">
        <f>+$B$39*$B25</f>
        <v>0.36403902575313996</v>
      </c>
      <c r="D59" s="197">
        <f>+$B$6*$B25</f>
        <v>0.44</v>
      </c>
      <c r="E59" s="196">
        <f>+D59-C59</f>
        <v>7.5960974246860047E-2</v>
      </c>
      <c r="F59" s="1"/>
      <c r="G59" s="1"/>
      <c r="H59" s="1"/>
      <c r="I59" s="1"/>
      <c r="J59" s="1"/>
      <c r="K59" s="1"/>
      <c r="L59" s="14"/>
      <c r="M59" s="14"/>
      <c r="N59" s="14"/>
    </row>
    <row r="60" spans="1:14" s="14" customFormat="1" x14ac:dyDescent="0.25">
      <c r="A60" s="112">
        <v>3</v>
      </c>
      <c r="B60" s="112">
        <v>2022</v>
      </c>
      <c r="C60" s="114">
        <f>+$B$39*$B27*$C26</f>
        <v>1.7291853723274146</v>
      </c>
      <c r="D60" s="197">
        <f>+$B$6*$B27*$C$27</f>
        <v>2.09</v>
      </c>
      <c r="E60" s="196"/>
      <c r="F60" s="1"/>
      <c r="G60" s="1"/>
      <c r="H60" s="1"/>
      <c r="I60" s="1"/>
      <c r="J60" s="1"/>
      <c r="K60" s="1"/>
    </row>
    <row r="61" spans="1:14" x14ac:dyDescent="0.25">
      <c r="A61" s="112">
        <v>4</v>
      </c>
      <c r="B61" s="112">
        <v>2023</v>
      </c>
      <c r="C61" s="114">
        <f>+$B$39*$B27*$C26</f>
        <v>1.7291853723274146</v>
      </c>
      <c r="D61" s="197">
        <f>+$B$6*$B27*$C$27</f>
        <v>2.09</v>
      </c>
      <c r="E61" s="196">
        <f>+D61-C61</f>
        <v>0.36081462767258521</v>
      </c>
      <c r="F61" s="1"/>
      <c r="G61" s="1"/>
      <c r="H61" s="1"/>
      <c r="I61" s="1"/>
      <c r="J61" s="1"/>
      <c r="K61" s="1"/>
      <c r="L61" s="14"/>
      <c r="M61" s="14"/>
      <c r="N61" s="14"/>
    </row>
    <row r="62" spans="1:14" x14ac:dyDescent="0.25">
      <c r="A62" s="112">
        <v>5</v>
      </c>
      <c r="B62" s="112">
        <v>2024</v>
      </c>
      <c r="C62" s="114">
        <f>+$B$39*$B28*C28</f>
        <v>2.6392829367102641</v>
      </c>
      <c r="D62" s="197">
        <f>+$B$6*$B28*$C$28</f>
        <v>3.19</v>
      </c>
      <c r="E62" s="196">
        <f>+D62-C62</f>
        <v>0.5507170632897358</v>
      </c>
      <c r="F62" s="1"/>
      <c r="G62" s="1"/>
      <c r="H62" s="1"/>
      <c r="I62" s="1"/>
      <c r="J62" s="1"/>
      <c r="K62" s="1"/>
      <c r="L62" s="14"/>
      <c r="M62" s="14"/>
      <c r="N62" s="14"/>
    </row>
    <row r="63" spans="1:14" s="14" customFormat="1" x14ac:dyDescent="0.25">
      <c r="A63" s="112">
        <v>6</v>
      </c>
      <c r="B63" s="112">
        <v>2025</v>
      </c>
      <c r="C63" s="114">
        <f>+$B$39*$B28*C28</f>
        <v>2.6392829367102641</v>
      </c>
      <c r="D63" s="197">
        <f>+$B$6*$B28*$C$28</f>
        <v>3.19</v>
      </c>
      <c r="E63" s="196"/>
      <c r="F63" s="1"/>
      <c r="G63" s="1"/>
      <c r="H63" s="1"/>
      <c r="I63" s="1"/>
      <c r="J63" s="1"/>
      <c r="K63" s="1"/>
    </row>
    <row r="64" spans="1:14" x14ac:dyDescent="0.25">
      <c r="A64" s="112"/>
      <c r="B64" s="112" t="s">
        <v>248</v>
      </c>
      <c r="C64" s="114">
        <f>SUM(C58:C63)</f>
        <v>9.1009756438284981</v>
      </c>
      <c r="D64" s="114">
        <f>SUM(D58:D63)</f>
        <v>10.999999999999998</v>
      </c>
      <c r="E64" s="196">
        <f>+D64-C64</f>
        <v>1.8990243561715001</v>
      </c>
      <c r="F64" s="1"/>
      <c r="G64" s="1"/>
      <c r="H64" s="1"/>
      <c r="I64" s="1"/>
      <c r="J64" s="1"/>
      <c r="K64" s="1"/>
      <c r="L64" s="14"/>
      <c r="M64" s="14"/>
      <c r="N64" s="14"/>
    </row>
    <row r="65" spans="1:12" x14ac:dyDescent="0.25">
      <c r="A65" s="1"/>
      <c r="B65" s="1"/>
      <c r="C65" s="1"/>
      <c r="D65" s="1"/>
      <c r="E65" s="1"/>
      <c r="F65" s="1"/>
      <c r="G65" s="1"/>
      <c r="H65" s="1"/>
      <c r="I65" s="1"/>
      <c r="J65" s="1"/>
      <c r="K65" s="1"/>
      <c r="L65" s="14"/>
    </row>
    <row r="66" spans="1:12" s="14" customFormat="1" x14ac:dyDescent="0.25">
      <c r="A66" s="1"/>
      <c r="B66" s="1"/>
      <c r="C66" s="216" t="s">
        <v>334</v>
      </c>
      <c r="D66" s="216" t="s">
        <v>335</v>
      </c>
      <c r="E66" s="216" t="s">
        <v>333</v>
      </c>
      <c r="F66" s="1"/>
      <c r="G66" s="1"/>
      <c r="H66" s="1"/>
      <c r="I66" s="1"/>
      <c r="J66" s="1"/>
      <c r="K66" s="1"/>
    </row>
    <row r="67" spans="1:12" x14ac:dyDescent="0.25">
      <c r="A67" s="1" t="s">
        <v>336</v>
      </c>
      <c r="B67" s="64">
        <f>+B7</f>
        <v>0.5</v>
      </c>
      <c r="C67" s="19">
        <f>+(L$39+($D$64-$B$39)/($B$40-$B$39)*(L$40-L$39))*$B67</f>
        <v>17077499.999999996</v>
      </c>
      <c r="D67" s="36">
        <v>17005763.80686041</v>
      </c>
      <c r="E67" s="36">
        <f>+C67-D67</f>
        <v>71736.193139586598</v>
      </c>
      <c r="F67" s="1"/>
      <c r="G67" s="1"/>
      <c r="H67" s="1"/>
      <c r="I67" s="1"/>
      <c r="J67" s="1"/>
      <c r="K67" s="1"/>
      <c r="L67" s="14"/>
    </row>
    <row r="68" spans="1:12" x14ac:dyDescent="0.25">
      <c r="A68" s="1" t="s">
        <v>337</v>
      </c>
      <c r="B68" s="64">
        <f>+B7</f>
        <v>0.5</v>
      </c>
      <c r="C68" s="19">
        <f>+(H$39+($D$64-$B$39)/($B$40-$B$39)*(H$40-H$39))*$B68</f>
        <v>1237499.9999999998</v>
      </c>
      <c r="D68" s="31">
        <v>571406.88500000001</v>
      </c>
      <c r="E68" s="36">
        <f>+C68-D68</f>
        <v>666093.11499999976</v>
      </c>
      <c r="F68" s="1"/>
      <c r="G68" s="1"/>
      <c r="H68" s="1"/>
      <c r="I68" s="1"/>
      <c r="J68" s="1"/>
      <c r="K68" s="1"/>
      <c r="L68" s="14"/>
    </row>
    <row r="69" spans="1:12" s="14" customFormat="1" x14ac:dyDescent="0.25">
      <c r="A69" s="1" t="s">
        <v>338</v>
      </c>
      <c r="B69" s="64">
        <v>0.5</v>
      </c>
      <c r="C69" s="19">
        <f>+(I$39+($D$64-$B$39)/($B$40-$B$39)*(I$40-I$39))*$B69</f>
        <v>742499.99999999988</v>
      </c>
      <c r="D69" s="31"/>
      <c r="E69" s="36">
        <f t="shared" ref="E69:E72" si="11">+C69-D69</f>
        <v>742499.99999999988</v>
      </c>
      <c r="F69" s="1"/>
      <c r="G69" s="1"/>
      <c r="H69" s="1"/>
      <c r="I69" s="1"/>
      <c r="J69" s="1"/>
      <c r="K69" s="1"/>
    </row>
    <row r="70" spans="1:12" s="14" customFormat="1" x14ac:dyDescent="0.25">
      <c r="A70" s="1" t="s">
        <v>339</v>
      </c>
      <c r="B70" s="64">
        <v>0.5</v>
      </c>
      <c r="C70" s="19">
        <f>+(K$39+($D$64-$B$39)/($B$40-$B$39)*(K$40-K$39))*$B70</f>
        <v>494999.99999999988</v>
      </c>
      <c r="D70" s="31"/>
      <c r="E70" s="36">
        <f t="shared" si="11"/>
        <v>494999.99999999988</v>
      </c>
      <c r="F70" s="1"/>
      <c r="G70" s="1"/>
      <c r="H70" s="1"/>
      <c r="I70" s="1"/>
      <c r="J70" s="1"/>
      <c r="K70" s="1"/>
    </row>
    <row r="71" spans="1:12" s="14" customFormat="1" x14ac:dyDescent="0.25">
      <c r="A71" s="1" t="s">
        <v>340</v>
      </c>
      <c r="B71" s="64">
        <v>0.5</v>
      </c>
      <c r="C71" s="19">
        <f>+(M$39+($D$64-$B$39)/($B$40-$B$39)*(M$40-M$39))*$B71</f>
        <v>2474999.9999999995</v>
      </c>
      <c r="D71" s="31">
        <v>3514160.8139730976</v>
      </c>
      <c r="E71" s="36">
        <f t="shared" si="11"/>
        <v>-1039160.8139730981</v>
      </c>
      <c r="F71" s="1"/>
      <c r="G71" s="1"/>
      <c r="H71" s="1"/>
      <c r="I71" s="1"/>
      <c r="J71" s="1"/>
      <c r="K71" s="1"/>
    </row>
    <row r="72" spans="1:12" s="14" customFormat="1" x14ac:dyDescent="0.25">
      <c r="A72" s="1" t="s">
        <v>341</v>
      </c>
      <c r="B72" s="64">
        <v>0.5</v>
      </c>
      <c r="C72" s="19">
        <f>+(N$39+($D$64-$B$39)/($B$40-$B$39)*(N$40-N$39))*$B72</f>
        <v>2474999.9999999995</v>
      </c>
      <c r="D72" s="31">
        <v>3225141.5228381222</v>
      </c>
      <c r="E72" s="36">
        <f t="shared" si="11"/>
        <v>-750141.52283812268</v>
      </c>
      <c r="F72" s="1"/>
      <c r="G72" s="1"/>
      <c r="H72" s="1"/>
      <c r="I72" s="1"/>
      <c r="J72" s="1"/>
      <c r="K72" s="1"/>
    </row>
    <row r="73" spans="1:12" x14ac:dyDescent="0.25">
      <c r="A73" s="6" t="s">
        <v>64</v>
      </c>
      <c r="B73" s="6"/>
      <c r="C73" s="15">
        <f>SUM(C67:C72)</f>
        <v>24502499.999999996</v>
      </c>
      <c r="D73" s="15">
        <f>SUM(D67:D72)</f>
        <v>24316473.028671633</v>
      </c>
      <c r="E73" s="36">
        <f>+C73-D73</f>
        <v>186026.97132836282</v>
      </c>
      <c r="F73" s="1">
        <v>0</v>
      </c>
      <c r="G73" s="19">
        <f>+$C$73/'I. General_Invest_parameters'!$B$5</f>
        <v>4900499.9999999991</v>
      </c>
      <c r="H73" s="19">
        <f>+$C$73/'I. General_Invest_parameters'!$B$5</f>
        <v>4900499.9999999991</v>
      </c>
      <c r="I73" s="19">
        <f>+$C$73/'I. General_Invest_parameters'!$B$5</f>
        <v>4900499.9999999991</v>
      </c>
      <c r="J73" s="19">
        <f>+$C$73/'I. General_Invest_parameters'!$B$5</f>
        <v>4900499.9999999991</v>
      </c>
      <c r="K73" s="19">
        <f>+$C$73/'I. General_Invest_parameters'!$B$5</f>
        <v>4900499.9999999991</v>
      </c>
      <c r="L73" s="16"/>
    </row>
    <row r="74" spans="1:12" x14ac:dyDescent="0.25">
      <c r="A74" s="184" t="s">
        <v>342</v>
      </c>
      <c r="B74" s="14"/>
      <c r="C74" s="58">
        <f>+C73/'I. General_Invest_parameters'!$B$6</f>
        <v>4900499.9999999991</v>
      </c>
      <c r="D74" s="14"/>
      <c r="E74" s="14"/>
      <c r="F74" s="58">
        <f>+F73/'I. General_Invest_parameters'!$B$6</f>
        <v>0</v>
      </c>
      <c r="G74" s="58">
        <f>+G73/'I. General_Invest_parameters'!$B$6</f>
        <v>980099.99999999977</v>
      </c>
      <c r="H74" s="58">
        <f>+H73/'I. General_Invest_parameters'!$B$6</f>
        <v>980099.99999999977</v>
      </c>
      <c r="I74" s="58">
        <f>+I73/'I. General_Invest_parameters'!$B$6</f>
        <v>980099.99999999977</v>
      </c>
      <c r="J74" s="58">
        <f>+J73/'I. General_Invest_parameters'!$B$6</f>
        <v>980099.99999999977</v>
      </c>
      <c r="K74" s="58">
        <f>+K73/'I. General_Invest_parameters'!$B$6</f>
        <v>980099.99999999977</v>
      </c>
      <c r="L74" s="14"/>
    </row>
    <row r="75" spans="1:12" x14ac:dyDescent="0.25">
      <c r="A75" s="14"/>
      <c r="B75" s="14"/>
      <c r="C75" s="14"/>
      <c r="D75" s="10"/>
      <c r="E75" s="14"/>
      <c r="F75" s="14"/>
      <c r="G75" s="14"/>
      <c r="H75" s="14"/>
      <c r="I75" s="14"/>
      <c r="J75" s="14"/>
      <c r="K75" s="14"/>
      <c r="L75" s="14"/>
    </row>
    <row r="76" spans="1:12" x14ac:dyDescent="0.25">
      <c r="A76" s="14"/>
      <c r="B76" s="14"/>
      <c r="C76" s="7"/>
      <c r="D76" s="16"/>
      <c r="E76" s="14"/>
      <c r="F76" s="7"/>
      <c r="G76" s="7"/>
      <c r="H76" s="14"/>
      <c r="I76" s="14"/>
      <c r="J76" s="14"/>
      <c r="K76" s="14"/>
      <c r="L76" s="14"/>
    </row>
    <row r="77" spans="1:12" x14ac:dyDescent="0.25">
      <c r="A77" s="14"/>
      <c r="B77" s="14"/>
      <c r="C77" s="14"/>
      <c r="D77" s="213"/>
      <c r="E77" s="14"/>
      <c r="F77" s="14"/>
      <c r="G77" s="14"/>
      <c r="H77" s="14"/>
      <c r="I77" s="14"/>
      <c r="J77" s="14"/>
      <c r="K77" s="14"/>
      <c r="L77" s="14"/>
    </row>
  </sheetData>
  <mergeCells count="11">
    <mergeCell ref="C2:C21"/>
    <mergeCell ref="E24:E29"/>
    <mergeCell ref="A56:E56"/>
    <mergeCell ref="C23:D23"/>
    <mergeCell ref="H33:N33"/>
    <mergeCell ref="A32:A34"/>
    <mergeCell ref="B32:B34"/>
    <mergeCell ref="C32:C34"/>
    <mergeCell ref="D33:G33"/>
    <mergeCell ref="D32:N32"/>
    <mergeCell ref="F56:J56"/>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23"/>
  <sheetViews>
    <sheetView topLeftCell="A4" workbookViewId="0">
      <selection activeCell="M18" sqref="M18"/>
    </sheetView>
  </sheetViews>
  <sheetFormatPr baseColWidth="10" defaultColWidth="11.42578125" defaultRowHeight="15" x14ac:dyDescent="0.25"/>
  <cols>
    <col min="1" max="1" width="4.5703125" customWidth="1"/>
    <col min="2" max="2" width="8.42578125" style="14" customWidth="1"/>
    <col min="3" max="3" width="11.5703125" customWidth="1"/>
    <col min="4" max="4" width="8.28515625" customWidth="1"/>
    <col min="5" max="5" width="13.5703125" customWidth="1"/>
    <col min="6" max="6" width="8.140625" customWidth="1"/>
    <col min="7" max="7" width="13.7109375" customWidth="1"/>
    <col min="8" max="8" width="8.28515625" customWidth="1"/>
    <col min="9" max="9" width="13.42578125" customWidth="1"/>
    <col min="10" max="10" width="15.5703125" customWidth="1"/>
  </cols>
  <sheetData>
    <row r="1" spans="1:13" x14ac:dyDescent="0.25">
      <c r="A1" s="356" t="s">
        <v>343</v>
      </c>
      <c r="B1" s="357" t="s">
        <v>344</v>
      </c>
      <c r="C1" s="357"/>
      <c r="D1" s="357"/>
      <c r="E1" s="357"/>
      <c r="F1" s="357"/>
      <c r="G1" s="357"/>
      <c r="H1" s="357"/>
      <c r="I1" s="357"/>
      <c r="J1" s="357"/>
      <c r="K1" s="14"/>
      <c r="L1" s="14"/>
      <c r="M1" s="14"/>
    </row>
    <row r="2" spans="1:13" x14ac:dyDescent="0.25">
      <c r="A2" s="356"/>
      <c r="B2" s="355">
        <v>0.25</v>
      </c>
      <c r="C2" s="355"/>
      <c r="D2" s="355">
        <v>0.5</v>
      </c>
      <c r="E2" s="355"/>
      <c r="F2" s="355">
        <v>0.75</v>
      </c>
      <c r="G2" s="355"/>
      <c r="H2" s="355">
        <v>1</v>
      </c>
      <c r="I2" s="355"/>
      <c r="J2" s="358" t="s">
        <v>345</v>
      </c>
      <c r="K2" s="14"/>
      <c r="L2" s="14"/>
      <c r="M2" s="14"/>
    </row>
    <row r="3" spans="1:13" ht="33" customHeight="1" x14ac:dyDescent="0.25">
      <c r="A3" s="356"/>
      <c r="B3" s="201" t="s">
        <v>260</v>
      </c>
      <c r="C3" s="276" t="s">
        <v>346</v>
      </c>
      <c r="D3" s="201" t="s">
        <v>260</v>
      </c>
      <c r="E3" s="276" t="s">
        <v>346</v>
      </c>
      <c r="F3" s="201" t="s">
        <v>260</v>
      </c>
      <c r="G3" s="276" t="s">
        <v>346</v>
      </c>
      <c r="H3" s="201" t="s">
        <v>260</v>
      </c>
      <c r="I3" s="276" t="s">
        <v>346</v>
      </c>
      <c r="J3" s="358"/>
      <c r="K3" s="14"/>
      <c r="L3" s="14"/>
      <c r="M3" s="14"/>
    </row>
    <row r="4" spans="1:13" ht="15" customHeight="1" x14ac:dyDescent="0.25">
      <c r="A4" s="202">
        <v>1</v>
      </c>
      <c r="B4" s="278">
        <v>0.55344513459568345</v>
      </c>
      <c r="C4" s="204">
        <v>2767225.672978417</v>
      </c>
      <c r="D4" s="278">
        <f>+'X. Totalcarbonflow'!C39</f>
        <v>1.1068902691913614</v>
      </c>
      <c r="E4" s="204">
        <f>+'X. Totalcarbonflow'!D39</f>
        <v>5534451.3459568061</v>
      </c>
      <c r="F4" s="203">
        <v>1.6603354037870504</v>
      </c>
      <c r="G4" s="204">
        <v>8301677.018935252</v>
      </c>
      <c r="H4" s="203">
        <v>2.2137805383827338</v>
      </c>
      <c r="I4" s="204">
        <v>11068902.691913668</v>
      </c>
      <c r="J4" s="351" t="s">
        <v>347</v>
      </c>
      <c r="K4" s="14"/>
      <c r="L4" s="14"/>
      <c r="M4" s="14"/>
    </row>
    <row r="5" spans="1:13" x14ac:dyDescent="0.25">
      <c r="A5" s="202">
        <v>2</v>
      </c>
      <c r="B5" s="278">
        <v>1.2780887151285569</v>
      </c>
      <c r="C5" s="204">
        <v>6390443.5756427841</v>
      </c>
      <c r="D5" s="278">
        <f>+'X. Totalcarbonflow'!C40</f>
        <v>2.5561774302571023</v>
      </c>
      <c r="E5" s="204">
        <f>+'X. Totalcarbonflow'!D40</f>
        <v>12780887.151285512</v>
      </c>
      <c r="F5" s="203">
        <v>3.8342661453856706</v>
      </c>
      <c r="G5" s="204">
        <v>19171330.726928353</v>
      </c>
      <c r="H5" s="203">
        <v>5.1123548605142277</v>
      </c>
      <c r="I5" s="204">
        <v>25561774.302571137</v>
      </c>
      <c r="J5" s="351"/>
      <c r="K5" s="14"/>
      <c r="L5" s="14"/>
      <c r="M5" s="14"/>
    </row>
    <row r="6" spans="1:13" x14ac:dyDescent="0.25">
      <c r="A6" s="202">
        <v>3</v>
      </c>
      <c r="B6" s="278">
        <v>2.2652132069190358</v>
      </c>
      <c r="C6" s="204">
        <v>11326066.03459518</v>
      </c>
      <c r="D6" s="278">
        <f>+'X. Totalcarbonflow'!C41</f>
        <v>4.5304264138380539</v>
      </c>
      <c r="E6" s="204">
        <f>+'X. Totalcarbonflow'!D41</f>
        <v>22652132.069190271</v>
      </c>
      <c r="F6" s="203">
        <v>6.7956396207571075</v>
      </c>
      <c r="G6" s="204">
        <v>33978198.103785537</v>
      </c>
      <c r="H6" s="203">
        <v>9.0608528276761433</v>
      </c>
      <c r="I6" s="204">
        <v>45304264.138380721</v>
      </c>
      <c r="J6" s="351"/>
      <c r="K6" s="14"/>
      <c r="L6" s="14"/>
      <c r="M6" s="14"/>
    </row>
    <row r="7" spans="1:13" x14ac:dyDescent="0.25">
      <c r="A7" s="202">
        <v>4</v>
      </c>
      <c r="B7" s="278">
        <v>3.3659899321680604</v>
      </c>
      <c r="C7" s="204">
        <v>16829949.660840303</v>
      </c>
      <c r="D7" s="278">
        <f>+'X. Totalcarbonflow'!C42</f>
        <v>6.7319798643360986</v>
      </c>
      <c r="E7" s="204">
        <f>+'X. Totalcarbonflow'!D42</f>
        <v>33659899.321680494</v>
      </c>
      <c r="F7" s="203">
        <v>10.097969796504181</v>
      </c>
      <c r="G7" s="204">
        <v>50489848.982520908</v>
      </c>
      <c r="H7" s="203">
        <v>13.463959728672242</v>
      </c>
      <c r="I7" s="204">
        <v>67319798.643361211</v>
      </c>
      <c r="J7" s="351"/>
      <c r="K7" s="14"/>
      <c r="L7" s="14"/>
      <c r="M7" s="14"/>
    </row>
    <row r="8" spans="1:13" x14ac:dyDescent="0.25">
      <c r="A8" s="202">
        <v>5</v>
      </c>
      <c r="B8" s="278">
        <v>4.5504878219142633</v>
      </c>
      <c r="C8" s="204">
        <v>22752439.109571315</v>
      </c>
      <c r="D8" s="278">
        <f>+'X. Totalcarbonflow'!C43</f>
        <v>9.1009756438284981</v>
      </c>
      <c r="E8" s="204">
        <f>+'X. Totalcarbonflow'!D43</f>
        <v>45504878.219142489</v>
      </c>
      <c r="F8" s="203">
        <v>13.65146346574279</v>
      </c>
      <c r="G8" s="204">
        <v>68257317.328713953</v>
      </c>
      <c r="H8" s="203">
        <v>18.201951287657053</v>
      </c>
      <c r="I8" s="204">
        <v>91009756.438285261</v>
      </c>
      <c r="J8" s="351"/>
      <c r="K8" s="14"/>
      <c r="L8" s="14"/>
      <c r="M8" s="14"/>
    </row>
    <row r="9" spans="1:13" ht="15" customHeight="1" x14ac:dyDescent="0.25">
      <c r="A9" s="202">
        <v>6</v>
      </c>
      <c r="B9" s="278">
        <v>5.566425682437349</v>
      </c>
      <c r="C9" s="204">
        <v>27832128.412186746</v>
      </c>
      <c r="D9" s="278">
        <f>+'X. Totalcarbonflow'!C44</f>
        <v>11.132851364874664</v>
      </c>
      <c r="E9" s="204">
        <f>+'X. Totalcarbonflow'!D44</f>
        <v>55664256.82437332</v>
      </c>
      <c r="F9" s="203">
        <v>16.699277047312048</v>
      </c>
      <c r="G9" s="204">
        <v>83496385.23656024</v>
      </c>
      <c r="H9" s="203">
        <v>22.265702729749396</v>
      </c>
      <c r="I9" s="204">
        <v>111328513.64874698</v>
      </c>
      <c r="J9" s="352" t="s">
        <v>348</v>
      </c>
      <c r="K9" s="14"/>
      <c r="L9" s="14"/>
      <c r="M9" s="14"/>
    </row>
    <row r="10" spans="1:13" x14ac:dyDescent="0.25">
      <c r="A10" s="200">
        <v>7</v>
      </c>
      <c r="B10" s="279">
        <v>6.3991797471959604</v>
      </c>
      <c r="C10" s="206">
        <v>31995898.735979799</v>
      </c>
      <c r="D10" s="278">
        <f>+'X. Totalcarbonflow'!C45</f>
        <v>12.79835949439188</v>
      </c>
      <c r="E10" s="204">
        <f>+'X. Totalcarbonflow'!D45</f>
        <v>63991797.471959397</v>
      </c>
      <c r="F10" s="205">
        <v>19.197539241587879</v>
      </c>
      <c r="G10" s="206">
        <v>95987696.207939401</v>
      </c>
      <c r="H10" s="205">
        <v>25.596718988783842</v>
      </c>
      <c r="I10" s="206">
        <v>127983594.9439192</v>
      </c>
      <c r="J10" s="353"/>
      <c r="K10" s="14"/>
      <c r="L10" s="9"/>
      <c r="M10" s="14"/>
    </row>
    <row r="11" spans="1:13" x14ac:dyDescent="0.25">
      <c r="A11" s="202">
        <v>8</v>
      </c>
      <c r="B11" s="278">
        <v>7.8895385950974477</v>
      </c>
      <c r="C11" s="204">
        <v>39447692.97548724</v>
      </c>
      <c r="D11" s="278">
        <f>+'X. Totalcarbonflow'!C46</f>
        <v>15.779077190194849</v>
      </c>
      <c r="E11" s="204">
        <f>+'X. Totalcarbonflow'!D46</f>
        <v>78895385.950974241</v>
      </c>
      <c r="F11" s="203">
        <v>23.668615785292342</v>
      </c>
      <c r="G11" s="204">
        <v>118343078.92646171</v>
      </c>
      <c r="H11" s="203">
        <v>31.558154380389791</v>
      </c>
      <c r="I11" s="204">
        <v>157790771.90194896</v>
      </c>
      <c r="J11" s="353"/>
      <c r="K11" s="14"/>
      <c r="L11" s="14"/>
      <c r="M11" s="14"/>
    </row>
    <row r="12" spans="1:13" x14ac:dyDescent="0.25">
      <c r="A12" s="202">
        <v>9</v>
      </c>
      <c r="B12" s="278">
        <v>9.313006524072069</v>
      </c>
      <c r="C12" s="204">
        <v>46565032.620360345</v>
      </c>
      <c r="D12" s="278">
        <f>+'X. Totalcarbonflow'!C47</f>
        <v>18.626013048144081</v>
      </c>
      <c r="E12" s="204">
        <f>+'X. Totalcarbonflow'!D47</f>
        <v>93130065.240720391</v>
      </c>
      <c r="F12" s="203">
        <v>27.93901957221621</v>
      </c>
      <c r="G12" s="204">
        <v>139695097.86108103</v>
      </c>
      <c r="H12" s="203">
        <v>37.252026096288276</v>
      </c>
      <c r="I12" s="204">
        <v>186260130.48144138</v>
      </c>
      <c r="J12" s="353"/>
      <c r="K12" s="14"/>
      <c r="L12" s="14"/>
      <c r="M12" s="14"/>
    </row>
    <row r="13" spans="1:13" x14ac:dyDescent="0.25">
      <c r="A13" s="202">
        <v>10</v>
      </c>
      <c r="B13" s="278">
        <v>10.669583534119822</v>
      </c>
      <c r="C13" s="204">
        <v>53347917.67059911</v>
      </c>
      <c r="D13" s="278">
        <f>+'X. Totalcarbonflow'!C48</f>
        <v>21.339167068239576</v>
      </c>
      <c r="E13" s="204">
        <f>+'X. Totalcarbonflow'!D48</f>
        <v>106695835.34119788</v>
      </c>
      <c r="F13" s="203">
        <v>32.008750602359463</v>
      </c>
      <c r="G13" s="204">
        <v>160043753.01179734</v>
      </c>
      <c r="H13" s="203">
        <v>42.678334136479286</v>
      </c>
      <c r="I13" s="204">
        <v>213391670.68239644</v>
      </c>
      <c r="J13" s="353"/>
      <c r="K13" s="14"/>
      <c r="L13" s="14"/>
      <c r="M13" s="14"/>
    </row>
    <row r="14" spans="1:13" ht="15" customHeight="1" x14ac:dyDescent="0.25">
      <c r="A14" s="202">
        <v>11</v>
      </c>
      <c r="B14" s="278">
        <v>12.026160544167574</v>
      </c>
      <c r="C14" s="204">
        <v>60130802.720837876</v>
      </c>
      <c r="D14" s="278">
        <f>+'X. Totalcarbonflow'!C49</f>
        <v>24.052321088335074</v>
      </c>
      <c r="E14" s="204">
        <f>+'X. Totalcarbonflow'!D49</f>
        <v>120261605.44167536</v>
      </c>
      <c r="F14" s="203">
        <v>36.078481632502722</v>
      </c>
      <c r="G14" s="204">
        <v>180392408.16251361</v>
      </c>
      <c r="H14" s="203">
        <v>48.104642176670296</v>
      </c>
      <c r="I14" s="204">
        <v>240523210.8833515</v>
      </c>
      <c r="J14" s="353"/>
      <c r="K14" s="14"/>
      <c r="L14" s="14"/>
      <c r="M14" s="14"/>
    </row>
    <row r="15" spans="1:13" x14ac:dyDescent="0.25">
      <c r="A15" s="202">
        <v>12</v>
      </c>
      <c r="B15" s="278">
        <v>13.379676061917516</v>
      </c>
      <c r="C15" s="204">
        <v>66898380.309587575</v>
      </c>
      <c r="D15" s="278">
        <f>+'X. Totalcarbonflow'!C50</f>
        <v>26.759352123834947</v>
      </c>
      <c r="E15" s="204">
        <f>+'X. Totalcarbonflow'!D50</f>
        <v>133796760.61917475</v>
      </c>
      <c r="F15" s="203">
        <v>40.139028185752551</v>
      </c>
      <c r="G15" s="204">
        <v>200695140.92876273</v>
      </c>
      <c r="H15" s="203">
        <v>53.518704247670065</v>
      </c>
      <c r="I15" s="204">
        <v>267593521.2383503</v>
      </c>
      <c r="J15" s="353"/>
      <c r="K15" s="14"/>
      <c r="L15" s="14"/>
      <c r="M15" s="14"/>
    </row>
    <row r="16" spans="1:13" x14ac:dyDescent="0.25">
      <c r="A16" s="202">
        <v>13</v>
      </c>
      <c r="B16" s="278">
        <v>14.666184071954376</v>
      </c>
      <c r="C16" s="204">
        <v>73330920.359771878</v>
      </c>
      <c r="D16" s="278">
        <f>+'X. Totalcarbonflow'!C51</f>
        <v>29.33236814390866</v>
      </c>
      <c r="E16" s="204">
        <f>+'X. Totalcarbonflow'!D51</f>
        <v>146661840.71954331</v>
      </c>
      <c r="F16" s="278">
        <v>43.998552215863128</v>
      </c>
      <c r="G16" s="204">
        <v>219992761.07931566</v>
      </c>
      <c r="H16" s="278">
        <v>58.664736287817504</v>
      </c>
      <c r="I16" s="204">
        <v>293323681.43908751</v>
      </c>
      <c r="J16" s="353"/>
      <c r="K16" s="14"/>
      <c r="L16" s="14"/>
      <c r="M16" s="14"/>
    </row>
    <row r="17" spans="1:10" x14ac:dyDescent="0.25">
      <c r="A17" s="202">
        <v>14</v>
      </c>
      <c r="B17" s="278">
        <v>15.952692081991232</v>
      </c>
      <c r="C17" s="204">
        <v>79763460.409956157</v>
      </c>
      <c r="D17" s="278">
        <f>+'X. Totalcarbonflow'!C52</f>
        <v>31.905384163982369</v>
      </c>
      <c r="E17" s="204">
        <f>+'X. Totalcarbonflow'!D52</f>
        <v>159526920.81991184</v>
      </c>
      <c r="F17" s="278">
        <v>47.858076245973699</v>
      </c>
      <c r="G17" s="204">
        <v>239290381.2298685</v>
      </c>
      <c r="H17" s="278">
        <v>63.810768327964929</v>
      </c>
      <c r="I17" s="204">
        <v>319053841.63982463</v>
      </c>
      <c r="J17" s="353"/>
    </row>
    <row r="18" spans="1:10" x14ac:dyDescent="0.25">
      <c r="A18" s="202">
        <v>15</v>
      </c>
      <c r="B18" s="278">
        <v>17.239200092028096</v>
      </c>
      <c r="C18" s="204">
        <v>86196000.460140482</v>
      </c>
      <c r="D18" s="278">
        <f>+'X. Totalcarbonflow'!C53</f>
        <v>34.478400184056071</v>
      </c>
      <c r="E18" s="204">
        <f>+'X. Totalcarbonflow'!D53</f>
        <v>172392000.92028037</v>
      </c>
      <c r="F18" s="278">
        <v>51.717600276084291</v>
      </c>
      <c r="G18" s="204">
        <v>258588001.38042146</v>
      </c>
      <c r="H18" s="278">
        <v>68.956800368112383</v>
      </c>
      <c r="I18" s="204">
        <v>344784001.84056193</v>
      </c>
      <c r="J18" s="353"/>
    </row>
    <row r="19" spans="1:10" ht="15" customHeight="1" x14ac:dyDescent="0.25">
      <c r="A19" s="202">
        <v>16</v>
      </c>
      <c r="B19" s="278">
        <v>18.522646609767143</v>
      </c>
      <c r="C19" s="204">
        <v>92613233.04883571</v>
      </c>
      <c r="D19" s="278">
        <f>+'X. Totalcarbonflow'!C54</f>
        <v>37.045293219534166</v>
      </c>
      <c r="E19" s="204">
        <f>+'X. Totalcarbonflow'!D54</f>
        <v>185226466.09767082</v>
      </c>
      <c r="F19" s="278">
        <v>55.56793982930143</v>
      </c>
      <c r="G19" s="204">
        <v>277839699.14650714</v>
      </c>
      <c r="H19" s="278">
        <v>74.090586439068574</v>
      </c>
      <c r="I19" s="204">
        <v>370452932.19534284</v>
      </c>
      <c r="J19" s="353"/>
    </row>
    <row r="20" spans="1:10" x14ac:dyDescent="0.25">
      <c r="A20" s="202">
        <v>17</v>
      </c>
      <c r="B20" s="278">
        <v>19.806093127506188</v>
      </c>
      <c r="C20" s="204">
        <v>99030465.637530953</v>
      </c>
      <c r="D20" s="278">
        <f>+'X. Totalcarbonflow'!C55</f>
        <v>39.612186255012261</v>
      </c>
      <c r="E20" s="204">
        <f>+'X. Totalcarbonflow'!D55</f>
        <v>198060931.27506131</v>
      </c>
      <c r="F20" s="278">
        <v>59.41827938251857</v>
      </c>
      <c r="G20" s="204">
        <v>297091396.91259283</v>
      </c>
      <c r="H20" s="278">
        <v>79.22437251002475</v>
      </c>
      <c r="I20" s="204">
        <v>396121862.55012381</v>
      </c>
      <c r="J20" s="353"/>
    </row>
    <row r="21" spans="1:10" x14ac:dyDescent="0.25">
      <c r="A21" s="202">
        <v>18</v>
      </c>
      <c r="B21" s="278">
        <v>21.088008899096337</v>
      </c>
      <c r="C21" s="204">
        <v>105440044.49548168</v>
      </c>
      <c r="D21" s="278">
        <f>+'X. Totalcarbonflow'!C56</f>
        <v>42.176017798192532</v>
      </c>
      <c r="E21" s="204">
        <f>+'X. Totalcarbonflow'!D56</f>
        <v>210880088.99096265</v>
      </c>
      <c r="F21" s="278">
        <v>63.264026697289005</v>
      </c>
      <c r="G21" s="204">
        <v>316320133.48644501</v>
      </c>
      <c r="H21" s="278">
        <v>84.352035596385349</v>
      </c>
      <c r="I21" s="204">
        <v>421760177.98192674</v>
      </c>
      <c r="J21" s="353"/>
    </row>
    <row r="22" spans="1:10" x14ac:dyDescent="0.25">
      <c r="A22" s="202">
        <v>19</v>
      </c>
      <c r="B22" s="278">
        <v>22.369924670686476</v>
      </c>
      <c r="C22" s="204">
        <v>111849623.35343239</v>
      </c>
      <c r="D22" s="278">
        <f>+'X. Totalcarbonflow'!C57</f>
        <v>44.739849341372803</v>
      </c>
      <c r="E22" s="204">
        <f>+'X. Totalcarbonflow'!D57</f>
        <v>223699246.706864</v>
      </c>
      <c r="F22" s="278">
        <v>67.109774012059418</v>
      </c>
      <c r="G22" s="204">
        <v>335548870.06029713</v>
      </c>
      <c r="H22" s="278">
        <v>89.479698682745905</v>
      </c>
      <c r="I22" s="204">
        <v>447398493.41372955</v>
      </c>
      <c r="J22" s="353"/>
    </row>
    <row r="23" spans="1:10" x14ac:dyDescent="0.25">
      <c r="A23" s="202">
        <v>20</v>
      </c>
      <c r="B23" s="278">
        <v>23.651840442276619</v>
      </c>
      <c r="C23" s="204">
        <v>118259202.2113831</v>
      </c>
      <c r="D23" s="278">
        <f>+'X. Totalcarbonflow'!C58</f>
        <v>47.303680884553081</v>
      </c>
      <c r="E23" s="204">
        <f>+'X. Totalcarbonflow'!D58</f>
        <v>236518404.4227654</v>
      </c>
      <c r="F23" s="278">
        <v>70.955521326829853</v>
      </c>
      <c r="G23" s="204">
        <v>354777606.63414925</v>
      </c>
      <c r="H23" s="278">
        <v>94.607361769106475</v>
      </c>
      <c r="I23" s="204">
        <v>473036808.84553242</v>
      </c>
      <c r="J23" s="354"/>
    </row>
  </sheetData>
  <mergeCells count="9">
    <mergeCell ref="J4:J8"/>
    <mergeCell ref="J9:J23"/>
    <mergeCell ref="B2:C2"/>
    <mergeCell ref="A1:A3"/>
    <mergeCell ref="D2:E2"/>
    <mergeCell ref="F2:G2"/>
    <mergeCell ref="H2:I2"/>
    <mergeCell ref="B1:J1"/>
    <mergeCell ref="J2:J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election activeCell="D13" sqref="D13"/>
    </sheetView>
  </sheetViews>
  <sheetFormatPr baseColWidth="10" defaultColWidth="11.42578125" defaultRowHeight="15" x14ac:dyDescent="0.25"/>
  <cols>
    <col min="1" max="1" width="44.5703125" customWidth="1"/>
    <col min="2" max="3" width="27.28515625" customWidth="1"/>
    <col min="4" max="4" width="26.7109375" customWidth="1"/>
    <col min="5" max="5" width="29.42578125" customWidth="1"/>
  </cols>
  <sheetData>
    <row r="1" spans="1:5" ht="39" thickBot="1" x14ac:dyDescent="0.3">
      <c r="A1" s="169" t="s">
        <v>349</v>
      </c>
      <c r="B1" s="199" t="s">
        <v>350</v>
      </c>
      <c r="C1" s="199" t="s">
        <v>351</v>
      </c>
      <c r="D1" s="199" t="s">
        <v>352</v>
      </c>
      <c r="E1" s="170" t="s">
        <v>353</v>
      </c>
    </row>
    <row r="2" spans="1:5" ht="15.75" thickBot="1" x14ac:dyDescent="0.3">
      <c r="A2" s="171" t="s">
        <v>354</v>
      </c>
      <c r="B2" s="277">
        <v>3.7133277237663238</v>
      </c>
      <c r="C2" s="277">
        <v>2.4457345113465085</v>
      </c>
      <c r="D2" s="277">
        <v>1.3549480199332014</v>
      </c>
      <c r="E2" s="277">
        <v>0.55257998200937408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tabColor theme="2" tint="-0.249977111117893"/>
  </sheetPr>
  <dimension ref="A1:D22"/>
  <sheetViews>
    <sheetView topLeftCell="A2" workbookViewId="0">
      <selection activeCell="G14" sqref="G14"/>
    </sheetView>
  </sheetViews>
  <sheetFormatPr baseColWidth="10" defaultColWidth="11.42578125" defaultRowHeight="15" x14ac:dyDescent="0.25"/>
  <cols>
    <col min="1" max="1" width="85" bestFit="1" customWidth="1"/>
    <col min="2" max="2" width="16.85546875" customWidth="1"/>
    <col min="4" max="4" width="19.28515625" customWidth="1"/>
  </cols>
  <sheetData>
    <row r="1" spans="1:4" s="14" customFormat="1" x14ac:dyDescent="0.25">
      <c r="A1" s="214" t="s">
        <v>32</v>
      </c>
      <c r="B1" s="222" t="s">
        <v>33</v>
      </c>
      <c r="C1" s="214" t="s">
        <v>34</v>
      </c>
      <c r="D1" s="214" t="s">
        <v>35</v>
      </c>
    </row>
    <row r="2" spans="1:4" x14ac:dyDescent="0.25">
      <c r="A2" s="1" t="s">
        <v>36</v>
      </c>
      <c r="B2" s="1">
        <v>20</v>
      </c>
      <c r="C2" s="1" t="s">
        <v>37</v>
      </c>
      <c r="D2" s="1"/>
    </row>
    <row r="3" spans="1:4" x14ac:dyDescent="0.25">
      <c r="A3" s="1" t="s">
        <v>38</v>
      </c>
      <c r="B3" s="1">
        <v>7</v>
      </c>
      <c r="C3" s="1" t="s">
        <v>37</v>
      </c>
      <c r="D3" s="1"/>
    </row>
    <row r="4" spans="1:4" s="14" customFormat="1" x14ac:dyDescent="0.25">
      <c r="A4" s="1" t="s">
        <v>39</v>
      </c>
      <c r="B4" s="1">
        <v>7</v>
      </c>
      <c r="C4" s="1" t="s">
        <v>37</v>
      </c>
      <c r="D4" s="1"/>
    </row>
    <row r="5" spans="1:4" x14ac:dyDescent="0.25">
      <c r="A5" s="175" t="s">
        <v>40</v>
      </c>
      <c r="B5" s="1">
        <v>5</v>
      </c>
      <c r="C5" s="1" t="s">
        <v>37</v>
      </c>
      <c r="D5" s="1"/>
    </row>
    <row r="6" spans="1:4" x14ac:dyDescent="0.25">
      <c r="A6" s="1" t="s">
        <v>41</v>
      </c>
      <c r="B6" s="1">
        <v>5</v>
      </c>
      <c r="C6" s="1" t="s">
        <v>42</v>
      </c>
      <c r="D6" s="1" t="s">
        <v>43</v>
      </c>
    </row>
    <row r="7" spans="1:4" x14ac:dyDescent="0.25">
      <c r="A7" s="1" t="s">
        <v>44</v>
      </c>
      <c r="B7" s="1">
        <v>30</v>
      </c>
      <c r="C7" s="1" t="s">
        <v>42</v>
      </c>
      <c r="D7" s="1" t="s">
        <v>43</v>
      </c>
    </row>
    <row r="8" spans="1:4" ht="14.25" customHeight="1" x14ac:dyDescent="0.25">
      <c r="A8" s="1" t="s">
        <v>45</v>
      </c>
      <c r="B8" s="1">
        <v>5</v>
      </c>
      <c r="C8" s="1" t="s">
        <v>46</v>
      </c>
      <c r="D8" s="1"/>
    </row>
    <row r="9" spans="1:4" x14ac:dyDescent="0.25">
      <c r="A9" s="1" t="s">
        <v>47</v>
      </c>
      <c r="B9" s="1">
        <v>100</v>
      </c>
      <c r="C9" s="1" t="s">
        <v>46</v>
      </c>
      <c r="D9" s="1"/>
    </row>
    <row r="10" spans="1:4" x14ac:dyDescent="0.25">
      <c r="A10" s="1" t="s">
        <v>48</v>
      </c>
      <c r="B10" s="64">
        <v>0.08</v>
      </c>
      <c r="C10" s="1"/>
      <c r="D10" s="1" t="s">
        <v>49</v>
      </c>
    </row>
    <row r="11" spans="1:4" s="14" customFormat="1" x14ac:dyDescent="0.25">
      <c r="A11" s="1" t="s">
        <v>50</v>
      </c>
      <c r="B11" s="64"/>
      <c r="C11" s="1"/>
      <c r="D11" s="1"/>
    </row>
    <row r="12" spans="1:4" x14ac:dyDescent="0.25">
      <c r="A12" s="1" t="s">
        <v>51</v>
      </c>
      <c r="B12" s="64">
        <v>0.51</v>
      </c>
      <c r="C12" s="1"/>
      <c r="D12" s="1"/>
    </row>
    <row r="13" spans="1:4" x14ac:dyDescent="0.25">
      <c r="A13" s="1" t="s">
        <v>52</v>
      </c>
      <c r="B13" s="64">
        <v>0.49</v>
      </c>
      <c r="C13" s="1"/>
      <c r="D13" s="1"/>
    </row>
    <row r="14" spans="1:4" s="14" customFormat="1" x14ac:dyDescent="0.25">
      <c r="A14" s="1"/>
      <c r="B14" s="64"/>
      <c r="C14" s="1"/>
      <c r="D14" s="1"/>
    </row>
    <row r="15" spans="1:4" x14ac:dyDescent="0.25">
      <c r="A15" s="216" t="s">
        <v>53</v>
      </c>
      <c r="B15" s="216" t="s">
        <v>54</v>
      </c>
      <c r="C15" s="113"/>
      <c r="D15" s="1"/>
    </row>
    <row r="16" spans="1:4" x14ac:dyDescent="0.25">
      <c r="A16" s="1" t="s">
        <v>55</v>
      </c>
      <c r="B16" s="1">
        <v>1.05</v>
      </c>
      <c r="C16" s="1"/>
      <c r="D16" s="1" t="s">
        <v>49</v>
      </c>
    </row>
    <row r="17" spans="1:4" x14ac:dyDescent="0.25">
      <c r="A17" s="1" t="s">
        <v>56</v>
      </c>
      <c r="B17" s="1">
        <v>0.83</v>
      </c>
      <c r="C17" s="1"/>
      <c r="D17" s="1" t="s">
        <v>49</v>
      </c>
    </row>
    <row r="18" spans="1:4" x14ac:dyDescent="0.25">
      <c r="A18" s="1" t="s">
        <v>57</v>
      </c>
      <c r="B18" s="1">
        <v>0.82</v>
      </c>
      <c r="C18" s="1"/>
      <c r="D18" s="1" t="s">
        <v>49</v>
      </c>
    </row>
    <row r="19" spans="1:4" x14ac:dyDescent="0.25">
      <c r="A19" s="1" t="s">
        <v>58</v>
      </c>
      <c r="B19" s="64">
        <v>0.15</v>
      </c>
      <c r="C19" s="1"/>
      <c r="D19" s="1" t="s">
        <v>49</v>
      </c>
    </row>
    <row r="20" spans="1:4" x14ac:dyDescent="0.25">
      <c r="A20" s="1" t="s">
        <v>59</v>
      </c>
      <c r="B20" s="127">
        <v>0.86956521739130443</v>
      </c>
      <c r="C20" s="1"/>
      <c r="D20" s="1" t="s">
        <v>49</v>
      </c>
    </row>
    <row r="21" spans="1:4" x14ac:dyDescent="0.25">
      <c r="A21" s="1" t="s">
        <v>60</v>
      </c>
      <c r="B21" s="1">
        <v>1</v>
      </c>
      <c r="C21" s="1"/>
      <c r="D21" s="1" t="s">
        <v>49</v>
      </c>
    </row>
    <row r="22" spans="1:4" x14ac:dyDescent="0.25">
      <c r="A22" s="1" t="s">
        <v>44</v>
      </c>
      <c r="B22" s="1">
        <v>30</v>
      </c>
      <c r="C22" s="1"/>
      <c r="D22" s="1"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tabColor theme="2" tint="-0.249977111117893"/>
  </sheetPr>
  <dimension ref="A1:G48"/>
  <sheetViews>
    <sheetView workbookViewId="0">
      <selection activeCell="C17" sqref="C17"/>
    </sheetView>
  </sheetViews>
  <sheetFormatPr baseColWidth="10" defaultColWidth="11.42578125" defaultRowHeight="15" x14ac:dyDescent="0.25"/>
  <cols>
    <col min="1" max="1" width="90.85546875" style="14" customWidth="1"/>
    <col min="2" max="2" width="20" style="14" customWidth="1"/>
    <col min="3" max="3" width="19.140625" style="14" customWidth="1"/>
    <col min="4" max="4" width="12" style="14" customWidth="1"/>
    <col min="5" max="5" width="14.42578125" style="14" customWidth="1"/>
    <col min="6" max="16384" width="11.42578125" style="14"/>
  </cols>
  <sheetData>
    <row r="1" spans="1:7" ht="15" customHeight="1" x14ac:dyDescent="0.25">
      <c r="A1" s="283" t="s">
        <v>61</v>
      </c>
      <c r="B1" s="283" t="s">
        <v>62</v>
      </c>
      <c r="C1" s="284" t="s">
        <v>63</v>
      </c>
      <c r="D1" s="284"/>
      <c r="E1" s="284"/>
    </row>
    <row r="2" spans="1:7" ht="15" customHeight="1" x14ac:dyDescent="0.25">
      <c r="A2" s="283"/>
      <c r="B2" s="283"/>
      <c r="C2" s="265" t="s">
        <v>64</v>
      </c>
      <c r="D2" s="265" t="s">
        <v>65</v>
      </c>
      <c r="E2" s="265" t="s">
        <v>66</v>
      </c>
    </row>
    <row r="3" spans="1:7" x14ac:dyDescent="0.25">
      <c r="A3" s="24" t="s">
        <v>67</v>
      </c>
      <c r="B3" s="131">
        <v>122610.38535077426</v>
      </c>
      <c r="C3" s="131">
        <v>61208.80440401443</v>
      </c>
      <c r="D3" s="131">
        <v>49064.933592233596</v>
      </c>
      <c r="E3" s="131">
        <v>12143.870811780831</v>
      </c>
      <c r="F3" s="16"/>
    </row>
    <row r="4" spans="1:7" x14ac:dyDescent="0.25">
      <c r="A4" s="126" t="s">
        <v>68</v>
      </c>
      <c r="B4" s="257">
        <v>14048.108951889253</v>
      </c>
      <c r="C4" s="257">
        <v>8850.308639690229</v>
      </c>
      <c r="D4" s="257">
        <v>8850.308639690229</v>
      </c>
      <c r="E4" s="257">
        <v>0</v>
      </c>
      <c r="F4" s="16"/>
    </row>
    <row r="5" spans="1:7" x14ac:dyDescent="0.25">
      <c r="A5" s="126" t="s">
        <v>69</v>
      </c>
      <c r="B5" s="257">
        <v>61593.214322430998</v>
      </c>
      <c r="C5" s="257">
        <v>12143.870811780831</v>
      </c>
      <c r="D5" s="257">
        <v>0</v>
      </c>
      <c r="E5" s="257">
        <v>12143.870811780831</v>
      </c>
      <c r="F5" s="16"/>
    </row>
    <row r="6" spans="1:7" x14ac:dyDescent="0.25">
      <c r="A6" s="126" t="s">
        <v>70</v>
      </c>
      <c r="B6" s="257">
        <v>46969.062076454007</v>
      </c>
      <c r="C6" s="257">
        <v>40214.624952543367</v>
      </c>
      <c r="D6" s="257">
        <v>40214.624952543367</v>
      </c>
      <c r="E6" s="257">
        <v>0</v>
      </c>
      <c r="F6" s="16"/>
    </row>
    <row r="7" spans="1:7" x14ac:dyDescent="0.25">
      <c r="A7" s="28" t="s">
        <v>71</v>
      </c>
      <c r="B7" s="132">
        <v>979955.22471262678</v>
      </c>
      <c r="C7" s="133">
        <v>541826.0429469269</v>
      </c>
      <c r="D7" s="133">
        <v>541826.0429469269</v>
      </c>
      <c r="E7" s="133">
        <v>0</v>
      </c>
      <c r="F7" s="16"/>
    </row>
    <row r="8" spans="1:7" x14ac:dyDescent="0.25">
      <c r="A8" s="25" t="s">
        <v>72</v>
      </c>
      <c r="B8" s="134">
        <v>554096.45319580031</v>
      </c>
      <c r="C8" s="135">
        <v>332033.3152308393</v>
      </c>
      <c r="D8" s="136">
        <v>332033.3152308393</v>
      </c>
      <c r="E8" s="136">
        <v>0</v>
      </c>
      <c r="F8" s="16"/>
      <c r="G8" s="16"/>
    </row>
    <row r="9" spans="1:7" x14ac:dyDescent="0.25">
      <c r="A9" s="25" t="s">
        <v>73</v>
      </c>
      <c r="B9" s="137">
        <v>425858.77151682641</v>
      </c>
      <c r="C9" s="135">
        <v>209792.72771608763</v>
      </c>
      <c r="D9" s="135">
        <v>209792.72771608763</v>
      </c>
      <c r="E9" s="136">
        <v>0</v>
      </c>
      <c r="F9" s="16"/>
    </row>
    <row r="10" spans="1:7" x14ac:dyDescent="0.25">
      <c r="A10" s="1" t="s">
        <v>74</v>
      </c>
      <c r="B10" s="138">
        <v>223384.91256616521</v>
      </c>
      <c r="C10" s="139">
        <v>78184.719398157817</v>
      </c>
      <c r="D10" s="140">
        <v>78184.719398157817</v>
      </c>
      <c r="E10" s="141">
        <v>0</v>
      </c>
      <c r="F10" s="16"/>
    </row>
    <row r="11" spans="1:7" x14ac:dyDescent="0.25">
      <c r="A11" s="1" t="s">
        <v>75</v>
      </c>
      <c r="B11" s="138">
        <v>202473.8589506612</v>
      </c>
      <c r="C11" s="139">
        <v>131608.00831792981</v>
      </c>
      <c r="D11" s="140">
        <v>131608.00831792981</v>
      </c>
      <c r="E11" s="141">
        <v>0</v>
      </c>
      <c r="F11" s="16"/>
    </row>
    <row r="12" spans="1:7" x14ac:dyDescent="0.25">
      <c r="A12" s="63" t="s">
        <v>64</v>
      </c>
      <c r="B12" s="132">
        <v>1102565.6100634011</v>
      </c>
      <c r="C12" s="132">
        <v>603034.84735094127</v>
      </c>
      <c r="D12" s="132">
        <v>590890.97653916047</v>
      </c>
      <c r="E12" s="132">
        <v>12143.870811780831</v>
      </c>
      <c r="F12" s="16"/>
    </row>
    <row r="13" spans="1:7" x14ac:dyDescent="0.25">
      <c r="A13" s="1"/>
      <c r="B13" s="142"/>
      <c r="C13" s="142"/>
      <c r="D13" s="142"/>
      <c r="E13" s="142"/>
      <c r="F13" s="16"/>
    </row>
    <row r="14" spans="1:7" x14ac:dyDescent="0.25">
      <c r="A14" s="130" t="s">
        <v>76</v>
      </c>
      <c r="B14" s="143">
        <v>1765259.4700083062</v>
      </c>
      <c r="C14" s="144">
        <v>1765259.4700083062</v>
      </c>
      <c r="D14" s="144">
        <v>1765259.4700083062</v>
      </c>
      <c r="E14" s="145">
        <v>0</v>
      </c>
      <c r="F14" s="16"/>
    </row>
    <row r="15" spans="1:7" ht="15.75" thickBot="1" x14ac:dyDescent="0.3">
      <c r="B15" s="151"/>
      <c r="C15" s="146"/>
      <c r="D15" s="128"/>
      <c r="E15" s="128"/>
    </row>
    <row r="16" spans="1:7" x14ac:dyDescent="0.25">
      <c r="A16" s="153" t="s">
        <v>77</v>
      </c>
      <c r="B16" s="154">
        <v>2319355.9232041063</v>
      </c>
      <c r="C16" s="152">
        <v>2097292.7852391456</v>
      </c>
      <c r="D16" s="71">
        <v>2097292.7852391456</v>
      </c>
      <c r="E16" s="71">
        <v>0</v>
      </c>
    </row>
    <row r="17" spans="2:3" x14ac:dyDescent="0.25">
      <c r="C17" s="16"/>
    </row>
    <row r="19" spans="2:3" x14ac:dyDescent="0.25">
      <c r="B19" s="7"/>
    </row>
    <row r="48" spans="3:3" x14ac:dyDescent="0.25">
      <c r="C48" s="16">
        <f>+'II. Area direct_indirect impact'!$B$8</f>
        <v>554096.45319580031</v>
      </c>
    </row>
  </sheetData>
  <mergeCells count="3">
    <mergeCell ref="B1:B2"/>
    <mergeCell ref="C1:E1"/>
    <mergeCell ref="A1:A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theme="2" tint="-0.249977111117893"/>
  </sheetPr>
  <dimension ref="A1:V68"/>
  <sheetViews>
    <sheetView topLeftCell="A48" workbookViewId="0">
      <selection activeCell="D63" sqref="D63"/>
    </sheetView>
  </sheetViews>
  <sheetFormatPr baseColWidth="10" defaultColWidth="11.42578125" defaultRowHeight="15" x14ac:dyDescent="0.25"/>
  <cols>
    <col min="1" max="1" width="77.42578125" style="14" bestFit="1" customWidth="1"/>
    <col min="2" max="2" width="14.5703125" style="14" customWidth="1"/>
    <col min="3" max="22" width="15.140625" style="14" bestFit="1" customWidth="1"/>
    <col min="23" max="16384" width="11.42578125" style="14"/>
  </cols>
  <sheetData>
    <row r="1" spans="1:22" x14ac:dyDescent="0.25">
      <c r="A1" s="296" t="s">
        <v>78</v>
      </c>
      <c r="B1" s="296"/>
      <c r="C1" s="296"/>
      <c r="D1" s="296"/>
      <c r="E1" s="296"/>
      <c r="F1" s="296"/>
      <c r="G1" s="296"/>
      <c r="H1" s="296"/>
      <c r="I1" s="296"/>
      <c r="J1" s="296"/>
      <c r="K1" s="296"/>
      <c r="L1" s="296"/>
      <c r="M1" s="296"/>
      <c r="N1" s="296"/>
      <c r="O1" s="296"/>
      <c r="P1" s="296"/>
      <c r="Q1" s="296"/>
      <c r="R1" s="296"/>
      <c r="S1" s="296"/>
      <c r="T1" s="296"/>
      <c r="U1" s="296"/>
      <c r="V1" s="296"/>
    </row>
    <row r="2" spans="1:22" ht="15" customHeight="1" x14ac:dyDescent="0.25">
      <c r="A2" s="289" t="s">
        <v>61</v>
      </c>
      <c r="B2" s="297" t="s">
        <v>64</v>
      </c>
      <c r="C2" s="283" t="s">
        <v>79</v>
      </c>
      <c r="D2" s="283"/>
      <c r="E2" s="283"/>
      <c r="F2" s="283"/>
      <c r="G2" s="283"/>
      <c r="H2" s="283"/>
      <c r="I2" s="283"/>
      <c r="J2" s="283"/>
      <c r="K2" s="283"/>
      <c r="L2" s="283"/>
      <c r="M2" s="283"/>
      <c r="N2" s="283"/>
      <c r="O2" s="283"/>
      <c r="P2" s="283"/>
      <c r="Q2" s="283"/>
      <c r="R2" s="283"/>
      <c r="S2" s="283"/>
      <c r="T2" s="283"/>
      <c r="U2" s="283"/>
      <c r="V2" s="283"/>
    </row>
    <row r="3" spans="1:22" ht="15" customHeight="1" x14ac:dyDescent="0.25">
      <c r="A3" s="289"/>
      <c r="B3" s="298"/>
      <c r="C3" s="300" t="s">
        <v>80</v>
      </c>
      <c r="D3" s="301"/>
      <c r="E3" s="301"/>
      <c r="F3" s="301"/>
      <c r="G3" s="301"/>
      <c r="H3" s="301"/>
      <c r="I3" s="301"/>
      <c r="J3" s="301" t="s">
        <v>81</v>
      </c>
      <c r="K3" s="301"/>
      <c r="L3" s="301"/>
      <c r="M3" s="301"/>
      <c r="N3" s="301"/>
      <c r="O3" s="301"/>
      <c r="P3" s="301"/>
      <c r="Q3" s="301"/>
      <c r="R3" s="301"/>
      <c r="S3" s="301"/>
      <c r="T3" s="301"/>
      <c r="U3" s="301"/>
      <c r="V3" s="302"/>
    </row>
    <row r="4" spans="1:22" x14ac:dyDescent="0.25">
      <c r="A4" s="289"/>
      <c r="B4" s="299"/>
      <c r="C4" s="265">
        <v>1</v>
      </c>
      <c r="D4" s="33">
        <v>2</v>
      </c>
      <c r="E4" s="265">
        <v>3</v>
      </c>
      <c r="F4" s="33">
        <v>4</v>
      </c>
      <c r="G4" s="265">
        <v>5</v>
      </c>
      <c r="H4" s="33">
        <v>6</v>
      </c>
      <c r="I4" s="265">
        <v>7</v>
      </c>
      <c r="J4" s="33">
        <v>8</v>
      </c>
      <c r="K4" s="265">
        <v>9</v>
      </c>
      <c r="L4" s="33">
        <v>10</v>
      </c>
      <c r="M4" s="265">
        <v>11</v>
      </c>
      <c r="N4" s="33">
        <v>12</v>
      </c>
      <c r="O4" s="265">
        <v>13</v>
      </c>
      <c r="P4" s="33">
        <v>14</v>
      </c>
      <c r="Q4" s="265">
        <v>15</v>
      </c>
      <c r="R4" s="33">
        <v>16</v>
      </c>
      <c r="S4" s="265">
        <v>17</v>
      </c>
      <c r="T4" s="33">
        <v>18</v>
      </c>
      <c r="U4" s="265">
        <v>19</v>
      </c>
      <c r="V4" s="33">
        <v>20</v>
      </c>
    </row>
    <row r="5" spans="1:22" x14ac:dyDescent="0.25">
      <c r="A5" s="303" t="s">
        <v>67</v>
      </c>
      <c r="B5" s="304"/>
      <c r="C5" s="304"/>
      <c r="D5" s="304"/>
      <c r="E5" s="304"/>
      <c r="F5" s="304"/>
      <c r="G5" s="304"/>
      <c r="H5" s="304"/>
      <c r="I5" s="304"/>
      <c r="J5" s="304"/>
      <c r="K5" s="304"/>
      <c r="L5" s="304"/>
      <c r="M5" s="304"/>
      <c r="N5" s="304"/>
      <c r="O5" s="304"/>
      <c r="P5" s="304"/>
      <c r="Q5" s="304"/>
      <c r="R5" s="304"/>
      <c r="S5" s="304"/>
      <c r="T5" s="304"/>
      <c r="U5" s="304"/>
      <c r="V5" s="305"/>
    </row>
    <row r="6" spans="1:22" s="3" customFormat="1" x14ac:dyDescent="0.25">
      <c r="A6" s="52" t="s">
        <v>82</v>
      </c>
      <c r="B6" s="53"/>
      <c r="C6" s="54"/>
      <c r="D6" s="54"/>
      <c r="E6" s="54"/>
      <c r="F6" s="54"/>
      <c r="G6" s="54"/>
      <c r="H6" s="54"/>
      <c r="I6" s="54"/>
      <c r="J6" s="54"/>
      <c r="K6" s="54"/>
      <c r="L6" s="54"/>
      <c r="M6" s="54"/>
      <c r="N6" s="54"/>
      <c r="O6" s="54"/>
      <c r="P6" s="54"/>
      <c r="Q6" s="54"/>
      <c r="R6" s="54"/>
      <c r="S6" s="54"/>
      <c r="T6" s="54"/>
      <c r="U6" s="54"/>
      <c r="V6" s="54"/>
    </row>
    <row r="7" spans="1:22" s="3" customFormat="1" x14ac:dyDescent="0.25">
      <c r="A7" s="17" t="s">
        <v>83</v>
      </c>
      <c r="B7" s="21">
        <v>1</v>
      </c>
      <c r="C7" s="54">
        <v>0</v>
      </c>
      <c r="D7" s="54">
        <v>7.0000000000000007E-2</v>
      </c>
      <c r="E7" s="54">
        <v>0.23</v>
      </c>
      <c r="F7" s="54">
        <v>0.3</v>
      </c>
      <c r="G7" s="54">
        <v>0.25</v>
      </c>
      <c r="H7" s="54">
        <v>0.1</v>
      </c>
      <c r="I7" s="54">
        <v>0.05</v>
      </c>
      <c r="J7" s="54">
        <v>0</v>
      </c>
      <c r="K7" s="54">
        <v>0</v>
      </c>
      <c r="L7" s="54">
        <v>0</v>
      </c>
      <c r="M7" s="54">
        <v>0</v>
      </c>
      <c r="N7" s="54">
        <v>0</v>
      </c>
      <c r="O7" s="54">
        <v>0</v>
      </c>
      <c r="P7" s="54">
        <v>0</v>
      </c>
      <c r="Q7" s="54">
        <v>0</v>
      </c>
      <c r="R7" s="54">
        <v>0</v>
      </c>
      <c r="S7" s="54">
        <v>0</v>
      </c>
      <c r="T7" s="54">
        <v>0</v>
      </c>
      <c r="U7" s="54">
        <v>0</v>
      </c>
      <c r="V7" s="54">
        <v>0</v>
      </c>
    </row>
    <row r="8" spans="1:22" s="3" customFormat="1" x14ac:dyDescent="0.25">
      <c r="A8" s="17" t="s">
        <v>84</v>
      </c>
      <c r="B8" s="21">
        <v>0</v>
      </c>
      <c r="C8" s="54">
        <v>0</v>
      </c>
      <c r="D8" s="54">
        <v>0</v>
      </c>
      <c r="E8" s="54">
        <v>0</v>
      </c>
      <c r="F8" s="54">
        <v>0</v>
      </c>
      <c r="G8" s="54">
        <v>0</v>
      </c>
      <c r="H8" s="54">
        <v>0</v>
      </c>
      <c r="I8" s="54">
        <v>0</v>
      </c>
      <c r="J8" s="54">
        <v>0</v>
      </c>
      <c r="K8" s="54">
        <v>0</v>
      </c>
      <c r="L8" s="54">
        <v>0</v>
      </c>
      <c r="M8" s="54">
        <v>0</v>
      </c>
      <c r="N8" s="54">
        <v>0</v>
      </c>
      <c r="O8" s="54">
        <v>0</v>
      </c>
      <c r="P8" s="54">
        <v>0</v>
      </c>
      <c r="Q8" s="54">
        <v>0</v>
      </c>
      <c r="R8" s="54">
        <v>0</v>
      </c>
      <c r="S8" s="54">
        <v>0</v>
      </c>
      <c r="T8" s="54">
        <v>0</v>
      </c>
      <c r="U8" s="54">
        <v>0</v>
      </c>
      <c r="V8" s="54">
        <v>0</v>
      </c>
    </row>
    <row r="9" spans="1:22" s="3" customFormat="1" x14ac:dyDescent="0.25">
      <c r="A9" s="293" t="s">
        <v>69</v>
      </c>
      <c r="B9" s="294"/>
      <c r="C9" s="294"/>
      <c r="D9" s="294"/>
      <c r="E9" s="294"/>
      <c r="F9" s="294"/>
      <c r="G9" s="294"/>
      <c r="H9" s="294"/>
      <c r="I9" s="294"/>
      <c r="J9" s="294"/>
      <c r="K9" s="294"/>
      <c r="L9" s="294"/>
      <c r="M9" s="294"/>
      <c r="N9" s="294"/>
      <c r="O9" s="294"/>
      <c r="P9" s="294"/>
      <c r="Q9" s="294"/>
      <c r="R9" s="294"/>
      <c r="S9" s="294"/>
      <c r="T9" s="294"/>
      <c r="U9" s="294"/>
      <c r="V9" s="295"/>
    </row>
    <row r="10" spans="1:22" s="3" customFormat="1" x14ac:dyDescent="0.25">
      <c r="A10" s="17" t="s">
        <v>83</v>
      </c>
      <c r="B10" s="21">
        <v>0</v>
      </c>
      <c r="C10" s="54">
        <v>0</v>
      </c>
      <c r="D10" s="54">
        <v>0</v>
      </c>
      <c r="E10" s="54">
        <v>0</v>
      </c>
      <c r="F10" s="54">
        <v>0</v>
      </c>
      <c r="G10" s="54">
        <v>0</v>
      </c>
      <c r="H10" s="54">
        <v>0</v>
      </c>
      <c r="I10" s="54">
        <v>0</v>
      </c>
      <c r="J10" s="54">
        <v>0</v>
      </c>
      <c r="K10" s="54">
        <v>0</v>
      </c>
      <c r="L10" s="54">
        <v>0</v>
      </c>
      <c r="M10" s="54">
        <v>0</v>
      </c>
      <c r="N10" s="54">
        <v>0</v>
      </c>
      <c r="O10" s="54">
        <v>0</v>
      </c>
      <c r="P10" s="54">
        <v>0</v>
      </c>
      <c r="Q10" s="54">
        <v>0</v>
      </c>
      <c r="R10" s="54">
        <v>0</v>
      </c>
      <c r="S10" s="54">
        <v>0</v>
      </c>
      <c r="T10" s="54">
        <v>0</v>
      </c>
      <c r="U10" s="54">
        <v>0</v>
      </c>
      <c r="V10" s="54">
        <v>0</v>
      </c>
    </row>
    <row r="11" spans="1:22" s="3" customFormat="1" x14ac:dyDescent="0.25">
      <c r="A11" s="17" t="s">
        <v>364</v>
      </c>
      <c r="B11" s="21">
        <v>1</v>
      </c>
      <c r="C11" s="54">
        <v>0</v>
      </c>
      <c r="D11" s="54">
        <v>7.0000000000000007E-2</v>
      </c>
      <c r="E11" s="54">
        <v>0.23</v>
      </c>
      <c r="F11" s="54">
        <v>0.3</v>
      </c>
      <c r="G11" s="54">
        <v>0.2</v>
      </c>
      <c r="H11" s="54">
        <v>0.15</v>
      </c>
      <c r="I11" s="54">
        <v>0.05</v>
      </c>
      <c r="J11" s="54">
        <v>0.9</v>
      </c>
      <c r="K11" s="54">
        <v>0.9</v>
      </c>
      <c r="L11" s="54">
        <v>0.9</v>
      </c>
      <c r="M11" s="54">
        <v>0.9</v>
      </c>
      <c r="N11" s="54">
        <v>0.8</v>
      </c>
      <c r="O11" s="54">
        <v>0.8</v>
      </c>
      <c r="P11" s="54">
        <v>0.8</v>
      </c>
      <c r="Q11" s="54">
        <v>0.8</v>
      </c>
      <c r="R11" s="54">
        <v>0.7</v>
      </c>
      <c r="S11" s="54">
        <v>0.7</v>
      </c>
      <c r="T11" s="54">
        <v>0.65</v>
      </c>
      <c r="U11" s="54">
        <v>0.65</v>
      </c>
      <c r="V11" s="54">
        <v>0.65</v>
      </c>
    </row>
    <row r="12" spans="1:22" s="3" customFormat="1" x14ac:dyDescent="0.25">
      <c r="A12" s="293" t="s">
        <v>70</v>
      </c>
      <c r="B12" s="294"/>
      <c r="C12" s="294"/>
      <c r="D12" s="294"/>
      <c r="E12" s="294"/>
      <c r="F12" s="294"/>
      <c r="G12" s="294"/>
      <c r="H12" s="294"/>
      <c r="I12" s="294"/>
      <c r="J12" s="294"/>
      <c r="K12" s="294"/>
      <c r="L12" s="294"/>
      <c r="M12" s="294"/>
      <c r="N12" s="294"/>
      <c r="O12" s="294"/>
      <c r="P12" s="294"/>
      <c r="Q12" s="294"/>
      <c r="R12" s="294"/>
      <c r="S12" s="294"/>
      <c r="T12" s="294"/>
      <c r="U12" s="294"/>
      <c r="V12" s="295"/>
    </row>
    <row r="13" spans="1:22" s="3" customFormat="1" x14ac:dyDescent="0.25">
      <c r="A13" s="17" t="s">
        <v>83</v>
      </c>
      <c r="B13" s="21">
        <v>1</v>
      </c>
      <c r="C13" s="54">
        <v>0</v>
      </c>
      <c r="D13" s="54">
        <v>7.0000000000000007E-2</v>
      </c>
      <c r="E13" s="54">
        <v>0.25</v>
      </c>
      <c r="F13" s="54">
        <v>0.25</v>
      </c>
      <c r="G13" s="54">
        <v>0.25</v>
      </c>
      <c r="H13" s="54">
        <v>0.12</v>
      </c>
      <c r="I13" s="54">
        <v>0.06</v>
      </c>
      <c r="J13" s="54">
        <v>0</v>
      </c>
      <c r="K13" s="54">
        <v>0</v>
      </c>
      <c r="L13" s="54">
        <v>0</v>
      </c>
      <c r="M13" s="54">
        <v>0</v>
      </c>
      <c r="N13" s="54">
        <v>0</v>
      </c>
      <c r="O13" s="54">
        <v>0</v>
      </c>
      <c r="P13" s="54">
        <v>0</v>
      </c>
      <c r="Q13" s="54">
        <v>0</v>
      </c>
      <c r="R13" s="54">
        <v>0</v>
      </c>
      <c r="S13" s="54">
        <v>0</v>
      </c>
      <c r="T13" s="54">
        <v>0</v>
      </c>
      <c r="U13" s="54">
        <v>0</v>
      </c>
      <c r="V13" s="54">
        <v>0</v>
      </c>
    </row>
    <row r="14" spans="1:22" s="3" customFormat="1" x14ac:dyDescent="0.25">
      <c r="A14" s="17" t="s">
        <v>84</v>
      </c>
      <c r="B14" s="21">
        <v>0</v>
      </c>
      <c r="C14" s="54">
        <v>0</v>
      </c>
      <c r="D14" s="54">
        <v>0</v>
      </c>
      <c r="E14" s="54">
        <v>0</v>
      </c>
      <c r="F14" s="54">
        <v>0</v>
      </c>
      <c r="G14" s="54">
        <v>0</v>
      </c>
      <c r="H14" s="54">
        <v>0</v>
      </c>
      <c r="I14" s="54">
        <v>0</v>
      </c>
      <c r="J14" s="54">
        <v>0</v>
      </c>
      <c r="K14" s="54">
        <v>0</v>
      </c>
      <c r="L14" s="54">
        <v>0</v>
      </c>
      <c r="M14" s="54">
        <v>0</v>
      </c>
      <c r="N14" s="54">
        <v>0</v>
      </c>
      <c r="O14" s="54">
        <v>0</v>
      </c>
      <c r="P14" s="54">
        <v>0</v>
      </c>
      <c r="Q14" s="54">
        <v>0</v>
      </c>
      <c r="R14" s="54">
        <v>0</v>
      </c>
      <c r="S14" s="54">
        <v>0</v>
      </c>
      <c r="T14" s="54">
        <v>0</v>
      </c>
      <c r="U14" s="54">
        <v>0</v>
      </c>
      <c r="V14" s="54">
        <v>0</v>
      </c>
    </row>
    <row r="15" spans="1:22" s="3" customFormat="1" x14ac:dyDescent="0.25">
      <c r="A15" s="306" t="s">
        <v>71</v>
      </c>
      <c r="B15" s="307"/>
      <c r="C15" s="307"/>
      <c r="D15" s="307"/>
      <c r="E15" s="307"/>
      <c r="F15" s="307"/>
      <c r="G15" s="307"/>
      <c r="H15" s="307"/>
      <c r="I15" s="307"/>
      <c r="J15" s="307"/>
      <c r="K15" s="307"/>
      <c r="L15" s="307"/>
      <c r="M15" s="307"/>
      <c r="N15" s="307"/>
      <c r="O15" s="307"/>
      <c r="P15" s="307"/>
      <c r="Q15" s="307"/>
      <c r="R15" s="307"/>
      <c r="S15" s="307"/>
      <c r="T15" s="307"/>
      <c r="U15" s="307"/>
      <c r="V15" s="308"/>
    </row>
    <row r="16" spans="1:22" s="3" customFormat="1" x14ac:dyDescent="0.25">
      <c r="A16" s="309" t="s">
        <v>72</v>
      </c>
      <c r="B16" s="310"/>
      <c r="C16" s="310"/>
      <c r="D16" s="310"/>
      <c r="E16" s="310"/>
      <c r="F16" s="310"/>
      <c r="G16" s="310"/>
      <c r="H16" s="310"/>
      <c r="I16" s="310"/>
      <c r="J16" s="310"/>
      <c r="K16" s="310"/>
      <c r="L16" s="310"/>
      <c r="M16" s="310"/>
      <c r="N16" s="310"/>
      <c r="O16" s="310"/>
      <c r="P16" s="310"/>
      <c r="Q16" s="310"/>
      <c r="R16" s="310"/>
      <c r="S16" s="310"/>
      <c r="T16" s="310"/>
      <c r="U16" s="310"/>
      <c r="V16" s="311"/>
    </row>
    <row r="17" spans="1:22" s="3" customFormat="1" x14ac:dyDescent="0.25">
      <c r="A17" s="17" t="s">
        <v>83</v>
      </c>
      <c r="B17" s="21">
        <v>1</v>
      </c>
      <c r="C17" s="54">
        <v>0</v>
      </c>
      <c r="D17" s="54">
        <v>7.0000000000000007E-2</v>
      </c>
      <c r="E17" s="54">
        <v>0.25</v>
      </c>
      <c r="F17" s="54">
        <v>0.25</v>
      </c>
      <c r="G17" s="54">
        <v>0.22</v>
      </c>
      <c r="H17" s="54">
        <v>0.15</v>
      </c>
      <c r="I17" s="54">
        <v>0.06</v>
      </c>
      <c r="J17" s="54">
        <v>0</v>
      </c>
      <c r="K17" s="54">
        <v>0</v>
      </c>
      <c r="L17" s="54">
        <v>0</v>
      </c>
      <c r="M17" s="54">
        <v>0</v>
      </c>
      <c r="N17" s="54">
        <v>0</v>
      </c>
      <c r="O17" s="54">
        <v>0</v>
      </c>
      <c r="P17" s="54">
        <v>0</v>
      </c>
      <c r="Q17" s="54">
        <v>0</v>
      </c>
      <c r="R17" s="54">
        <v>0</v>
      </c>
      <c r="S17" s="54">
        <v>0</v>
      </c>
      <c r="T17" s="54">
        <v>0</v>
      </c>
      <c r="U17" s="54">
        <v>0</v>
      </c>
      <c r="V17" s="54">
        <v>0</v>
      </c>
    </row>
    <row r="18" spans="1:22" s="3" customFormat="1" x14ac:dyDescent="0.25">
      <c r="A18" s="17" t="s">
        <v>84</v>
      </c>
      <c r="B18" s="21">
        <v>0</v>
      </c>
      <c r="C18" s="54">
        <v>0</v>
      </c>
      <c r="D18" s="54">
        <v>0</v>
      </c>
      <c r="E18" s="54">
        <v>0</v>
      </c>
      <c r="F18" s="54">
        <v>0</v>
      </c>
      <c r="G18" s="54">
        <v>0</v>
      </c>
      <c r="H18" s="54">
        <v>0</v>
      </c>
      <c r="I18" s="54">
        <v>0</v>
      </c>
      <c r="J18" s="54">
        <v>0</v>
      </c>
      <c r="K18" s="54">
        <v>0</v>
      </c>
      <c r="L18" s="54">
        <v>0</v>
      </c>
      <c r="M18" s="54">
        <v>0</v>
      </c>
      <c r="N18" s="54">
        <v>0</v>
      </c>
      <c r="O18" s="54">
        <v>0</v>
      </c>
      <c r="P18" s="54">
        <v>0</v>
      </c>
      <c r="Q18" s="54">
        <v>0</v>
      </c>
      <c r="R18" s="54">
        <v>0</v>
      </c>
      <c r="S18" s="54">
        <v>0</v>
      </c>
      <c r="T18" s="54">
        <v>0</v>
      </c>
      <c r="U18" s="54">
        <v>0</v>
      </c>
      <c r="V18" s="54">
        <v>0</v>
      </c>
    </row>
    <row r="19" spans="1:22" s="3" customFormat="1" x14ac:dyDescent="0.25">
      <c r="A19" s="293" t="s">
        <v>85</v>
      </c>
      <c r="B19" s="294"/>
      <c r="C19" s="294"/>
      <c r="D19" s="294"/>
      <c r="E19" s="294"/>
      <c r="F19" s="294"/>
      <c r="G19" s="294"/>
      <c r="H19" s="294"/>
      <c r="I19" s="294"/>
      <c r="J19" s="294"/>
      <c r="K19" s="294"/>
      <c r="L19" s="294"/>
      <c r="M19" s="294"/>
      <c r="N19" s="294"/>
      <c r="O19" s="294"/>
      <c r="P19" s="294"/>
      <c r="Q19" s="294"/>
      <c r="R19" s="294"/>
      <c r="S19" s="294"/>
      <c r="T19" s="294"/>
      <c r="U19" s="294"/>
      <c r="V19" s="295"/>
    </row>
    <row r="20" spans="1:22" s="3" customFormat="1" x14ac:dyDescent="0.25">
      <c r="A20" s="267" t="s">
        <v>74</v>
      </c>
      <c r="B20" s="268"/>
      <c r="C20" s="268"/>
      <c r="D20" s="268"/>
      <c r="E20" s="268"/>
      <c r="F20" s="268"/>
      <c r="G20" s="268"/>
      <c r="H20" s="268"/>
      <c r="I20" s="268"/>
      <c r="J20" s="268"/>
      <c r="K20" s="268"/>
      <c r="L20" s="268"/>
      <c r="M20" s="268"/>
      <c r="N20" s="268"/>
      <c r="O20" s="268"/>
      <c r="P20" s="268"/>
      <c r="Q20" s="268"/>
      <c r="R20" s="268"/>
      <c r="S20" s="268"/>
      <c r="T20" s="268"/>
      <c r="U20" s="268"/>
      <c r="V20" s="269"/>
    </row>
    <row r="21" spans="1:22" s="3" customFormat="1" x14ac:dyDescent="0.25">
      <c r="A21" s="17" t="s">
        <v>83</v>
      </c>
      <c r="B21" s="21">
        <v>1</v>
      </c>
      <c r="C21" s="12">
        <v>0</v>
      </c>
      <c r="D21" s="12">
        <v>7.0000000000000007E-2</v>
      </c>
      <c r="E21" s="12">
        <v>0.25</v>
      </c>
      <c r="F21" s="12">
        <v>0.25</v>
      </c>
      <c r="G21" s="12">
        <v>0.22</v>
      </c>
      <c r="H21" s="12">
        <v>0.15</v>
      </c>
      <c r="I21" s="12">
        <v>0.06</v>
      </c>
      <c r="J21" s="12">
        <v>0</v>
      </c>
      <c r="K21" s="12">
        <v>0</v>
      </c>
      <c r="L21" s="12">
        <v>0</v>
      </c>
      <c r="M21" s="12">
        <v>0</v>
      </c>
      <c r="N21" s="12">
        <v>0</v>
      </c>
      <c r="O21" s="12">
        <v>0</v>
      </c>
      <c r="P21" s="12">
        <v>0</v>
      </c>
      <c r="Q21" s="12">
        <v>0</v>
      </c>
      <c r="R21" s="12">
        <v>0</v>
      </c>
      <c r="S21" s="12">
        <v>0</v>
      </c>
      <c r="T21" s="12">
        <v>0</v>
      </c>
      <c r="U21" s="12">
        <v>0</v>
      </c>
      <c r="V21" s="12">
        <v>0</v>
      </c>
    </row>
    <row r="22" spans="1:22" s="3" customFormat="1" x14ac:dyDescent="0.25">
      <c r="A22" s="17" t="s">
        <v>84</v>
      </c>
      <c r="B22" s="21">
        <v>0</v>
      </c>
      <c r="C22" s="12">
        <v>0</v>
      </c>
      <c r="D22" s="12">
        <v>0</v>
      </c>
      <c r="E22" s="12">
        <v>0</v>
      </c>
      <c r="F22" s="12">
        <v>0</v>
      </c>
      <c r="G22" s="12">
        <v>0</v>
      </c>
      <c r="H22" s="12">
        <v>0</v>
      </c>
      <c r="I22" s="12">
        <v>0</v>
      </c>
      <c r="J22" s="12">
        <v>0</v>
      </c>
      <c r="K22" s="12">
        <v>0</v>
      </c>
      <c r="L22" s="12">
        <v>0</v>
      </c>
      <c r="M22" s="12">
        <v>0</v>
      </c>
      <c r="N22" s="12">
        <v>0</v>
      </c>
      <c r="O22" s="12">
        <v>0</v>
      </c>
      <c r="P22" s="12">
        <v>0</v>
      </c>
      <c r="Q22" s="12">
        <v>0</v>
      </c>
      <c r="R22" s="12">
        <v>0</v>
      </c>
      <c r="S22" s="12">
        <v>0</v>
      </c>
      <c r="T22" s="12">
        <v>0</v>
      </c>
      <c r="U22" s="12">
        <v>0</v>
      </c>
      <c r="V22" s="12">
        <v>0</v>
      </c>
    </row>
    <row r="23" spans="1:22" s="3" customFormat="1" x14ac:dyDescent="0.25">
      <c r="A23" s="76" t="s">
        <v>86</v>
      </c>
      <c r="B23" s="21"/>
      <c r="C23" s="12"/>
      <c r="D23" s="12"/>
      <c r="E23" s="12"/>
      <c r="F23" s="12"/>
      <c r="G23" s="12"/>
      <c r="H23" s="12"/>
      <c r="I23" s="12"/>
      <c r="J23" s="12"/>
      <c r="K23" s="12"/>
      <c r="L23" s="12"/>
      <c r="M23" s="12"/>
      <c r="N23" s="12"/>
      <c r="O23" s="5"/>
      <c r="P23" s="5"/>
      <c r="Q23" s="5"/>
      <c r="R23" s="5"/>
      <c r="S23" s="5"/>
      <c r="T23" s="5"/>
      <c r="U23" s="5"/>
      <c r="V23" s="5"/>
    </row>
    <row r="24" spans="1:22" s="3" customFormat="1" x14ac:dyDescent="0.25">
      <c r="A24" s="23" t="s">
        <v>83</v>
      </c>
      <c r="B24" s="21">
        <v>1</v>
      </c>
      <c r="C24" s="12">
        <v>0</v>
      </c>
      <c r="D24" s="12">
        <v>7.0000000000000007E-2</v>
      </c>
      <c r="E24" s="12">
        <v>0.23</v>
      </c>
      <c r="F24" s="12">
        <v>0.25</v>
      </c>
      <c r="G24" s="12">
        <v>0.22</v>
      </c>
      <c r="H24" s="12">
        <v>0.15</v>
      </c>
      <c r="I24" s="12">
        <v>0.08</v>
      </c>
      <c r="J24" s="12">
        <v>0</v>
      </c>
      <c r="K24" s="12">
        <v>0</v>
      </c>
      <c r="L24" s="12">
        <v>0</v>
      </c>
      <c r="M24" s="12">
        <v>0</v>
      </c>
      <c r="N24" s="12">
        <v>0</v>
      </c>
      <c r="O24" s="12">
        <v>0</v>
      </c>
      <c r="P24" s="12">
        <v>0</v>
      </c>
      <c r="Q24" s="12">
        <v>0</v>
      </c>
      <c r="R24" s="12">
        <v>0</v>
      </c>
      <c r="S24" s="12">
        <v>0</v>
      </c>
      <c r="T24" s="12">
        <v>0</v>
      </c>
      <c r="U24" s="12">
        <v>0</v>
      </c>
      <c r="V24" s="12">
        <v>0</v>
      </c>
    </row>
    <row r="25" spans="1:22" s="3" customFormat="1" x14ac:dyDescent="0.25">
      <c r="A25" s="23" t="s">
        <v>84</v>
      </c>
      <c r="B25" s="21">
        <v>0</v>
      </c>
      <c r="C25" s="12">
        <v>0</v>
      </c>
      <c r="D25" s="12">
        <v>0</v>
      </c>
      <c r="E25" s="12">
        <v>0</v>
      </c>
      <c r="F25" s="12">
        <v>0</v>
      </c>
      <c r="G25" s="12">
        <v>0</v>
      </c>
      <c r="H25" s="12">
        <v>0</v>
      </c>
      <c r="I25" s="12">
        <v>0</v>
      </c>
      <c r="J25" s="12">
        <v>0</v>
      </c>
      <c r="K25" s="12">
        <v>0</v>
      </c>
      <c r="L25" s="12">
        <v>0</v>
      </c>
      <c r="M25" s="12">
        <v>0</v>
      </c>
      <c r="N25" s="12">
        <v>0</v>
      </c>
      <c r="O25" s="12">
        <v>0</v>
      </c>
      <c r="P25" s="12">
        <v>0</v>
      </c>
      <c r="Q25" s="12">
        <v>0</v>
      </c>
      <c r="R25" s="12">
        <v>0</v>
      </c>
      <c r="S25" s="12">
        <v>0</v>
      </c>
      <c r="T25" s="12">
        <v>0</v>
      </c>
      <c r="U25" s="12">
        <v>0</v>
      </c>
      <c r="V25" s="12">
        <v>0</v>
      </c>
    </row>
    <row r="26" spans="1:22" x14ac:dyDescent="0.25">
      <c r="A26" s="296" t="s">
        <v>87</v>
      </c>
      <c r="B26" s="296"/>
      <c r="C26" s="296"/>
      <c r="D26" s="296"/>
      <c r="E26" s="296"/>
      <c r="F26" s="296"/>
      <c r="G26" s="296"/>
      <c r="H26" s="296"/>
      <c r="I26" s="296"/>
      <c r="J26" s="296"/>
      <c r="K26" s="296"/>
      <c r="L26" s="296"/>
      <c r="M26" s="296"/>
      <c r="N26" s="296"/>
      <c r="O26" s="296"/>
      <c r="P26" s="296"/>
      <c r="Q26" s="296"/>
      <c r="R26" s="296"/>
      <c r="S26" s="296"/>
      <c r="T26" s="296"/>
      <c r="U26" s="296"/>
      <c r="V26" s="296"/>
    </row>
    <row r="27" spans="1:22" x14ac:dyDescent="0.25">
      <c r="A27" s="289" t="s">
        <v>88</v>
      </c>
      <c r="B27" s="297" t="s">
        <v>64</v>
      </c>
      <c r="C27" s="283" t="s">
        <v>89</v>
      </c>
      <c r="D27" s="283"/>
      <c r="E27" s="283"/>
      <c r="F27" s="283"/>
      <c r="G27" s="283"/>
      <c r="H27" s="283"/>
      <c r="I27" s="283"/>
      <c r="J27" s="283"/>
      <c r="K27" s="283"/>
      <c r="L27" s="283"/>
      <c r="M27" s="283"/>
      <c r="N27" s="283"/>
      <c r="O27" s="283"/>
      <c r="P27" s="283"/>
      <c r="Q27" s="283"/>
      <c r="R27" s="283"/>
      <c r="S27" s="283"/>
      <c r="T27" s="283"/>
      <c r="U27" s="283"/>
      <c r="V27" s="283"/>
    </row>
    <row r="28" spans="1:22" x14ac:dyDescent="0.25">
      <c r="A28" s="289"/>
      <c r="B28" s="298"/>
      <c r="C28" s="283" t="s">
        <v>80</v>
      </c>
      <c r="D28" s="283"/>
      <c r="E28" s="283"/>
      <c r="F28" s="283"/>
      <c r="G28" s="283"/>
      <c r="H28" s="283"/>
      <c r="I28" s="283"/>
      <c r="J28" s="300" t="s">
        <v>81</v>
      </c>
      <c r="K28" s="301"/>
      <c r="L28" s="301"/>
      <c r="M28" s="301"/>
      <c r="N28" s="301"/>
      <c r="O28" s="301"/>
      <c r="P28" s="301"/>
      <c r="Q28" s="301"/>
      <c r="R28" s="301"/>
      <c r="S28" s="301"/>
      <c r="T28" s="301"/>
      <c r="U28" s="301"/>
      <c r="V28" s="302"/>
    </row>
    <row r="29" spans="1:22" x14ac:dyDescent="0.25">
      <c r="A29" s="289"/>
      <c r="B29" s="299"/>
      <c r="C29" s="265">
        <v>1</v>
      </c>
      <c r="D29" s="33">
        <v>2</v>
      </c>
      <c r="E29" s="265">
        <v>3</v>
      </c>
      <c r="F29" s="33">
        <v>4</v>
      </c>
      <c r="G29" s="265">
        <v>5</v>
      </c>
      <c r="H29" s="33">
        <v>6</v>
      </c>
      <c r="I29" s="265">
        <v>7</v>
      </c>
      <c r="J29" s="33">
        <v>8</v>
      </c>
      <c r="K29" s="265">
        <v>9</v>
      </c>
      <c r="L29" s="33">
        <v>10</v>
      </c>
      <c r="M29" s="265">
        <v>11</v>
      </c>
      <c r="N29" s="33">
        <v>12</v>
      </c>
      <c r="O29" s="265">
        <v>13</v>
      </c>
      <c r="P29" s="33">
        <v>14</v>
      </c>
      <c r="Q29" s="265">
        <v>15</v>
      </c>
      <c r="R29" s="33">
        <v>16</v>
      </c>
      <c r="S29" s="265">
        <v>17</v>
      </c>
      <c r="T29" s="33">
        <v>18</v>
      </c>
      <c r="U29" s="265">
        <v>19</v>
      </c>
      <c r="V29" s="33">
        <v>20</v>
      </c>
    </row>
    <row r="30" spans="1:22" x14ac:dyDescent="0.25">
      <c r="A30" s="24" t="s">
        <v>90</v>
      </c>
      <c r="B30" s="26">
        <v>61208.80440401443</v>
      </c>
      <c r="C30" s="26">
        <v>0</v>
      </c>
      <c r="D30" s="26">
        <v>4284.6163082810108</v>
      </c>
      <c r="E30" s="26">
        <v>14882.317511974186</v>
      </c>
      <c r="F30" s="26">
        <v>16351.910073577159</v>
      </c>
      <c r="G30" s="26">
        <v>14695.007560414566</v>
      </c>
      <c r="H30" s="26">
        <v>7532.3664800413508</v>
      </c>
      <c r="I30" s="26">
        <v>3462.586469726155</v>
      </c>
      <c r="J30" s="26">
        <v>61208.80440401443</v>
      </c>
      <c r="K30" s="26">
        <v>61208.80440401443</v>
      </c>
      <c r="L30" s="26">
        <v>61208.80440401443</v>
      </c>
      <c r="M30" s="26">
        <v>61208.80440401443</v>
      </c>
      <c r="N30" s="26">
        <v>61208.80440401443</v>
      </c>
      <c r="O30" s="26">
        <v>61208.80440401443</v>
      </c>
      <c r="P30" s="26">
        <v>61208.80440401443</v>
      </c>
      <c r="Q30" s="26">
        <v>61208.80440401443</v>
      </c>
      <c r="R30" s="26">
        <v>61208.80440401443</v>
      </c>
      <c r="S30" s="26">
        <v>61208.80440401443</v>
      </c>
      <c r="T30" s="26">
        <v>61208.80440401443</v>
      </c>
      <c r="U30" s="26">
        <v>61208.80440401443</v>
      </c>
      <c r="V30" s="26">
        <v>61208.80440401443</v>
      </c>
    </row>
    <row r="31" spans="1:22" x14ac:dyDescent="0.25">
      <c r="A31" s="44" t="s">
        <v>91</v>
      </c>
      <c r="B31" s="45">
        <v>8850.308639690229</v>
      </c>
      <c r="C31" s="45">
        <v>0</v>
      </c>
      <c r="D31" s="45">
        <v>619.52160477831615</v>
      </c>
      <c r="E31" s="45">
        <v>2035.5709871287527</v>
      </c>
      <c r="F31" s="45">
        <v>2655.0925919070687</v>
      </c>
      <c r="G31" s="45">
        <v>2212.5771599225573</v>
      </c>
      <c r="H31" s="45">
        <v>885.0308639690229</v>
      </c>
      <c r="I31" s="45">
        <v>442.51543198451145</v>
      </c>
      <c r="J31" s="45">
        <v>8850.308639690229</v>
      </c>
      <c r="K31" s="45">
        <v>8850.308639690229</v>
      </c>
      <c r="L31" s="45">
        <v>8850.308639690229</v>
      </c>
      <c r="M31" s="45">
        <v>8850.308639690229</v>
      </c>
      <c r="N31" s="45">
        <v>8850.308639690229</v>
      </c>
      <c r="O31" s="45">
        <v>8850.308639690229</v>
      </c>
      <c r="P31" s="45">
        <v>8850.308639690229</v>
      </c>
      <c r="Q31" s="45">
        <v>8850.308639690229</v>
      </c>
      <c r="R31" s="45">
        <v>8850.308639690229</v>
      </c>
      <c r="S31" s="45">
        <v>8850.308639690229</v>
      </c>
      <c r="T31" s="45">
        <v>8850.308639690229</v>
      </c>
      <c r="U31" s="45">
        <v>8850.308639690229</v>
      </c>
      <c r="V31" s="45">
        <v>8850.308639690229</v>
      </c>
    </row>
    <row r="32" spans="1:22" s="93" customFormat="1" x14ac:dyDescent="0.25">
      <c r="A32" s="17" t="s">
        <v>83</v>
      </c>
      <c r="B32" s="27">
        <v>8850.308639690229</v>
      </c>
      <c r="C32" s="94">
        <v>0</v>
      </c>
      <c r="D32" s="94">
        <v>619.52160477831615</v>
      </c>
      <c r="E32" s="94">
        <v>2035.5709871287527</v>
      </c>
      <c r="F32" s="94">
        <v>2655.0925919070687</v>
      </c>
      <c r="G32" s="94">
        <v>2212.5771599225573</v>
      </c>
      <c r="H32" s="94">
        <v>885.0308639690229</v>
      </c>
      <c r="I32" s="94">
        <v>442.51543198451145</v>
      </c>
      <c r="J32" s="94">
        <v>8850.308639690229</v>
      </c>
      <c r="K32" s="94">
        <v>8850.308639690229</v>
      </c>
      <c r="L32" s="94">
        <v>8850.308639690229</v>
      </c>
      <c r="M32" s="94">
        <v>8850.308639690229</v>
      </c>
      <c r="N32" s="94">
        <v>8850.308639690229</v>
      </c>
      <c r="O32" s="94">
        <v>8850.308639690229</v>
      </c>
      <c r="P32" s="94">
        <v>8850.308639690229</v>
      </c>
      <c r="Q32" s="94">
        <v>8850.308639690229</v>
      </c>
      <c r="R32" s="94">
        <v>8850.308639690229</v>
      </c>
      <c r="S32" s="94">
        <v>8850.308639690229</v>
      </c>
      <c r="T32" s="94">
        <v>8850.308639690229</v>
      </c>
      <c r="U32" s="94">
        <v>8850.308639690229</v>
      </c>
      <c r="V32" s="94">
        <v>8850.308639690229</v>
      </c>
    </row>
    <row r="33" spans="1:22" s="93" customFormat="1" x14ac:dyDescent="0.25">
      <c r="A33" s="17" t="s">
        <v>84</v>
      </c>
      <c r="B33" s="27">
        <v>0</v>
      </c>
      <c r="C33" s="94">
        <v>0</v>
      </c>
      <c r="D33" s="94">
        <v>0</v>
      </c>
      <c r="E33" s="94">
        <v>0</v>
      </c>
      <c r="F33" s="94">
        <v>0</v>
      </c>
      <c r="G33" s="94">
        <v>0</v>
      </c>
      <c r="H33" s="94">
        <v>0</v>
      </c>
      <c r="I33" s="94">
        <v>0</v>
      </c>
      <c r="J33" s="94">
        <v>0</v>
      </c>
      <c r="K33" s="94">
        <v>0</v>
      </c>
      <c r="L33" s="94">
        <v>0</v>
      </c>
      <c r="M33" s="94">
        <v>0</v>
      </c>
      <c r="N33" s="94">
        <v>0</v>
      </c>
      <c r="O33" s="94">
        <v>0</v>
      </c>
      <c r="P33" s="94">
        <v>0</v>
      </c>
      <c r="Q33" s="94">
        <v>0</v>
      </c>
      <c r="R33" s="94">
        <v>0</v>
      </c>
      <c r="S33" s="94">
        <v>0</v>
      </c>
      <c r="T33" s="94">
        <v>0</v>
      </c>
      <c r="U33" s="94">
        <v>0</v>
      </c>
      <c r="V33" s="94">
        <v>0</v>
      </c>
    </row>
    <row r="34" spans="1:22" s="55" customFormat="1" x14ac:dyDescent="0.25">
      <c r="A34" s="77" t="s">
        <v>69</v>
      </c>
      <c r="B34" s="95">
        <v>12143.870811780833</v>
      </c>
      <c r="C34" s="95">
        <v>0</v>
      </c>
      <c r="D34" s="95">
        <v>850.0709568246582</v>
      </c>
      <c r="E34" s="95">
        <v>2793.0902867095911</v>
      </c>
      <c r="F34" s="95">
        <v>3643.161243534249</v>
      </c>
      <c r="G34" s="95">
        <v>2428.7741623561665</v>
      </c>
      <c r="H34" s="95">
        <v>1821.5806217671245</v>
      </c>
      <c r="I34" s="95">
        <v>607.19354058904162</v>
      </c>
      <c r="J34" s="95">
        <v>12143.870811780833</v>
      </c>
      <c r="K34" s="95">
        <v>12143.870811780833</v>
      </c>
      <c r="L34" s="95">
        <v>12143.870811780833</v>
      </c>
      <c r="M34" s="95">
        <v>12143.870811780833</v>
      </c>
      <c r="N34" s="95">
        <v>12143.870811780833</v>
      </c>
      <c r="O34" s="95">
        <v>12143.870811780833</v>
      </c>
      <c r="P34" s="95">
        <v>12143.870811780833</v>
      </c>
      <c r="Q34" s="95">
        <v>12143.870811780833</v>
      </c>
      <c r="R34" s="95">
        <v>12143.870811780833</v>
      </c>
      <c r="S34" s="95">
        <v>12143.870811780833</v>
      </c>
      <c r="T34" s="95">
        <v>12143.870811780833</v>
      </c>
      <c r="U34" s="95">
        <v>12143.870811780833</v>
      </c>
      <c r="V34" s="95">
        <v>12143.870811780833</v>
      </c>
    </row>
    <row r="35" spans="1:22" s="93" customFormat="1" x14ac:dyDescent="0.25">
      <c r="A35" s="23" t="s">
        <v>83</v>
      </c>
      <c r="B35" s="27">
        <v>0</v>
      </c>
      <c r="C35" s="94">
        <v>0</v>
      </c>
      <c r="D35" s="94">
        <v>0</v>
      </c>
      <c r="E35" s="94">
        <v>0</v>
      </c>
      <c r="F35" s="94">
        <v>0</v>
      </c>
      <c r="G35" s="94">
        <v>0</v>
      </c>
      <c r="H35" s="94">
        <v>0</v>
      </c>
      <c r="I35" s="94">
        <v>0</v>
      </c>
      <c r="J35" s="94">
        <v>0</v>
      </c>
      <c r="K35" s="94">
        <v>0</v>
      </c>
      <c r="L35" s="94">
        <v>0</v>
      </c>
      <c r="M35" s="94">
        <v>0</v>
      </c>
      <c r="N35" s="94">
        <v>0</v>
      </c>
      <c r="O35" s="94">
        <v>0</v>
      </c>
      <c r="P35" s="94">
        <v>0</v>
      </c>
      <c r="Q35" s="94">
        <v>0</v>
      </c>
      <c r="R35" s="94">
        <v>0</v>
      </c>
      <c r="S35" s="94">
        <v>0</v>
      </c>
      <c r="T35" s="94">
        <v>0</v>
      </c>
      <c r="U35" s="94">
        <v>0</v>
      </c>
      <c r="V35" s="94">
        <v>0</v>
      </c>
    </row>
    <row r="36" spans="1:22" s="93" customFormat="1" x14ac:dyDescent="0.25">
      <c r="A36" s="23" t="s">
        <v>84</v>
      </c>
      <c r="B36" s="27">
        <v>12143.870811780833</v>
      </c>
      <c r="C36" s="94">
        <v>0</v>
      </c>
      <c r="D36" s="94">
        <v>850.0709568246582</v>
      </c>
      <c r="E36" s="94">
        <v>2793.0902867095911</v>
      </c>
      <c r="F36" s="94">
        <v>3643.161243534249</v>
      </c>
      <c r="G36" s="94">
        <v>2428.7741623561665</v>
      </c>
      <c r="H36" s="94">
        <v>1821.5806217671245</v>
      </c>
      <c r="I36" s="94">
        <v>607.19354058904162</v>
      </c>
      <c r="J36" s="94">
        <v>12143.870811780833</v>
      </c>
      <c r="K36" s="94">
        <v>12143.870811780833</v>
      </c>
      <c r="L36" s="94">
        <v>12143.870811780833</v>
      </c>
      <c r="M36" s="94">
        <v>12143.870811780833</v>
      </c>
      <c r="N36" s="94">
        <v>12143.870811780833</v>
      </c>
      <c r="O36" s="94">
        <v>12143.870811780833</v>
      </c>
      <c r="P36" s="94">
        <v>12143.870811780833</v>
      </c>
      <c r="Q36" s="94">
        <v>12143.870811780833</v>
      </c>
      <c r="R36" s="94">
        <v>12143.870811780833</v>
      </c>
      <c r="S36" s="94">
        <v>12143.870811780833</v>
      </c>
      <c r="T36" s="94">
        <v>12143.870811780833</v>
      </c>
      <c r="U36" s="94">
        <v>12143.870811780833</v>
      </c>
      <c r="V36" s="94">
        <v>12143.870811780833</v>
      </c>
    </row>
    <row r="37" spans="1:22" s="55" customFormat="1" x14ac:dyDescent="0.25">
      <c r="A37" s="77" t="s">
        <v>70</v>
      </c>
      <c r="B37" s="95">
        <v>40214.624952543367</v>
      </c>
      <c r="C37" s="95">
        <v>0</v>
      </c>
      <c r="D37" s="95">
        <v>2815.0237466780359</v>
      </c>
      <c r="E37" s="95">
        <v>10053.656238135842</v>
      </c>
      <c r="F37" s="95">
        <v>10053.656238135842</v>
      </c>
      <c r="G37" s="95">
        <v>10053.656238135842</v>
      </c>
      <c r="H37" s="95">
        <v>4825.7549943052036</v>
      </c>
      <c r="I37" s="95">
        <v>2412.8774971526018</v>
      </c>
      <c r="J37" s="95">
        <v>40214.624952543367</v>
      </c>
      <c r="K37" s="95">
        <v>40214.624952543367</v>
      </c>
      <c r="L37" s="95">
        <v>40214.624952543367</v>
      </c>
      <c r="M37" s="95">
        <v>40214.624952543367</v>
      </c>
      <c r="N37" s="95">
        <v>40214.624952543367</v>
      </c>
      <c r="O37" s="95">
        <v>40214.624952543367</v>
      </c>
      <c r="P37" s="95">
        <v>40214.624952543367</v>
      </c>
      <c r="Q37" s="95">
        <v>40214.624952543367</v>
      </c>
      <c r="R37" s="95">
        <v>40214.624952543367</v>
      </c>
      <c r="S37" s="95">
        <v>40214.624952543367</v>
      </c>
      <c r="T37" s="95">
        <v>40214.624952543367</v>
      </c>
      <c r="U37" s="95">
        <v>40214.624952543367</v>
      </c>
      <c r="V37" s="95">
        <v>40214.624952543367</v>
      </c>
    </row>
    <row r="38" spans="1:22" s="93" customFormat="1" x14ac:dyDescent="0.25">
      <c r="A38" s="23" t="s">
        <v>83</v>
      </c>
      <c r="B38" s="8">
        <v>40214.624952543367</v>
      </c>
      <c r="C38" s="94">
        <v>0</v>
      </c>
      <c r="D38" s="94">
        <v>2815.0237466780359</v>
      </c>
      <c r="E38" s="94">
        <v>10053.656238135842</v>
      </c>
      <c r="F38" s="94">
        <v>10053.656238135842</v>
      </c>
      <c r="G38" s="94">
        <v>10053.656238135842</v>
      </c>
      <c r="H38" s="94">
        <v>4825.7549943052036</v>
      </c>
      <c r="I38" s="94">
        <v>2412.8774971526018</v>
      </c>
      <c r="J38" s="94">
        <v>40214.624952543367</v>
      </c>
      <c r="K38" s="94">
        <v>40214.624952543367</v>
      </c>
      <c r="L38" s="94">
        <v>40214.624952543367</v>
      </c>
      <c r="M38" s="94">
        <v>40214.624952543367</v>
      </c>
      <c r="N38" s="94">
        <v>40214.624952543367</v>
      </c>
      <c r="O38" s="94">
        <v>40214.624952543367</v>
      </c>
      <c r="P38" s="94">
        <v>40214.624952543367</v>
      </c>
      <c r="Q38" s="94">
        <v>40214.624952543367</v>
      </c>
      <c r="R38" s="94">
        <v>40214.624952543367</v>
      </c>
      <c r="S38" s="94">
        <v>40214.624952543367</v>
      </c>
      <c r="T38" s="94">
        <v>40214.624952543367</v>
      </c>
      <c r="U38" s="94">
        <v>40214.624952543367</v>
      </c>
      <c r="V38" s="94">
        <v>40214.624952543367</v>
      </c>
    </row>
    <row r="39" spans="1:22" s="93" customFormat="1" x14ac:dyDescent="0.25">
      <c r="A39" s="23" t="s">
        <v>84</v>
      </c>
      <c r="B39" s="8">
        <v>0</v>
      </c>
      <c r="C39" s="94">
        <v>0</v>
      </c>
      <c r="D39" s="94">
        <v>0</v>
      </c>
      <c r="E39" s="94">
        <v>0</v>
      </c>
      <c r="F39" s="94">
        <v>0</v>
      </c>
      <c r="G39" s="94">
        <v>0</v>
      </c>
      <c r="H39" s="94">
        <v>0</v>
      </c>
      <c r="I39" s="94">
        <v>0</v>
      </c>
      <c r="J39" s="94">
        <v>0</v>
      </c>
      <c r="K39" s="94">
        <v>0</v>
      </c>
      <c r="L39" s="94">
        <v>0</v>
      </c>
      <c r="M39" s="94">
        <v>0</v>
      </c>
      <c r="N39" s="94">
        <v>0</v>
      </c>
      <c r="O39" s="94">
        <v>0</v>
      </c>
      <c r="P39" s="94">
        <v>0</v>
      </c>
      <c r="Q39" s="94">
        <v>0</v>
      </c>
      <c r="R39" s="94">
        <v>0</v>
      </c>
      <c r="S39" s="94">
        <v>0</v>
      </c>
      <c r="T39" s="94">
        <v>0</v>
      </c>
      <c r="U39" s="94">
        <v>0</v>
      </c>
      <c r="V39" s="94">
        <v>0</v>
      </c>
    </row>
    <row r="40" spans="1:22" s="55" customFormat="1" x14ac:dyDescent="0.25">
      <c r="A40" s="78" t="s">
        <v>92</v>
      </c>
      <c r="B40" s="96">
        <v>541826.0429469269</v>
      </c>
      <c r="C40" s="96">
        <v>0</v>
      </c>
      <c r="D40" s="96">
        <v>37927.823006284889</v>
      </c>
      <c r="E40" s="96">
        <v>132824.35057037312</v>
      </c>
      <c r="F40" s="96">
        <v>135456.51073673173</v>
      </c>
      <c r="G40" s="96">
        <v>119201.72944832392</v>
      </c>
      <c r="H40" s="96">
        <v>81273.906442039035</v>
      </c>
      <c r="I40" s="96">
        <v>35141.722743174214</v>
      </c>
      <c r="J40" s="96">
        <v>541826.04294692667</v>
      </c>
      <c r="K40" s="96">
        <v>541826.04294692667</v>
      </c>
      <c r="L40" s="96">
        <v>541826.04294692667</v>
      </c>
      <c r="M40" s="96">
        <v>541826.04294692667</v>
      </c>
      <c r="N40" s="96">
        <v>541826.04294692667</v>
      </c>
      <c r="O40" s="96">
        <v>541826.04294692667</v>
      </c>
      <c r="P40" s="96">
        <v>541826.04294692667</v>
      </c>
      <c r="Q40" s="96">
        <v>541826.04294692667</v>
      </c>
      <c r="R40" s="96">
        <v>541826.04294692667</v>
      </c>
      <c r="S40" s="96">
        <v>541826.04294692667</v>
      </c>
      <c r="T40" s="96">
        <v>541826.04294692667</v>
      </c>
      <c r="U40" s="96">
        <v>541826.04294692667</v>
      </c>
      <c r="V40" s="96">
        <v>541826.04294692667</v>
      </c>
    </row>
    <row r="41" spans="1:22" s="55" customFormat="1" x14ac:dyDescent="0.25">
      <c r="A41" s="79" t="s">
        <v>72</v>
      </c>
      <c r="B41" s="97">
        <v>332033.3152308393</v>
      </c>
      <c r="C41" s="97">
        <v>0</v>
      </c>
      <c r="D41" s="97">
        <v>23242.332066158753</v>
      </c>
      <c r="E41" s="97">
        <v>83008.328807709826</v>
      </c>
      <c r="F41" s="97">
        <v>83008.328807709826</v>
      </c>
      <c r="G41" s="97">
        <v>73047.329350784654</v>
      </c>
      <c r="H41" s="97">
        <v>49804.997284625897</v>
      </c>
      <c r="I41" s="97">
        <v>19921.998913850359</v>
      </c>
      <c r="J41" s="97">
        <v>332033.31523083901</v>
      </c>
      <c r="K41" s="97">
        <v>332033.31523083901</v>
      </c>
      <c r="L41" s="97">
        <v>332033.31523083901</v>
      </c>
      <c r="M41" s="97">
        <v>332033.31523083901</v>
      </c>
      <c r="N41" s="97">
        <v>332033.31523083901</v>
      </c>
      <c r="O41" s="97">
        <v>332033.31523083901</v>
      </c>
      <c r="P41" s="97">
        <v>332033.31523083901</v>
      </c>
      <c r="Q41" s="97">
        <v>332033.31523083901</v>
      </c>
      <c r="R41" s="97">
        <v>332033.31523083901</v>
      </c>
      <c r="S41" s="97">
        <v>332033.31523083901</v>
      </c>
      <c r="T41" s="97">
        <v>332033.31523083901</v>
      </c>
      <c r="U41" s="97">
        <v>332033.31523083901</v>
      </c>
      <c r="V41" s="97">
        <v>332033.31523083901</v>
      </c>
    </row>
    <row r="42" spans="1:22" s="93" customFormat="1" x14ac:dyDescent="0.25">
      <c r="A42" s="23" t="s">
        <v>83</v>
      </c>
      <c r="B42" s="27">
        <v>332033.3152308393</v>
      </c>
      <c r="C42" s="94">
        <v>0</v>
      </c>
      <c r="D42" s="94">
        <v>23242.332066158753</v>
      </c>
      <c r="E42" s="94">
        <v>83008.328807709826</v>
      </c>
      <c r="F42" s="94">
        <v>83008.328807709826</v>
      </c>
      <c r="G42" s="94">
        <v>73047.329350784654</v>
      </c>
      <c r="H42" s="94">
        <v>49804.997284625897</v>
      </c>
      <c r="I42" s="94">
        <v>19921.998913850359</v>
      </c>
      <c r="J42" s="94">
        <v>332033.31523083901</v>
      </c>
      <c r="K42" s="94">
        <v>332033.31523083901</v>
      </c>
      <c r="L42" s="94">
        <v>332033.31523083901</v>
      </c>
      <c r="M42" s="94">
        <v>332033.31523083901</v>
      </c>
      <c r="N42" s="94">
        <v>332033.31523083901</v>
      </c>
      <c r="O42" s="94">
        <v>332033.31523083901</v>
      </c>
      <c r="P42" s="94">
        <v>332033.31523083901</v>
      </c>
      <c r="Q42" s="94">
        <v>332033.31523083901</v>
      </c>
      <c r="R42" s="94">
        <v>332033.31523083901</v>
      </c>
      <c r="S42" s="94">
        <v>332033.31523083901</v>
      </c>
      <c r="T42" s="94">
        <v>332033.31523083901</v>
      </c>
      <c r="U42" s="94">
        <v>332033.31523083901</v>
      </c>
      <c r="V42" s="94">
        <v>332033.31523083901</v>
      </c>
    </row>
    <row r="43" spans="1:22" s="93" customFormat="1" x14ac:dyDescent="0.25">
      <c r="A43" s="23" t="s">
        <v>84</v>
      </c>
      <c r="B43" s="27">
        <v>0</v>
      </c>
      <c r="C43" s="94">
        <v>0</v>
      </c>
      <c r="D43" s="94">
        <v>0</v>
      </c>
      <c r="E43" s="94">
        <v>0</v>
      </c>
      <c r="F43" s="94">
        <v>0</v>
      </c>
      <c r="G43" s="94">
        <v>0</v>
      </c>
      <c r="H43" s="94">
        <v>0</v>
      </c>
      <c r="I43" s="94">
        <v>0</v>
      </c>
      <c r="J43" s="94">
        <v>0</v>
      </c>
      <c r="K43" s="94">
        <v>0</v>
      </c>
      <c r="L43" s="94">
        <v>0</v>
      </c>
      <c r="M43" s="94">
        <v>0</v>
      </c>
      <c r="N43" s="94">
        <v>0</v>
      </c>
      <c r="O43" s="94">
        <v>0</v>
      </c>
      <c r="P43" s="94">
        <v>0</v>
      </c>
      <c r="Q43" s="94">
        <v>0</v>
      </c>
      <c r="R43" s="94">
        <v>0</v>
      </c>
      <c r="S43" s="94">
        <v>0</v>
      </c>
      <c r="T43" s="94">
        <v>0</v>
      </c>
      <c r="U43" s="94">
        <v>0</v>
      </c>
      <c r="V43" s="94">
        <v>0</v>
      </c>
    </row>
    <row r="44" spans="1:22" s="55" customFormat="1" x14ac:dyDescent="0.25">
      <c r="A44" s="75" t="s">
        <v>73</v>
      </c>
      <c r="B44" s="98">
        <v>209792.72771608763</v>
      </c>
      <c r="C44" s="98">
        <v>0</v>
      </c>
      <c r="D44" s="98">
        <v>14685.490940126136</v>
      </c>
      <c r="E44" s="98">
        <v>49816.021762663309</v>
      </c>
      <c r="F44" s="98">
        <v>52448.181929021906</v>
      </c>
      <c r="G44" s="98">
        <v>46154.400097539277</v>
      </c>
      <c r="H44" s="98">
        <v>31468.909157413145</v>
      </c>
      <c r="I44" s="98">
        <v>15219.723829323853</v>
      </c>
      <c r="J44" s="98">
        <v>209792.72771608763</v>
      </c>
      <c r="K44" s="98">
        <v>209792.72771608763</v>
      </c>
      <c r="L44" s="98">
        <v>209792.72771608763</v>
      </c>
      <c r="M44" s="98">
        <v>209792.72771608763</v>
      </c>
      <c r="N44" s="98">
        <v>209792.72771608763</v>
      </c>
      <c r="O44" s="98">
        <v>209792.72771608763</v>
      </c>
      <c r="P44" s="98">
        <v>209792.72771608763</v>
      </c>
      <c r="Q44" s="98">
        <v>209792.72771608763</v>
      </c>
      <c r="R44" s="98">
        <v>209792.72771608763</v>
      </c>
      <c r="S44" s="98">
        <v>209792.72771608763</v>
      </c>
      <c r="T44" s="98">
        <v>209792.72771608763</v>
      </c>
      <c r="U44" s="98">
        <v>209792.72771608763</v>
      </c>
      <c r="V44" s="98">
        <v>209792.72771608763</v>
      </c>
    </row>
    <row r="45" spans="1:22" s="55" customFormat="1" x14ac:dyDescent="0.25">
      <c r="A45" s="75" t="s">
        <v>74</v>
      </c>
      <c r="B45" s="98">
        <v>78184.719398157817</v>
      </c>
      <c r="C45" s="98">
        <v>0</v>
      </c>
      <c r="D45" s="98">
        <v>5472.9303578710478</v>
      </c>
      <c r="E45" s="98">
        <v>19546.179849539454</v>
      </c>
      <c r="F45" s="98">
        <v>19546.179849539454</v>
      </c>
      <c r="G45" s="98">
        <v>17200.638267594721</v>
      </c>
      <c r="H45" s="98">
        <v>11727.707909723673</v>
      </c>
      <c r="I45" s="98">
        <v>4691.0831638894688</v>
      </c>
      <c r="J45" s="98">
        <v>78184.719398157817</v>
      </c>
      <c r="K45" s="98">
        <v>78184.719398157817</v>
      </c>
      <c r="L45" s="98">
        <v>78184.719398157817</v>
      </c>
      <c r="M45" s="98">
        <v>78184.719398157817</v>
      </c>
      <c r="N45" s="98">
        <v>78184.719398157817</v>
      </c>
      <c r="O45" s="98">
        <v>78184.719398157817</v>
      </c>
      <c r="P45" s="98">
        <v>78184.719398157817</v>
      </c>
      <c r="Q45" s="98">
        <v>78184.719398157817</v>
      </c>
      <c r="R45" s="98">
        <v>78184.719398157817</v>
      </c>
      <c r="S45" s="98">
        <v>78184.719398157817</v>
      </c>
      <c r="T45" s="98">
        <v>78184.719398157817</v>
      </c>
      <c r="U45" s="98">
        <v>78184.719398157817</v>
      </c>
      <c r="V45" s="98">
        <v>78184.719398157817</v>
      </c>
    </row>
    <row r="46" spans="1:22" s="93" customFormat="1" x14ac:dyDescent="0.25">
      <c r="A46" s="23" t="s">
        <v>83</v>
      </c>
      <c r="B46" s="27">
        <v>78184.719398157817</v>
      </c>
      <c r="C46" s="92">
        <v>0</v>
      </c>
      <c r="D46" s="92">
        <v>5472.9303578710478</v>
      </c>
      <c r="E46" s="92">
        <v>19546.179849539454</v>
      </c>
      <c r="F46" s="92">
        <v>19546.179849539454</v>
      </c>
      <c r="G46" s="92">
        <v>17200.638267594721</v>
      </c>
      <c r="H46" s="92">
        <v>11727.707909723673</v>
      </c>
      <c r="I46" s="92">
        <v>4691.0831638894688</v>
      </c>
      <c r="J46" s="92">
        <v>78184.719398157817</v>
      </c>
      <c r="K46" s="92">
        <v>78184.719398157817</v>
      </c>
      <c r="L46" s="92">
        <v>78184.719398157817</v>
      </c>
      <c r="M46" s="92">
        <v>78184.719398157817</v>
      </c>
      <c r="N46" s="92">
        <v>78184.719398157817</v>
      </c>
      <c r="O46" s="92">
        <v>78184.719398157817</v>
      </c>
      <c r="P46" s="92">
        <v>78184.719398157817</v>
      </c>
      <c r="Q46" s="92">
        <v>78184.719398157817</v>
      </c>
      <c r="R46" s="92">
        <v>78184.719398157817</v>
      </c>
      <c r="S46" s="92">
        <v>78184.719398157817</v>
      </c>
      <c r="T46" s="92">
        <v>78184.719398157817</v>
      </c>
      <c r="U46" s="92">
        <v>78184.719398157817</v>
      </c>
      <c r="V46" s="92">
        <v>78184.719398157817</v>
      </c>
    </row>
    <row r="47" spans="1:22" s="93" customFormat="1" x14ac:dyDescent="0.25">
      <c r="A47" s="23" t="s">
        <v>84</v>
      </c>
      <c r="B47" s="27">
        <v>0</v>
      </c>
      <c r="C47" s="92">
        <v>0</v>
      </c>
      <c r="D47" s="92">
        <v>0</v>
      </c>
      <c r="E47" s="92">
        <v>0</v>
      </c>
      <c r="F47" s="92">
        <v>0</v>
      </c>
      <c r="G47" s="92">
        <v>0</v>
      </c>
      <c r="H47" s="92">
        <v>0</v>
      </c>
      <c r="I47" s="92">
        <v>0</v>
      </c>
      <c r="J47" s="92">
        <v>0</v>
      </c>
      <c r="K47" s="92">
        <v>0</v>
      </c>
      <c r="L47" s="92">
        <v>0</v>
      </c>
      <c r="M47" s="92">
        <v>0</v>
      </c>
      <c r="N47" s="92">
        <v>0</v>
      </c>
      <c r="O47" s="92">
        <v>0</v>
      </c>
      <c r="P47" s="92">
        <v>0</v>
      </c>
      <c r="Q47" s="92">
        <v>0</v>
      </c>
      <c r="R47" s="92">
        <v>0</v>
      </c>
      <c r="S47" s="92">
        <v>0</v>
      </c>
      <c r="T47" s="92">
        <v>0</v>
      </c>
      <c r="U47" s="92">
        <v>0</v>
      </c>
      <c r="V47" s="92">
        <v>0</v>
      </c>
    </row>
    <row r="48" spans="1:22" s="55" customFormat="1" x14ac:dyDescent="0.25">
      <c r="A48" s="76" t="s">
        <v>75</v>
      </c>
      <c r="B48" s="27">
        <v>131608.00831792981</v>
      </c>
      <c r="C48" s="27">
        <v>0</v>
      </c>
      <c r="D48" s="27">
        <v>9212.5605822550879</v>
      </c>
      <c r="E48" s="27">
        <v>30269.841913123859</v>
      </c>
      <c r="F48" s="27">
        <v>32902.002079482452</v>
      </c>
      <c r="G48" s="27">
        <v>28953.761829944557</v>
      </c>
      <c r="H48" s="27">
        <v>19741.201247689471</v>
      </c>
      <c r="I48" s="27">
        <v>10528.640665434385</v>
      </c>
      <c r="J48" s="27">
        <v>131608.00831792981</v>
      </c>
      <c r="K48" s="27">
        <v>131608.00831792981</v>
      </c>
      <c r="L48" s="27">
        <v>131608.00831792981</v>
      </c>
      <c r="M48" s="27">
        <v>131608.00831792981</v>
      </c>
      <c r="N48" s="27">
        <v>131608.00831792981</v>
      </c>
      <c r="O48" s="27">
        <v>131608.00831792981</v>
      </c>
      <c r="P48" s="27">
        <v>131608.00831792981</v>
      </c>
      <c r="Q48" s="27">
        <v>131608.00831792981</v>
      </c>
      <c r="R48" s="27">
        <v>131608.00831792981</v>
      </c>
      <c r="S48" s="27">
        <v>131608.00831792981</v>
      </c>
      <c r="T48" s="27">
        <v>131608.00831792981</v>
      </c>
      <c r="U48" s="27">
        <v>131608.00831792981</v>
      </c>
      <c r="V48" s="27">
        <v>131608.00831792981</v>
      </c>
    </row>
    <row r="49" spans="1:22" s="93" customFormat="1" x14ac:dyDescent="0.25">
      <c r="A49" s="23" t="s">
        <v>83</v>
      </c>
      <c r="B49" s="27">
        <v>131608.00831792981</v>
      </c>
      <c r="C49" s="99">
        <v>0</v>
      </c>
      <c r="D49" s="99">
        <v>9212.5605822550879</v>
      </c>
      <c r="E49" s="99">
        <v>30269.841913123859</v>
      </c>
      <c r="F49" s="99">
        <v>32902.002079482452</v>
      </c>
      <c r="G49" s="99">
        <v>28953.761829944557</v>
      </c>
      <c r="H49" s="99">
        <v>19741.201247689471</v>
      </c>
      <c r="I49" s="99">
        <v>10528.640665434385</v>
      </c>
      <c r="J49" s="99">
        <v>131608.00831792981</v>
      </c>
      <c r="K49" s="99">
        <v>131608.00831792981</v>
      </c>
      <c r="L49" s="99">
        <v>131608.00831792981</v>
      </c>
      <c r="M49" s="99">
        <v>131608.00831792981</v>
      </c>
      <c r="N49" s="99">
        <v>131608.00831792981</v>
      </c>
      <c r="O49" s="99">
        <v>131608.00831792981</v>
      </c>
      <c r="P49" s="99">
        <v>131608.00831792981</v>
      </c>
      <c r="Q49" s="99">
        <v>131608.00831792981</v>
      </c>
      <c r="R49" s="99">
        <v>131608.00831792981</v>
      </c>
      <c r="S49" s="99">
        <v>131608.00831792981</v>
      </c>
      <c r="T49" s="99">
        <v>131608.00831792981</v>
      </c>
      <c r="U49" s="99">
        <v>131608.00831792981</v>
      </c>
      <c r="V49" s="99">
        <v>131608.00831792981</v>
      </c>
    </row>
    <row r="50" spans="1:22" s="93" customFormat="1" x14ac:dyDescent="0.25">
      <c r="A50" s="23" t="s">
        <v>84</v>
      </c>
      <c r="B50" s="27">
        <v>0</v>
      </c>
      <c r="C50" s="99">
        <v>0</v>
      </c>
      <c r="D50" s="99">
        <v>0</v>
      </c>
      <c r="E50" s="99">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row>
    <row r="51" spans="1:22" s="55" customFormat="1" x14ac:dyDescent="0.25">
      <c r="A51" s="76" t="s">
        <v>64</v>
      </c>
      <c r="B51" s="27">
        <v>603034.84735094127</v>
      </c>
      <c r="C51" s="27">
        <v>0</v>
      </c>
      <c r="D51" s="27">
        <v>42212.439314565898</v>
      </c>
      <c r="E51" s="27">
        <v>147706.66808234731</v>
      </c>
      <c r="F51" s="27">
        <v>151808.42081030889</v>
      </c>
      <c r="G51" s="27">
        <v>133896.73700873848</v>
      </c>
      <c r="H51" s="27">
        <v>88806.272922080389</v>
      </c>
      <c r="I51" s="27">
        <v>38604.309212900371</v>
      </c>
      <c r="J51" s="27">
        <v>603034.84735094104</v>
      </c>
      <c r="K51" s="27">
        <v>603034.84735094104</v>
      </c>
      <c r="L51" s="27">
        <v>603034.84735094104</v>
      </c>
      <c r="M51" s="27">
        <v>603034.84735094104</v>
      </c>
      <c r="N51" s="27">
        <v>603034.84735094104</v>
      </c>
      <c r="O51" s="27">
        <v>603034.84735094104</v>
      </c>
      <c r="P51" s="27">
        <v>603034.84735094104</v>
      </c>
      <c r="Q51" s="27">
        <v>603034.84735094104</v>
      </c>
      <c r="R51" s="27">
        <v>603034.84735094104</v>
      </c>
      <c r="S51" s="27">
        <v>603034.84735094104</v>
      </c>
      <c r="T51" s="27">
        <v>603034.84735094104</v>
      </c>
      <c r="U51" s="27">
        <v>603034.84735094104</v>
      </c>
      <c r="V51" s="27">
        <v>603034.84735094104</v>
      </c>
    </row>
    <row r="52" spans="1:22" s="55" customFormat="1" x14ac:dyDescent="0.25">
      <c r="A52" s="72"/>
      <c r="B52" s="73"/>
      <c r="C52" s="74"/>
      <c r="D52" s="74"/>
      <c r="E52" s="74"/>
      <c r="F52" s="74"/>
      <c r="G52" s="74"/>
      <c r="H52" s="74"/>
      <c r="I52" s="74"/>
      <c r="J52" s="74"/>
      <c r="K52" s="74"/>
      <c r="L52" s="74"/>
      <c r="M52" s="74"/>
      <c r="N52" s="74"/>
      <c r="O52" s="66"/>
      <c r="P52" s="66"/>
      <c r="Q52" s="66"/>
      <c r="R52" s="66"/>
      <c r="S52" s="66"/>
      <c r="T52" s="66"/>
      <c r="U52" s="66"/>
      <c r="V52" s="66"/>
    </row>
    <row r="53" spans="1:22" ht="15.75" thickBot="1" x14ac:dyDescent="0.3">
      <c r="A53" s="285" t="s">
        <v>93</v>
      </c>
      <c r="B53" s="285"/>
      <c r="C53" s="285"/>
      <c r="D53" s="285"/>
      <c r="E53" s="285"/>
      <c r="F53" s="285"/>
      <c r="G53" s="285"/>
      <c r="H53" s="285"/>
      <c r="I53" s="285"/>
      <c r="J53" s="285"/>
      <c r="K53" s="285"/>
      <c r="L53" s="285"/>
      <c r="M53" s="285"/>
      <c r="N53" s="285"/>
      <c r="O53" s="285"/>
      <c r="P53" s="285"/>
      <c r="Q53" s="285"/>
      <c r="R53" s="285"/>
      <c r="S53" s="285"/>
      <c r="T53" s="285"/>
      <c r="U53" s="285"/>
      <c r="V53" s="285"/>
    </row>
    <row r="54" spans="1:22" x14ac:dyDescent="0.25">
      <c r="A54" s="286"/>
      <c r="B54" s="288"/>
      <c r="C54" s="290" t="s">
        <v>94</v>
      </c>
      <c r="D54" s="290"/>
      <c r="E54" s="290"/>
      <c r="F54" s="290"/>
      <c r="G54" s="290"/>
      <c r="H54" s="290"/>
      <c r="I54" s="290"/>
      <c r="J54" s="290"/>
      <c r="K54" s="290"/>
      <c r="L54" s="290"/>
      <c r="M54" s="290"/>
      <c r="N54" s="291"/>
      <c r="O54" s="292" t="s">
        <v>95</v>
      </c>
      <c r="P54" s="290"/>
      <c r="Q54" s="290"/>
      <c r="R54" s="290"/>
      <c r="S54" s="290"/>
      <c r="T54" s="290"/>
      <c r="U54" s="290"/>
      <c r="V54" s="291"/>
    </row>
    <row r="55" spans="1:22" x14ac:dyDescent="0.25">
      <c r="A55" s="287"/>
      <c r="B55" s="289"/>
      <c r="C55" s="265">
        <v>1</v>
      </c>
      <c r="D55" s="33">
        <v>2</v>
      </c>
      <c r="E55" s="265">
        <v>3</v>
      </c>
      <c r="F55" s="33">
        <v>4</v>
      </c>
      <c r="G55" s="265">
        <v>5</v>
      </c>
      <c r="H55" s="33">
        <v>6</v>
      </c>
      <c r="I55" s="265">
        <v>7</v>
      </c>
      <c r="J55" s="33">
        <v>8</v>
      </c>
      <c r="K55" s="265">
        <v>9</v>
      </c>
      <c r="L55" s="33">
        <v>10</v>
      </c>
      <c r="M55" s="265">
        <v>11</v>
      </c>
      <c r="N55" s="147">
        <v>12</v>
      </c>
      <c r="O55" s="150">
        <v>13</v>
      </c>
      <c r="P55" s="33">
        <v>14</v>
      </c>
      <c r="Q55" s="265">
        <v>15</v>
      </c>
      <c r="R55" s="33">
        <v>16</v>
      </c>
      <c r="S55" s="265">
        <v>17</v>
      </c>
      <c r="T55" s="33">
        <v>18</v>
      </c>
      <c r="U55" s="265">
        <v>19</v>
      </c>
      <c r="V55" s="147">
        <v>20</v>
      </c>
    </row>
    <row r="56" spans="1:22" s="22" customFormat="1" x14ac:dyDescent="0.25">
      <c r="A56" s="223" t="s">
        <v>96</v>
      </c>
      <c r="B56" s="57">
        <v>222063.137964961</v>
      </c>
      <c r="C56" s="183">
        <v>222063.137964961</v>
      </c>
      <c r="D56" s="183">
        <v>222063.137964961</v>
      </c>
      <c r="E56" s="183">
        <v>222063.137964961</v>
      </c>
      <c r="F56" s="183">
        <v>222063.137964961</v>
      </c>
      <c r="G56" s="183">
        <v>222063.137964961</v>
      </c>
      <c r="H56" s="183">
        <v>222063.137964961</v>
      </c>
      <c r="I56" s="183">
        <v>222063.137964961</v>
      </c>
      <c r="J56" s="183">
        <v>222063.137964961</v>
      </c>
      <c r="K56" s="183">
        <v>222063.137964961</v>
      </c>
      <c r="L56" s="183">
        <v>222063.137964961</v>
      </c>
      <c r="M56" s="183">
        <v>222063.137964961</v>
      </c>
      <c r="N56" s="224">
        <v>222063.137964961</v>
      </c>
      <c r="O56" s="225">
        <v>222063.137964961</v>
      </c>
      <c r="P56" s="183">
        <v>222063.137964961</v>
      </c>
      <c r="Q56" s="183">
        <v>222063.137964961</v>
      </c>
      <c r="R56" s="183">
        <v>222063.137964961</v>
      </c>
      <c r="S56" s="183">
        <v>222063.137964961</v>
      </c>
      <c r="T56" s="183">
        <v>222063.137964961</v>
      </c>
      <c r="U56" s="183">
        <v>222063.137964961</v>
      </c>
      <c r="V56" s="224">
        <v>222063.137964961</v>
      </c>
    </row>
    <row r="57" spans="1:22" s="22" customFormat="1" x14ac:dyDescent="0.25">
      <c r="A57" s="223" t="s">
        <v>97</v>
      </c>
      <c r="B57" s="57">
        <v>216066.04380073879</v>
      </c>
      <c r="C57" s="183">
        <v>216066.04380073879</v>
      </c>
      <c r="D57" s="183">
        <v>216066.04380073879</v>
      </c>
      <c r="E57" s="183">
        <v>216066.04380073879</v>
      </c>
      <c r="F57" s="183">
        <v>216066.04380073879</v>
      </c>
      <c r="G57" s="183">
        <v>216066.04380073879</v>
      </c>
      <c r="H57" s="183">
        <v>216066.04380073879</v>
      </c>
      <c r="I57" s="183">
        <v>216066.04380073879</v>
      </c>
      <c r="J57" s="183">
        <v>216066.04380073879</v>
      </c>
      <c r="K57" s="183">
        <v>216066.04380073879</v>
      </c>
      <c r="L57" s="183">
        <v>216066.04380073879</v>
      </c>
      <c r="M57" s="183">
        <v>216066.04380073879</v>
      </c>
      <c r="N57" s="224">
        <v>216066.04380073879</v>
      </c>
      <c r="O57" s="225">
        <v>216066.04380073879</v>
      </c>
      <c r="P57" s="183">
        <v>216066.04380073879</v>
      </c>
      <c r="Q57" s="183">
        <v>216066.04380073879</v>
      </c>
      <c r="R57" s="183">
        <v>216066.04380073879</v>
      </c>
      <c r="S57" s="183">
        <v>216066.04380073879</v>
      </c>
      <c r="T57" s="183">
        <v>216066.04380073879</v>
      </c>
      <c r="U57" s="183">
        <v>216066.04380073879</v>
      </c>
      <c r="V57" s="224">
        <v>216066.04380073879</v>
      </c>
    </row>
    <row r="58" spans="1:22" s="3" customFormat="1" x14ac:dyDescent="0.25">
      <c r="A58" s="226" t="s">
        <v>64</v>
      </c>
      <c r="B58" s="59">
        <v>438129.18176569976</v>
      </c>
      <c r="C58" s="210">
        <v>438129.18176569976</v>
      </c>
      <c r="D58" s="210">
        <v>438129.18176569976</v>
      </c>
      <c r="E58" s="210">
        <v>438129.18176569976</v>
      </c>
      <c r="F58" s="210">
        <v>438129.18176569976</v>
      </c>
      <c r="G58" s="210">
        <v>438129.18176569976</v>
      </c>
      <c r="H58" s="210">
        <v>438129.18176569976</v>
      </c>
      <c r="I58" s="210">
        <v>438129.18176569976</v>
      </c>
      <c r="J58" s="210">
        <v>438129.18176569976</v>
      </c>
      <c r="K58" s="210">
        <v>438129.18176569976</v>
      </c>
      <c r="L58" s="210">
        <v>438129.18176569976</v>
      </c>
      <c r="M58" s="210">
        <v>438129.18176569976</v>
      </c>
      <c r="N58" s="227">
        <v>438129.18176569976</v>
      </c>
      <c r="O58" s="228">
        <v>438129.18176569976</v>
      </c>
      <c r="P58" s="210">
        <v>438129.18176569976</v>
      </c>
      <c r="Q58" s="210">
        <v>438129.18176569976</v>
      </c>
      <c r="R58" s="210">
        <v>438129.18176569976</v>
      </c>
      <c r="S58" s="210">
        <v>438129.18176569976</v>
      </c>
      <c r="T58" s="210">
        <v>438129.18176569976</v>
      </c>
      <c r="U58" s="210">
        <v>438129.18176569976</v>
      </c>
      <c r="V58" s="227">
        <v>438129.18176569976</v>
      </c>
    </row>
    <row r="59" spans="1:22" s="3" customFormat="1" x14ac:dyDescent="0.25">
      <c r="A59" s="226" t="s">
        <v>98</v>
      </c>
      <c r="B59" s="59">
        <v>1765259.4700083062</v>
      </c>
      <c r="C59" s="59">
        <v>1765259.4700083062</v>
      </c>
      <c r="D59" s="59">
        <v>1765259.4700083062</v>
      </c>
      <c r="E59" s="59">
        <v>1765259.4700083062</v>
      </c>
      <c r="F59" s="59">
        <v>1765259.4700083062</v>
      </c>
      <c r="G59" s="59">
        <v>1765259.4700083062</v>
      </c>
      <c r="H59" s="59">
        <v>1765259.4700083062</v>
      </c>
      <c r="I59" s="59">
        <v>1765259.4700083062</v>
      </c>
      <c r="J59" s="59">
        <v>1765259.4700083062</v>
      </c>
      <c r="K59" s="59">
        <v>1765259.4700083062</v>
      </c>
      <c r="L59" s="59">
        <v>1765259.4700083062</v>
      </c>
      <c r="M59" s="59">
        <v>1765259.4700083062</v>
      </c>
      <c r="N59" s="229">
        <v>1765259.4700083062</v>
      </c>
      <c r="O59" s="230">
        <v>1765259.4700083062</v>
      </c>
      <c r="P59" s="59">
        <v>1765259.4700083062</v>
      </c>
      <c r="Q59" s="59">
        <v>1765259.4700083062</v>
      </c>
      <c r="R59" s="59">
        <v>1765259.4700083062</v>
      </c>
      <c r="S59" s="59">
        <v>1765259.4700083062</v>
      </c>
      <c r="T59" s="59">
        <v>1765259.4700083062</v>
      </c>
      <c r="U59" s="59">
        <v>1765259.4700083062</v>
      </c>
      <c r="V59" s="229">
        <v>1765259.4700083062</v>
      </c>
    </row>
    <row r="60" spans="1:22" ht="15.75" thickBot="1" x14ac:dyDescent="0.3">
      <c r="A60" s="148" t="s">
        <v>99</v>
      </c>
      <c r="B60" s="149">
        <v>2203388.651774006</v>
      </c>
      <c r="C60" s="159">
        <v>2203388.651774006</v>
      </c>
      <c r="D60" s="159">
        <v>2203388.651774006</v>
      </c>
      <c r="E60" s="159">
        <v>2203388.651774006</v>
      </c>
      <c r="F60" s="159">
        <v>2203388.651774006</v>
      </c>
      <c r="G60" s="159">
        <v>2203388.651774006</v>
      </c>
      <c r="H60" s="159">
        <v>2203388.651774006</v>
      </c>
      <c r="I60" s="159">
        <v>2203388.651774006</v>
      </c>
      <c r="J60" s="159">
        <v>2203388.651774006</v>
      </c>
      <c r="K60" s="159">
        <v>2203388.651774006</v>
      </c>
      <c r="L60" s="159">
        <v>2203388.651774006</v>
      </c>
      <c r="M60" s="159">
        <v>2203388.651774006</v>
      </c>
      <c r="N60" s="160">
        <v>2203388.651774006</v>
      </c>
      <c r="O60" s="161">
        <v>2203388.651774006</v>
      </c>
      <c r="P60" s="162">
        <v>2203388.651774006</v>
      </c>
      <c r="Q60" s="162">
        <v>2203388.651774006</v>
      </c>
      <c r="R60" s="162">
        <v>2203388.651774006</v>
      </c>
      <c r="S60" s="162">
        <v>2203388.651774006</v>
      </c>
      <c r="T60" s="162">
        <v>2203388.651774006</v>
      </c>
      <c r="U60" s="162">
        <v>2203388.651774006</v>
      </c>
      <c r="V60" s="163">
        <v>2203388.651774006</v>
      </c>
    </row>
    <row r="61" spans="1:22" x14ac:dyDescent="0.25">
      <c r="B61" s="7"/>
    </row>
    <row r="62" spans="1:22" x14ac:dyDescent="0.25">
      <c r="C62" s="16"/>
      <c r="D62" s="16"/>
    </row>
    <row r="63" spans="1:22" x14ac:dyDescent="0.25">
      <c r="C63" s="16"/>
      <c r="D63" s="16"/>
    </row>
    <row r="64" spans="1:22" x14ac:dyDescent="0.25">
      <c r="C64" s="16"/>
      <c r="D64" s="16"/>
    </row>
    <row r="65" spans="3:4" x14ac:dyDescent="0.25">
      <c r="C65" s="16"/>
    </row>
    <row r="66" spans="3:4" x14ac:dyDescent="0.25">
      <c r="D66" s="16"/>
    </row>
    <row r="68" spans="3:4" x14ac:dyDescent="0.25">
      <c r="D68" s="16"/>
    </row>
  </sheetData>
  <mergeCells count="23">
    <mergeCell ref="A1:V1"/>
    <mergeCell ref="A2:A4"/>
    <mergeCell ref="B2:B4"/>
    <mergeCell ref="C2:V2"/>
    <mergeCell ref="C3:I3"/>
    <mergeCell ref="J3:V3"/>
    <mergeCell ref="A5:V5"/>
    <mergeCell ref="A9:V9"/>
    <mergeCell ref="A12:V12"/>
    <mergeCell ref="A15:V15"/>
    <mergeCell ref="A16:V16"/>
    <mergeCell ref="A19:V19"/>
    <mergeCell ref="A26:V26"/>
    <mergeCell ref="A27:A29"/>
    <mergeCell ref="C27:V27"/>
    <mergeCell ref="B27:B29"/>
    <mergeCell ref="C28:I28"/>
    <mergeCell ref="J28:V28"/>
    <mergeCell ref="A53:V53"/>
    <mergeCell ref="A54:A55"/>
    <mergeCell ref="B54:B55"/>
    <mergeCell ref="C54:N54"/>
    <mergeCell ref="O54:V54"/>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tabColor theme="2" tint="-0.249977111117893"/>
  </sheetPr>
  <dimension ref="A1:H47"/>
  <sheetViews>
    <sheetView topLeftCell="A28" zoomScaleNormal="100" workbookViewId="0">
      <selection activeCell="B46" sqref="B46"/>
    </sheetView>
  </sheetViews>
  <sheetFormatPr baseColWidth="10" defaultColWidth="11.42578125" defaultRowHeight="15" x14ac:dyDescent="0.25"/>
  <cols>
    <col min="1" max="1" width="63.42578125" style="14" customWidth="1"/>
    <col min="2" max="2" width="16.5703125" style="14" customWidth="1"/>
    <col min="3" max="3" width="25.7109375" style="14" customWidth="1"/>
    <col min="4" max="4" width="22.5703125" style="14" customWidth="1"/>
    <col min="5" max="5" width="26.5703125" style="14" customWidth="1"/>
    <col min="6" max="6" width="19.85546875" style="14" customWidth="1"/>
    <col min="7" max="7" width="17.140625" style="14" customWidth="1"/>
    <col min="8" max="16384" width="11.42578125" style="14"/>
  </cols>
  <sheetData>
    <row r="1" spans="1:7" ht="15" customHeight="1" x14ac:dyDescent="0.25">
      <c r="A1" s="283" t="s">
        <v>61</v>
      </c>
      <c r="B1" s="284" t="s">
        <v>100</v>
      </c>
      <c r="C1" s="284" t="s">
        <v>355</v>
      </c>
      <c r="D1" s="284" t="s">
        <v>101</v>
      </c>
      <c r="E1" s="107"/>
      <c r="F1" s="68"/>
      <c r="G1" s="35"/>
    </row>
    <row r="2" spans="1:7" ht="30" customHeight="1" x14ac:dyDescent="0.25">
      <c r="A2" s="283"/>
      <c r="B2" s="284"/>
      <c r="C2" s="284"/>
      <c r="D2" s="284"/>
      <c r="E2" s="108"/>
      <c r="F2" s="68"/>
      <c r="G2" s="35"/>
    </row>
    <row r="3" spans="1:7" x14ac:dyDescent="0.25">
      <c r="A3" s="24" t="s">
        <v>67</v>
      </c>
      <c r="B3" s="24"/>
      <c r="C3" s="24"/>
      <c r="D3" s="24"/>
      <c r="E3" s="109"/>
      <c r="F3" s="68"/>
      <c r="G3" s="35"/>
    </row>
    <row r="4" spans="1:7" x14ac:dyDescent="0.25">
      <c r="A4" s="30" t="s">
        <v>68</v>
      </c>
      <c r="B4" s="30"/>
      <c r="C4" s="30"/>
      <c r="D4" s="32"/>
      <c r="E4" s="68"/>
      <c r="F4" s="68"/>
      <c r="G4" s="35"/>
    </row>
    <row r="5" spans="1:7" ht="15.75" customHeight="1" x14ac:dyDescent="0.25">
      <c r="A5" s="17" t="s">
        <v>102</v>
      </c>
      <c r="B5" s="21">
        <v>1</v>
      </c>
      <c r="C5" s="17">
        <v>2</v>
      </c>
      <c r="D5" s="209">
        <v>4425.1543198451145</v>
      </c>
      <c r="E5" s="68"/>
      <c r="F5" s="68"/>
      <c r="G5" s="35"/>
    </row>
    <row r="6" spans="1:7" ht="15.75" customHeight="1" x14ac:dyDescent="0.25">
      <c r="A6" s="17" t="s">
        <v>103</v>
      </c>
      <c r="B6" s="21">
        <v>0</v>
      </c>
      <c r="C6" s="17">
        <v>2</v>
      </c>
      <c r="D6" s="209">
        <v>0</v>
      </c>
      <c r="E6" s="68"/>
      <c r="F6" s="68"/>
      <c r="G6" s="35"/>
    </row>
    <row r="7" spans="1:7" ht="15.75" customHeight="1" x14ac:dyDescent="0.25">
      <c r="A7" s="17" t="s">
        <v>104</v>
      </c>
      <c r="B7" s="21">
        <v>0</v>
      </c>
      <c r="C7" s="17">
        <v>100</v>
      </c>
      <c r="D7" s="209">
        <v>0</v>
      </c>
      <c r="E7" s="68"/>
      <c r="F7" s="68"/>
      <c r="G7" s="35"/>
    </row>
    <row r="8" spans="1:7" x14ac:dyDescent="0.25">
      <c r="A8" s="17" t="s">
        <v>105</v>
      </c>
      <c r="B8" s="21">
        <v>0</v>
      </c>
      <c r="C8" s="17">
        <v>100</v>
      </c>
      <c r="D8" s="209">
        <v>0</v>
      </c>
      <c r="E8" s="68"/>
      <c r="F8" s="68"/>
      <c r="G8" s="35"/>
    </row>
    <row r="9" spans="1:7" x14ac:dyDescent="0.25">
      <c r="A9" s="30" t="s">
        <v>69</v>
      </c>
      <c r="B9" s="30"/>
      <c r="C9" s="30"/>
      <c r="D9" s="38"/>
      <c r="E9" s="68"/>
      <c r="F9" s="68"/>
      <c r="G9" s="35"/>
    </row>
    <row r="10" spans="1:7" x14ac:dyDescent="0.25">
      <c r="A10" s="17" t="s">
        <v>102</v>
      </c>
      <c r="B10" s="21">
        <v>0.4</v>
      </c>
      <c r="C10" s="17">
        <v>4</v>
      </c>
      <c r="D10" s="209">
        <v>1214.3870811780832</v>
      </c>
      <c r="E10" s="68"/>
      <c r="F10" s="68"/>
      <c r="G10" s="35"/>
    </row>
    <row r="11" spans="1:7" x14ac:dyDescent="0.25">
      <c r="A11" s="17" t="s">
        <v>103</v>
      </c>
      <c r="B11" s="21">
        <v>0.6</v>
      </c>
      <c r="C11" s="17">
        <v>6</v>
      </c>
      <c r="D11" s="209">
        <v>1214.387081178083</v>
      </c>
      <c r="E11" s="68"/>
      <c r="F11" s="68"/>
      <c r="G11" s="35"/>
    </row>
    <row r="12" spans="1:7" x14ac:dyDescent="0.25">
      <c r="A12" s="17" t="s">
        <v>104</v>
      </c>
      <c r="B12" s="21">
        <v>0</v>
      </c>
      <c r="C12" s="17">
        <v>200</v>
      </c>
      <c r="D12" s="209">
        <v>0</v>
      </c>
      <c r="E12" s="68"/>
      <c r="F12" s="68"/>
      <c r="G12" s="35"/>
    </row>
    <row r="13" spans="1:7" x14ac:dyDescent="0.25">
      <c r="A13" s="17" t="s">
        <v>105</v>
      </c>
      <c r="B13" s="21">
        <v>0</v>
      </c>
      <c r="C13" s="17">
        <v>200</v>
      </c>
      <c r="D13" s="209">
        <v>0</v>
      </c>
      <c r="E13" s="68"/>
      <c r="F13" s="68"/>
      <c r="G13" s="35"/>
    </row>
    <row r="14" spans="1:7" x14ac:dyDescent="0.25">
      <c r="A14" s="30" t="s">
        <v>70</v>
      </c>
      <c r="B14" s="30"/>
      <c r="C14" s="30"/>
      <c r="D14" s="38"/>
      <c r="E14" s="68"/>
      <c r="F14" s="68"/>
      <c r="G14" s="35"/>
    </row>
    <row r="15" spans="1:7" x14ac:dyDescent="0.25">
      <c r="A15" s="17" t="s">
        <v>102</v>
      </c>
      <c r="B15" s="21">
        <v>0.4</v>
      </c>
      <c r="C15" s="17">
        <v>20</v>
      </c>
      <c r="D15" s="209">
        <v>804.29249905086738</v>
      </c>
      <c r="E15" s="68"/>
      <c r="F15" s="68"/>
      <c r="G15" s="35"/>
    </row>
    <row r="16" spans="1:7" x14ac:dyDescent="0.25">
      <c r="A16" s="17" t="s">
        <v>103</v>
      </c>
      <c r="B16" s="21">
        <v>0.6</v>
      </c>
      <c r="C16" s="17">
        <v>60</v>
      </c>
      <c r="D16" s="209">
        <v>402.14624952543363</v>
      </c>
      <c r="E16" s="68"/>
      <c r="F16" s="68"/>
      <c r="G16" s="35"/>
    </row>
    <row r="17" spans="1:7" x14ac:dyDescent="0.25">
      <c r="A17" s="17" t="s">
        <v>104</v>
      </c>
      <c r="B17" s="21">
        <v>0</v>
      </c>
      <c r="C17" s="17">
        <v>350</v>
      </c>
      <c r="D17" s="209">
        <v>0</v>
      </c>
      <c r="E17" s="68"/>
      <c r="F17" s="68"/>
      <c r="G17" s="35"/>
    </row>
    <row r="18" spans="1:7" x14ac:dyDescent="0.25">
      <c r="A18" s="17" t="s">
        <v>105</v>
      </c>
      <c r="B18" s="21">
        <v>0</v>
      </c>
      <c r="C18" s="17">
        <v>350</v>
      </c>
      <c r="D18" s="209">
        <v>0</v>
      </c>
      <c r="E18" s="68"/>
      <c r="F18" s="68"/>
      <c r="G18" s="35"/>
    </row>
    <row r="19" spans="1:7" x14ac:dyDescent="0.25">
      <c r="A19" s="28" t="s">
        <v>71</v>
      </c>
      <c r="B19" s="28"/>
      <c r="C19" s="28"/>
      <c r="D19" s="28"/>
      <c r="E19" s="110"/>
      <c r="F19" s="68"/>
      <c r="G19" s="35"/>
    </row>
    <row r="20" spans="1:7" x14ac:dyDescent="0.25">
      <c r="A20" s="25" t="s">
        <v>106</v>
      </c>
      <c r="B20" s="25"/>
      <c r="C20" s="25"/>
      <c r="D20" s="25"/>
      <c r="E20" s="68"/>
      <c r="F20" s="68"/>
      <c r="G20" s="35"/>
    </row>
    <row r="21" spans="1:7" x14ac:dyDescent="0.25">
      <c r="A21" s="17" t="s">
        <v>102</v>
      </c>
      <c r="B21" s="21">
        <v>0</v>
      </c>
      <c r="C21" s="17">
        <v>0</v>
      </c>
      <c r="D21" s="17">
        <v>0</v>
      </c>
      <c r="E21" s="68"/>
      <c r="F21" s="68"/>
      <c r="G21" s="35"/>
    </row>
    <row r="22" spans="1:7" x14ac:dyDescent="0.25">
      <c r="A22" s="17" t="s">
        <v>103</v>
      </c>
      <c r="B22" s="21">
        <v>0</v>
      </c>
      <c r="C22" s="17">
        <v>0</v>
      </c>
      <c r="D22" s="17">
        <v>0</v>
      </c>
      <c r="E22" s="68"/>
      <c r="F22" s="68"/>
      <c r="G22" s="35"/>
    </row>
    <row r="23" spans="1:7" x14ac:dyDescent="0.25">
      <c r="A23" s="17" t="s">
        <v>104</v>
      </c>
      <c r="B23" s="21">
        <v>1</v>
      </c>
      <c r="C23" s="17">
        <v>3500</v>
      </c>
      <c r="D23" s="209">
        <v>94.866661494525516</v>
      </c>
      <c r="E23" s="68"/>
      <c r="F23" s="68"/>
      <c r="G23" s="35"/>
    </row>
    <row r="24" spans="1:7" x14ac:dyDescent="0.25">
      <c r="A24" s="17" t="s">
        <v>105</v>
      </c>
      <c r="B24" s="21">
        <v>0</v>
      </c>
      <c r="C24" s="17">
        <v>0</v>
      </c>
      <c r="D24" s="17">
        <v>0</v>
      </c>
      <c r="E24" s="68"/>
      <c r="F24" s="68"/>
      <c r="G24" s="35"/>
    </row>
    <row r="25" spans="1:7" x14ac:dyDescent="0.25">
      <c r="A25" s="25" t="s">
        <v>85</v>
      </c>
      <c r="B25" s="25"/>
      <c r="C25" s="25"/>
      <c r="D25" s="25"/>
      <c r="E25" s="68"/>
      <c r="F25" s="68"/>
      <c r="G25" s="35"/>
    </row>
    <row r="26" spans="1:7" x14ac:dyDescent="0.25">
      <c r="A26" s="25" t="s">
        <v>74</v>
      </c>
      <c r="B26" s="25"/>
      <c r="C26" s="25"/>
      <c r="D26" s="25"/>
      <c r="E26" s="68"/>
      <c r="F26" s="68"/>
      <c r="G26" s="35"/>
    </row>
    <row r="27" spans="1:7" x14ac:dyDescent="0.25">
      <c r="A27" s="17" t="s">
        <v>102</v>
      </c>
      <c r="B27" s="21">
        <v>0</v>
      </c>
      <c r="C27" s="17">
        <v>100</v>
      </c>
      <c r="D27" s="209">
        <v>0</v>
      </c>
      <c r="E27" s="68"/>
      <c r="F27" s="68"/>
      <c r="G27" s="35"/>
    </row>
    <row r="28" spans="1:7" x14ac:dyDescent="0.25">
      <c r="A28" s="17" t="s">
        <v>103</v>
      </c>
      <c r="B28" s="21">
        <v>1</v>
      </c>
      <c r="C28" s="17">
        <v>800</v>
      </c>
      <c r="D28" s="209">
        <v>97.730899247697266</v>
      </c>
      <c r="E28" s="125"/>
      <c r="F28" s="68"/>
      <c r="G28" s="35"/>
    </row>
    <row r="29" spans="1:7" x14ac:dyDescent="0.25">
      <c r="A29" s="17" t="s">
        <v>104</v>
      </c>
      <c r="B29" s="21">
        <v>0</v>
      </c>
      <c r="C29" s="17">
        <v>3000</v>
      </c>
      <c r="D29" s="209">
        <v>0</v>
      </c>
      <c r="E29" s="68"/>
      <c r="F29" s="68"/>
      <c r="G29" s="35"/>
    </row>
    <row r="30" spans="1:7" x14ac:dyDescent="0.25">
      <c r="A30" s="17" t="s">
        <v>105</v>
      </c>
      <c r="B30" s="21">
        <v>0</v>
      </c>
      <c r="C30" s="17">
        <v>3000</v>
      </c>
      <c r="D30" s="209">
        <v>0</v>
      </c>
      <c r="E30" s="68"/>
      <c r="F30" s="68"/>
      <c r="G30" s="35"/>
    </row>
    <row r="31" spans="1:7" x14ac:dyDescent="0.25">
      <c r="A31" s="25" t="s">
        <v>75</v>
      </c>
      <c r="B31" s="25"/>
      <c r="C31" s="25"/>
      <c r="D31" s="25"/>
      <c r="E31" s="68"/>
      <c r="F31" s="68"/>
      <c r="G31" s="35"/>
    </row>
    <row r="32" spans="1:7" x14ac:dyDescent="0.25">
      <c r="A32" s="17" t="s">
        <v>102</v>
      </c>
      <c r="B32" s="21">
        <v>0</v>
      </c>
      <c r="C32" s="17">
        <v>100</v>
      </c>
      <c r="D32" s="209">
        <v>0</v>
      </c>
      <c r="E32" s="68"/>
      <c r="F32" s="68"/>
      <c r="G32" s="35"/>
    </row>
    <row r="33" spans="1:8" x14ac:dyDescent="0.25">
      <c r="A33" s="17" t="s">
        <v>103</v>
      </c>
      <c r="B33" s="21">
        <v>1</v>
      </c>
      <c r="C33" s="17">
        <v>800</v>
      </c>
      <c r="D33" s="209">
        <v>164.51001039741226</v>
      </c>
      <c r="E33" s="68"/>
      <c r="F33" s="68"/>
      <c r="G33" s="35"/>
    </row>
    <row r="34" spans="1:8" x14ac:dyDescent="0.25">
      <c r="A34" s="17" t="s">
        <v>104</v>
      </c>
      <c r="B34" s="21">
        <v>0</v>
      </c>
      <c r="C34" s="17">
        <v>3000</v>
      </c>
      <c r="D34" s="209">
        <v>0</v>
      </c>
      <c r="E34" s="68"/>
      <c r="F34" s="68"/>
      <c r="G34" s="35"/>
    </row>
    <row r="35" spans="1:8" x14ac:dyDescent="0.25">
      <c r="A35" s="17" t="s">
        <v>105</v>
      </c>
      <c r="B35" s="21">
        <v>0</v>
      </c>
      <c r="C35" s="17">
        <v>3000</v>
      </c>
      <c r="D35" s="209">
        <v>0</v>
      </c>
      <c r="E35" s="68"/>
      <c r="F35" s="68"/>
      <c r="G35" s="35"/>
    </row>
    <row r="36" spans="1:8" s="3" customFormat="1" x14ac:dyDescent="0.25">
      <c r="A36" s="67"/>
      <c r="B36" s="69"/>
      <c r="C36" s="67"/>
      <c r="D36" s="70"/>
      <c r="E36" s="68"/>
      <c r="F36" s="68"/>
    </row>
    <row r="37" spans="1:8" x14ac:dyDescent="0.25">
      <c r="A37" s="312" t="s">
        <v>107</v>
      </c>
      <c r="B37" s="314" t="s">
        <v>108</v>
      </c>
      <c r="C37" s="314"/>
      <c r="D37" s="314"/>
      <c r="E37" s="314"/>
      <c r="F37" s="314"/>
      <c r="G37" s="314"/>
      <c r="H37" s="313" t="s">
        <v>64</v>
      </c>
    </row>
    <row r="38" spans="1:8" ht="30" x14ac:dyDescent="0.25">
      <c r="A38" s="312"/>
      <c r="B38" s="215" t="s">
        <v>109</v>
      </c>
      <c r="C38" s="270" t="s">
        <v>110</v>
      </c>
      <c r="D38" s="215" t="s">
        <v>111</v>
      </c>
      <c r="E38" s="215" t="s">
        <v>112</v>
      </c>
      <c r="F38" s="215" t="s">
        <v>74</v>
      </c>
      <c r="G38" s="215" t="s">
        <v>75</v>
      </c>
      <c r="H38" s="313"/>
    </row>
    <row r="39" spans="1:8" x14ac:dyDescent="0.25">
      <c r="A39" s="17" t="s">
        <v>102</v>
      </c>
      <c r="B39" s="5">
        <v>4425.1543198451145</v>
      </c>
      <c r="C39" s="5">
        <v>1214.3870811780832</v>
      </c>
      <c r="D39" s="31">
        <v>804.29249905086738</v>
      </c>
      <c r="E39" s="31">
        <v>0</v>
      </c>
      <c r="F39" s="5">
        <v>0</v>
      </c>
      <c r="G39" s="1">
        <v>0</v>
      </c>
      <c r="H39" s="31">
        <v>6443.8339000740652</v>
      </c>
    </row>
    <row r="40" spans="1:8" x14ac:dyDescent="0.25">
      <c r="A40" s="17" t="s">
        <v>103</v>
      </c>
      <c r="B40" s="5">
        <v>0</v>
      </c>
      <c r="C40" s="5">
        <v>1214.387081178083</v>
      </c>
      <c r="D40" s="31">
        <v>402.14624952543363</v>
      </c>
      <c r="E40" s="31">
        <v>0</v>
      </c>
      <c r="F40" s="5">
        <v>97.730899247697266</v>
      </c>
      <c r="G40" s="1">
        <v>0</v>
      </c>
      <c r="H40" s="31">
        <v>1714.264229951214</v>
      </c>
    </row>
    <row r="41" spans="1:8" x14ac:dyDescent="0.25">
      <c r="A41" s="17" t="s">
        <v>104</v>
      </c>
      <c r="B41" s="5">
        <v>0</v>
      </c>
      <c r="C41" s="5">
        <v>0</v>
      </c>
      <c r="D41" s="31">
        <v>0</v>
      </c>
      <c r="E41" s="31">
        <v>94.866661494525516</v>
      </c>
      <c r="F41" s="31">
        <v>0</v>
      </c>
      <c r="G41" s="1">
        <v>0</v>
      </c>
      <c r="H41" s="31">
        <v>94.866661494525516</v>
      </c>
    </row>
    <row r="42" spans="1:8" x14ac:dyDescent="0.25">
      <c r="A42" s="17" t="s">
        <v>113</v>
      </c>
      <c r="B42" s="5">
        <v>0</v>
      </c>
      <c r="C42" s="5">
        <v>0</v>
      </c>
      <c r="D42" s="31">
        <v>0</v>
      </c>
      <c r="E42" s="31">
        <v>0</v>
      </c>
      <c r="F42" s="31">
        <v>0</v>
      </c>
      <c r="G42" s="31">
        <v>164.51001039741226</v>
      </c>
      <c r="H42" s="31">
        <v>164.51001039741226</v>
      </c>
    </row>
    <row r="43" spans="1:8" x14ac:dyDescent="0.25">
      <c r="A43" s="17" t="s">
        <v>114</v>
      </c>
      <c r="B43" s="5">
        <v>12</v>
      </c>
      <c r="C43" s="5">
        <v>0</v>
      </c>
      <c r="D43" s="31">
        <v>0</v>
      </c>
      <c r="E43" s="31">
        <v>0</v>
      </c>
      <c r="F43" s="31">
        <v>0</v>
      </c>
      <c r="G43" s="1">
        <v>0</v>
      </c>
      <c r="H43" s="31">
        <v>12</v>
      </c>
    </row>
    <row r="44" spans="1:8" x14ac:dyDescent="0.25">
      <c r="A44" s="17" t="s">
        <v>64</v>
      </c>
      <c r="B44" s="5">
        <v>4437.1543198451145</v>
      </c>
      <c r="C44" s="5">
        <v>2428.774162356166</v>
      </c>
      <c r="D44" s="31">
        <v>1206.4387485763009</v>
      </c>
      <c r="E44" s="31">
        <v>94.866661494525516</v>
      </c>
      <c r="F44" s="31">
        <v>97.730899247697266</v>
      </c>
      <c r="G44" s="31">
        <v>164.51001039741226</v>
      </c>
      <c r="H44" s="31">
        <v>8429.4748019172166</v>
      </c>
    </row>
    <row r="45" spans="1:8" x14ac:dyDescent="0.25">
      <c r="B45" s="10"/>
      <c r="C45" s="66"/>
    </row>
    <row r="47" spans="1:8" x14ac:dyDescent="0.25">
      <c r="G47" s="10"/>
    </row>
  </sheetData>
  <mergeCells count="7">
    <mergeCell ref="D1:D2"/>
    <mergeCell ref="A37:A38"/>
    <mergeCell ref="H37:H38"/>
    <mergeCell ref="A1:A2"/>
    <mergeCell ref="B1:B2"/>
    <mergeCell ref="C1:C2"/>
    <mergeCell ref="B37:G3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tabColor theme="6"/>
  </sheetPr>
  <dimension ref="A1:C14"/>
  <sheetViews>
    <sheetView workbookViewId="0">
      <selection activeCell="C4" sqref="C4"/>
    </sheetView>
  </sheetViews>
  <sheetFormatPr baseColWidth="10" defaultColWidth="11.42578125" defaultRowHeight="15" x14ac:dyDescent="0.25"/>
  <cols>
    <col min="1" max="1" width="70.85546875" customWidth="1"/>
    <col min="2" max="2" width="51" customWidth="1"/>
    <col min="3" max="3" width="48.140625" customWidth="1"/>
  </cols>
  <sheetData>
    <row r="1" spans="1:3" x14ac:dyDescent="0.25">
      <c r="A1" s="273" t="s">
        <v>61</v>
      </c>
      <c r="B1" s="265" t="s">
        <v>115</v>
      </c>
      <c r="C1" s="265" t="s">
        <v>116</v>
      </c>
    </row>
    <row r="2" spans="1:3" x14ac:dyDescent="0.25">
      <c r="A2" s="24" t="s">
        <v>67</v>
      </c>
      <c r="B2" s="24"/>
      <c r="C2" s="24"/>
    </row>
    <row r="3" spans="1:3" ht="90" x14ac:dyDescent="0.25">
      <c r="A3" s="116" t="s">
        <v>68</v>
      </c>
      <c r="B3" s="117" t="s">
        <v>117</v>
      </c>
      <c r="C3" s="117" t="s">
        <v>118</v>
      </c>
    </row>
    <row r="4" spans="1:3" ht="90" x14ac:dyDescent="0.25">
      <c r="A4" s="116" t="s">
        <v>69</v>
      </c>
      <c r="B4" s="117" t="s">
        <v>119</v>
      </c>
      <c r="C4" s="117" t="s">
        <v>120</v>
      </c>
    </row>
    <row r="5" spans="1:3" ht="92.25" customHeight="1" x14ac:dyDescent="0.25">
      <c r="A5" s="116" t="s">
        <v>70</v>
      </c>
      <c r="B5" s="117" t="s">
        <v>121</v>
      </c>
      <c r="C5" s="117" t="s">
        <v>122</v>
      </c>
    </row>
    <row r="6" spans="1:3" x14ac:dyDescent="0.25">
      <c r="A6" s="28" t="s">
        <v>71</v>
      </c>
      <c r="B6" s="28"/>
      <c r="C6" s="28"/>
    </row>
    <row r="7" spans="1:3" ht="75" x14ac:dyDescent="0.25">
      <c r="A7" s="116" t="s">
        <v>72</v>
      </c>
      <c r="B7" s="118" t="s">
        <v>123</v>
      </c>
      <c r="C7" s="119" t="s">
        <v>124</v>
      </c>
    </row>
    <row r="8" spans="1:3" ht="75" customHeight="1" x14ac:dyDescent="0.25">
      <c r="A8" s="116" t="s">
        <v>85</v>
      </c>
      <c r="B8" s="317" t="s">
        <v>358</v>
      </c>
      <c r="C8" s="317" t="s">
        <v>125</v>
      </c>
    </row>
    <row r="9" spans="1:3" x14ac:dyDescent="0.25">
      <c r="A9" s="37" t="s">
        <v>126</v>
      </c>
      <c r="B9" s="318"/>
      <c r="C9" s="318"/>
    </row>
    <row r="10" spans="1:3" x14ac:dyDescent="0.25">
      <c r="A10" s="37" t="s">
        <v>127</v>
      </c>
      <c r="B10" s="319"/>
      <c r="C10" s="319"/>
    </row>
    <row r="11" spans="1:3" x14ac:dyDescent="0.25">
      <c r="A11" s="315" t="s">
        <v>128</v>
      </c>
      <c r="B11" s="315"/>
      <c r="C11" s="315"/>
    </row>
    <row r="12" spans="1:3" x14ac:dyDescent="0.25">
      <c r="A12" s="266" t="s">
        <v>129</v>
      </c>
      <c r="B12" s="316" t="s">
        <v>130</v>
      </c>
      <c r="C12" s="316"/>
    </row>
    <row r="13" spans="1:3" ht="126" customHeight="1" x14ac:dyDescent="0.25">
      <c r="A13" s="116" t="s">
        <v>72</v>
      </c>
      <c r="B13" s="120" t="s">
        <v>131</v>
      </c>
      <c r="C13" s="176" t="s">
        <v>132</v>
      </c>
    </row>
    <row r="14" spans="1:3" ht="120" customHeight="1" x14ac:dyDescent="0.25">
      <c r="A14" s="116" t="s">
        <v>133</v>
      </c>
      <c r="B14" s="120" t="s">
        <v>134</v>
      </c>
      <c r="C14" s="176" t="s">
        <v>135</v>
      </c>
    </row>
  </sheetData>
  <mergeCells count="4">
    <mergeCell ref="A11:C11"/>
    <mergeCell ref="B12:C12"/>
    <mergeCell ref="B8:B10"/>
    <mergeCell ref="C8:C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election activeCell="B6" sqref="B6"/>
    </sheetView>
  </sheetViews>
  <sheetFormatPr baseColWidth="10" defaultColWidth="11.42578125" defaultRowHeight="15" x14ac:dyDescent="0.25"/>
  <cols>
    <col min="1" max="1" width="70.85546875" style="14" customWidth="1"/>
    <col min="2" max="2" width="51" style="14" customWidth="1"/>
    <col min="3" max="3" width="48.140625" style="14" customWidth="1"/>
    <col min="4" max="16384" width="11.42578125" style="14"/>
  </cols>
  <sheetData>
    <row r="1" spans="1:3" x14ac:dyDescent="0.25">
      <c r="A1" s="273" t="s">
        <v>61</v>
      </c>
      <c r="B1" s="265" t="s">
        <v>115</v>
      </c>
      <c r="C1" s="265" t="s">
        <v>116</v>
      </c>
    </row>
    <row r="2" spans="1:3" x14ac:dyDescent="0.25">
      <c r="A2" s="24" t="s">
        <v>67</v>
      </c>
      <c r="B2" s="24"/>
      <c r="C2" s="24"/>
    </row>
    <row r="3" spans="1:3" ht="75" x14ac:dyDescent="0.25">
      <c r="A3" s="116" t="s">
        <v>68</v>
      </c>
      <c r="B3" s="117" t="s">
        <v>362</v>
      </c>
      <c r="C3" s="117" t="s">
        <v>136</v>
      </c>
    </row>
    <row r="4" spans="1:3" ht="75" x14ac:dyDescent="0.25">
      <c r="A4" s="116" t="s">
        <v>69</v>
      </c>
      <c r="B4" s="117" t="s">
        <v>137</v>
      </c>
      <c r="C4" s="117" t="s">
        <v>138</v>
      </c>
    </row>
    <row r="5" spans="1:3" ht="92.25" customHeight="1" x14ac:dyDescent="0.25">
      <c r="A5" s="116" t="s">
        <v>70</v>
      </c>
      <c r="B5" s="117" t="s">
        <v>139</v>
      </c>
      <c r="C5" s="117" t="s">
        <v>140</v>
      </c>
    </row>
    <row r="6" spans="1:3" x14ac:dyDescent="0.25">
      <c r="A6" s="28" t="s">
        <v>71</v>
      </c>
      <c r="B6" s="28"/>
      <c r="C6" s="28"/>
    </row>
    <row r="7" spans="1:3" ht="60" x14ac:dyDescent="0.25">
      <c r="A7" s="116" t="s">
        <v>72</v>
      </c>
      <c r="B7" s="118" t="s">
        <v>141</v>
      </c>
      <c r="C7" s="119" t="s">
        <v>142</v>
      </c>
    </row>
    <row r="8" spans="1:3" ht="75" customHeight="1" x14ac:dyDescent="0.25">
      <c r="A8" s="116" t="s">
        <v>85</v>
      </c>
      <c r="B8" s="317" t="s">
        <v>143</v>
      </c>
      <c r="C8" s="317" t="s">
        <v>142</v>
      </c>
    </row>
    <row r="9" spans="1:3" x14ac:dyDescent="0.25">
      <c r="A9" s="37" t="s">
        <v>126</v>
      </c>
      <c r="B9" s="318"/>
      <c r="C9" s="318"/>
    </row>
    <row r="10" spans="1:3" x14ac:dyDescent="0.25">
      <c r="A10" s="37" t="s">
        <v>127</v>
      </c>
      <c r="B10" s="319"/>
      <c r="C10" s="319"/>
    </row>
    <row r="11" spans="1:3" x14ac:dyDescent="0.25">
      <c r="A11" s="315" t="s">
        <v>144</v>
      </c>
      <c r="B11" s="315"/>
      <c r="C11" s="315"/>
    </row>
    <row r="12" spans="1:3" x14ac:dyDescent="0.25">
      <c r="A12" s="266" t="s">
        <v>129</v>
      </c>
      <c r="B12" s="316" t="s">
        <v>130</v>
      </c>
      <c r="C12" s="316"/>
    </row>
    <row r="13" spans="1:3" ht="113.25" customHeight="1" x14ac:dyDescent="0.25">
      <c r="A13" s="116" t="s">
        <v>72</v>
      </c>
      <c r="B13" s="120" t="s">
        <v>145</v>
      </c>
      <c r="C13" s="176" t="s">
        <v>146</v>
      </c>
    </row>
    <row r="14" spans="1:3" ht="120" customHeight="1" x14ac:dyDescent="0.25">
      <c r="A14" s="116" t="s">
        <v>133</v>
      </c>
      <c r="B14" s="120" t="s">
        <v>145</v>
      </c>
      <c r="C14" s="176" t="s">
        <v>146</v>
      </c>
    </row>
  </sheetData>
  <mergeCells count="4">
    <mergeCell ref="B8:B10"/>
    <mergeCell ref="C8:C10"/>
    <mergeCell ref="A11:C11"/>
    <mergeCell ref="B12:C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tabColor theme="6"/>
  </sheetPr>
  <dimension ref="A1:U48"/>
  <sheetViews>
    <sheetView topLeftCell="A41" workbookViewId="0">
      <selection activeCell="B55" sqref="B55"/>
    </sheetView>
  </sheetViews>
  <sheetFormatPr baseColWidth="10" defaultColWidth="11.42578125" defaultRowHeight="15" x14ac:dyDescent="0.25"/>
  <cols>
    <col min="1" max="1" width="83.42578125" customWidth="1"/>
    <col min="2" max="2" width="30.5703125" customWidth="1"/>
    <col min="3" max="3" width="50.7109375" customWidth="1"/>
    <col min="4" max="4" width="39.7109375" customWidth="1"/>
    <col min="5" max="5" width="30.42578125" customWidth="1"/>
  </cols>
  <sheetData>
    <row r="1" spans="1:4" s="14" customFormat="1" x14ac:dyDescent="0.25">
      <c r="A1" s="274" t="s">
        <v>32</v>
      </c>
      <c r="B1" s="274" t="s">
        <v>33</v>
      </c>
      <c r="C1" s="274" t="s">
        <v>35</v>
      </c>
      <c r="D1" s="274" t="s">
        <v>147</v>
      </c>
    </row>
    <row r="2" spans="1:4" s="14" customFormat="1" x14ac:dyDescent="0.25">
      <c r="A2" s="1" t="s">
        <v>148</v>
      </c>
      <c r="B2" s="2">
        <v>3.67</v>
      </c>
      <c r="C2" s="1" t="s">
        <v>149</v>
      </c>
      <c r="D2" s="1"/>
    </row>
    <row r="3" spans="1:4" s="14" customFormat="1" x14ac:dyDescent="0.25">
      <c r="A3" s="1" t="s">
        <v>150</v>
      </c>
      <c r="B3" s="13">
        <v>0.1</v>
      </c>
      <c r="C3" s="1" t="s">
        <v>151</v>
      </c>
      <c r="D3" s="1"/>
    </row>
    <row r="4" spans="1:4" s="14" customFormat="1" x14ac:dyDescent="0.25">
      <c r="A4" s="1" t="s">
        <v>152</v>
      </c>
      <c r="B4" s="13">
        <v>0.1</v>
      </c>
      <c r="C4" s="1" t="s">
        <v>151</v>
      </c>
      <c r="D4" s="1"/>
    </row>
    <row r="5" spans="1:4" s="14" customFormat="1" x14ac:dyDescent="0.25">
      <c r="A5" s="1" t="s">
        <v>153</v>
      </c>
      <c r="B5" s="13">
        <v>0.1</v>
      </c>
      <c r="C5" s="1" t="s">
        <v>151</v>
      </c>
      <c r="D5" s="1"/>
    </row>
    <row r="6" spans="1:4" ht="90" customHeight="1" x14ac:dyDescent="0.25">
      <c r="A6" s="1" t="s">
        <v>154</v>
      </c>
      <c r="B6" s="80">
        <v>1.2999999999999999E-2</v>
      </c>
      <c r="C6" s="264" t="s">
        <v>155</v>
      </c>
      <c r="D6" s="320" t="s">
        <v>156</v>
      </c>
    </row>
    <row r="7" spans="1:4" s="14" customFormat="1" ht="45" x14ac:dyDescent="0.25">
      <c r="A7" s="1" t="s">
        <v>157</v>
      </c>
      <c r="B7" s="80">
        <v>1.4E-2</v>
      </c>
      <c r="C7" s="264" t="s">
        <v>155</v>
      </c>
      <c r="D7" s="320"/>
    </row>
    <row r="8" spans="1:4" s="14" customFormat="1" ht="45" x14ac:dyDescent="0.25">
      <c r="A8" s="1" t="s">
        <v>158</v>
      </c>
      <c r="B8" s="80">
        <v>3.2599999999999997E-2</v>
      </c>
      <c r="C8" s="264" t="s">
        <v>155</v>
      </c>
      <c r="D8" s="320"/>
    </row>
    <row r="9" spans="1:4" s="14" customFormat="1" ht="45" x14ac:dyDescent="0.25">
      <c r="A9" s="1" t="s">
        <v>159</v>
      </c>
      <c r="B9" s="80">
        <v>3.2599999999999997E-2</v>
      </c>
      <c r="C9" s="264" t="s">
        <v>155</v>
      </c>
      <c r="D9" s="320"/>
    </row>
    <row r="10" spans="1:4" s="14" customFormat="1" x14ac:dyDescent="0.25">
      <c r="A10" s="1" t="s">
        <v>160</v>
      </c>
      <c r="B10" s="80">
        <v>3.2599999999999997E-2</v>
      </c>
      <c r="C10" s="1" t="s">
        <v>151</v>
      </c>
      <c r="D10" s="1"/>
    </row>
    <row r="11" spans="1:4" ht="45" x14ac:dyDescent="0.25">
      <c r="A11" s="1" t="s">
        <v>161</v>
      </c>
      <c r="B11" s="81">
        <v>146.62464666666699</v>
      </c>
      <c r="C11" s="264" t="s">
        <v>155</v>
      </c>
      <c r="D11" s="1"/>
    </row>
    <row r="12" spans="1:4" s="14" customFormat="1" x14ac:dyDescent="0.25">
      <c r="A12" s="1" t="s">
        <v>162</v>
      </c>
      <c r="B12" s="81">
        <v>146.62464666666699</v>
      </c>
      <c r="C12" s="1" t="s">
        <v>151</v>
      </c>
      <c r="D12" s="1"/>
    </row>
    <row r="13" spans="1:4" s="14" customFormat="1" x14ac:dyDescent="0.25">
      <c r="A13" s="1" t="s">
        <v>163</v>
      </c>
      <c r="B13" s="2">
        <v>1000000</v>
      </c>
      <c r="C13" s="1" t="s">
        <v>164</v>
      </c>
      <c r="D13" s="1"/>
    </row>
    <row r="14" spans="1:4" s="14" customFormat="1" ht="45" x14ac:dyDescent="0.25">
      <c r="A14" s="56" t="s">
        <v>165</v>
      </c>
      <c r="B14" s="258">
        <v>0.5</v>
      </c>
      <c r="C14" s="264" t="s">
        <v>155</v>
      </c>
      <c r="D14" s="1"/>
    </row>
    <row r="15" spans="1:4" s="14" customFormat="1" x14ac:dyDescent="0.25">
      <c r="A15" s="185" t="s">
        <v>166</v>
      </c>
      <c r="B15" s="190"/>
    </row>
    <row r="16" spans="1:4" s="14" customFormat="1" x14ac:dyDescent="0.25">
      <c r="A16" s="35"/>
      <c r="B16" s="60"/>
    </row>
    <row r="17" spans="1:5" x14ac:dyDescent="0.25">
      <c r="A17" s="326" t="s">
        <v>167</v>
      </c>
      <c r="B17" s="326"/>
      <c r="C17" s="326"/>
      <c r="D17" s="14"/>
      <c r="E17" s="14"/>
    </row>
    <row r="18" spans="1:5" ht="33.75" customHeight="1" x14ac:dyDescent="0.25">
      <c r="A18" s="325" t="s">
        <v>61</v>
      </c>
      <c r="B18" s="265" t="s">
        <v>168</v>
      </c>
      <c r="C18" s="265" t="s">
        <v>169</v>
      </c>
      <c r="D18" s="14"/>
      <c r="E18" s="14"/>
    </row>
    <row r="19" spans="1:5" x14ac:dyDescent="0.25">
      <c r="A19" s="325"/>
      <c r="B19" s="265" t="s">
        <v>170</v>
      </c>
      <c r="C19" s="265" t="s">
        <v>170</v>
      </c>
      <c r="D19" s="14"/>
      <c r="E19" s="14"/>
    </row>
    <row r="20" spans="1:5" x14ac:dyDescent="0.25">
      <c r="A20" s="24" t="s">
        <v>67</v>
      </c>
      <c r="B20" s="24"/>
      <c r="C20" s="24"/>
      <c r="D20" s="14"/>
      <c r="E20" s="14"/>
    </row>
    <row r="21" spans="1:5" x14ac:dyDescent="0.25">
      <c r="A21" s="30" t="s">
        <v>68</v>
      </c>
      <c r="B21" s="155">
        <v>0</v>
      </c>
      <c r="C21" s="157">
        <f>+$B$11</f>
        <v>146.62464666666699</v>
      </c>
      <c r="D21" s="14"/>
      <c r="E21" s="14"/>
    </row>
    <row r="22" spans="1:5" x14ac:dyDescent="0.25">
      <c r="A22" s="30" t="s">
        <v>69</v>
      </c>
      <c r="B22" s="155">
        <v>0</v>
      </c>
      <c r="C22" s="157">
        <f>+$B$11</f>
        <v>146.62464666666699</v>
      </c>
      <c r="D22" s="14"/>
      <c r="E22" s="14"/>
    </row>
    <row r="23" spans="1:5" x14ac:dyDescent="0.25">
      <c r="A23" s="30" t="s">
        <v>70</v>
      </c>
      <c r="B23" s="155">
        <v>0</v>
      </c>
      <c r="C23" s="157">
        <f>+$B$11</f>
        <v>146.62464666666699</v>
      </c>
      <c r="D23" s="14"/>
      <c r="E23" s="14"/>
    </row>
    <row r="24" spans="1:5" x14ac:dyDescent="0.25">
      <c r="A24" s="28" t="s">
        <v>71</v>
      </c>
      <c r="B24" s="62"/>
      <c r="C24" s="217"/>
      <c r="D24" s="14"/>
      <c r="E24" s="14"/>
    </row>
    <row r="25" spans="1:5" x14ac:dyDescent="0.25">
      <c r="A25" s="25" t="s">
        <v>72</v>
      </c>
      <c r="B25" s="156">
        <v>0</v>
      </c>
      <c r="C25" s="157">
        <f>+$B$11</f>
        <v>146.62464666666699</v>
      </c>
      <c r="D25" s="14"/>
      <c r="E25" s="14"/>
    </row>
    <row r="26" spans="1:5" x14ac:dyDescent="0.25">
      <c r="A26" s="25" t="s">
        <v>85</v>
      </c>
      <c r="B26" s="156">
        <v>0</v>
      </c>
      <c r="C26" s="157">
        <f>+$B$11</f>
        <v>146.62464666666699</v>
      </c>
      <c r="D26" s="14"/>
      <c r="E26" s="14"/>
    </row>
    <row r="27" spans="1:5" s="14" customFormat="1" x14ac:dyDescent="0.25">
      <c r="A27" s="188" t="s">
        <v>166</v>
      </c>
      <c r="B27" s="186"/>
      <c r="C27" s="187"/>
    </row>
    <row r="29" spans="1:5" x14ac:dyDescent="0.25">
      <c r="A29" s="326" t="s">
        <v>171</v>
      </c>
      <c r="B29" s="326"/>
      <c r="C29" s="326"/>
      <c r="D29" s="14"/>
      <c r="E29" s="14"/>
    </row>
    <row r="30" spans="1:5" x14ac:dyDescent="0.25">
      <c r="A30" s="289" t="s">
        <v>61</v>
      </c>
      <c r="B30" s="265" t="s">
        <v>172</v>
      </c>
      <c r="C30" s="265" t="s">
        <v>173</v>
      </c>
      <c r="D30" s="289" t="s">
        <v>35</v>
      </c>
      <c r="E30" s="289" t="s">
        <v>147</v>
      </c>
    </row>
    <row r="31" spans="1:5" ht="15.75" customHeight="1" x14ac:dyDescent="0.25">
      <c r="A31" s="289"/>
      <c r="B31" s="265" t="s">
        <v>174</v>
      </c>
      <c r="C31" s="265" t="s">
        <v>174</v>
      </c>
      <c r="D31" s="289"/>
      <c r="E31" s="289"/>
    </row>
    <row r="32" spans="1:5" x14ac:dyDescent="0.25">
      <c r="A32" s="24" t="s">
        <v>67</v>
      </c>
      <c r="B32" s="24"/>
      <c r="C32" s="24"/>
      <c r="D32" s="289"/>
      <c r="E32" s="289"/>
    </row>
    <row r="33" spans="1:21" ht="45" x14ac:dyDescent="0.25">
      <c r="A33" s="126" t="s">
        <v>68</v>
      </c>
      <c r="B33" s="157">
        <v>6.4952380952380953</v>
      </c>
      <c r="C33" s="157">
        <v>11.204128571428582</v>
      </c>
      <c r="D33" s="264" t="s">
        <v>155</v>
      </c>
      <c r="E33" s="321" t="s">
        <v>156</v>
      </c>
      <c r="F33" s="14"/>
      <c r="G33" s="14"/>
      <c r="H33" s="14"/>
      <c r="I33" s="14"/>
      <c r="J33" s="14"/>
      <c r="K33" s="14"/>
      <c r="L33" s="14"/>
      <c r="M33" s="14"/>
      <c r="N33" s="14"/>
      <c r="O33" s="14"/>
      <c r="P33" s="14"/>
      <c r="Q33" s="14"/>
      <c r="R33" s="14"/>
      <c r="S33" s="14"/>
      <c r="T33" s="14"/>
      <c r="U33" s="14"/>
    </row>
    <row r="34" spans="1:21" ht="45" x14ac:dyDescent="0.25">
      <c r="A34" s="126" t="s">
        <v>69</v>
      </c>
      <c r="B34" s="157">
        <v>2.1172380952380974</v>
      </c>
      <c r="C34" s="157">
        <v>5.9701190476190522</v>
      </c>
      <c r="D34" s="264" t="s">
        <v>155</v>
      </c>
      <c r="E34" s="322"/>
      <c r="F34" s="14"/>
      <c r="G34" s="14"/>
      <c r="H34" s="14"/>
      <c r="I34" s="14"/>
      <c r="J34" s="14"/>
      <c r="K34" s="14"/>
      <c r="L34" s="14"/>
      <c r="M34" s="14"/>
      <c r="N34" s="14"/>
      <c r="O34" s="14"/>
      <c r="P34" s="14"/>
      <c r="Q34" s="14"/>
      <c r="R34" s="14"/>
      <c r="S34" s="14"/>
      <c r="T34" s="14"/>
      <c r="U34" s="14"/>
    </row>
    <row r="35" spans="1:21" ht="45" x14ac:dyDescent="0.25">
      <c r="A35" s="126" t="s">
        <v>70</v>
      </c>
      <c r="B35" s="157">
        <v>5.9701190476190522</v>
      </c>
      <c r="C35" s="157">
        <v>25.283761904761899</v>
      </c>
      <c r="D35" s="264" t="s">
        <v>155</v>
      </c>
      <c r="E35" s="322"/>
      <c r="F35" s="14"/>
      <c r="G35" s="14"/>
      <c r="H35" s="14"/>
      <c r="I35" s="14"/>
      <c r="J35" s="14"/>
      <c r="K35" s="14"/>
      <c r="L35" s="14"/>
      <c r="M35" s="14"/>
      <c r="N35" s="14"/>
      <c r="O35" s="14"/>
      <c r="P35" s="14"/>
      <c r="Q35" s="14"/>
      <c r="R35" s="14"/>
      <c r="S35" s="14"/>
      <c r="T35" s="14"/>
      <c r="U35" s="14"/>
    </row>
    <row r="36" spans="1:21" x14ac:dyDescent="0.25">
      <c r="A36" s="28" t="s">
        <v>71</v>
      </c>
      <c r="B36" s="62"/>
      <c r="C36" s="62"/>
      <c r="D36" s="56"/>
      <c r="E36" s="322"/>
      <c r="F36" s="14"/>
      <c r="G36" s="14"/>
      <c r="H36" s="14"/>
      <c r="I36" s="14"/>
      <c r="J36" s="14"/>
      <c r="K36" s="14"/>
      <c r="L36" s="14"/>
      <c r="M36" s="14"/>
      <c r="N36" s="14"/>
      <c r="O36" s="14"/>
      <c r="P36" s="14"/>
      <c r="Q36" s="14"/>
      <c r="R36" s="14"/>
      <c r="S36" s="14"/>
      <c r="T36" s="14"/>
      <c r="U36" s="14"/>
    </row>
    <row r="37" spans="1:21" ht="45" x14ac:dyDescent="0.25">
      <c r="A37" s="25" t="s">
        <v>72</v>
      </c>
      <c r="B37" s="158">
        <v>20</v>
      </c>
      <c r="C37" s="158">
        <v>23.6</v>
      </c>
      <c r="D37" s="264" t="s">
        <v>155</v>
      </c>
      <c r="E37" s="322"/>
      <c r="F37" s="14"/>
      <c r="G37" s="14"/>
      <c r="H37" s="14"/>
      <c r="I37" s="14"/>
      <c r="J37" s="14"/>
      <c r="K37" s="14"/>
      <c r="L37" s="14"/>
      <c r="M37" s="14"/>
      <c r="N37" s="14"/>
      <c r="O37" s="14"/>
      <c r="P37" s="14"/>
      <c r="Q37" s="14"/>
      <c r="R37" s="14"/>
      <c r="S37" s="14"/>
      <c r="T37" s="14"/>
      <c r="U37" s="14"/>
    </row>
    <row r="38" spans="1:21" ht="45" x14ac:dyDescent="0.25">
      <c r="A38" s="113" t="s">
        <v>85</v>
      </c>
      <c r="B38" s="158">
        <v>0</v>
      </c>
      <c r="C38" s="158">
        <v>0</v>
      </c>
      <c r="D38" s="264" t="s">
        <v>155</v>
      </c>
      <c r="E38" s="322"/>
      <c r="F38" s="14"/>
      <c r="G38" s="14"/>
      <c r="H38" s="14"/>
      <c r="I38" s="14"/>
      <c r="J38" s="14"/>
      <c r="K38" s="14"/>
      <c r="L38" s="14"/>
      <c r="M38" s="14"/>
      <c r="N38" s="14"/>
      <c r="O38" s="14"/>
      <c r="P38" s="14"/>
      <c r="Q38" s="14"/>
      <c r="R38" s="14"/>
      <c r="S38" s="14"/>
      <c r="T38" s="14"/>
      <c r="U38" s="14"/>
    </row>
    <row r="39" spans="1:21" s="14" customFormat="1" ht="45" x14ac:dyDescent="0.25">
      <c r="A39" s="1" t="s">
        <v>74</v>
      </c>
      <c r="B39" s="158">
        <v>22.5</v>
      </c>
      <c r="C39" s="158">
        <v>26.5</v>
      </c>
      <c r="D39" s="264" t="s">
        <v>155</v>
      </c>
      <c r="E39" s="322"/>
    </row>
    <row r="40" spans="1:21" s="14" customFormat="1" ht="45" x14ac:dyDescent="0.25">
      <c r="A40" s="1" t="s">
        <v>75</v>
      </c>
      <c r="B40" s="158">
        <v>22.457432536853901</v>
      </c>
      <c r="C40" s="158">
        <v>26.5</v>
      </c>
      <c r="D40" s="264" t="s">
        <v>155</v>
      </c>
      <c r="E40" s="323"/>
    </row>
    <row r="41" spans="1:21" s="14" customFormat="1" x14ac:dyDescent="0.25">
      <c r="A41" s="188" t="s">
        <v>175</v>
      </c>
      <c r="B41" s="189"/>
      <c r="C41" s="189"/>
    </row>
    <row r="43" spans="1:21" x14ac:dyDescent="0.25">
      <c r="A43" s="327" t="s">
        <v>176</v>
      </c>
      <c r="B43" s="327"/>
      <c r="C43" s="327"/>
      <c r="D43" s="327"/>
      <c r="E43" s="327"/>
      <c r="F43" s="327"/>
      <c r="G43" s="14"/>
      <c r="H43" s="14"/>
      <c r="I43" s="14"/>
      <c r="J43" s="14"/>
      <c r="K43" s="14"/>
      <c r="L43" s="14"/>
      <c r="M43" s="14"/>
      <c r="N43" s="14"/>
      <c r="O43" s="14"/>
      <c r="P43" s="14"/>
      <c r="Q43" s="14"/>
      <c r="R43" s="14"/>
      <c r="S43" s="14"/>
      <c r="T43" s="14"/>
      <c r="U43" s="14"/>
    </row>
    <row r="44" spans="1:21" x14ac:dyDescent="0.25">
      <c r="A44" s="289" t="s">
        <v>177</v>
      </c>
      <c r="B44" s="316" t="s">
        <v>130</v>
      </c>
      <c r="C44" s="316"/>
      <c r="D44" s="316"/>
      <c r="E44" s="316"/>
      <c r="F44" s="316"/>
      <c r="G44" s="316"/>
      <c r="H44" s="316"/>
      <c r="I44" s="316"/>
      <c r="J44" s="316"/>
      <c r="K44" s="316"/>
      <c r="L44" s="316"/>
      <c r="M44" s="316"/>
      <c r="N44" s="324" t="s">
        <v>178</v>
      </c>
      <c r="O44" s="324"/>
      <c r="P44" s="324"/>
      <c r="Q44" s="324"/>
      <c r="R44" s="324"/>
      <c r="S44" s="324"/>
      <c r="T44" s="324"/>
      <c r="U44" s="324"/>
    </row>
    <row r="45" spans="1:21" s="14" customFormat="1" x14ac:dyDescent="0.25">
      <c r="A45" s="289"/>
      <c r="B45" s="272" t="s">
        <v>179</v>
      </c>
      <c r="C45" s="272" t="s">
        <v>180</v>
      </c>
      <c r="D45" s="272" t="s">
        <v>181</v>
      </c>
      <c r="E45" s="272" t="s">
        <v>182</v>
      </c>
      <c r="F45" s="272" t="s">
        <v>183</v>
      </c>
      <c r="G45" s="272" t="s">
        <v>184</v>
      </c>
      <c r="H45" s="272" t="s">
        <v>185</v>
      </c>
      <c r="I45" s="272" t="s">
        <v>186</v>
      </c>
      <c r="J45" s="272" t="s">
        <v>187</v>
      </c>
      <c r="K45" s="272" t="s">
        <v>188</v>
      </c>
      <c r="L45" s="272" t="s">
        <v>189</v>
      </c>
      <c r="M45" s="272" t="s">
        <v>190</v>
      </c>
      <c r="N45" s="272" t="s">
        <v>191</v>
      </c>
      <c r="O45" s="272" t="s">
        <v>192</v>
      </c>
      <c r="P45" s="272" t="s">
        <v>193</v>
      </c>
      <c r="Q45" s="272" t="s">
        <v>194</v>
      </c>
      <c r="R45" s="272" t="s">
        <v>195</v>
      </c>
      <c r="S45" s="272" t="s">
        <v>196</v>
      </c>
      <c r="T45" s="272" t="s">
        <v>197</v>
      </c>
      <c r="U45" s="272" t="s">
        <v>198</v>
      </c>
    </row>
    <row r="46" spans="1:21" x14ac:dyDescent="0.25">
      <c r="A46" s="25" t="s">
        <v>199</v>
      </c>
      <c r="B46" s="43">
        <v>0.1</v>
      </c>
      <c r="C46" s="18">
        <v>0.2</v>
      </c>
      <c r="D46" s="18">
        <v>0.3</v>
      </c>
      <c r="E46" s="18">
        <v>0.4</v>
      </c>
      <c r="F46" s="18">
        <v>0.5</v>
      </c>
      <c r="G46" s="64">
        <v>0.4</v>
      </c>
      <c r="H46" s="64">
        <v>0.3</v>
      </c>
      <c r="I46" s="64">
        <v>0.2</v>
      </c>
      <c r="J46" s="64">
        <v>0.15</v>
      </c>
      <c r="K46" s="64">
        <v>0.1</v>
      </c>
      <c r="L46" s="64">
        <v>0.1</v>
      </c>
      <c r="M46" s="64">
        <v>0.1</v>
      </c>
      <c r="N46" s="64">
        <v>0.1</v>
      </c>
      <c r="O46" s="64">
        <v>0.1</v>
      </c>
      <c r="P46" s="64">
        <v>0.1</v>
      </c>
      <c r="Q46" s="64">
        <v>0.1</v>
      </c>
      <c r="R46" s="64">
        <v>0.1</v>
      </c>
      <c r="S46" s="64">
        <v>0.1</v>
      </c>
      <c r="T46" s="64">
        <v>0.1</v>
      </c>
      <c r="U46" s="64">
        <v>0.1</v>
      </c>
    </row>
    <row r="47" spans="1:21" x14ac:dyDescent="0.25">
      <c r="A47" s="25" t="s">
        <v>200</v>
      </c>
      <c r="B47" s="18">
        <v>0.1</v>
      </c>
      <c r="C47" s="18">
        <v>0.2</v>
      </c>
      <c r="D47" s="18">
        <v>0.3</v>
      </c>
      <c r="E47" s="18">
        <v>0.3</v>
      </c>
      <c r="F47" s="18">
        <v>0.3</v>
      </c>
      <c r="G47" s="64">
        <v>0.4</v>
      </c>
      <c r="H47" s="64">
        <v>0.3</v>
      </c>
      <c r="I47" s="64">
        <v>0.2</v>
      </c>
      <c r="J47" s="64">
        <v>0.15</v>
      </c>
      <c r="K47" s="64">
        <v>0.1</v>
      </c>
      <c r="L47" s="64">
        <v>0.1</v>
      </c>
      <c r="M47" s="64">
        <v>0.1</v>
      </c>
      <c r="N47" s="64">
        <v>0.1</v>
      </c>
      <c r="O47" s="64">
        <v>0.1</v>
      </c>
      <c r="P47" s="64">
        <v>0.1</v>
      </c>
      <c r="Q47" s="64">
        <v>0.1</v>
      </c>
      <c r="R47" s="64">
        <v>0.1</v>
      </c>
      <c r="S47" s="64">
        <v>0.1</v>
      </c>
      <c r="T47" s="64">
        <v>0.1</v>
      </c>
      <c r="U47" s="64">
        <v>0.1</v>
      </c>
    </row>
    <row r="48" spans="1:21" x14ac:dyDescent="0.25">
      <c r="A48" s="113" t="s">
        <v>201</v>
      </c>
      <c r="B48" s="64">
        <v>0.1</v>
      </c>
      <c r="C48" s="64">
        <v>0.3</v>
      </c>
      <c r="D48" s="64">
        <v>0.3</v>
      </c>
      <c r="E48" s="64">
        <v>0.3</v>
      </c>
      <c r="F48" s="64">
        <v>0.5</v>
      </c>
      <c r="G48" s="64">
        <v>0.4</v>
      </c>
      <c r="H48" s="64">
        <v>0.3</v>
      </c>
      <c r="I48" s="64">
        <v>0.2</v>
      </c>
      <c r="J48" s="64">
        <v>0.15</v>
      </c>
      <c r="K48" s="64">
        <v>0.1</v>
      </c>
      <c r="L48" s="64">
        <v>0.1</v>
      </c>
      <c r="M48" s="64">
        <v>0.1</v>
      </c>
      <c r="N48" s="64">
        <v>0.1</v>
      </c>
      <c r="O48" s="64">
        <v>0.1</v>
      </c>
      <c r="P48" s="64">
        <v>0.1</v>
      </c>
      <c r="Q48" s="64">
        <v>0.1</v>
      </c>
      <c r="R48" s="64">
        <v>0.1</v>
      </c>
      <c r="S48" s="64">
        <v>0.1</v>
      </c>
      <c r="T48" s="64">
        <v>0.1</v>
      </c>
      <c r="U48" s="64">
        <v>0.1</v>
      </c>
    </row>
  </sheetData>
  <mergeCells count="12">
    <mergeCell ref="D6:D9"/>
    <mergeCell ref="E33:E40"/>
    <mergeCell ref="B44:M44"/>
    <mergeCell ref="N44:U44"/>
    <mergeCell ref="A18:A19"/>
    <mergeCell ref="A17:C17"/>
    <mergeCell ref="A29:C29"/>
    <mergeCell ref="A30:A31"/>
    <mergeCell ref="A44:A45"/>
    <mergeCell ref="A43:F43"/>
    <mergeCell ref="D30:D32"/>
    <mergeCell ref="E30:E32"/>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V27"/>
  <sheetViews>
    <sheetView topLeftCell="A10" workbookViewId="0">
      <selection activeCell="C25" sqref="C25"/>
    </sheetView>
  </sheetViews>
  <sheetFormatPr baseColWidth="10" defaultColWidth="11.42578125" defaultRowHeight="15" x14ac:dyDescent="0.25"/>
  <cols>
    <col min="1" max="1" width="54" customWidth="1"/>
    <col min="2" max="2" width="33.28515625" customWidth="1"/>
    <col min="3" max="3" width="36.140625" style="14" customWidth="1"/>
    <col min="4" max="4" width="29.28515625" customWidth="1"/>
    <col min="5" max="5" width="26.85546875" customWidth="1"/>
    <col min="6" max="6" width="43" customWidth="1"/>
    <col min="22" max="22" width="14.42578125" customWidth="1"/>
  </cols>
  <sheetData>
    <row r="1" spans="1:21" s="14" customFormat="1" x14ac:dyDescent="0.25">
      <c r="A1" s="192" t="s">
        <v>32</v>
      </c>
      <c r="B1" s="192" t="s">
        <v>33</v>
      </c>
      <c r="C1" s="192" t="s">
        <v>35</v>
      </c>
      <c r="D1" s="192" t="s">
        <v>202</v>
      </c>
    </row>
    <row r="2" spans="1:21" x14ac:dyDescent="0.25">
      <c r="A2" s="1" t="s">
        <v>203</v>
      </c>
      <c r="B2" s="1">
        <v>42</v>
      </c>
      <c r="C2" s="259" t="s">
        <v>204</v>
      </c>
      <c r="D2" s="1"/>
      <c r="E2" s="14"/>
      <c r="F2" s="14"/>
      <c r="G2" s="14"/>
      <c r="H2" s="14"/>
      <c r="I2" s="14"/>
      <c r="J2" s="14"/>
      <c r="K2" s="14"/>
      <c r="L2" s="14"/>
      <c r="M2" s="14"/>
      <c r="N2" s="14"/>
      <c r="O2" s="14"/>
      <c r="P2" s="14"/>
      <c r="Q2" s="14"/>
      <c r="R2" s="14"/>
      <c r="S2" s="14"/>
      <c r="T2" s="14"/>
      <c r="U2" s="14"/>
    </row>
    <row r="3" spans="1:21" s="14" customFormat="1" x14ac:dyDescent="0.25">
      <c r="A3" s="1" t="s">
        <v>205</v>
      </c>
      <c r="B3" s="1">
        <v>365</v>
      </c>
      <c r="C3" s="259" t="s">
        <v>206</v>
      </c>
      <c r="D3" s="1"/>
    </row>
    <row r="4" spans="1:21" s="14" customFormat="1" x14ac:dyDescent="0.25">
      <c r="A4" s="1" t="s">
        <v>207</v>
      </c>
      <c r="B4" s="1">
        <v>1000</v>
      </c>
      <c r="C4" s="259" t="s">
        <v>206</v>
      </c>
      <c r="D4" s="1"/>
    </row>
    <row r="5" spans="1:21" s="14" customFormat="1" ht="45" x14ac:dyDescent="0.25">
      <c r="A5" s="1" t="s">
        <v>208</v>
      </c>
      <c r="B5" s="1">
        <v>21</v>
      </c>
      <c r="C5" s="260" t="s">
        <v>209</v>
      </c>
    </row>
    <row r="6" spans="1:21" s="14" customFormat="1" ht="45" x14ac:dyDescent="0.25">
      <c r="A6" s="1" t="s">
        <v>210</v>
      </c>
      <c r="B6" s="1">
        <v>310</v>
      </c>
      <c r="C6" s="260" t="s">
        <v>209</v>
      </c>
      <c r="D6" s="260"/>
    </row>
    <row r="7" spans="1:21" s="14" customFormat="1" x14ac:dyDescent="0.25">
      <c r="A7" s="1" t="s">
        <v>211</v>
      </c>
      <c r="B7" s="1">
        <v>1.26</v>
      </c>
      <c r="C7" s="259" t="s">
        <v>212</v>
      </c>
      <c r="D7" s="1"/>
    </row>
    <row r="8" spans="1:21" s="14" customFormat="1" x14ac:dyDescent="0.25">
      <c r="A8" s="1" t="s">
        <v>213</v>
      </c>
      <c r="B8" s="1">
        <v>3.17</v>
      </c>
      <c r="C8" s="259" t="s">
        <v>212</v>
      </c>
      <c r="D8" s="1"/>
    </row>
    <row r="9" spans="1:21" s="14" customFormat="1" x14ac:dyDescent="0.25"/>
    <row r="10" spans="1:21" s="14" customFormat="1" x14ac:dyDescent="0.25"/>
    <row r="11" spans="1:21" s="14" customFormat="1" x14ac:dyDescent="0.25">
      <c r="A11" s="289" t="s">
        <v>214</v>
      </c>
      <c r="B11" s="316" t="s">
        <v>215</v>
      </c>
      <c r="C11" s="316"/>
      <c r="D11" s="328" t="s">
        <v>216</v>
      </c>
      <c r="E11" s="329"/>
      <c r="F11" s="331" t="s">
        <v>35</v>
      </c>
    </row>
    <row r="12" spans="1:21" x14ac:dyDescent="0.25">
      <c r="A12" s="289"/>
      <c r="B12" s="271" t="s">
        <v>217</v>
      </c>
      <c r="C12" s="271" t="s">
        <v>218</v>
      </c>
      <c r="D12" s="271" t="s">
        <v>219</v>
      </c>
      <c r="E12" s="271" t="s">
        <v>218</v>
      </c>
      <c r="F12" s="332"/>
      <c r="G12" s="14"/>
      <c r="H12" s="14"/>
      <c r="I12" s="14"/>
      <c r="J12" s="14"/>
      <c r="K12" s="14"/>
      <c r="L12" s="14"/>
      <c r="M12" s="14"/>
      <c r="N12" s="14"/>
      <c r="O12" s="14"/>
      <c r="P12" s="14"/>
      <c r="Q12" s="14"/>
      <c r="R12" s="14"/>
      <c r="S12" s="14"/>
      <c r="T12" s="14"/>
      <c r="U12" s="14"/>
    </row>
    <row r="13" spans="1:21" x14ac:dyDescent="0.25">
      <c r="A13" s="164" t="s">
        <v>220</v>
      </c>
      <c r="B13" s="195">
        <v>4.2314999999999996</v>
      </c>
      <c r="C13" s="195">
        <v>3.0765000000000002</v>
      </c>
      <c r="D13" s="195">
        <f t="shared" ref="D13:E16" si="0">+B13*$B$3/$B$4</f>
        <v>1.5444974999999999</v>
      </c>
      <c r="E13" s="195">
        <f t="shared" si="0"/>
        <v>1.1229225</v>
      </c>
      <c r="F13" s="333" t="s">
        <v>221</v>
      </c>
      <c r="G13" s="14"/>
      <c r="H13" s="14"/>
      <c r="I13" s="14"/>
      <c r="J13" s="14"/>
      <c r="K13" s="14"/>
      <c r="L13" s="14"/>
      <c r="M13" s="14"/>
      <c r="N13" s="14"/>
      <c r="O13" s="14"/>
      <c r="P13" s="14"/>
      <c r="Q13" s="14"/>
      <c r="R13" s="14"/>
      <c r="S13" s="14"/>
      <c r="T13" s="14"/>
      <c r="U13" s="14"/>
    </row>
    <row r="14" spans="1:21" x14ac:dyDescent="0.25">
      <c r="A14" s="164" t="s">
        <v>222</v>
      </c>
      <c r="B14" s="195">
        <v>8.3999999999999991E-2</v>
      </c>
      <c r="C14" s="195">
        <v>7.3499999999999996E-2</v>
      </c>
      <c r="D14" s="195">
        <f t="shared" si="0"/>
        <v>3.0659999999999996E-2</v>
      </c>
      <c r="E14" s="195">
        <f t="shared" si="0"/>
        <v>2.6827499999999997E-2</v>
      </c>
      <c r="F14" s="334"/>
      <c r="G14" s="14"/>
      <c r="H14" s="14"/>
      <c r="I14" s="14"/>
      <c r="J14" s="14"/>
      <c r="K14" s="14"/>
      <c r="L14" s="14"/>
      <c r="M14" s="14"/>
      <c r="N14" s="14"/>
      <c r="O14" s="14"/>
      <c r="P14" s="14"/>
      <c r="Q14" s="14"/>
      <c r="R14" s="14"/>
      <c r="S14" s="14"/>
      <c r="T14" s="14"/>
      <c r="U14" s="14"/>
    </row>
    <row r="15" spans="1:21" x14ac:dyDescent="0.25">
      <c r="A15" s="164" t="s">
        <v>223</v>
      </c>
      <c r="B15" s="195">
        <v>0.35649999999999998</v>
      </c>
      <c r="C15" s="195">
        <v>0.186</v>
      </c>
      <c r="D15" s="195">
        <f t="shared" si="0"/>
        <v>0.1301225</v>
      </c>
      <c r="E15" s="195">
        <f t="shared" si="0"/>
        <v>6.7890000000000006E-2</v>
      </c>
      <c r="F15" s="334"/>
      <c r="G15" s="14"/>
      <c r="H15" s="14"/>
      <c r="I15" s="14"/>
      <c r="J15" s="14"/>
      <c r="K15" s="14"/>
      <c r="L15" s="14"/>
      <c r="M15" s="14"/>
      <c r="N15" s="14"/>
      <c r="O15" s="14"/>
      <c r="P15" s="14"/>
      <c r="Q15" s="14"/>
      <c r="R15" s="14"/>
      <c r="S15" s="14"/>
      <c r="T15" s="14"/>
      <c r="U15" s="14"/>
    </row>
    <row r="16" spans="1:21" x14ac:dyDescent="0.25">
      <c r="A16" s="164" t="s">
        <v>224</v>
      </c>
      <c r="B16" s="195">
        <v>2.17</v>
      </c>
      <c r="C16" s="195">
        <v>0.217</v>
      </c>
      <c r="D16" s="195">
        <f t="shared" si="0"/>
        <v>0.79204999999999992</v>
      </c>
      <c r="E16" s="195">
        <f t="shared" si="0"/>
        <v>7.9204999999999998E-2</v>
      </c>
      <c r="F16" s="334"/>
      <c r="G16" s="14"/>
      <c r="H16" s="14"/>
      <c r="I16" s="14"/>
      <c r="J16" s="14"/>
      <c r="K16" s="14"/>
      <c r="L16" s="14"/>
      <c r="M16" s="14"/>
      <c r="N16" s="14"/>
      <c r="O16" s="14"/>
      <c r="P16" s="14"/>
      <c r="Q16" s="14"/>
      <c r="R16" s="14"/>
      <c r="S16" s="14"/>
      <c r="T16" s="14"/>
      <c r="U16" s="14"/>
    </row>
    <row r="17" spans="1:22" s="14" customFormat="1" x14ac:dyDescent="0.25">
      <c r="A17" s="263" t="s">
        <v>225</v>
      </c>
      <c r="B17" s="261"/>
      <c r="C17" s="261"/>
      <c r="D17" s="261"/>
      <c r="E17" s="261"/>
      <c r="F17" s="262"/>
    </row>
    <row r="19" spans="1:22" x14ac:dyDescent="0.25">
      <c r="A19" s="330" t="s">
        <v>226</v>
      </c>
      <c r="B19" s="324" t="s">
        <v>227</v>
      </c>
      <c r="C19" s="324"/>
      <c r="D19" s="324"/>
      <c r="E19" s="324"/>
      <c r="F19" s="324"/>
      <c r="G19" s="324"/>
      <c r="H19" s="324"/>
      <c r="I19" s="324"/>
      <c r="J19" s="324"/>
      <c r="K19" s="324"/>
      <c r="L19" s="324"/>
      <c r="M19" s="324"/>
      <c r="N19" s="324"/>
      <c r="O19" s="324"/>
      <c r="P19" s="324"/>
      <c r="Q19" s="324"/>
      <c r="R19" s="324"/>
      <c r="S19" s="324"/>
      <c r="T19" s="324"/>
      <c r="U19" s="324"/>
      <c r="V19" s="14"/>
    </row>
    <row r="20" spans="1:22" s="14" customFormat="1" x14ac:dyDescent="0.25">
      <c r="A20" s="330"/>
      <c r="B20" s="37">
        <v>1</v>
      </c>
      <c r="C20" s="37">
        <v>2</v>
      </c>
      <c r="D20" s="37">
        <v>3</v>
      </c>
      <c r="E20" s="37">
        <v>4</v>
      </c>
      <c r="F20" s="37">
        <v>5</v>
      </c>
      <c r="G20" s="37">
        <v>6</v>
      </c>
      <c r="H20" s="37">
        <v>7</v>
      </c>
      <c r="I20" s="37">
        <v>8</v>
      </c>
      <c r="J20" s="37">
        <v>9</v>
      </c>
      <c r="K20" s="37">
        <v>10</v>
      </c>
      <c r="L20" s="37">
        <v>11</v>
      </c>
      <c r="M20" s="37">
        <v>12</v>
      </c>
      <c r="N20" s="37">
        <v>13</v>
      </c>
      <c r="O20" s="37">
        <v>14</v>
      </c>
      <c r="P20" s="37">
        <v>15</v>
      </c>
      <c r="Q20" s="37">
        <v>16</v>
      </c>
      <c r="R20" s="37">
        <v>17</v>
      </c>
      <c r="S20" s="37">
        <v>18</v>
      </c>
      <c r="T20" s="37">
        <v>19</v>
      </c>
      <c r="U20" s="37">
        <v>20</v>
      </c>
    </row>
    <row r="21" spans="1:22" x14ac:dyDescent="0.25">
      <c r="A21" s="164" t="s">
        <v>220</v>
      </c>
      <c r="B21" s="1">
        <f>+$B$2*($E13-$D13)*'IV. E ParamBeneficiaryCaract'!$C$44*'III. AreaAnnual_distribution'!C$11</f>
        <v>0</v>
      </c>
      <c r="C21" s="1">
        <f>+$B$2*($E13-$D13)*'IV. E ParamBeneficiaryCaract'!$C$44*'III. AreaAnnual_distribution'!D$11+B21</f>
        <v>-3010.2967744361836</v>
      </c>
      <c r="D21" s="1">
        <f>+$B$2*($E13-$D13)*'IV. E ParamBeneficiaryCaract'!$C$44*'III. AreaAnnual_distribution'!E$11+C21</f>
        <v>-12901.271890440785</v>
      </c>
      <c r="E21" s="1">
        <f>+$B$2*($E13-$D13)*'IV. E ParamBeneficiaryCaract'!$C$44*'III. AreaAnnual_distribution'!F$11+D21</f>
        <v>-25802.54378088157</v>
      </c>
      <c r="F21" s="1">
        <f>+$B$2*($E13-$D13)*'IV. E ParamBeneficiaryCaract'!$C$44*'III. AreaAnnual_distribution'!G$11+E21</f>
        <v>-34403.391707842093</v>
      </c>
      <c r="G21" s="1">
        <f>+$B$2*($E13-$D13)*'IV. E ParamBeneficiaryCaract'!$C$44*'III. AreaAnnual_distribution'!H$11+F21</f>
        <v>-40854.027653062483</v>
      </c>
      <c r="H21" s="1">
        <f>+$B$2*($E13-$D13)*'IV. E ParamBeneficiaryCaract'!$C$44*'III. AreaAnnual_distribution'!I$11+G21</f>
        <v>-43004.239634802616</v>
      </c>
      <c r="I21" s="1">
        <f>+$B$2*($E13-$D13)*'IV. E ParamBeneficiaryCaract'!$C$44*'III. AreaAnnual_distribution'!J$11+H21</f>
        <v>-81708.055306124967</v>
      </c>
      <c r="J21" s="1">
        <f>+$B$2*($E13-$D13)*'IV. E ParamBeneficiaryCaract'!$C$44*'III. AreaAnnual_distribution'!K$11+I21</f>
        <v>-120411.87097744732</v>
      </c>
      <c r="K21" s="1">
        <f>+$B$2*($E13-$D13)*'IV. E ParamBeneficiaryCaract'!$C$44*'III. AreaAnnual_distribution'!L$11+J21</f>
        <v>-159115.68664876968</v>
      </c>
      <c r="L21" s="1">
        <f>+$B$2*($E13-$D13)*'IV. E ParamBeneficiaryCaract'!$C$44*'III. AreaAnnual_distribution'!M$11+K21</f>
        <v>-197819.50232009206</v>
      </c>
      <c r="M21" s="1">
        <f>+$B$2*($E13-$D13)*'IV. E ParamBeneficiaryCaract'!$C$44*'III. AreaAnnual_distribution'!N$11+L21</f>
        <v>-232222.89402793415</v>
      </c>
      <c r="N21" s="1">
        <f>+$B$2*($E13-$D13)*'IV. E ParamBeneficiaryCaract'!$C$44*'III. AreaAnnual_distribution'!O$11+M21</f>
        <v>-266626.28573577624</v>
      </c>
      <c r="O21" s="1">
        <f>+$B$2*($E13-$D13)*'IV. E ParamBeneficiaryCaract'!$C$44*'III. AreaAnnual_distribution'!P$11+N21</f>
        <v>-301029.6774436183</v>
      </c>
      <c r="P21" s="1">
        <f>+$B$2*($E13-$D13)*'IV. E ParamBeneficiaryCaract'!$C$44*'III. AreaAnnual_distribution'!Q$11+O21</f>
        <v>-335433.06915146043</v>
      </c>
      <c r="Q21" s="1">
        <f>+$B$2*($E13-$D13)*'IV. E ParamBeneficiaryCaract'!$C$44*'III. AreaAnnual_distribution'!R$11+P21</f>
        <v>-365536.03689582227</v>
      </c>
      <c r="R21" s="1">
        <f>+$B$2*($E13-$D13)*'IV. E ParamBeneficiaryCaract'!$C$44*'III. AreaAnnual_distribution'!S$11+Q21</f>
        <v>-395639.00464018411</v>
      </c>
      <c r="S21" s="1">
        <f>+$B$2*($E13-$D13)*'IV. E ParamBeneficiaryCaract'!$C$44*'III. AreaAnnual_distribution'!T$11+R21</f>
        <v>-423591.76040280581</v>
      </c>
      <c r="T21" s="1">
        <f>+$B$2*($E13-$D13)*'IV. E ParamBeneficiaryCaract'!$C$44*'III. AreaAnnual_distribution'!U$11+S21</f>
        <v>-451544.51616542751</v>
      </c>
      <c r="U21" s="1">
        <f>+$B$2*($E13-$D13)*'IV. E ParamBeneficiaryCaract'!$C$44*'III. AreaAnnual_distribution'!V$11+T21</f>
        <v>-479497.27192804922</v>
      </c>
      <c r="V21" s="129"/>
    </row>
    <row r="22" spans="1:22" x14ac:dyDescent="0.25">
      <c r="A22" s="164" t="s">
        <v>222</v>
      </c>
      <c r="B22" s="1">
        <f>+$B$2*($E14-$D14)*'IV. E ParamBeneficiaryCaract'!$C$44*'III. AreaAnnual_distribution'!C$11</f>
        <v>0</v>
      </c>
      <c r="C22" s="1">
        <f>+$B$2*($E14-$D14)*'IV. E ParamBeneficiaryCaract'!$C$44*'III. AreaAnnual_distribution'!D$11+B22</f>
        <v>-27.366334313056214</v>
      </c>
      <c r="D22" s="1">
        <f>+$B$2*($E14-$D14)*'IV. E ParamBeneficiaryCaract'!$C$44*'III. AreaAnnual_distribution'!E$11+C22</f>
        <v>-117.28428991309806</v>
      </c>
      <c r="E22" s="1">
        <f>+$B$2*($E14-$D14)*'IV. E ParamBeneficiaryCaract'!$C$44*'III. AreaAnnual_distribution'!F$11+D22</f>
        <v>-234.56857982619613</v>
      </c>
      <c r="F22" s="1">
        <f>+$B$2*($E14-$D14)*'IV. E ParamBeneficiaryCaract'!$C$44*'III. AreaAnnual_distribution'!G$11+E22</f>
        <v>-312.75810643492815</v>
      </c>
      <c r="G22" s="1">
        <f>+$B$2*($E14-$D14)*'IV. E ParamBeneficiaryCaract'!$C$44*'III. AreaAnnual_distribution'!H$11+F22</f>
        <v>-371.40025139147718</v>
      </c>
      <c r="H22" s="1">
        <f>+$B$2*($E14-$D14)*'IV. E ParamBeneficiaryCaract'!$C$44*'III. AreaAnnual_distribution'!I$11+G22</f>
        <v>-390.94763304366018</v>
      </c>
      <c r="I22" s="1">
        <f>+$B$2*($E14-$D14)*'IV. E ParamBeneficiaryCaract'!$C$44*'III. AreaAnnual_distribution'!J$11+H22</f>
        <v>-742.80050278295437</v>
      </c>
      <c r="J22" s="1">
        <f>+$B$2*($E14-$D14)*'IV. E ParamBeneficiaryCaract'!$C$44*'III. AreaAnnual_distribution'!K$11+I22</f>
        <v>-1094.6533725222484</v>
      </c>
      <c r="K22" s="1">
        <f>+$B$2*($E14-$D14)*'IV. E ParamBeneficiaryCaract'!$C$44*'III. AreaAnnual_distribution'!L$11+J22</f>
        <v>-1446.5062422615426</v>
      </c>
      <c r="L22" s="1">
        <f>+$B$2*($E14-$D14)*'IV. E ParamBeneficiaryCaract'!$C$44*'III. AreaAnnual_distribution'!M$11+K22</f>
        <v>-1798.3591120008368</v>
      </c>
      <c r="M22" s="1">
        <f>+$B$2*($E14-$D14)*'IV. E ParamBeneficiaryCaract'!$C$44*'III. AreaAnnual_distribution'!N$11+L22</f>
        <v>-2111.1172184357652</v>
      </c>
      <c r="N22" s="1">
        <f>+$B$2*($E14-$D14)*'IV. E ParamBeneficiaryCaract'!$C$44*'III. AreaAnnual_distribution'!O$11+M22</f>
        <v>-2423.8753248706935</v>
      </c>
      <c r="O22" s="1">
        <f>+$B$2*($E14-$D14)*'IV. E ParamBeneficiaryCaract'!$C$44*'III. AreaAnnual_distribution'!P$11+N22</f>
        <v>-2736.6334313056218</v>
      </c>
      <c r="P22" s="1">
        <f>+$B$2*($E14-$D14)*'IV. E ParamBeneficiaryCaract'!$C$44*'III. AreaAnnual_distribution'!Q$11+O22</f>
        <v>-3049.3915377405501</v>
      </c>
      <c r="Q22" s="1">
        <f>+$B$2*($E14-$D14)*'IV. E ParamBeneficiaryCaract'!$C$44*'III. AreaAnnual_distribution'!R$11+P22</f>
        <v>-3323.0548808711123</v>
      </c>
      <c r="R22" s="1">
        <f>+$B$2*($E14-$D14)*'IV. E ParamBeneficiaryCaract'!$C$44*'III. AreaAnnual_distribution'!S$11+Q22</f>
        <v>-3596.7182240016746</v>
      </c>
      <c r="S22" s="1">
        <f>+$B$2*($E14-$D14)*'IV. E ParamBeneficiaryCaract'!$C$44*'III. AreaAnnual_distribution'!T$11+R22</f>
        <v>-3850.8341854800537</v>
      </c>
      <c r="T22" s="1">
        <f>+$B$2*($E14-$D14)*'IV. E ParamBeneficiaryCaract'!$C$44*'III. AreaAnnual_distribution'!U$11+S22</f>
        <v>-4104.9501469584329</v>
      </c>
      <c r="U22" s="1">
        <f>+$B$2*($E14-$D14)*'IV. E ParamBeneficiaryCaract'!$C$44*'III. AreaAnnual_distribution'!V$11+T22</f>
        <v>-4359.0661084368121</v>
      </c>
      <c r="V22" s="129"/>
    </row>
    <row r="23" spans="1:22" x14ac:dyDescent="0.25">
      <c r="A23" s="164" t="s">
        <v>223</v>
      </c>
      <c r="B23" s="1">
        <f>+$B$2*($E15-$D15)*'IV. E ParamBeneficiaryCaract'!$C$44*'III. AreaAnnual_distribution'!C$11</f>
        <v>0</v>
      </c>
      <c r="C23" s="1">
        <f>+$B$2*($E15-$D15)*'IV. E ParamBeneficiaryCaract'!$C$44*'III. AreaAnnual_distribution'!D$11+B23</f>
        <v>-444.37714289296053</v>
      </c>
      <c r="D23" s="1">
        <f>+$B$2*($E15-$D15)*'IV. E ParamBeneficiaryCaract'!$C$44*'III. AreaAnnual_distribution'!E$11+C23</f>
        <v>-1904.4734695412594</v>
      </c>
      <c r="E23" s="1">
        <f>+$B$2*($E15-$D15)*'IV. E ParamBeneficiaryCaract'!$C$44*'III. AreaAnnual_distribution'!F$11+D23</f>
        <v>-3808.9469390825188</v>
      </c>
      <c r="F23" s="1">
        <f>+$B$2*($E15-$D15)*'IV. E ParamBeneficiaryCaract'!$C$44*'III. AreaAnnual_distribution'!G$11+E23</f>
        <v>-5078.5959187766921</v>
      </c>
      <c r="G23" s="1">
        <f>+$B$2*($E15-$D15)*'IV. E ParamBeneficiaryCaract'!$C$44*'III. AreaAnnual_distribution'!H$11+F23</f>
        <v>-6030.8326535473216</v>
      </c>
      <c r="H23" s="1">
        <f>+$B$2*($E15-$D15)*'IV. E ParamBeneficiaryCaract'!$C$44*'III. AreaAnnual_distribution'!I$11+G23</f>
        <v>-6348.2448984708644</v>
      </c>
      <c r="I23" s="1">
        <f>+$B$2*($E15-$D15)*'IV. E ParamBeneficiaryCaract'!$C$44*'III. AreaAnnual_distribution'!J$11+H23</f>
        <v>-12061.665307094641</v>
      </c>
      <c r="J23" s="1">
        <f>+$B$2*($E15-$D15)*'IV. E ParamBeneficiaryCaract'!$C$44*'III. AreaAnnual_distribution'!K$11+I23</f>
        <v>-17775.085715718418</v>
      </c>
      <c r="K23" s="1">
        <f>+$B$2*($E15-$D15)*'IV. E ParamBeneficiaryCaract'!$C$44*'III. AreaAnnual_distribution'!L$11+J23</f>
        <v>-23488.506124342195</v>
      </c>
      <c r="L23" s="1">
        <f>+$B$2*($E15-$D15)*'IV. E ParamBeneficiaryCaract'!$C$44*'III. AreaAnnual_distribution'!M$11+K23</f>
        <v>-29201.926532965972</v>
      </c>
      <c r="M23" s="1">
        <f>+$B$2*($E15-$D15)*'IV. E ParamBeneficiaryCaract'!$C$44*'III. AreaAnnual_distribution'!N$11+L23</f>
        <v>-34280.522451742661</v>
      </c>
      <c r="N23" s="1">
        <f>+$B$2*($E15-$D15)*'IV. E ParamBeneficiaryCaract'!$C$44*'III. AreaAnnual_distribution'!O$11+M23</f>
        <v>-39359.118370519354</v>
      </c>
      <c r="O23" s="1">
        <f>+$B$2*($E15-$D15)*'IV. E ParamBeneficiaryCaract'!$C$44*'III. AreaAnnual_distribution'!P$11+N23</f>
        <v>-44437.714289296047</v>
      </c>
      <c r="P23" s="1">
        <f>+$B$2*($E15-$D15)*'IV. E ParamBeneficiaryCaract'!$C$44*'III. AreaAnnual_distribution'!Q$11+O23</f>
        <v>-49516.31020807274</v>
      </c>
      <c r="Q23" s="1">
        <f>+$B$2*($E15-$D15)*'IV. E ParamBeneficiaryCaract'!$C$44*'III. AreaAnnual_distribution'!R$11+P23</f>
        <v>-53960.081637002346</v>
      </c>
      <c r="R23" s="1">
        <f>+$B$2*($E15-$D15)*'IV. E ParamBeneficiaryCaract'!$C$44*'III. AreaAnnual_distribution'!S$11+Q23</f>
        <v>-58403.853065931951</v>
      </c>
      <c r="S23" s="1">
        <f>+$B$2*($E15-$D15)*'IV. E ParamBeneficiaryCaract'!$C$44*'III. AreaAnnual_distribution'!T$11+R23</f>
        <v>-62530.212249938013</v>
      </c>
      <c r="T23" s="1">
        <f>+$B$2*($E15-$D15)*'IV. E ParamBeneficiaryCaract'!$C$44*'III. AreaAnnual_distribution'!U$11+S23</f>
        <v>-66656.571433944075</v>
      </c>
      <c r="U23" s="1">
        <f>+$B$2*($E15-$D15)*'IV. E ParamBeneficiaryCaract'!$C$44*'III. AreaAnnual_distribution'!V$11+T23</f>
        <v>-70782.930617950129</v>
      </c>
      <c r="V23" s="129"/>
    </row>
    <row r="24" spans="1:22" x14ac:dyDescent="0.25">
      <c r="A24" s="164" t="s">
        <v>224</v>
      </c>
      <c r="B24" s="1">
        <f>+$B$2*($E16-$D16)*'IV. E ParamBeneficiaryCaract'!$C$44*'III. AreaAnnual_distribution'!C$11</f>
        <v>0</v>
      </c>
      <c r="C24" s="1">
        <f>+$B$2*($E16-$D16)*'IV. E ParamBeneficiaryCaract'!$C$44*'III. AreaAnnual_distribution'!D$11+B24</f>
        <v>-5090.1381822284566</v>
      </c>
      <c r="D24" s="1">
        <f>+$B$2*($E16-$D16)*'IV. E ParamBeneficiaryCaract'!$C$44*'III. AreaAnnual_distribution'!E$11+C24</f>
        <v>-21814.877923836244</v>
      </c>
      <c r="E24" s="1">
        <f>+$B$2*($E16-$D16)*'IV. E ParamBeneficiaryCaract'!$C$44*'III. AreaAnnual_distribution'!F$11+D24</f>
        <v>-43629.755847672481</v>
      </c>
      <c r="F24" s="1">
        <f>+$B$2*($E16-$D16)*'IV. E ParamBeneficiaryCaract'!$C$44*'III. AreaAnnual_distribution'!G$11+E24</f>
        <v>-58173.007796896643</v>
      </c>
      <c r="G24" s="1">
        <f>+$B$2*($E16-$D16)*'IV. E ParamBeneficiaryCaract'!$C$44*'III. AreaAnnual_distribution'!H$11+F24</f>
        <v>-69080.446758814767</v>
      </c>
      <c r="H24" s="1">
        <f>+$B$2*($E16-$D16)*'IV. E ParamBeneficiaryCaract'!$C$44*'III. AreaAnnual_distribution'!I$11+G24</f>
        <v>-72716.259746120806</v>
      </c>
      <c r="I24" s="1">
        <f>+$B$2*($E16-$D16)*'IV. E ParamBeneficiaryCaract'!$C$44*'III. AreaAnnual_distribution'!J$11+H24</f>
        <v>-138160.89351762953</v>
      </c>
      <c r="J24" s="1">
        <f>+$B$2*($E16-$D16)*'IV. E ParamBeneficiaryCaract'!$C$44*'III. AreaAnnual_distribution'!K$11+I24</f>
        <v>-203605.52728913826</v>
      </c>
      <c r="K24" s="1">
        <f>+$B$2*($E16-$D16)*'IV. E ParamBeneficiaryCaract'!$C$44*'III. AreaAnnual_distribution'!L$11+J24</f>
        <v>-269050.16106064699</v>
      </c>
      <c r="L24" s="1">
        <f>+$B$2*($E16-$D16)*'IV. E ParamBeneficiaryCaract'!$C$44*'III. AreaAnnual_distribution'!M$11+K24</f>
        <v>-334494.79483215569</v>
      </c>
      <c r="M24" s="1">
        <f>+$B$2*($E16-$D16)*'IV. E ParamBeneficiaryCaract'!$C$44*'III. AreaAnnual_distribution'!N$11+L24</f>
        <v>-392667.80262905231</v>
      </c>
      <c r="N24" s="1">
        <f>+$B$2*($E16-$D16)*'IV. E ParamBeneficiaryCaract'!$C$44*'III. AreaAnnual_distribution'!O$11+M24</f>
        <v>-450840.81042594893</v>
      </c>
      <c r="O24" s="1">
        <f>+$B$2*($E16-$D16)*'IV. E ParamBeneficiaryCaract'!$C$44*'III. AreaAnnual_distribution'!P$11+N24</f>
        <v>-509013.81822284556</v>
      </c>
      <c r="P24" s="1">
        <f>+$B$2*($E16-$D16)*'IV. E ParamBeneficiaryCaract'!$C$44*'III. AreaAnnual_distribution'!Q$11+O24</f>
        <v>-567186.82601974218</v>
      </c>
      <c r="Q24" s="1">
        <f>+$B$2*($E16-$D16)*'IV. E ParamBeneficiaryCaract'!$C$44*'III. AreaAnnual_distribution'!R$11+P24</f>
        <v>-618088.20784202672</v>
      </c>
      <c r="R24" s="1">
        <f>+$B$2*($E16-$D16)*'IV. E ParamBeneficiaryCaract'!$C$44*'III. AreaAnnual_distribution'!S$11+Q24</f>
        <v>-668989.58966431126</v>
      </c>
      <c r="S24" s="1">
        <f>+$B$2*($E16-$D16)*'IV. E ParamBeneficiaryCaract'!$C$44*'III. AreaAnnual_distribution'!T$11+R24</f>
        <v>-716255.15849928977</v>
      </c>
      <c r="T24" s="1">
        <f>+$B$2*($E16-$D16)*'IV. E ParamBeneficiaryCaract'!$C$44*'III. AreaAnnual_distribution'!U$11+S24</f>
        <v>-763520.72733426827</v>
      </c>
      <c r="U24" s="1">
        <f>+$B$2*($E16-$D16)*'IV. E ParamBeneficiaryCaract'!$C$44*'III. AreaAnnual_distribution'!V$11+T24</f>
        <v>-810786.29616924678</v>
      </c>
      <c r="V24" s="129"/>
    </row>
    <row r="25" spans="1:22" x14ac:dyDescent="0.25">
      <c r="A25" s="166" t="s">
        <v>228</v>
      </c>
      <c r="B25" s="37">
        <f>SUM(B21:B24)</f>
        <v>0</v>
      </c>
      <c r="C25" s="37">
        <f t="shared" ref="C25:U25" si="1">SUM(C21:C24)</f>
        <v>-8572.1784338706566</v>
      </c>
      <c r="D25" s="37">
        <f t="shared" si="1"/>
        <v>-36737.907573731383</v>
      </c>
      <c r="E25" s="37">
        <f t="shared" si="1"/>
        <v>-73475.815147462767</v>
      </c>
      <c r="F25" s="37">
        <f t="shared" si="1"/>
        <v>-97967.753529950365</v>
      </c>
      <c r="G25" s="37">
        <f t="shared" si="1"/>
        <v>-116336.70731681606</v>
      </c>
      <c r="H25" s="37">
        <f t="shared" si="1"/>
        <v>-122459.69191243795</v>
      </c>
      <c r="I25" s="37">
        <f t="shared" si="1"/>
        <v>-232673.41463363208</v>
      </c>
      <c r="J25" s="37">
        <f t="shared" si="1"/>
        <v>-342887.13735482626</v>
      </c>
      <c r="K25" s="37">
        <f t="shared" si="1"/>
        <v>-453100.86007602041</v>
      </c>
      <c r="L25" s="37">
        <f t="shared" si="1"/>
        <v>-563314.58279721462</v>
      </c>
      <c r="M25" s="37">
        <f t="shared" si="1"/>
        <v>-661282.3363271649</v>
      </c>
      <c r="N25" s="37">
        <f t="shared" si="1"/>
        <v>-759250.08985711518</v>
      </c>
      <c r="O25" s="37">
        <f t="shared" si="1"/>
        <v>-857217.84338706557</v>
      </c>
      <c r="P25" s="37">
        <f t="shared" si="1"/>
        <v>-955185.59691701585</v>
      </c>
      <c r="Q25" s="37">
        <f t="shared" si="1"/>
        <v>-1040907.3812557224</v>
      </c>
      <c r="R25" s="37">
        <f t="shared" si="1"/>
        <v>-1126629.165594429</v>
      </c>
      <c r="S25" s="37">
        <f t="shared" si="1"/>
        <v>-1206227.9653375137</v>
      </c>
      <c r="T25" s="37">
        <f t="shared" si="1"/>
        <v>-1285826.7650805982</v>
      </c>
      <c r="U25" s="37">
        <f t="shared" si="1"/>
        <v>-1365425.5648236829</v>
      </c>
      <c r="V25" s="129"/>
    </row>
    <row r="26" spans="1:22" x14ac:dyDescent="0.25">
      <c r="A26" s="165" t="s">
        <v>229</v>
      </c>
      <c r="B26" s="1">
        <f>+B25*-1</f>
        <v>0</v>
      </c>
      <c r="C26" s="1">
        <f t="shared" ref="C26:U26" si="2">+C25*-1</f>
        <v>8572.1784338706566</v>
      </c>
      <c r="D26" s="1">
        <f t="shared" si="2"/>
        <v>36737.907573731383</v>
      </c>
      <c r="E26" s="1">
        <f t="shared" si="2"/>
        <v>73475.815147462767</v>
      </c>
      <c r="F26" s="1">
        <f t="shared" si="2"/>
        <v>97967.753529950365</v>
      </c>
      <c r="G26" s="1">
        <f t="shared" si="2"/>
        <v>116336.70731681606</v>
      </c>
      <c r="H26" s="1">
        <f t="shared" si="2"/>
        <v>122459.69191243795</v>
      </c>
      <c r="I26" s="1">
        <f t="shared" si="2"/>
        <v>232673.41463363208</v>
      </c>
      <c r="J26" s="1">
        <f t="shared" si="2"/>
        <v>342887.13735482626</v>
      </c>
      <c r="K26" s="1">
        <f t="shared" si="2"/>
        <v>453100.86007602041</v>
      </c>
      <c r="L26" s="1">
        <f t="shared" si="2"/>
        <v>563314.58279721462</v>
      </c>
      <c r="M26" s="1">
        <f t="shared" si="2"/>
        <v>661282.3363271649</v>
      </c>
      <c r="N26" s="1">
        <f t="shared" si="2"/>
        <v>759250.08985711518</v>
      </c>
      <c r="O26" s="1">
        <f t="shared" si="2"/>
        <v>857217.84338706557</v>
      </c>
      <c r="P26" s="1">
        <f t="shared" si="2"/>
        <v>955185.59691701585</v>
      </c>
      <c r="Q26" s="1">
        <f t="shared" si="2"/>
        <v>1040907.3812557224</v>
      </c>
      <c r="R26" s="1">
        <f t="shared" si="2"/>
        <v>1126629.165594429</v>
      </c>
      <c r="S26" s="1">
        <f t="shared" si="2"/>
        <v>1206227.9653375137</v>
      </c>
      <c r="T26" s="1">
        <f t="shared" si="2"/>
        <v>1285826.7650805982</v>
      </c>
      <c r="U26" s="1">
        <f t="shared" si="2"/>
        <v>1365425.5648236829</v>
      </c>
      <c r="V26" s="129"/>
    </row>
    <row r="27" spans="1:22" x14ac:dyDescent="0.25">
      <c r="A27" s="194" t="s">
        <v>230</v>
      </c>
      <c r="B27" s="14"/>
      <c r="D27" s="14"/>
      <c r="E27" s="14"/>
      <c r="F27" s="14"/>
      <c r="G27" s="14"/>
      <c r="H27" s="14"/>
      <c r="I27" s="14"/>
      <c r="J27" s="14"/>
      <c r="K27" s="14"/>
      <c r="L27" s="14"/>
      <c r="M27" s="14"/>
      <c r="N27" s="14"/>
      <c r="O27" s="14"/>
      <c r="P27" s="14"/>
      <c r="Q27" s="14"/>
      <c r="R27" s="14"/>
      <c r="S27" s="14"/>
      <c r="T27" s="14"/>
      <c r="U27" s="14"/>
      <c r="V27" s="7"/>
    </row>
  </sheetData>
  <mergeCells count="7">
    <mergeCell ref="A11:A12"/>
    <mergeCell ref="B11:C11"/>
    <mergeCell ref="D11:E11"/>
    <mergeCell ref="A19:A20"/>
    <mergeCell ref="B19:U19"/>
    <mergeCell ref="F11:F12"/>
    <mergeCell ref="F13:F1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136760-001D-4989-B927-6028C311CEC3}"/>
</file>

<file path=customXml/itemProps2.xml><?xml version="1.0" encoding="utf-8"?>
<ds:datastoreItem xmlns:ds="http://schemas.openxmlformats.org/officeDocument/2006/customXml" ds:itemID="{B9786CDE-6435-40D0-948A-BED000B9E73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66634946-60c8-4e14-9c77-68657ddb112d"/>
    <ds:schemaRef ds:uri="http://purl.org/dc/elements/1.1/"/>
    <ds:schemaRef ds:uri="http://schemas.microsoft.com/office/2006/metadata/properties"/>
    <ds:schemaRef ds:uri="e1c563c9-e422-4124-a477-323cd6022708"/>
    <ds:schemaRef ds:uri="http://www.w3.org/XML/1998/namespace"/>
    <ds:schemaRef ds:uri="http://purl.org/dc/dcmitype/"/>
  </ds:schemaRefs>
</ds:datastoreItem>
</file>

<file path=customXml/itemProps3.xml><?xml version="1.0" encoding="utf-8"?>
<ds:datastoreItem xmlns:ds="http://schemas.openxmlformats.org/officeDocument/2006/customXml" ds:itemID="{17A57C8C-2B8D-468F-9367-BAD7EF6D51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16</vt:i4>
      </vt:variant>
    </vt:vector>
  </HeadingPairs>
  <TitlesOfParts>
    <vt:vector size="16" baseType="lpstr">
      <vt:lpstr>INDEX GHG CalculationMethodolog</vt:lpstr>
      <vt:lpstr>I. General_Invest_parameters</vt:lpstr>
      <vt:lpstr>II. Area direct_indirect impact</vt:lpstr>
      <vt:lpstr>III. AreaAnnual_distribution</vt:lpstr>
      <vt:lpstr>IV. E ParamBeneficiaryCaract</vt:lpstr>
      <vt:lpstr>V. CarbonAccounAssumptions</vt:lpstr>
      <vt:lpstr>V.aCalculformulaR+AD</vt:lpstr>
      <vt:lpstr>VI. ParameterCarbonAssumptions</vt:lpstr>
      <vt:lpstr>VII.LivestockMethane_Carbon</vt:lpstr>
      <vt:lpstr>VII.a FormulacarbonLivestock</vt:lpstr>
      <vt:lpstr>VIII. CarbonflowRemoval</vt:lpstr>
      <vt:lpstr>IX. CarbonflowAvoidedEmission</vt:lpstr>
      <vt:lpstr>X. Totalcarbonflow</vt:lpstr>
      <vt:lpstr>XI. BenefitDistribPlanERPD</vt:lpstr>
      <vt:lpstr>XII. Carbon flow for ENDE REDD+</vt:lpstr>
      <vt:lpstr>XIII. Efectiveness_indicatorC</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Escudero, Dennis (TCIC)</dc:creator>
  <cp:keywords/>
  <dc:description/>
  <cp:lastModifiedBy>Administrator</cp:lastModifiedBy>
  <cp:revision/>
  <dcterms:created xsi:type="dcterms:W3CDTF">2015-09-11T13:52:11Z</dcterms:created>
  <dcterms:modified xsi:type="dcterms:W3CDTF">2020-09-18T15:24:39Z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