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014"/>
  <workbookPr/>
  <mc:AlternateContent xmlns:mc="http://schemas.openxmlformats.org/markup-compatibility/2006">
    <mc:Choice Requires="x15">
      <x15ac:absPath xmlns:x15ac="http://schemas.microsoft.com/office/spreadsheetml/2010/11/ac" url="C:\Users\RODRIGUEZC\OneDrive - Food and Agriculture Organization\FAO\Guatemala\FVC\Reportes\Mayo 2020\"/>
    </mc:Choice>
  </mc:AlternateContent>
  <xr:revisionPtr revIDLastSave="0" documentId="11_449629A62AD3632CE644C5E5D1E42FA176FFF0A6" xr6:coauthVersionLast="45" xr6:coauthVersionMax="45" xr10:uidLastSave="{00000000-0000-0000-0000-000000000000}"/>
  <bookViews>
    <workbookView xWindow="0" yWindow="0" windowWidth="28800" windowHeight="11700" firstSheet="1" activeTab="1" xr2:uid="{00000000-000D-0000-FFFF-FFFF00000000}"/>
  </bookViews>
  <sheets>
    <sheet name="Financial Analysis" sheetId="1" r:id="rId1"/>
    <sheet name="Economic Analysis" sheetId="3" r:id="rId2"/>
    <sheet name="Costeo" sheetId="2" r:id="rId3"/>
    <sheet name="Sheet2" sheetId="4" r:id="rId4"/>
  </sheets>
  <externalReferences>
    <externalReference r:id="rId5"/>
    <externalReference r:id="rId6"/>
    <externalReference r:id="rId7"/>
    <externalReference r:id="rId8"/>
  </externalReferenc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155" i="3" l="1"/>
  <c r="C148" i="3"/>
  <c r="D148" i="3"/>
  <c r="E148" i="3"/>
  <c r="F148" i="3"/>
  <c r="G148" i="3"/>
  <c r="H148" i="3"/>
  <c r="B148" i="3"/>
  <c r="I152" i="3"/>
  <c r="I151" i="3"/>
  <c r="I145" i="3"/>
  <c r="I146" i="3"/>
  <c r="I147" i="3"/>
  <c r="I150" i="3"/>
  <c r="I144" i="3"/>
  <c r="I148" i="3" l="1"/>
  <c r="I149" i="3" s="1"/>
  <c r="B149" i="3"/>
  <c r="B153" i="3" s="1"/>
  <c r="H149" i="3"/>
  <c r="H153" i="3" s="1"/>
  <c r="G149" i="3"/>
  <c r="G153" i="3" s="1"/>
  <c r="F149" i="3"/>
  <c r="F153" i="3" s="1"/>
  <c r="E149" i="3"/>
  <c r="E153" i="3" s="1"/>
  <c r="D149" i="3"/>
  <c r="D153" i="3" s="1"/>
  <c r="C149" i="3"/>
  <c r="C153" i="3" s="1"/>
  <c r="I153" i="3" l="1"/>
  <c r="C197" i="3"/>
  <c r="D197" i="3" s="1"/>
  <c r="E197" i="3" s="1"/>
  <c r="F197" i="3" s="1"/>
  <c r="G197" i="3" s="1"/>
  <c r="H197" i="3" s="1"/>
  <c r="I197" i="3" s="1"/>
  <c r="J197" i="3" s="1"/>
  <c r="K197" i="3" s="1"/>
  <c r="L197" i="3" s="1"/>
  <c r="M197" i="3" s="1"/>
  <c r="N197" i="3" s="1"/>
  <c r="O197" i="3" s="1"/>
  <c r="P197" i="3" s="1"/>
  <c r="Q197" i="3" s="1"/>
  <c r="R197" i="3" s="1"/>
  <c r="S197" i="3" s="1"/>
  <c r="T197" i="3" s="1"/>
  <c r="U197" i="3" s="1"/>
  <c r="B154" i="3" l="1"/>
  <c r="B217" i="3" s="1"/>
  <c r="F154" i="3"/>
  <c r="C154" i="3"/>
  <c r="G154" i="3"/>
  <c r="I154" i="3"/>
  <c r="D154" i="3"/>
  <c r="H154" i="3"/>
  <c r="E154" i="3"/>
  <c r="B195" i="3"/>
  <c r="C208" i="3" l="1"/>
  <c r="G208" i="3"/>
  <c r="K208" i="3"/>
  <c r="O208" i="3"/>
  <c r="S208" i="3"/>
  <c r="T208" i="3"/>
  <c r="E208" i="3"/>
  <c r="M208" i="3"/>
  <c r="U208" i="3"/>
  <c r="F208" i="3"/>
  <c r="J208" i="3"/>
  <c r="R208" i="3"/>
  <c r="D208" i="3"/>
  <c r="H208" i="3"/>
  <c r="L208" i="3"/>
  <c r="P208" i="3"/>
  <c r="I208" i="3"/>
  <c r="Q208" i="3"/>
  <c r="N208" i="3"/>
  <c r="B208" i="3"/>
  <c r="B240" i="3"/>
  <c r="B5" i="3" l="1"/>
  <c r="B82" i="1"/>
  <c r="C106" i="3" l="1"/>
  <c r="D106" i="3"/>
  <c r="E106" i="3"/>
  <c r="F106" i="3"/>
  <c r="G106" i="3"/>
  <c r="H106" i="3"/>
  <c r="I106" i="3"/>
  <c r="J106" i="3"/>
  <c r="K106" i="3"/>
  <c r="L106" i="3"/>
  <c r="M106" i="3"/>
  <c r="N106" i="3"/>
  <c r="O106" i="3"/>
  <c r="P106" i="3"/>
  <c r="Q106" i="3"/>
  <c r="R106" i="3"/>
  <c r="S106" i="3"/>
  <c r="T106" i="3"/>
  <c r="U106" i="3"/>
  <c r="B106" i="3"/>
  <c r="C105" i="3"/>
  <c r="D105" i="3"/>
  <c r="E105" i="3"/>
  <c r="F105" i="3"/>
  <c r="G105" i="3"/>
  <c r="H105" i="3"/>
  <c r="I105" i="3"/>
  <c r="J105" i="3"/>
  <c r="K105" i="3"/>
  <c r="L105" i="3"/>
  <c r="M105" i="3"/>
  <c r="N105" i="3"/>
  <c r="O105" i="3"/>
  <c r="P105" i="3"/>
  <c r="Q105" i="3"/>
  <c r="R105" i="3"/>
  <c r="S105" i="3"/>
  <c r="T105" i="3"/>
  <c r="U105" i="3"/>
  <c r="B105" i="3"/>
  <c r="C95" i="3" l="1"/>
  <c r="D95" i="3"/>
  <c r="E95" i="3"/>
  <c r="F95" i="3"/>
  <c r="G95" i="3"/>
  <c r="H95" i="3"/>
  <c r="I95" i="3"/>
  <c r="J95" i="3"/>
  <c r="K95" i="3"/>
  <c r="L95" i="3"/>
  <c r="M95" i="3"/>
  <c r="N95" i="3"/>
  <c r="O95" i="3"/>
  <c r="P95" i="3"/>
  <c r="Q95" i="3"/>
  <c r="R95" i="3"/>
  <c r="S95" i="3"/>
  <c r="T95" i="3"/>
  <c r="U95" i="3"/>
  <c r="B95" i="3"/>
  <c r="C94" i="3"/>
  <c r="D94" i="3"/>
  <c r="E94" i="3"/>
  <c r="F94" i="3"/>
  <c r="G94" i="3"/>
  <c r="H94" i="3"/>
  <c r="I94" i="3"/>
  <c r="J94" i="3"/>
  <c r="K94" i="3"/>
  <c r="L94" i="3"/>
  <c r="M94" i="3"/>
  <c r="N94" i="3"/>
  <c r="O94" i="3"/>
  <c r="P94" i="3"/>
  <c r="Q94" i="3"/>
  <c r="R94" i="3"/>
  <c r="S94" i="3"/>
  <c r="T94" i="3"/>
  <c r="U94" i="3"/>
  <c r="B94" i="3"/>
  <c r="B96" i="3" s="1"/>
  <c r="C79" i="3" l="1"/>
  <c r="D79" i="3"/>
  <c r="E79" i="3"/>
  <c r="F79" i="3"/>
  <c r="G79" i="3"/>
  <c r="H79" i="3"/>
  <c r="I79" i="3"/>
  <c r="J79" i="3"/>
  <c r="K79" i="3"/>
  <c r="L79" i="3"/>
  <c r="M79" i="3"/>
  <c r="N79" i="3"/>
  <c r="O79" i="3"/>
  <c r="P79" i="3"/>
  <c r="Q79" i="3"/>
  <c r="R79" i="3"/>
  <c r="S79" i="3"/>
  <c r="T79" i="3"/>
  <c r="U79" i="3"/>
  <c r="C80" i="3"/>
  <c r="D80" i="3"/>
  <c r="E80" i="3"/>
  <c r="F80" i="3"/>
  <c r="G80" i="3"/>
  <c r="H80" i="3"/>
  <c r="I80" i="3"/>
  <c r="J80" i="3"/>
  <c r="K80" i="3"/>
  <c r="L80" i="3"/>
  <c r="M80" i="3"/>
  <c r="N80" i="3"/>
  <c r="O80" i="3"/>
  <c r="P80" i="3"/>
  <c r="Q80" i="3"/>
  <c r="R80" i="3"/>
  <c r="S80" i="3"/>
  <c r="T80" i="3"/>
  <c r="U80" i="3"/>
  <c r="B80" i="3"/>
  <c r="B79" i="3"/>
  <c r="C71" i="3"/>
  <c r="D71" i="3"/>
  <c r="E71" i="3"/>
  <c r="F71" i="3"/>
  <c r="G71" i="3"/>
  <c r="H71" i="3"/>
  <c r="I71" i="3"/>
  <c r="J71" i="3"/>
  <c r="K71" i="3"/>
  <c r="L71" i="3"/>
  <c r="M71" i="3"/>
  <c r="N71" i="3"/>
  <c r="O71" i="3"/>
  <c r="P71" i="3"/>
  <c r="Q71" i="3"/>
  <c r="R71" i="3"/>
  <c r="S71" i="3"/>
  <c r="T71" i="3"/>
  <c r="U71" i="3"/>
  <c r="C72" i="3"/>
  <c r="D72" i="3"/>
  <c r="E72" i="3"/>
  <c r="F72" i="3"/>
  <c r="G72" i="3"/>
  <c r="H72" i="3"/>
  <c r="I72" i="3"/>
  <c r="J72" i="3"/>
  <c r="K72" i="3"/>
  <c r="L72" i="3"/>
  <c r="M72" i="3"/>
  <c r="N72" i="3"/>
  <c r="O72" i="3"/>
  <c r="P72" i="3"/>
  <c r="Q72" i="3"/>
  <c r="R72" i="3"/>
  <c r="S72" i="3"/>
  <c r="T72" i="3"/>
  <c r="U72" i="3"/>
  <c r="B72" i="3"/>
  <c r="B71" i="3"/>
  <c r="C57" i="3"/>
  <c r="D57" i="3"/>
  <c r="E57" i="3"/>
  <c r="F57" i="3"/>
  <c r="G57" i="3"/>
  <c r="H57" i="3"/>
  <c r="I57" i="3"/>
  <c r="J57" i="3"/>
  <c r="K57" i="3"/>
  <c r="L57" i="3"/>
  <c r="M57" i="3"/>
  <c r="N57" i="3"/>
  <c r="O57" i="3"/>
  <c r="P57" i="3"/>
  <c r="Q57" i="3"/>
  <c r="R57" i="3"/>
  <c r="S57" i="3"/>
  <c r="T57" i="3"/>
  <c r="U57" i="3"/>
  <c r="C58" i="3"/>
  <c r="D58" i="3"/>
  <c r="E58" i="3"/>
  <c r="F58" i="3"/>
  <c r="G58" i="3"/>
  <c r="H58" i="3"/>
  <c r="I58" i="3"/>
  <c r="J58" i="3"/>
  <c r="K58" i="3"/>
  <c r="L58" i="3"/>
  <c r="M58" i="3"/>
  <c r="N58" i="3"/>
  <c r="O58" i="3"/>
  <c r="P58" i="3"/>
  <c r="Q58" i="3"/>
  <c r="R58" i="3"/>
  <c r="S58" i="3"/>
  <c r="T58" i="3"/>
  <c r="U58" i="3"/>
  <c r="B58" i="3"/>
  <c r="B57" i="3"/>
  <c r="C50" i="3"/>
  <c r="D50" i="3"/>
  <c r="E50" i="3"/>
  <c r="F50" i="3"/>
  <c r="G50" i="3"/>
  <c r="H50" i="3"/>
  <c r="I50" i="3"/>
  <c r="J50" i="3"/>
  <c r="K50" i="3"/>
  <c r="L50" i="3"/>
  <c r="M50" i="3"/>
  <c r="N50" i="3"/>
  <c r="O50" i="3"/>
  <c r="P50" i="3"/>
  <c r="Q50" i="3"/>
  <c r="R50" i="3"/>
  <c r="S50" i="3"/>
  <c r="T50" i="3"/>
  <c r="U50" i="3"/>
  <c r="B50" i="3"/>
  <c r="C49" i="3"/>
  <c r="D49" i="3"/>
  <c r="E49" i="3"/>
  <c r="F49" i="3"/>
  <c r="G49" i="3"/>
  <c r="H49" i="3"/>
  <c r="I49" i="3"/>
  <c r="J49" i="3"/>
  <c r="K49" i="3"/>
  <c r="L49" i="3"/>
  <c r="M49" i="3"/>
  <c r="N49" i="3"/>
  <c r="O49" i="3"/>
  <c r="P49" i="3"/>
  <c r="Q49" i="3"/>
  <c r="R49" i="3"/>
  <c r="S49" i="3"/>
  <c r="T49" i="3"/>
  <c r="U49" i="3"/>
  <c r="B49" i="3"/>
  <c r="B36" i="3" l="1"/>
  <c r="C36" i="3"/>
  <c r="D36" i="3"/>
  <c r="E36" i="3"/>
  <c r="F36" i="3"/>
  <c r="G36" i="3"/>
  <c r="H36" i="3"/>
  <c r="I36" i="3"/>
  <c r="J36" i="3"/>
  <c r="K36" i="3"/>
  <c r="L36" i="3"/>
  <c r="M36" i="3"/>
  <c r="N36" i="3"/>
  <c r="O36" i="3"/>
  <c r="P36" i="3"/>
  <c r="Q36" i="3"/>
  <c r="R36" i="3"/>
  <c r="S36" i="3"/>
  <c r="T36" i="3"/>
  <c r="U36" i="3"/>
  <c r="C35" i="3"/>
  <c r="D35" i="3"/>
  <c r="E35" i="3"/>
  <c r="F35" i="3"/>
  <c r="G35" i="3"/>
  <c r="H35" i="3"/>
  <c r="I35" i="3"/>
  <c r="J35" i="3"/>
  <c r="K35" i="3"/>
  <c r="L35" i="3"/>
  <c r="M35" i="3"/>
  <c r="N35" i="3"/>
  <c r="O35" i="3"/>
  <c r="P35" i="3"/>
  <c r="Q35" i="3"/>
  <c r="R35" i="3"/>
  <c r="S35" i="3"/>
  <c r="T35" i="3"/>
  <c r="U35" i="3"/>
  <c r="B35" i="3"/>
  <c r="C28" i="3"/>
  <c r="D28" i="3"/>
  <c r="E28" i="3"/>
  <c r="F28" i="3"/>
  <c r="G28" i="3"/>
  <c r="H28" i="3"/>
  <c r="I28" i="3"/>
  <c r="J28" i="3"/>
  <c r="K28" i="3"/>
  <c r="L28" i="3"/>
  <c r="M28" i="3"/>
  <c r="N28" i="3"/>
  <c r="O28" i="3"/>
  <c r="P28" i="3"/>
  <c r="Q28" i="3"/>
  <c r="R28" i="3"/>
  <c r="S28" i="3"/>
  <c r="T28" i="3"/>
  <c r="U28" i="3"/>
  <c r="B28" i="3"/>
  <c r="C27" i="3"/>
  <c r="D27" i="3"/>
  <c r="E27" i="3"/>
  <c r="F27" i="3"/>
  <c r="G27" i="3"/>
  <c r="H27" i="3"/>
  <c r="I27" i="3"/>
  <c r="J27" i="3"/>
  <c r="K27" i="3"/>
  <c r="L27" i="3"/>
  <c r="M27" i="3"/>
  <c r="N27" i="3"/>
  <c r="O27" i="3"/>
  <c r="P27" i="3"/>
  <c r="Q27" i="3"/>
  <c r="R27" i="3"/>
  <c r="S27" i="3"/>
  <c r="T27" i="3"/>
  <c r="U27" i="3"/>
  <c r="B27" i="3"/>
  <c r="C4" i="3" l="1"/>
  <c r="M4" i="3"/>
  <c r="D4" i="3"/>
  <c r="N4" i="3"/>
  <c r="L4" i="3"/>
  <c r="J5" i="3"/>
  <c r="F4" i="3"/>
  <c r="F12" i="3"/>
  <c r="U4" i="3"/>
  <c r="I5" i="3"/>
  <c r="E13" i="3" l="1"/>
  <c r="B13" i="3"/>
  <c r="C13" i="3"/>
  <c r="H4" i="3"/>
  <c r="C12" i="3"/>
  <c r="G4" i="3"/>
  <c r="I4" i="3"/>
  <c r="Q12" i="3"/>
  <c r="J12" i="3"/>
  <c r="K12" i="3"/>
  <c r="S4" i="3"/>
  <c r="D5" i="3"/>
  <c r="Q5" i="3"/>
  <c r="H12" i="3"/>
  <c r="G5" i="3"/>
  <c r="N5" i="3"/>
  <c r="U5" i="3"/>
  <c r="K4" i="3"/>
  <c r="O4" i="3"/>
  <c r="R12" i="3"/>
  <c r="G12" i="3"/>
  <c r="E12" i="3"/>
  <c r="H5" i="3"/>
  <c r="Q4" i="3"/>
  <c r="E4" i="3"/>
  <c r="B4" i="3"/>
  <c r="B6" i="3" s="1"/>
  <c r="R5" i="3"/>
  <c r="L5" i="3"/>
  <c r="D13" i="3"/>
  <c r="D12" i="3"/>
  <c r="M12" i="3"/>
  <c r="P12" i="3"/>
  <c r="T12" i="3"/>
  <c r="R4" i="3"/>
  <c r="P5" i="3"/>
  <c r="M5" i="3"/>
  <c r="T5" i="3"/>
  <c r="N12" i="3"/>
  <c r="C5" i="3"/>
  <c r="K5" i="3"/>
  <c r="E5" i="3"/>
  <c r="P4" i="3"/>
  <c r="T4" i="3"/>
  <c r="S5" i="3"/>
  <c r="U12" i="3"/>
  <c r="O5" i="3"/>
  <c r="J4" i="3"/>
  <c r="F5" i="3"/>
  <c r="L12" i="3"/>
  <c r="O12" i="3"/>
  <c r="S12" i="3"/>
  <c r="I12" i="3"/>
  <c r="B12" i="3"/>
  <c r="F13" i="3" l="1"/>
  <c r="G13" i="3"/>
  <c r="H13" i="3" l="1"/>
  <c r="I13" i="3" l="1"/>
  <c r="J13" i="3" l="1"/>
  <c r="K13" i="3" l="1"/>
  <c r="L13" i="3" l="1"/>
  <c r="M13" i="3" l="1"/>
  <c r="N13" i="3" l="1"/>
  <c r="O13" i="3" l="1"/>
  <c r="P13" i="3" l="1"/>
  <c r="Q13" i="3" l="1"/>
  <c r="R13" i="3" l="1"/>
  <c r="S13" i="3" l="1"/>
  <c r="T13" i="3" l="1"/>
  <c r="U13" i="3"/>
  <c r="C82" i="1" l="1"/>
  <c r="D82" i="1"/>
  <c r="E82" i="1"/>
  <c r="F82" i="1"/>
  <c r="G82" i="1"/>
  <c r="H82" i="1"/>
  <c r="I82" i="1"/>
  <c r="J82" i="1"/>
  <c r="K82" i="1"/>
  <c r="L82" i="1"/>
  <c r="M82" i="1"/>
  <c r="N82" i="1"/>
  <c r="O82" i="1"/>
  <c r="P82" i="1"/>
  <c r="Q82" i="1"/>
  <c r="R82" i="1"/>
  <c r="S82" i="1"/>
  <c r="T82" i="1"/>
  <c r="U82" i="1"/>
  <c r="C81" i="1"/>
  <c r="D81" i="1"/>
  <c r="E81" i="1"/>
  <c r="F81" i="1"/>
  <c r="G81" i="1"/>
  <c r="H81" i="1"/>
  <c r="I81" i="1"/>
  <c r="J81" i="1"/>
  <c r="K81" i="1"/>
  <c r="L81" i="1"/>
  <c r="M81" i="1"/>
  <c r="N81" i="1"/>
  <c r="O81" i="1"/>
  <c r="P81" i="1"/>
  <c r="Q81" i="1"/>
  <c r="R81" i="1"/>
  <c r="S81" i="1"/>
  <c r="T81" i="1"/>
  <c r="U81" i="1"/>
  <c r="B81" i="1"/>
  <c r="C71" i="1"/>
  <c r="D71" i="1"/>
  <c r="E71" i="1"/>
  <c r="F71" i="1"/>
  <c r="G71" i="1"/>
  <c r="H71" i="1"/>
  <c r="I71" i="1"/>
  <c r="J71" i="1"/>
  <c r="K71" i="1"/>
  <c r="L71" i="1"/>
  <c r="M71" i="1"/>
  <c r="N71" i="1"/>
  <c r="O71" i="1"/>
  <c r="P71" i="1"/>
  <c r="Q71" i="1"/>
  <c r="R71" i="1"/>
  <c r="S71" i="1"/>
  <c r="T71" i="1"/>
  <c r="U71" i="1"/>
  <c r="B71" i="1"/>
  <c r="C70" i="1"/>
  <c r="D70" i="1"/>
  <c r="E70" i="1"/>
  <c r="F70" i="1"/>
  <c r="G70" i="1"/>
  <c r="H70" i="1"/>
  <c r="I70" i="1"/>
  <c r="J70" i="1"/>
  <c r="K70" i="1"/>
  <c r="L70" i="1"/>
  <c r="M70" i="1"/>
  <c r="N70" i="1"/>
  <c r="O70" i="1"/>
  <c r="P70" i="1"/>
  <c r="Q70" i="1"/>
  <c r="R70" i="1"/>
  <c r="S70" i="1"/>
  <c r="T70" i="1"/>
  <c r="U70" i="1"/>
  <c r="B70" i="1"/>
  <c r="U72" i="1" l="1"/>
  <c r="B72" i="1"/>
  <c r="C59" i="1" l="1"/>
  <c r="D59" i="1"/>
  <c r="E59" i="1"/>
  <c r="F59" i="1"/>
  <c r="G59" i="1"/>
  <c r="H59" i="1"/>
  <c r="I59" i="1"/>
  <c r="J59" i="1"/>
  <c r="K59" i="1"/>
  <c r="L59" i="1"/>
  <c r="M59" i="1"/>
  <c r="N59" i="1"/>
  <c r="O59" i="1"/>
  <c r="P59" i="1"/>
  <c r="Q59" i="1"/>
  <c r="R59" i="1"/>
  <c r="S59" i="1"/>
  <c r="T59" i="1"/>
  <c r="U59" i="1"/>
  <c r="B59" i="1"/>
  <c r="C55" i="1"/>
  <c r="D55" i="1"/>
  <c r="E55" i="1"/>
  <c r="F55" i="1"/>
  <c r="G55" i="1"/>
  <c r="H55" i="1"/>
  <c r="I55" i="1"/>
  <c r="J55" i="1"/>
  <c r="K55" i="1"/>
  <c r="L55" i="1"/>
  <c r="M55" i="1"/>
  <c r="N55" i="1"/>
  <c r="O55" i="1"/>
  <c r="P55" i="1"/>
  <c r="Q55" i="1"/>
  <c r="R55" i="1"/>
  <c r="S55" i="1"/>
  <c r="T55" i="1"/>
  <c r="U55" i="1"/>
  <c r="B55" i="1"/>
  <c r="C58" i="1"/>
  <c r="D58" i="1"/>
  <c r="E58" i="1"/>
  <c r="F58" i="1"/>
  <c r="G58" i="1"/>
  <c r="H58" i="1"/>
  <c r="I58" i="1"/>
  <c r="J58" i="1"/>
  <c r="K58" i="1"/>
  <c r="L58" i="1"/>
  <c r="M58" i="1"/>
  <c r="N58" i="1"/>
  <c r="O58" i="1"/>
  <c r="P58" i="1"/>
  <c r="Q58" i="1"/>
  <c r="R58" i="1"/>
  <c r="S58" i="1"/>
  <c r="T58" i="1"/>
  <c r="U58" i="1"/>
  <c r="B58" i="1"/>
  <c r="C54" i="1"/>
  <c r="D54" i="1"/>
  <c r="E54" i="1"/>
  <c r="F54" i="1"/>
  <c r="G54" i="1"/>
  <c r="H54" i="1"/>
  <c r="I54" i="1"/>
  <c r="J54" i="1"/>
  <c r="K54" i="1"/>
  <c r="L54" i="1"/>
  <c r="M54" i="1"/>
  <c r="N54" i="1"/>
  <c r="O54" i="1"/>
  <c r="P54" i="1"/>
  <c r="Q54" i="1"/>
  <c r="R54" i="1"/>
  <c r="S54" i="1"/>
  <c r="T54" i="1"/>
  <c r="U54" i="1"/>
  <c r="B54" i="1"/>
  <c r="C43" i="1"/>
  <c r="D43" i="1"/>
  <c r="E43" i="1"/>
  <c r="F43" i="1"/>
  <c r="G43" i="1"/>
  <c r="H43" i="1"/>
  <c r="I43" i="1"/>
  <c r="J43" i="1"/>
  <c r="K43" i="1"/>
  <c r="L43" i="1"/>
  <c r="M43" i="1"/>
  <c r="N43" i="1"/>
  <c r="O43" i="1"/>
  <c r="P43" i="1"/>
  <c r="Q43" i="1"/>
  <c r="R43" i="1"/>
  <c r="S43" i="1"/>
  <c r="T43" i="1"/>
  <c r="U43" i="1"/>
  <c r="B43" i="1"/>
  <c r="C42" i="1"/>
  <c r="D42" i="1"/>
  <c r="E42" i="1"/>
  <c r="F42" i="1"/>
  <c r="G42" i="1"/>
  <c r="H42" i="1"/>
  <c r="I42" i="1"/>
  <c r="J42" i="1"/>
  <c r="K42" i="1"/>
  <c r="L42" i="1"/>
  <c r="M42" i="1"/>
  <c r="N42" i="1"/>
  <c r="O42" i="1"/>
  <c r="P42" i="1"/>
  <c r="Q42" i="1"/>
  <c r="R42" i="1"/>
  <c r="S42" i="1"/>
  <c r="T42" i="1"/>
  <c r="U42" i="1"/>
  <c r="B42" i="1"/>
  <c r="C39" i="1"/>
  <c r="D39" i="1"/>
  <c r="E39" i="1"/>
  <c r="F39" i="1"/>
  <c r="G39" i="1"/>
  <c r="H39" i="1"/>
  <c r="I39" i="1"/>
  <c r="J39" i="1"/>
  <c r="K39" i="1"/>
  <c r="L39" i="1"/>
  <c r="M39" i="1"/>
  <c r="N39" i="1"/>
  <c r="O39" i="1"/>
  <c r="P39" i="1"/>
  <c r="Q39" i="1"/>
  <c r="R39" i="1"/>
  <c r="S39" i="1"/>
  <c r="T39" i="1"/>
  <c r="U39" i="1"/>
  <c r="B39" i="1"/>
  <c r="C38" i="1"/>
  <c r="D38" i="1"/>
  <c r="E38" i="1"/>
  <c r="F38" i="1"/>
  <c r="G38" i="1"/>
  <c r="H38" i="1"/>
  <c r="I38" i="1"/>
  <c r="J38" i="1"/>
  <c r="K38" i="1"/>
  <c r="L38" i="1"/>
  <c r="M38" i="1"/>
  <c r="N38" i="1"/>
  <c r="O38" i="1"/>
  <c r="P38" i="1"/>
  <c r="Q38" i="1"/>
  <c r="R38" i="1"/>
  <c r="S38" i="1"/>
  <c r="T38" i="1"/>
  <c r="U38" i="1"/>
  <c r="B38" i="1"/>
  <c r="C27" i="1"/>
  <c r="D27" i="1"/>
  <c r="E27" i="1"/>
  <c r="F27" i="1"/>
  <c r="G27" i="1"/>
  <c r="H27" i="1"/>
  <c r="I27" i="1"/>
  <c r="J27" i="1"/>
  <c r="K27" i="1"/>
  <c r="L27" i="1"/>
  <c r="M27" i="1"/>
  <c r="N27" i="1"/>
  <c r="O27" i="1"/>
  <c r="P27" i="1"/>
  <c r="Q27" i="1"/>
  <c r="R27" i="1"/>
  <c r="S27" i="1"/>
  <c r="T27" i="1"/>
  <c r="U27" i="1"/>
  <c r="B27" i="1"/>
  <c r="C26" i="1"/>
  <c r="D26" i="1"/>
  <c r="E26" i="1"/>
  <c r="F26" i="1"/>
  <c r="G26" i="1"/>
  <c r="H26" i="1"/>
  <c r="I26" i="1"/>
  <c r="J26" i="1"/>
  <c r="K26" i="1"/>
  <c r="L26" i="1"/>
  <c r="M26" i="1"/>
  <c r="N26" i="1"/>
  <c r="O26" i="1"/>
  <c r="P26" i="1"/>
  <c r="Q26" i="1"/>
  <c r="R26" i="1"/>
  <c r="S26" i="1"/>
  <c r="T26" i="1"/>
  <c r="U26" i="1"/>
  <c r="B26" i="1"/>
  <c r="C23" i="1"/>
  <c r="D23" i="1"/>
  <c r="E23" i="1"/>
  <c r="F23" i="1"/>
  <c r="G23" i="1"/>
  <c r="H23" i="1"/>
  <c r="I23" i="1"/>
  <c r="J23" i="1"/>
  <c r="K23" i="1"/>
  <c r="L23" i="1"/>
  <c r="M23" i="1"/>
  <c r="N23" i="1"/>
  <c r="O23" i="1"/>
  <c r="P23" i="1"/>
  <c r="Q23" i="1"/>
  <c r="R23" i="1"/>
  <c r="S23" i="1"/>
  <c r="T23" i="1"/>
  <c r="U23" i="1"/>
  <c r="B23" i="1"/>
  <c r="C22" i="1"/>
  <c r="D22" i="1"/>
  <c r="E22" i="1"/>
  <c r="F22" i="1"/>
  <c r="G22" i="1"/>
  <c r="H22" i="1"/>
  <c r="I22" i="1"/>
  <c r="J22" i="1"/>
  <c r="K22" i="1"/>
  <c r="L22" i="1"/>
  <c r="M22" i="1"/>
  <c r="N22" i="1"/>
  <c r="O22" i="1"/>
  <c r="P22" i="1"/>
  <c r="Q22" i="1"/>
  <c r="R22" i="1"/>
  <c r="S22" i="1"/>
  <c r="T22" i="1"/>
  <c r="U22" i="1"/>
  <c r="B22" i="1"/>
  <c r="C11" i="1"/>
  <c r="D11" i="1"/>
  <c r="E11" i="1"/>
  <c r="F11" i="1"/>
  <c r="G11" i="1"/>
  <c r="H11" i="1"/>
  <c r="I11" i="1"/>
  <c r="J11" i="1"/>
  <c r="K11" i="1"/>
  <c r="L11" i="1"/>
  <c r="M11" i="1"/>
  <c r="N11" i="1"/>
  <c r="O11" i="1"/>
  <c r="P11" i="1"/>
  <c r="Q11" i="1"/>
  <c r="R11" i="1"/>
  <c r="S11" i="1"/>
  <c r="T11" i="1"/>
  <c r="U11" i="1"/>
  <c r="B11" i="1"/>
  <c r="C10" i="1"/>
  <c r="D10" i="1"/>
  <c r="E10" i="1"/>
  <c r="F10" i="1"/>
  <c r="G10" i="1"/>
  <c r="H10" i="1"/>
  <c r="I10" i="1"/>
  <c r="J10" i="1"/>
  <c r="K10" i="1"/>
  <c r="L10" i="1"/>
  <c r="M10" i="1"/>
  <c r="N10" i="1"/>
  <c r="O10" i="1"/>
  <c r="P10" i="1"/>
  <c r="Q10" i="1"/>
  <c r="R10" i="1"/>
  <c r="S10" i="1"/>
  <c r="T10" i="1"/>
  <c r="U10" i="1"/>
  <c r="B10" i="1"/>
  <c r="C7" i="1"/>
  <c r="D7" i="1"/>
  <c r="E7" i="1"/>
  <c r="F7" i="1"/>
  <c r="G7" i="1"/>
  <c r="H7" i="1"/>
  <c r="I7" i="1"/>
  <c r="J7" i="1"/>
  <c r="K7" i="1"/>
  <c r="L7" i="1"/>
  <c r="M7" i="1"/>
  <c r="N7" i="1"/>
  <c r="O7" i="1"/>
  <c r="P7" i="1"/>
  <c r="Q7" i="1"/>
  <c r="R7" i="1"/>
  <c r="S7" i="1"/>
  <c r="T7" i="1"/>
  <c r="U7" i="1"/>
  <c r="B7" i="1"/>
  <c r="C6" i="1"/>
  <c r="D6" i="1"/>
  <c r="E6" i="1"/>
  <c r="F6" i="1"/>
  <c r="G6" i="1"/>
  <c r="H6" i="1"/>
  <c r="I6" i="1"/>
  <c r="J6" i="1"/>
  <c r="K6" i="1"/>
  <c r="L6" i="1"/>
  <c r="M6" i="1"/>
  <c r="N6" i="1"/>
  <c r="O6" i="1"/>
  <c r="P6" i="1"/>
  <c r="Q6" i="1"/>
  <c r="R6" i="1"/>
  <c r="S6" i="1"/>
  <c r="T6" i="1"/>
  <c r="U6" i="1"/>
  <c r="B6" i="1"/>
  <c r="C155" i="3" l="1"/>
  <c r="D155" i="3"/>
  <c r="E155" i="3"/>
  <c r="F155" i="3"/>
  <c r="G155" i="3"/>
  <c r="H155" i="3"/>
  <c r="I155" i="3" l="1"/>
  <c r="F118" i="3"/>
  <c r="F119" i="3" s="1"/>
  <c r="C118" i="3" s="1"/>
  <c r="B132" i="3" s="1"/>
  <c r="C132" i="3" s="1"/>
  <c r="D132" i="3" s="1"/>
  <c r="E132" i="3" s="1"/>
  <c r="F132" i="3" s="1"/>
  <c r="G132" i="3" s="1"/>
  <c r="H132" i="3" s="1"/>
  <c r="I132" i="3" s="1"/>
  <c r="J132" i="3" s="1"/>
  <c r="K132" i="3" s="1"/>
  <c r="L132" i="3" s="1"/>
  <c r="M132" i="3" s="1"/>
  <c r="N132" i="3" s="1"/>
  <c r="O132" i="3" s="1"/>
  <c r="P132" i="3" s="1"/>
  <c r="Q132" i="3" s="1"/>
  <c r="R132" i="3" s="1"/>
  <c r="S132" i="3" s="1"/>
  <c r="T132" i="3" s="1"/>
  <c r="U132" i="3" s="1"/>
  <c r="F221" i="3" l="1"/>
  <c r="F218" i="3"/>
  <c r="F220" i="3"/>
  <c r="F219" i="3"/>
  <c r="F217" i="3"/>
  <c r="F241" i="3"/>
  <c r="B136" i="3"/>
  <c r="C136" i="3" s="1"/>
  <c r="D136" i="3" s="1"/>
  <c r="E136" i="3" s="1"/>
  <c r="F136" i="3" s="1"/>
  <c r="G136" i="3" s="1"/>
  <c r="H136" i="3" s="1"/>
  <c r="I136" i="3" s="1"/>
  <c r="J136" i="3" s="1"/>
  <c r="K136" i="3" s="1"/>
  <c r="L136" i="3" s="1"/>
  <c r="M136" i="3" s="1"/>
  <c r="N136" i="3" s="1"/>
  <c r="O136" i="3" s="1"/>
  <c r="P136" i="3" s="1"/>
  <c r="Q136" i="3" s="1"/>
  <c r="R136" i="3" s="1"/>
  <c r="S136" i="3" s="1"/>
  <c r="T136" i="3" s="1"/>
  <c r="U136" i="3" s="1"/>
  <c r="C117" i="3"/>
  <c r="B131" i="3" s="1"/>
  <c r="B133" i="3" s="1"/>
  <c r="F222" i="3" l="1"/>
  <c r="E241" i="3"/>
  <c r="E221" i="3"/>
  <c r="E219" i="3"/>
  <c r="E217" i="3"/>
  <c r="E218" i="3"/>
  <c r="E220" i="3"/>
  <c r="G241" i="3"/>
  <c r="G221" i="3"/>
  <c r="G217" i="3"/>
  <c r="G218" i="3"/>
  <c r="G219" i="3"/>
  <c r="G220" i="3"/>
  <c r="H221" i="3"/>
  <c r="H218" i="3"/>
  <c r="H217" i="3"/>
  <c r="H219" i="3"/>
  <c r="H220" i="3"/>
  <c r="C241" i="3"/>
  <c r="C221" i="3"/>
  <c r="C217" i="3"/>
  <c r="C219" i="3"/>
  <c r="C218" i="3"/>
  <c r="C220" i="3"/>
  <c r="D221" i="3"/>
  <c r="D217" i="3"/>
  <c r="D218" i="3"/>
  <c r="D219" i="3"/>
  <c r="D220" i="3"/>
  <c r="F242" i="3"/>
  <c r="H241" i="3"/>
  <c r="D241" i="3"/>
  <c r="B135" i="3"/>
  <c r="C119" i="3"/>
  <c r="C123" i="3" s="1"/>
  <c r="D222" i="3" l="1"/>
  <c r="G222" i="3"/>
  <c r="H222" i="3"/>
  <c r="C222" i="3"/>
  <c r="E222" i="3"/>
  <c r="F243" i="3"/>
  <c r="C131" i="3"/>
  <c r="B137" i="3"/>
  <c r="B138" i="3" s="1"/>
  <c r="B201" i="3" s="1"/>
  <c r="B209" i="3" s="1"/>
  <c r="C135" i="3"/>
  <c r="C124" i="3"/>
  <c r="E242" i="3" l="1"/>
  <c r="E243" i="3" s="1"/>
  <c r="H242" i="3"/>
  <c r="H243" i="3" s="1"/>
  <c r="D242" i="3"/>
  <c r="D243" i="3" s="1"/>
  <c r="G242" i="3"/>
  <c r="G243" i="3" s="1"/>
  <c r="C242" i="3"/>
  <c r="C243" i="3" s="1"/>
  <c r="D203" i="3"/>
  <c r="C202" i="3"/>
  <c r="F205" i="3"/>
  <c r="E204" i="3"/>
  <c r="H207" i="3"/>
  <c r="D135" i="3"/>
  <c r="C137" i="3"/>
  <c r="C125" i="3"/>
  <c r="D131" i="3"/>
  <c r="C133" i="3"/>
  <c r="C138" i="3" s="1"/>
  <c r="C201" i="3" l="1"/>
  <c r="C209" i="3" s="1"/>
  <c r="I207" i="3"/>
  <c r="E203" i="3"/>
  <c r="F204" i="3"/>
  <c r="G205" i="3"/>
  <c r="D202" i="3"/>
  <c r="E131" i="3"/>
  <c r="D133" i="3"/>
  <c r="E135" i="3"/>
  <c r="D137" i="3"/>
  <c r="D138" i="3" l="1"/>
  <c r="F135" i="3"/>
  <c r="E137" i="3"/>
  <c r="F131" i="3"/>
  <c r="E133" i="3"/>
  <c r="F203" i="3" l="1"/>
  <c r="G204" i="3"/>
  <c r="H205" i="3"/>
  <c r="D201" i="3"/>
  <c r="D209" i="3" s="1"/>
  <c r="E202" i="3"/>
  <c r="J207" i="3"/>
  <c r="G131" i="3"/>
  <c r="F133" i="3"/>
  <c r="G135" i="3"/>
  <c r="F137" i="3"/>
  <c r="E138" i="3"/>
  <c r="I205" i="3" l="1"/>
  <c r="H204" i="3"/>
  <c r="F202" i="3"/>
  <c r="K207" i="3"/>
  <c r="G203" i="3"/>
  <c r="E201" i="3"/>
  <c r="E209" i="3" s="1"/>
  <c r="F138" i="3"/>
  <c r="H135" i="3"/>
  <c r="G137" i="3"/>
  <c r="H131" i="3"/>
  <c r="G133" i="3"/>
  <c r="L207" i="3" l="1"/>
  <c r="G202" i="3"/>
  <c r="I204" i="3"/>
  <c r="J205" i="3"/>
  <c r="F201" i="3"/>
  <c r="F209" i="3" s="1"/>
  <c r="H203" i="3"/>
  <c r="I131" i="3"/>
  <c r="H133" i="3"/>
  <c r="G138" i="3"/>
  <c r="I135" i="3"/>
  <c r="H137" i="3"/>
  <c r="G201" i="3" l="1"/>
  <c r="G206" i="3"/>
  <c r="K205" i="3"/>
  <c r="I203" i="3"/>
  <c r="M207" i="3"/>
  <c r="J204" i="3"/>
  <c r="H202" i="3"/>
  <c r="J135" i="3"/>
  <c r="I137" i="3"/>
  <c r="H138" i="3"/>
  <c r="J131" i="3"/>
  <c r="I133" i="3"/>
  <c r="G209" i="3" l="1"/>
  <c r="J203" i="3"/>
  <c r="H206" i="3"/>
  <c r="H201" i="3"/>
  <c r="H209" i="3" s="1"/>
  <c r="K204" i="3"/>
  <c r="L205" i="3"/>
  <c r="I202" i="3"/>
  <c r="N207" i="3"/>
  <c r="K131" i="3"/>
  <c r="J133" i="3"/>
  <c r="I138" i="3"/>
  <c r="K135" i="3"/>
  <c r="J137" i="3"/>
  <c r="M205" i="3" l="1"/>
  <c r="L204" i="3"/>
  <c r="I201" i="3"/>
  <c r="K203" i="3"/>
  <c r="J202" i="3"/>
  <c r="O207" i="3"/>
  <c r="I206" i="3"/>
  <c r="J138" i="3"/>
  <c r="L135" i="3"/>
  <c r="K137" i="3"/>
  <c r="L131" i="3"/>
  <c r="K133" i="3"/>
  <c r="I209" i="3" l="1"/>
  <c r="P207" i="3"/>
  <c r="J206" i="3"/>
  <c r="M204" i="3"/>
  <c r="K202" i="3"/>
  <c r="J201" i="3"/>
  <c r="L203" i="3"/>
  <c r="N205" i="3"/>
  <c r="M131" i="3"/>
  <c r="L133" i="3"/>
  <c r="K138" i="3"/>
  <c r="M135" i="3"/>
  <c r="L137" i="3"/>
  <c r="J209" i="3" l="1"/>
  <c r="K201" i="3"/>
  <c r="Q207" i="3"/>
  <c r="N204" i="3"/>
  <c r="O205" i="3"/>
  <c r="L202" i="3"/>
  <c r="M203" i="3"/>
  <c r="K206" i="3"/>
  <c r="L138" i="3"/>
  <c r="N135" i="3"/>
  <c r="M137" i="3"/>
  <c r="N131" i="3"/>
  <c r="M133" i="3"/>
  <c r="K209" i="3" l="1"/>
  <c r="M138" i="3"/>
  <c r="N203" i="3"/>
  <c r="M202" i="3"/>
  <c r="R207" i="3"/>
  <c r="L206" i="3"/>
  <c r="L201" i="3"/>
  <c r="L209" i="3" s="1"/>
  <c r="O204" i="3"/>
  <c r="P205" i="3"/>
  <c r="O131" i="3"/>
  <c r="N133" i="3"/>
  <c r="O135" i="3"/>
  <c r="N137" i="3"/>
  <c r="Q205" i="3" l="1"/>
  <c r="P204" i="3"/>
  <c r="O203" i="3"/>
  <c r="M201" i="3"/>
  <c r="M206" i="3"/>
  <c r="N202" i="3"/>
  <c r="S207" i="3"/>
  <c r="N138" i="3"/>
  <c r="P135" i="3"/>
  <c r="O137" i="3"/>
  <c r="P131" i="3"/>
  <c r="O133" i="3"/>
  <c r="M209" i="3" l="1"/>
  <c r="T207" i="3"/>
  <c r="N201" i="3"/>
  <c r="O202" i="3"/>
  <c r="P203" i="3"/>
  <c r="N206" i="3"/>
  <c r="Q204" i="3"/>
  <c r="R205" i="3"/>
  <c r="Q131" i="3"/>
  <c r="P133" i="3"/>
  <c r="O138" i="3"/>
  <c r="Q135" i="3"/>
  <c r="P137" i="3"/>
  <c r="N209" i="3" l="1"/>
  <c r="O201" i="3"/>
  <c r="R204" i="3"/>
  <c r="S205" i="3"/>
  <c r="P202" i="3"/>
  <c r="U207" i="3"/>
  <c r="Q203" i="3"/>
  <c r="O206" i="3"/>
  <c r="P138" i="3"/>
  <c r="R135" i="3"/>
  <c r="Q137" i="3"/>
  <c r="R131" i="3"/>
  <c r="Q133" i="3"/>
  <c r="O209" i="3" l="1"/>
  <c r="R203" i="3"/>
  <c r="P201" i="3"/>
  <c r="S204" i="3"/>
  <c r="T205" i="3"/>
  <c r="P206" i="3"/>
  <c r="Q202" i="3"/>
  <c r="S131" i="3"/>
  <c r="R133" i="3"/>
  <c r="Q138" i="3"/>
  <c r="S135" i="3"/>
  <c r="R137" i="3"/>
  <c r="P209" i="3" l="1"/>
  <c r="U205" i="3"/>
  <c r="T204" i="3"/>
  <c r="R202" i="3"/>
  <c r="Q206" i="3"/>
  <c r="Q201" i="3"/>
  <c r="S203" i="3"/>
  <c r="R138" i="3"/>
  <c r="T135" i="3"/>
  <c r="S137" i="3"/>
  <c r="T131" i="3"/>
  <c r="S133" i="3"/>
  <c r="Q209" i="3" l="1"/>
  <c r="U204" i="3"/>
  <c r="R201" i="3"/>
  <c r="T203" i="3"/>
  <c r="S202" i="3"/>
  <c r="R206" i="3"/>
  <c r="U131" i="3"/>
  <c r="U133" i="3" s="1"/>
  <c r="T133" i="3"/>
  <c r="S138" i="3"/>
  <c r="U135" i="3"/>
  <c r="U137" i="3" s="1"/>
  <c r="T137" i="3"/>
  <c r="R209" i="3" l="1"/>
  <c r="S201" i="3"/>
  <c r="U203" i="3"/>
  <c r="S206" i="3"/>
  <c r="T202" i="3"/>
  <c r="T138" i="3"/>
  <c r="U138" i="3"/>
  <c r="S209" i="3" l="1"/>
  <c r="U206" i="3"/>
  <c r="U201" i="3"/>
  <c r="T206" i="3"/>
  <c r="U202" i="3"/>
  <c r="T201" i="3"/>
  <c r="U209" i="3" l="1"/>
  <c r="T209" i="3"/>
  <c r="B211" i="3" s="1"/>
  <c r="B81" i="3"/>
  <c r="C73" i="3"/>
  <c r="D73" i="3"/>
  <c r="E73" i="3"/>
  <c r="F73" i="3"/>
  <c r="G73" i="3"/>
  <c r="H73" i="3"/>
  <c r="J73" i="3"/>
  <c r="K73" i="3"/>
  <c r="L73" i="3"/>
  <c r="M73" i="3"/>
  <c r="N73" i="3"/>
  <c r="O73" i="3"/>
  <c r="P73" i="3"/>
  <c r="Q73" i="3"/>
  <c r="R73" i="3"/>
  <c r="S73" i="3"/>
  <c r="T73" i="3"/>
  <c r="U73" i="3"/>
  <c r="B73" i="3"/>
  <c r="B210" i="3" l="1"/>
  <c r="I73" i="3"/>
  <c r="B74" i="3" s="1"/>
  <c r="B76" i="3" s="1"/>
  <c r="U81" i="3"/>
  <c r="U85" i="3" s="1"/>
  <c r="U180" i="3" s="1"/>
  <c r="Q81" i="3"/>
  <c r="Q85" i="3" s="1"/>
  <c r="M81" i="3"/>
  <c r="M85" i="3" s="1"/>
  <c r="I81" i="3"/>
  <c r="I85" i="3" s="1"/>
  <c r="E81" i="3"/>
  <c r="E85" i="3" s="1"/>
  <c r="T81" i="3"/>
  <c r="T85" i="3" s="1"/>
  <c r="P81" i="3"/>
  <c r="P85" i="3" s="1"/>
  <c r="L81" i="3"/>
  <c r="L85" i="3" s="1"/>
  <c r="H81" i="3"/>
  <c r="H85" i="3" s="1"/>
  <c r="D81" i="3"/>
  <c r="D85" i="3" s="1"/>
  <c r="S81" i="3"/>
  <c r="S85" i="3" s="1"/>
  <c r="O81" i="3"/>
  <c r="O85" i="3" s="1"/>
  <c r="K81" i="3"/>
  <c r="K85" i="3" s="1"/>
  <c r="G81" i="3"/>
  <c r="G85" i="3" s="1"/>
  <c r="C81" i="3"/>
  <c r="C85" i="3" s="1"/>
  <c r="R81" i="3"/>
  <c r="R85" i="3" s="1"/>
  <c r="N81" i="3"/>
  <c r="N85" i="3" s="1"/>
  <c r="J81" i="3"/>
  <c r="J85" i="3" s="1"/>
  <c r="F81" i="3"/>
  <c r="F85" i="3" s="1"/>
  <c r="B85" i="3"/>
  <c r="P107" i="3"/>
  <c r="P189" i="3" s="1"/>
  <c r="L107" i="3"/>
  <c r="L189" i="3" s="1"/>
  <c r="H107" i="3"/>
  <c r="H189" i="3" s="1"/>
  <c r="M107" i="3"/>
  <c r="M189" i="3" s="1"/>
  <c r="E107" i="3"/>
  <c r="E189" i="3" s="1"/>
  <c r="U107" i="3"/>
  <c r="U189" i="3" s="1"/>
  <c r="Q107" i="3"/>
  <c r="Q189" i="3" s="1"/>
  <c r="I107" i="3"/>
  <c r="I189" i="3" s="1"/>
  <c r="R107" i="3"/>
  <c r="R189" i="3" s="1"/>
  <c r="N107" i="3"/>
  <c r="N189" i="3" s="1"/>
  <c r="J107" i="3"/>
  <c r="J189" i="3" s="1"/>
  <c r="S107" i="3"/>
  <c r="S189" i="3" s="1"/>
  <c r="O107" i="3"/>
  <c r="O189" i="3" s="1"/>
  <c r="K107" i="3"/>
  <c r="K189" i="3" s="1"/>
  <c r="G107" i="3"/>
  <c r="G189" i="3" s="1"/>
  <c r="C107" i="3"/>
  <c r="C189" i="3" s="1"/>
  <c r="F107" i="3"/>
  <c r="F189" i="3" s="1"/>
  <c r="T107" i="3"/>
  <c r="T189" i="3" s="1"/>
  <c r="D107" i="3"/>
  <c r="D189" i="3" s="1"/>
  <c r="B107" i="3"/>
  <c r="B189" i="3" s="1"/>
  <c r="B87" i="3" l="1"/>
  <c r="B86" i="3"/>
  <c r="B88" i="3" s="1"/>
  <c r="B75" i="3"/>
  <c r="B82" i="3"/>
  <c r="B84" i="3" s="1"/>
  <c r="I184" i="3"/>
  <c r="K186" i="3"/>
  <c r="H183" i="3"/>
  <c r="F181" i="3"/>
  <c r="J185" i="3"/>
  <c r="G182" i="3"/>
  <c r="E180" i="3"/>
  <c r="Q184" i="3"/>
  <c r="S186" i="3"/>
  <c r="P183" i="3"/>
  <c r="N181" i="3"/>
  <c r="R185" i="3"/>
  <c r="O182" i="3"/>
  <c r="M180" i="3"/>
  <c r="K185" i="3"/>
  <c r="H182" i="3"/>
  <c r="F180" i="3"/>
  <c r="J184" i="3"/>
  <c r="L186" i="3"/>
  <c r="I183" i="3"/>
  <c r="G181" i="3"/>
  <c r="F183" i="3"/>
  <c r="D181" i="3"/>
  <c r="H185" i="3"/>
  <c r="E182" i="3"/>
  <c r="C180" i="3"/>
  <c r="I186" i="3"/>
  <c r="G184" i="3"/>
  <c r="T181" i="3"/>
  <c r="U182" i="3"/>
  <c r="S180" i="3"/>
  <c r="M184" i="3"/>
  <c r="N185" i="3"/>
  <c r="O186" i="3"/>
  <c r="L183" i="3"/>
  <c r="J181" i="3"/>
  <c r="K182" i="3"/>
  <c r="I180" i="3"/>
  <c r="U184" i="3"/>
  <c r="T183" i="3"/>
  <c r="R181" i="3"/>
  <c r="S182" i="3"/>
  <c r="Q180" i="3"/>
  <c r="S183" i="3"/>
  <c r="Q181" i="3"/>
  <c r="U185" i="3"/>
  <c r="R182" i="3"/>
  <c r="P180" i="3"/>
  <c r="T184" i="3"/>
  <c r="O185" i="3"/>
  <c r="L182" i="3"/>
  <c r="J180" i="3"/>
  <c r="N184" i="3"/>
  <c r="P186" i="3"/>
  <c r="M183" i="3"/>
  <c r="K181" i="3"/>
  <c r="L185" i="3"/>
  <c r="I182" i="3"/>
  <c r="G180" i="3"/>
  <c r="J183" i="3"/>
  <c r="K184" i="3"/>
  <c r="M186" i="3"/>
  <c r="H181" i="3"/>
  <c r="U181" i="3"/>
  <c r="T180" i="3"/>
  <c r="R186" i="3"/>
  <c r="O183" i="3"/>
  <c r="M181" i="3"/>
  <c r="P184" i="3"/>
  <c r="Q185" i="3"/>
  <c r="N182" i="3"/>
  <c r="L180" i="3"/>
  <c r="H186" i="3"/>
  <c r="C181" i="3"/>
  <c r="G185" i="3"/>
  <c r="B180" i="3"/>
  <c r="B187" i="3" s="1"/>
  <c r="F184" i="3"/>
  <c r="E183" i="3"/>
  <c r="D182" i="3"/>
  <c r="J186" i="3"/>
  <c r="G183" i="3"/>
  <c r="E181" i="3"/>
  <c r="I185" i="3"/>
  <c r="F182" i="3"/>
  <c r="D180" i="3"/>
  <c r="H184" i="3"/>
  <c r="S185" i="3"/>
  <c r="P182" i="3"/>
  <c r="N180" i="3"/>
  <c r="R184" i="3"/>
  <c r="T186" i="3"/>
  <c r="Q183" i="3"/>
  <c r="O181" i="3"/>
  <c r="Q186" i="3"/>
  <c r="P185" i="3"/>
  <c r="M182" i="3"/>
  <c r="K180" i="3"/>
  <c r="L181" i="3"/>
  <c r="O184" i="3"/>
  <c r="N183" i="3"/>
  <c r="T182" i="3"/>
  <c r="R180" i="3"/>
  <c r="U183" i="3"/>
  <c r="S181" i="3"/>
  <c r="R183" i="3"/>
  <c r="P181" i="3"/>
  <c r="T185" i="3"/>
  <c r="Q182" i="3"/>
  <c r="O180" i="3"/>
  <c r="U186" i="3"/>
  <c r="S184" i="3"/>
  <c r="N186" i="3"/>
  <c r="K183" i="3"/>
  <c r="I181" i="3"/>
  <c r="M185" i="3"/>
  <c r="J182" i="3"/>
  <c r="H180" i="3"/>
  <c r="L184" i="3"/>
  <c r="T96" i="3"/>
  <c r="T188" i="3" s="1"/>
  <c r="B108" i="3"/>
  <c r="B83" i="3"/>
  <c r="O59" i="3"/>
  <c r="G59" i="3"/>
  <c r="S96" i="3"/>
  <c r="S188" i="3" s="1"/>
  <c r="O96" i="3"/>
  <c r="O188" i="3" s="1"/>
  <c r="K96" i="3"/>
  <c r="K188" i="3" s="1"/>
  <c r="G96" i="3"/>
  <c r="G188" i="3" s="1"/>
  <c r="C96" i="3"/>
  <c r="C188" i="3" s="1"/>
  <c r="B51" i="3"/>
  <c r="B59" i="3"/>
  <c r="B188" i="3"/>
  <c r="H59" i="3"/>
  <c r="U51" i="3"/>
  <c r="Q51" i="3"/>
  <c r="M51" i="3"/>
  <c r="I51" i="3"/>
  <c r="E51" i="3"/>
  <c r="P59" i="3"/>
  <c r="H96" i="3"/>
  <c r="H188" i="3" s="1"/>
  <c r="D96" i="3"/>
  <c r="D188" i="3" s="1"/>
  <c r="T51" i="3"/>
  <c r="P51" i="3"/>
  <c r="L51" i="3"/>
  <c r="H51" i="3"/>
  <c r="H63" i="3" s="1"/>
  <c r="D51" i="3"/>
  <c r="T59" i="3"/>
  <c r="L59" i="3"/>
  <c r="D59" i="3"/>
  <c r="R96" i="3"/>
  <c r="R188" i="3" s="1"/>
  <c r="J96" i="3"/>
  <c r="J188" i="3" s="1"/>
  <c r="P96" i="3"/>
  <c r="P188" i="3" s="1"/>
  <c r="R51" i="3"/>
  <c r="N51" i="3"/>
  <c r="J51" i="3"/>
  <c r="F51" i="3"/>
  <c r="Q96" i="3"/>
  <c r="Q188" i="3" s="1"/>
  <c r="I96" i="3"/>
  <c r="I188" i="3" s="1"/>
  <c r="L96" i="3"/>
  <c r="L188" i="3" s="1"/>
  <c r="S51" i="3"/>
  <c r="O51" i="3"/>
  <c r="K51" i="3"/>
  <c r="G51" i="3"/>
  <c r="C51" i="3"/>
  <c r="S59" i="3"/>
  <c r="K59" i="3"/>
  <c r="C59" i="3"/>
  <c r="R59" i="3"/>
  <c r="N59" i="3"/>
  <c r="J59" i="3"/>
  <c r="F59" i="3"/>
  <c r="U59" i="3"/>
  <c r="Q59" i="3"/>
  <c r="M59" i="3"/>
  <c r="I59" i="3"/>
  <c r="E59" i="3"/>
  <c r="N96" i="3"/>
  <c r="N188" i="3" s="1"/>
  <c r="F96" i="3"/>
  <c r="F188" i="3" s="1"/>
  <c r="U96" i="3"/>
  <c r="U188" i="3" s="1"/>
  <c r="M96" i="3"/>
  <c r="M188" i="3" s="1"/>
  <c r="E96" i="3"/>
  <c r="E188" i="3" s="1"/>
  <c r="B53" i="3" l="1"/>
  <c r="B52" i="3"/>
  <c r="B54" i="3" s="1"/>
  <c r="B61" i="3"/>
  <c r="B60" i="3"/>
  <c r="B62" i="3" s="1"/>
  <c r="L187" i="3"/>
  <c r="D187" i="3"/>
  <c r="U187" i="3"/>
  <c r="N187" i="3"/>
  <c r="J187" i="3"/>
  <c r="P187" i="3"/>
  <c r="R187" i="3"/>
  <c r="G187" i="3"/>
  <c r="Q187" i="3"/>
  <c r="S187" i="3"/>
  <c r="E187" i="3"/>
  <c r="H187" i="3"/>
  <c r="O187" i="3"/>
  <c r="K187" i="3"/>
  <c r="I187" i="3"/>
  <c r="C187" i="3"/>
  <c r="M187" i="3"/>
  <c r="T187" i="3"/>
  <c r="F187" i="3"/>
  <c r="I176" i="3"/>
  <c r="K178" i="3"/>
  <c r="J177" i="3"/>
  <c r="H175" i="3"/>
  <c r="P63" i="3"/>
  <c r="R63" i="3"/>
  <c r="B98" i="3"/>
  <c r="B97" i="3"/>
  <c r="B99" i="3" s="1"/>
  <c r="F63" i="3"/>
  <c r="G63" i="3"/>
  <c r="O63" i="3"/>
  <c r="B63" i="3"/>
  <c r="E63" i="3"/>
  <c r="U63" i="3"/>
  <c r="U175" i="3" s="1"/>
  <c r="Q63" i="3"/>
  <c r="I63" i="3"/>
  <c r="M63" i="3"/>
  <c r="N63" i="3"/>
  <c r="L63" i="3"/>
  <c r="D63" i="3"/>
  <c r="T63" i="3"/>
  <c r="C63" i="3"/>
  <c r="J63" i="3"/>
  <c r="K63" i="3"/>
  <c r="S63" i="3"/>
  <c r="B65" i="3" l="1"/>
  <c r="B64" i="3"/>
  <c r="B66" i="3" s="1"/>
  <c r="E178" i="3"/>
  <c r="C176" i="3"/>
  <c r="B175" i="3"/>
  <c r="B179" i="3" s="1"/>
  <c r="D177" i="3"/>
  <c r="J178" i="3"/>
  <c r="H176" i="3"/>
  <c r="I177" i="3"/>
  <c r="G175" i="3"/>
  <c r="U178" i="3"/>
  <c r="T177" i="3"/>
  <c r="R175" i="3"/>
  <c r="S176" i="3"/>
  <c r="N178" i="3"/>
  <c r="L176" i="3"/>
  <c r="M177" i="3"/>
  <c r="K175" i="3"/>
  <c r="E176" i="3"/>
  <c r="F177" i="3"/>
  <c r="D175" i="3"/>
  <c r="G178" i="3"/>
  <c r="K177" i="3"/>
  <c r="I175" i="3"/>
  <c r="J176" i="3"/>
  <c r="L178" i="3"/>
  <c r="L177" i="3"/>
  <c r="J175" i="3"/>
  <c r="M178" i="3"/>
  <c r="K176" i="3"/>
  <c r="M176" i="3"/>
  <c r="N177" i="3"/>
  <c r="O178" i="3"/>
  <c r="L175" i="3"/>
  <c r="G177" i="3"/>
  <c r="E175" i="3"/>
  <c r="F176" i="3"/>
  <c r="H178" i="3"/>
  <c r="R178" i="3"/>
  <c r="P176" i="3"/>
  <c r="Q177" i="3"/>
  <c r="O175" i="3"/>
  <c r="F178" i="3"/>
  <c r="D176" i="3"/>
  <c r="E177" i="3"/>
  <c r="C175" i="3"/>
  <c r="Q178" i="3"/>
  <c r="P177" i="3"/>
  <c r="N175" i="3"/>
  <c r="O176" i="3"/>
  <c r="U177" i="3"/>
  <c r="T176" i="3"/>
  <c r="S175" i="3"/>
  <c r="U176" i="3"/>
  <c r="T175" i="3"/>
  <c r="O177" i="3"/>
  <c r="M175" i="3"/>
  <c r="N176" i="3"/>
  <c r="P178" i="3"/>
  <c r="S177" i="3"/>
  <c r="Q175" i="3"/>
  <c r="R176" i="3"/>
  <c r="T178" i="3"/>
  <c r="I178" i="3"/>
  <c r="H177" i="3"/>
  <c r="F175" i="3"/>
  <c r="G176" i="3"/>
  <c r="Q176" i="3"/>
  <c r="P175" i="3"/>
  <c r="S178" i="3"/>
  <c r="R177" i="3"/>
  <c r="F179" i="3" l="1"/>
  <c r="U179" i="3"/>
  <c r="C179" i="3"/>
  <c r="M179" i="3"/>
  <c r="E179" i="3"/>
  <c r="J179" i="3"/>
  <c r="H179" i="3"/>
  <c r="I179" i="3"/>
  <c r="T179" i="3"/>
  <c r="O179" i="3"/>
  <c r="L179" i="3"/>
  <c r="K179" i="3"/>
  <c r="G179" i="3"/>
  <c r="P179" i="3"/>
  <c r="Q179" i="3"/>
  <c r="S179" i="3"/>
  <c r="N179" i="3"/>
  <c r="D179" i="3"/>
  <c r="R179" i="3"/>
  <c r="H6" i="3" l="1"/>
  <c r="I6" i="3"/>
  <c r="R6" i="3"/>
  <c r="U6" i="3"/>
  <c r="C14" i="3"/>
  <c r="E14" i="3"/>
  <c r="M6" i="3"/>
  <c r="J6" i="3"/>
  <c r="G29" i="3"/>
  <c r="B37" i="3"/>
  <c r="C37" i="3"/>
  <c r="E37" i="3"/>
  <c r="F37" i="3"/>
  <c r="N29" i="3"/>
  <c r="D37" i="3"/>
  <c r="E29" i="3"/>
  <c r="H29" i="3"/>
  <c r="I29" i="3"/>
  <c r="K29" i="3"/>
  <c r="B14" i="3" l="1"/>
  <c r="D14" i="3"/>
  <c r="K6" i="3"/>
  <c r="F6" i="3"/>
  <c r="L29" i="3"/>
  <c r="D29" i="3"/>
  <c r="D41" i="3" s="1"/>
  <c r="F169" i="3" s="1"/>
  <c r="T6" i="3"/>
  <c r="O6" i="3"/>
  <c r="D6" i="3"/>
  <c r="S6" i="3"/>
  <c r="L6" i="3"/>
  <c r="G6" i="3"/>
  <c r="P6" i="3"/>
  <c r="C6" i="3"/>
  <c r="C19" i="3" s="1"/>
  <c r="Q6" i="3"/>
  <c r="F14" i="3"/>
  <c r="N6" i="3"/>
  <c r="E6" i="3"/>
  <c r="E19" i="3" s="1"/>
  <c r="J29" i="3"/>
  <c r="F29" i="3"/>
  <c r="F41" i="3" s="1"/>
  <c r="H169" i="3" s="1"/>
  <c r="E41" i="3"/>
  <c r="G169" i="3" s="1"/>
  <c r="B29" i="3"/>
  <c r="O29" i="3"/>
  <c r="C29" i="3"/>
  <c r="C41" i="3" s="1"/>
  <c r="E169" i="3" s="1"/>
  <c r="M29" i="3"/>
  <c r="G37" i="3"/>
  <c r="G41" i="3" s="1"/>
  <c r="I169" i="3" s="1"/>
  <c r="P29" i="3"/>
  <c r="R29" i="3"/>
  <c r="Q29" i="3"/>
  <c r="G14" i="3"/>
  <c r="H37" i="3"/>
  <c r="H41" i="3" s="1"/>
  <c r="J169" i="3" s="1"/>
  <c r="B30" i="3" l="1"/>
  <c r="B32" i="3" s="1"/>
  <c r="B41" i="3"/>
  <c r="B7" i="3"/>
  <c r="B9" i="3" s="1"/>
  <c r="B19" i="3"/>
  <c r="B8" i="3"/>
  <c r="N173" i="3"/>
  <c r="L171" i="3"/>
  <c r="K170" i="3"/>
  <c r="M172" i="3"/>
  <c r="H172" i="3"/>
  <c r="F170" i="3"/>
  <c r="I173" i="3"/>
  <c r="G171" i="3"/>
  <c r="J173" i="3"/>
  <c r="H171" i="3"/>
  <c r="G170" i="3"/>
  <c r="I172" i="3"/>
  <c r="K173" i="3"/>
  <c r="I171" i="3"/>
  <c r="H170" i="3"/>
  <c r="J172" i="3"/>
  <c r="L172" i="3"/>
  <c r="M173" i="3"/>
  <c r="K171" i="3"/>
  <c r="J170" i="3"/>
  <c r="K172" i="3"/>
  <c r="L173" i="3"/>
  <c r="J171" i="3"/>
  <c r="I170" i="3"/>
  <c r="E159" i="3"/>
  <c r="J164" i="3"/>
  <c r="K165" i="3"/>
  <c r="G161" i="3"/>
  <c r="I163" i="3"/>
  <c r="F160" i="3"/>
  <c r="H167" i="3"/>
  <c r="I168" i="3"/>
  <c r="E167" i="3"/>
  <c r="F168" i="3"/>
  <c r="C159" i="3"/>
  <c r="G163" i="3"/>
  <c r="D160" i="3"/>
  <c r="E161" i="3"/>
  <c r="H164" i="3"/>
  <c r="I165" i="3"/>
  <c r="D167" i="3"/>
  <c r="E168" i="3"/>
  <c r="D168" i="3"/>
  <c r="C167" i="3"/>
  <c r="H168" i="3"/>
  <c r="G167" i="3"/>
  <c r="G168" i="3"/>
  <c r="F167" i="3"/>
  <c r="F19" i="3"/>
  <c r="G19" i="3"/>
  <c r="D19" i="3"/>
  <c r="T29" i="3"/>
  <c r="U29" i="3"/>
  <c r="S29" i="3"/>
  <c r="I37" i="3"/>
  <c r="I41" i="3" s="1"/>
  <c r="K169" i="3" s="1"/>
  <c r="D169" i="3" l="1"/>
  <c r="D174" i="3" s="1"/>
  <c r="E170" i="3"/>
  <c r="E174" i="3" s="1"/>
  <c r="H173" i="3"/>
  <c r="H174" i="3" s="1"/>
  <c r="G172" i="3"/>
  <c r="G174" i="3" s="1"/>
  <c r="F171" i="3"/>
  <c r="F174" i="3" s="1"/>
  <c r="O173" i="3"/>
  <c r="M171" i="3"/>
  <c r="L170" i="3"/>
  <c r="N172" i="3"/>
  <c r="D159" i="3"/>
  <c r="J165" i="3"/>
  <c r="F161" i="3"/>
  <c r="I164" i="3"/>
  <c r="H163" i="3"/>
  <c r="E160" i="3"/>
  <c r="G159" i="3"/>
  <c r="K163" i="3"/>
  <c r="H160" i="3"/>
  <c r="I161" i="3"/>
  <c r="M165" i="3"/>
  <c r="L164" i="3"/>
  <c r="I167" i="3"/>
  <c r="I174" i="3" s="1"/>
  <c r="J168" i="3"/>
  <c r="F159" i="3"/>
  <c r="K164" i="3"/>
  <c r="J163" i="3"/>
  <c r="G160" i="3"/>
  <c r="L165" i="3"/>
  <c r="H161" i="3"/>
  <c r="C168" i="3"/>
  <c r="C174" i="3" s="1"/>
  <c r="B167" i="3"/>
  <c r="B174" i="3" s="1"/>
  <c r="B159" i="3"/>
  <c r="B166" i="3" s="1"/>
  <c r="H165" i="3"/>
  <c r="G164" i="3"/>
  <c r="D161" i="3"/>
  <c r="E162" i="3"/>
  <c r="F162" i="3" s="1"/>
  <c r="G162" i="3" s="1"/>
  <c r="H162" i="3" s="1"/>
  <c r="I162" i="3" s="1"/>
  <c r="J162" i="3" s="1"/>
  <c r="K162" i="3" s="1"/>
  <c r="L162" i="3" s="1"/>
  <c r="M162" i="3" s="1"/>
  <c r="N162" i="3" s="1"/>
  <c r="O162" i="3" s="1"/>
  <c r="P162" i="3" s="1"/>
  <c r="Q162" i="3" s="1"/>
  <c r="R162" i="3" s="1"/>
  <c r="S162" i="3" s="1"/>
  <c r="T162" i="3" s="1"/>
  <c r="U162" i="3" s="1"/>
  <c r="C160" i="3"/>
  <c r="C166" i="3" s="1"/>
  <c r="F163" i="3"/>
  <c r="B31" i="3"/>
  <c r="H14" i="3"/>
  <c r="J37" i="3"/>
  <c r="J41" i="3" s="1"/>
  <c r="L169" i="3" s="1"/>
  <c r="C190" i="3" l="1"/>
  <c r="C214" i="3" s="1"/>
  <c r="C225" i="3" s="1"/>
  <c r="B190" i="3"/>
  <c r="O172" i="3"/>
  <c r="P173" i="3"/>
  <c r="N171" i="3"/>
  <c r="M170" i="3"/>
  <c r="F166" i="3"/>
  <c r="F190" i="3" s="1"/>
  <c r="E166" i="3"/>
  <c r="E190" i="3" s="1"/>
  <c r="K168" i="3"/>
  <c r="J167" i="3"/>
  <c r="D166" i="3"/>
  <c r="D190" i="3" s="1"/>
  <c r="D214" i="3" s="1"/>
  <c r="D225" i="3" s="1"/>
  <c r="G166" i="3"/>
  <c r="G190" i="3" s="1"/>
  <c r="H19" i="3"/>
  <c r="I14" i="3"/>
  <c r="I19" i="3" s="1"/>
  <c r="K37" i="3"/>
  <c r="K41" i="3" s="1"/>
  <c r="M169" i="3" s="1"/>
  <c r="B214" i="3" l="1"/>
  <c r="D244" i="3"/>
  <c r="C244" i="3"/>
  <c r="B42" i="3"/>
  <c r="B44" i="3" s="1"/>
  <c r="B38" i="3"/>
  <c r="B40" i="3" s="1"/>
  <c r="B43" i="3"/>
  <c r="G214" i="3"/>
  <c r="G225" i="3" s="1"/>
  <c r="F214" i="3"/>
  <c r="F225" i="3" s="1"/>
  <c r="E214" i="3"/>
  <c r="E225" i="3" s="1"/>
  <c r="P172" i="3"/>
  <c r="N170" i="3"/>
  <c r="Q173" i="3"/>
  <c r="O171" i="3"/>
  <c r="J174" i="3"/>
  <c r="H159" i="3"/>
  <c r="H166" i="3" s="1"/>
  <c r="H190" i="3" s="1"/>
  <c r="N165" i="3"/>
  <c r="J161" i="3"/>
  <c r="L163" i="3"/>
  <c r="I160" i="3"/>
  <c r="M164" i="3"/>
  <c r="L168" i="3"/>
  <c r="K167" i="3"/>
  <c r="K174" i="3" s="1"/>
  <c r="I159" i="3"/>
  <c r="N164" i="3"/>
  <c r="O165" i="3"/>
  <c r="K161" i="3"/>
  <c r="M163" i="3"/>
  <c r="J160" i="3"/>
  <c r="J14" i="3"/>
  <c r="L37" i="3"/>
  <c r="L41" i="3" s="1"/>
  <c r="N169" i="3" s="1"/>
  <c r="F244" i="3" l="1"/>
  <c r="G244" i="3"/>
  <c r="E244" i="3"/>
  <c r="J19" i="3"/>
  <c r="K160" i="3" s="1"/>
  <c r="H214" i="3"/>
  <c r="H225" i="3" s="1"/>
  <c r="I166" i="3"/>
  <c r="I190" i="3" s="1"/>
  <c r="R173" i="3"/>
  <c r="P171" i="3"/>
  <c r="O170" i="3"/>
  <c r="Q172" i="3"/>
  <c r="L167" i="3"/>
  <c r="L174" i="3" s="1"/>
  <c r="M168" i="3"/>
  <c r="K14" i="3"/>
  <c r="M37" i="3"/>
  <c r="M41" i="3" s="1"/>
  <c r="O169" i="3" s="1"/>
  <c r="O164" i="3" l="1"/>
  <c r="H244" i="3"/>
  <c r="K19" i="3"/>
  <c r="B21" i="3" s="1"/>
  <c r="B15" i="3"/>
  <c r="B17" i="3" s="1"/>
  <c r="J159" i="3"/>
  <c r="J166" i="3" s="1"/>
  <c r="J190" i="3" s="1"/>
  <c r="L161" i="3"/>
  <c r="P165" i="3"/>
  <c r="N163" i="3"/>
  <c r="I214" i="3"/>
  <c r="I225" i="3" s="1"/>
  <c r="S173" i="3"/>
  <c r="Q171" i="3"/>
  <c r="P170" i="3"/>
  <c r="R172" i="3"/>
  <c r="M167" i="3"/>
  <c r="M174" i="3" s="1"/>
  <c r="N168" i="3"/>
  <c r="Q165" i="3"/>
  <c r="L14" i="3"/>
  <c r="L19" i="3" s="1"/>
  <c r="N37" i="3"/>
  <c r="N41" i="3" s="1"/>
  <c r="J214" i="3" l="1"/>
  <c r="J225" i="3" s="1"/>
  <c r="P164" i="3"/>
  <c r="L160" i="3"/>
  <c r="K159" i="3"/>
  <c r="K166" i="3" s="1"/>
  <c r="K190" i="3" s="1"/>
  <c r="K214" i="3" s="1"/>
  <c r="K225" i="3" s="1"/>
  <c r="O163" i="3"/>
  <c r="B20" i="3"/>
  <c r="B22" i="3" s="1"/>
  <c r="I244" i="3"/>
  <c r="J244" i="3"/>
  <c r="M161" i="3"/>
  <c r="P169" i="3"/>
  <c r="S172" i="3"/>
  <c r="T173" i="3"/>
  <c r="R171" i="3"/>
  <c r="Q170" i="3"/>
  <c r="N167" i="3"/>
  <c r="N174" i="3" s="1"/>
  <c r="O168" i="3"/>
  <c r="L159" i="3"/>
  <c r="L166" i="3" s="1"/>
  <c r="L190" i="3" s="1"/>
  <c r="R165" i="3"/>
  <c r="N161" i="3"/>
  <c r="P163" i="3"/>
  <c r="M160" i="3"/>
  <c r="Q164" i="3"/>
  <c r="M14" i="3"/>
  <c r="M19" i="3" s="1"/>
  <c r="O37" i="3"/>
  <c r="O41" i="3" s="1"/>
  <c r="Q169" i="3" s="1"/>
  <c r="K244" i="3" l="1"/>
  <c r="L214" i="3"/>
  <c r="L225" i="3" s="1"/>
  <c r="T172" i="3"/>
  <c r="U173" i="3"/>
  <c r="S171" i="3"/>
  <c r="R170" i="3"/>
  <c r="P168" i="3"/>
  <c r="O167" i="3"/>
  <c r="O174" i="3" s="1"/>
  <c r="M159" i="3"/>
  <c r="M166" i="3" s="1"/>
  <c r="M190" i="3" s="1"/>
  <c r="R164" i="3"/>
  <c r="S165" i="3"/>
  <c r="O161" i="3"/>
  <c r="Q163" i="3"/>
  <c r="N160" i="3"/>
  <c r="N14" i="3"/>
  <c r="N19" i="3" s="1"/>
  <c r="P37" i="3"/>
  <c r="P41" i="3" s="1"/>
  <c r="R169" i="3" s="1"/>
  <c r="L244" i="3" l="1"/>
  <c r="M214" i="3"/>
  <c r="M225" i="3" s="1"/>
  <c r="T171" i="3"/>
  <c r="S170" i="3"/>
  <c r="U172" i="3"/>
  <c r="P167" i="3"/>
  <c r="P174" i="3" s="1"/>
  <c r="Q168" i="3"/>
  <c r="N159" i="3"/>
  <c r="N166" i="3" s="1"/>
  <c r="N190" i="3" s="1"/>
  <c r="S164" i="3"/>
  <c r="R163" i="3"/>
  <c r="O160" i="3"/>
  <c r="T165" i="3"/>
  <c r="P161" i="3"/>
  <c r="O14" i="3"/>
  <c r="O19" i="3" s="1"/>
  <c r="Q37" i="3"/>
  <c r="Q41" i="3" s="1"/>
  <c r="S169" i="3" s="1"/>
  <c r="M244" i="3" l="1"/>
  <c r="N214" i="3"/>
  <c r="N225" i="3" s="1"/>
  <c r="U171" i="3"/>
  <c r="T170" i="3"/>
  <c r="Q167" i="3"/>
  <c r="Q174" i="3" s="1"/>
  <c r="R168" i="3"/>
  <c r="O159" i="3"/>
  <c r="O166" i="3" s="1"/>
  <c r="O190" i="3" s="1"/>
  <c r="S163" i="3"/>
  <c r="P160" i="3"/>
  <c r="T164" i="3"/>
  <c r="Q161" i="3"/>
  <c r="U165" i="3"/>
  <c r="P14" i="3"/>
  <c r="P19" i="3" s="1"/>
  <c r="R37" i="3"/>
  <c r="R41" i="3" s="1"/>
  <c r="N244" i="3" l="1"/>
  <c r="O214" i="3"/>
  <c r="O225" i="3" s="1"/>
  <c r="U170" i="3"/>
  <c r="T169" i="3"/>
  <c r="S168" i="3"/>
  <c r="R167" i="3"/>
  <c r="R174" i="3" s="1"/>
  <c r="P159" i="3"/>
  <c r="P166" i="3" s="1"/>
  <c r="P190" i="3" s="1"/>
  <c r="U164" i="3"/>
  <c r="T163" i="3"/>
  <c r="Q160" i="3"/>
  <c r="R161" i="3"/>
  <c r="Q14" i="3"/>
  <c r="Q19" i="3" s="1"/>
  <c r="S37" i="3"/>
  <c r="S41" i="3" s="1"/>
  <c r="U169" i="3" s="1"/>
  <c r="O244" i="3" l="1"/>
  <c r="P214" i="3"/>
  <c r="P225" i="3" s="1"/>
  <c r="Q159" i="3"/>
  <c r="Q166" i="3" s="1"/>
  <c r="Q190" i="3" s="1"/>
  <c r="S161" i="3"/>
  <c r="U163" i="3"/>
  <c r="R160" i="3"/>
  <c r="T168" i="3"/>
  <c r="S167" i="3"/>
  <c r="S174" i="3" s="1"/>
  <c r="R14" i="3"/>
  <c r="R19" i="3" s="1"/>
  <c r="T37" i="3"/>
  <c r="T41" i="3" s="1"/>
  <c r="P244" i="3" l="1"/>
  <c r="Q214" i="3"/>
  <c r="Q225" i="3" s="1"/>
  <c r="R159" i="3"/>
  <c r="R166" i="3" s="1"/>
  <c r="R190" i="3" s="1"/>
  <c r="S160" i="3"/>
  <c r="T161" i="3"/>
  <c r="T167" i="3"/>
  <c r="T174" i="3" s="1"/>
  <c r="U168" i="3"/>
  <c r="S14" i="3"/>
  <c r="S19" i="3" s="1"/>
  <c r="U37" i="3"/>
  <c r="Q244" i="3" l="1"/>
  <c r="R214" i="3"/>
  <c r="R225" i="3" s="1"/>
  <c r="S159" i="3"/>
  <c r="S166" i="3" s="1"/>
  <c r="S190" i="3" s="1"/>
  <c r="T160" i="3"/>
  <c r="U161" i="3"/>
  <c r="U41" i="3"/>
  <c r="B39" i="3"/>
  <c r="U14" i="3"/>
  <c r="T14" i="3"/>
  <c r="T19" i="3" s="1"/>
  <c r="R244" i="3" l="1"/>
  <c r="B16" i="3"/>
  <c r="U167" i="3"/>
  <c r="U174" i="3" s="1"/>
  <c r="S214" i="3"/>
  <c r="S225" i="3" s="1"/>
  <c r="T159" i="3"/>
  <c r="T166" i="3" s="1"/>
  <c r="T190" i="3" s="1"/>
  <c r="U160" i="3"/>
  <c r="U19" i="3"/>
  <c r="S244" i="3" l="1"/>
  <c r="T214" i="3"/>
  <c r="T225" i="3" s="1"/>
  <c r="U159" i="3"/>
  <c r="U166" i="3" s="1"/>
  <c r="U190" i="3" s="1"/>
  <c r="B230" i="3" s="1"/>
  <c r="B191" i="3" l="1"/>
  <c r="B231" i="3"/>
  <c r="T244" i="3"/>
  <c r="U214" i="3"/>
  <c r="U225" i="3" s="1"/>
  <c r="B192" i="3"/>
  <c r="U244" i="3" l="1"/>
  <c r="D72" i="1"/>
  <c r="C72" i="1"/>
  <c r="E72" i="1" l="1"/>
  <c r="F72" i="1"/>
  <c r="G72" i="1" l="1"/>
  <c r="H72" i="1" l="1"/>
  <c r="I72" i="1" l="1"/>
  <c r="J72" i="1" l="1"/>
  <c r="K72" i="1" l="1"/>
  <c r="L72" i="1"/>
  <c r="M72" i="1" l="1"/>
  <c r="N72" i="1" l="1"/>
  <c r="O72" i="1"/>
  <c r="P72" i="1" l="1"/>
  <c r="Q72" i="1" l="1"/>
  <c r="R72" i="1" l="1"/>
  <c r="S72" i="1" l="1"/>
  <c r="T72" i="1" l="1"/>
  <c r="B73" i="1" l="1"/>
  <c r="B75" i="1" s="1"/>
  <c r="B74" i="1"/>
  <c r="H83" i="1" l="1"/>
  <c r="I83" i="1"/>
  <c r="E83" i="1"/>
  <c r="J83" i="1" l="1"/>
  <c r="D83" i="1"/>
  <c r="F83" i="1"/>
  <c r="G83" i="1"/>
  <c r="C83" i="1"/>
  <c r="K83" i="1" l="1"/>
  <c r="L83" i="1" l="1"/>
  <c r="M83" i="1" l="1"/>
  <c r="N83" i="1" l="1"/>
  <c r="O83" i="1" l="1"/>
  <c r="P83" i="1" l="1"/>
  <c r="Q83" i="1" l="1"/>
  <c r="R83" i="1" l="1"/>
  <c r="S83" i="1" l="1"/>
  <c r="U83" i="1" l="1"/>
  <c r="T83" i="1"/>
  <c r="B110" i="3" l="1"/>
  <c r="B109" i="3"/>
  <c r="B83" i="1" l="1"/>
  <c r="B85" i="1" l="1"/>
  <c r="B84" i="1"/>
  <c r="B86" i="1" s="1"/>
  <c r="C40" i="1" l="1"/>
  <c r="F40" i="1"/>
  <c r="C28" i="1"/>
  <c r="D40" i="1"/>
  <c r="I40" i="1"/>
  <c r="I44" i="1"/>
  <c r="N44" i="1"/>
  <c r="U44" i="1"/>
  <c r="H40" i="1"/>
  <c r="C24" i="1"/>
  <c r="J40" i="1"/>
  <c r="T24" i="1"/>
  <c r="M24" i="1"/>
  <c r="B8" i="1"/>
  <c r="P24" i="1"/>
  <c r="C60" i="1"/>
  <c r="O44" i="1"/>
  <c r="E60" i="1"/>
  <c r="Q24" i="1"/>
  <c r="B28" i="1"/>
  <c r="U24" i="1"/>
  <c r="P40" i="1"/>
  <c r="G40" i="1"/>
  <c r="M40" i="1"/>
  <c r="Q44" i="1"/>
  <c r="N40" i="1"/>
  <c r="B12" i="1"/>
  <c r="D60" i="1"/>
  <c r="R40" i="1"/>
  <c r="R44" i="1"/>
  <c r="K44" i="1"/>
  <c r="I8" i="1"/>
  <c r="P44" i="1"/>
  <c r="J44" i="1"/>
  <c r="I24" i="1"/>
  <c r="C56" i="1"/>
  <c r="M44" i="1"/>
  <c r="T40" i="1"/>
  <c r="B40" i="1"/>
  <c r="B60" i="1"/>
  <c r="T44" i="1"/>
  <c r="S8" i="1"/>
  <c r="B56" i="1"/>
  <c r="R24" i="1"/>
  <c r="B13" i="1" l="1"/>
  <c r="B44" i="1"/>
  <c r="B45" i="1" s="1"/>
  <c r="D24" i="1"/>
  <c r="C29" i="1"/>
  <c r="U8" i="1"/>
  <c r="B61" i="1"/>
  <c r="E12" i="1"/>
  <c r="I45" i="1"/>
  <c r="L44" i="1"/>
  <c r="P8" i="1"/>
  <c r="C44" i="1"/>
  <c r="C45" i="1" s="1"/>
  <c r="C61" i="1"/>
  <c r="P45" i="1"/>
  <c r="U40" i="1"/>
  <c r="U45" i="1" s="1"/>
  <c r="M45" i="1"/>
  <c r="L8" i="1"/>
  <c r="T45" i="1"/>
  <c r="O40" i="1"/>
  <c r="O45" i="1" s="1"/>
  <c r="M8" i="1"/>
  <c r="R45" i="1"/>
  <c r="D28" i="1"/>
  <c r="E8" i="1"/>
  <c r="H8" i="1"/>
  <c r="H44" i="1"/>
  <c r="H45" i="1" s="1"/>
  <c r="Q8" i="1"/>
  <c r="R8" i="1"/>
  <c r="D56" i="1"/>
  <c r="D61" i="1" s="1"/>
  <c r="J24" i="1"/>
  <c r="L24" i="1"/>
  <c r="F8" i="1"/>
  <c r="O8" i="1"/>
  <c r="S44" i="1"/>
  <c r="C12" i="1"/>
  <c r="K40" i="1"/>
  <c r="K45" i="1" s="1"/>
  <c r="F60" i="1"/>
  <c r="G24" i="1"/>
  <c r="Q40" i="1"/>
  <c r="Q45" i="1" s="1"/>
  <c r="J45" i="1"/>
  <c r="K24" i="1"/>
  <c r="G8" i="1"/>
  <c r="J8" i="1"/>
  <c r="E24" i="1"/>
  <c r="F24" i="1"/>
  <c r="H24" i="1"/>
  <c r="D44" i="1"/>
  <c r="D45" i="1" s="1"/>
  <c r="S24" i="1"/>
  <c r="D12" i="1"/>
  <c r="N45" i="1"/>
  <c r="D8" i="1"/>
  <c r="N8" i="1"/>
  <c r="E40" i="1"/>
  <c r="S40" i="1"/>
  <c r="T8" i="1"/>
  <c r="L40" i="1"/>
  <c r="F12" i="1"/>
  <c r="E44" i="1"/>
  <c r="D29" i="1" l="1"/>
  <c r="L45" i="1"/>
  <c r="E13" i="1"/>
  <c r="K8" i="1"/>
  <c r="B24" i="1"/>
  <c r="B29" i="1" s="1"/>
  <c r="O24" i="1"/>
  <c r="S45" i="1"/>
  <c r="F13" i="1"/>
  <c r="E28" i="1"/>
  <c r="E29" i="1" s="1"/>
  <c r="E45" i="1"/>
  <c r="D13" i="1"/>
  <c r="C8" i="1"/>
  <c r="C13" i="1" s="1"/>
  <c r="N24" i="1"/>
  <c r="E56" i="1"/>
  <c r="E61" i="1" s="1"/>
  <c r="G60" i="1"/>
  <c r="G12" i="1"/>
  <c r="G13" i="1" s="1"/>
  <c r="F44" i="1"/>
  <c r="F45" i="1" s="1"/>
  <c r="F56" i="1" l="1"/>
  <c r="F61" i="1" s="1"/>
  <c r="F28" i="1"/>
  <c r="F29" i="1" s="1"/>
  <c r="H60" i="1"/>
  <c r="H12" i="1"/>
  <c r="H13" i="1" s="1"/>
  <c r="G44" i="1"/>
  <c r="G45" i="1" s="1"/>
  <c r="B46" i="1" s="1"/>
  <c r="B48" i="1" s="1"/>
  <c r="B47" i="1" l="1"/>
  <c r="G56" i="1"/>
  <c r="G61" i="1" s="1"/>
  <c r="I60" i="1"/>
  <c r="G28" i="1"/>
  <c r="G29" i="1" s="1"/>
  <c r="I12" i="1"/>
  <c r="I13" i="1" s="1"/>
  <c r="J60" i="1"/>
  <c r="H56" i="1" l="1"/>
  <c r="H61" i="1" s="1"/>
  <c r="H28" i="1"/>
  <c r="H29" i="1" s="1"/>
  <c r="J12" i="1"/>
  <c r="J13" i="1" s="1"/>
  <c r="K60" i="1"/>
  <c r="I28" i="1" l="1"/>
  <c r="I29" i="1" s="1"/>
  <c r="I56" i="1"/>
  <c r="I61" i="1" s="1"/>
  <c r="K12" i="1"/>
  <c r="K13" i="1" s="1"/>
  <c r="L60" i="1"/>
  <c r="J28" i="1" l="1"/>
  <c r="J29" i="1" s="1"/>
  <c r="J56" i="1"/>
  <c r="J61" i="1" s="1"/>
  <c r="L12" i="1"/>
  <c r="L13" i="1" s="1"/>
  <c r="M60" i="1"/>
  <c r="K28" i="1" l="1"/>
  <c r="K29" i="1" s="1"/>
  <c r="K56" i="1"/>
  <c r="K61" i="1" s="1"/>
  <c r="M12" i="1"/>
  <c r="M13" i="1" s="1"/>
  <c r="N60" i="1"/>
  <c r="L28" i="1" l="1"/>
  <c r="L29" i="1" s="1"/>
  <c r="L56" i="1"/>
  <c r="L61" i="1" s="1"/>
  <c r="N12" i="1"/>
  <c r="N13" i="1" s="1"/>
  <c r="O60" i="1"/>
  <c r="M28" i="1" l="1"/>
  <c r="M29" i="1" s="1"/>
  <c r="M56" i="1"/>
  <c r="M61" i="1" s="1"/>
  <c r="O12" i="1"/>
  <c r="O13" i="1" s="1"/>
  <c r="P60" i="1"/>
  <c r="N56" i="1" l="1"/>
  <c r="N61" i="1" s="1"/>
  <c r="N28" i="1"/>
  <c r="N29" i="1" s="1"/>
  <c r="P12" i="1"/>
  <c r="P13" i="1" s="1"/>
  <c r="Q60" i="1"/>
  <c r="O28" i="1" l="1"/>
  <c r="O29" i="1" s="1"/>
  <c r="O56" i="1"/>
  <c r="O61" i="1" s="1"/>
  <c r="Q12" i="1"/>
  <c r="Q13" i="1" s="1"/>
  <c r="R60" i="1"/>
  <c r="P56" i="1" l="1"/>
  <c r="P61" i="1" s="1"/>
  <c r="P28" i="1"/>
  <c r="P29" i="1" s="1"/>
  <c r="R12" i="1"/>
  <c r="R13" i="1" s="1"/>
  <c r="S60" i="1"/>
  <c r="Q28" i="1" l="1"/>
  <c r="Q29" i="1" s="1"/>
  <c r="Q56" i="1"/>
  <c r="Q61" i="1" s="1"/>
  <c r="S12" i="1"/>
  <c r="S13" i="1" s="1"/>
  <c r="T60" i="1"/>
  <c r="R56" i="1" l="1"/>
  <c r="R61" i="1" s="1"/>
  <c r="R28" i="1"/>
  <c r="R29" i="1" s="1"/>
  <c r="T12" i="1"/>
  <c r="T13" i="1" s="1"/>
  <c r="U12" i="1"/>
  <c r="U13" i="1" s="1"/>
  <c r="B14" i="1" s="1"/>
  <c r="B15" i="1" l="1"/>
  <c r="B16" i="1"/>
  <c r="S56" i="1"/>
  <c r="S61" i="1" s="1"/>
  <c r="U60" i="1"/>
  <c r="S28" i="1"/>
  <c r="S29" i="1" s="1"/>
  <c r="U28" i="1" l="1"/>
  <c r="U29" i="1" s="1"/>
  <c r="T56" i="1"/>
  <c r="T61" i="1" s="1"/>
  <c r="T28" i="1"/>
  <c r="T29" i="1" s="1"/>
  <c r="U56" i="1"/>
  <c r="U61" i="1" s="1"/>
  <c r="B30" i="1" l="1"/>
  <c r="B32" i="1" s="1"/>
  <c r="B31" i="1"/>
  <c r="B63" i="1"/>
  <c r="B62" i="1"/>
  <c r="B64" i="1" s="1"/>
  <c r="B221" i="3" l="1"/>
  <c r="B220" i="3"/>
  <c r="B219" i="3"/>
  <c r="B218" i="3"/>
  <c r="B222" i="3" s="1"/>
  <c r="B225" i="3" s="1"/>
  <c r="B241" i="3"/>
  <c r="A228" i="3" l="1"/>
  <c r="B233" i="3" s="1"/>
  <c r="B228" i="3"/>
  <c r="B242" i="3"/>
  <c r="B243" i="3" s="1"/>
  <c r="B244" i="3" s="1"/>
  <c r="A247" i="3" s="1"/>
  <c r="B235" i="3" l="1"/>
  <c r="B247" i="3"/>
</calcChain>
</file>

<file path=xl/sharedStrings.xml><?xml version="1.0" encoding="utf-8"?>
<sst xmlns="http://schemas.openxmlformats.org/spreadsheetml/2006/main" count="660" uniqueCount="184">
  <si>
    <t>FLUJOS FINANCIEROS</t>
  </si>
  <si>
    <t>Basic crops</t>
  </si>
  <si>
    <t>Year 1</t>
  </si>
  <si>
    <t>Year 2</t>
  </si>
  <si>
    <t>Year 3</t>
  </si>
  <si>
    <t>Year 4</t>
  </si>
  <si>
    <t>Year 5</t>
  </si>
  <si>
    <t>Year 6</t>
  </si>
  <si>
    <t>Year 7</t>
  </si>
  <si>
    <t>Year 8</t>
  </si>
  <si>
    <t>Year 9</t>
  </si>
  <si>
    <t>Year 10</t>
  </si>
  <si>
    <t>Year 11</t>
  </si>
  <si>
    <t>Year 12</t>
  </si>
  <si>
    <t>Year 13</t>
  </si>
  <si>
    <t>Year 14</t>
  </si>
  <si>
    <t>Year 15</t>
  </si>
  <si>
    <t>Year 16</t>
  </si>
  <si>
    <t>Year 17</t>
  </si>
  <si>
    <t>Year 18</t>
  </si>
  <si>
    <t>Year 19</t>
  </si>
  <si>
    <t>Year 20</t>
  </si>
  <si>
    <t>Con proyecto</t>
  </si>
  <si>
    <t>Ingresos</t>
  </si>
  <si>
    <t>Costos</t>
  </si>
  <si>
    <t>Ingreso neto</t>
  </si>
  <si>
    <t>Sin proyecto</t>
  </si>
  <si>
    <t>Flujo neto</t>
  </si>
  <si>
    <t>NPV</t>
  </si>
  <si>
    <t>IRR</t>
  </si>
  <si>
    <t>ANNUAL PAYMENT</t>
  </si>
  <si>
    <t>Coffee</t>
  </si>
  <si>
    <t>Cocoa</t>
  </si>
  <si>
    <t>Huertos caseros</t>
  </si>
  <si>
    <t>Beneficiado café</t>
  </si>
  <si>
    <t>Beneficiado cacao</t>
  </si>
  <si>
    <t>SENSIBILIDAD</t>
  </si>
  <si>
    <t>Sensibilidad: factor beneficios</t>
  </si>
  <si>
    <t>Sensibilidad: factor costos</t>
  </si>
  <si>
    <t>Variable</t>
  </si>
  <si>
    <t>Variation</t>
  </si>
  <si>
    <t>Beneficiado Coffee</t>
  </si>
  <si>
    <t>Beneficiado Cocoa</t>
  </si>
  <si>
    <t>Total net present value US$</t>
  </si>
  <si>
    <t>Internal Rate of Return</t>
  </si>
  <si>
    <t>Reduction in benefits</t>
  </si>
  <si>
    <t>.</t>
  </si>
  <si>
    <t>Delay in benefit generation</t>
  </si>
  <si>
    <t>1 year</t>
  </si>
  <si>
    <t>2 years</t>
  </si>
  <si>
    <t>3 years</t>
  </si>
  <si>
    <t>Increment in investment costs</t>
  </si>
  <si>
    <t>FLUJOS ECONOMICOS - USO PRODUCTIVO</t>
  </si>
  <si>
    <t>INCREMENTAL</t>
  </si>
  <si>
    <t>Centros de café</t>
  </si>
  <si>
    <t>Centros de cacao</t>
  </si>
  <si>
    <t>FLUJOS ECONOMICOS - SERVICIOS AMBIENTALES</t>
  </si>
  <si>
    <t>Año</t>
  </si>
  <si>
    <t>Indice de inflacion</t>
  </si>
  <si>
    <t>PPP</t>
  </si>
  <si>
    <t>Woodland</t>
  </si>
  <si>
    <t>Servicios Ecosistemicos</t>
  </si>
  <si>
    <t>US (2007)/ha/year</t>
  </si>
  <si>
    <t>US (2018)/ha/year</t>
  </si>
  <si>
    <t>Servicios hidrológicos</t>
  </si>
  <si>
    <t>Control de erosion</t>
  </si>
  <si>
    <t>De Groot et al 2012</t>
  </si>
  <si>
    <t>Factor</t>
  </si>
  <si>
    <t>Banco mundial</t>
  </si>
  <si>
    <t>Capacidad de generar SE</t>
  </si>
  <si>
    <t>Situación actual</t>
  </si>
  <si>
    <t>Situacion con proyecto</t>
  </si>
  <si>
    <t>Flujo Landscape restoration</t>
  </si>
  <si>
    <t>Servicios hidrologicos</t>
  </si>
  <si>
    <t>Control de erosión</t>
  </si>
  <si>
    <t>Valor economico</t>
  </si>
  <si>
    <t>Flujo economico incremental (US/ha)</t>
  </si>
  <si>
    <t>AGREGACION DE RESULTADOS</t>
  </si>
  <si>
    <t>Cultivo</t>
  </si>
  <si>
    <t>Año 1</t>
  </si>
  <si>
    <t>Año 2</t>
  </si>
  <si>
    <t>Año 3</t>
  </si>
  <si>
    <t>Año 4</t>
  </si>
  <si>
    <t>Año 5</t>
  </si>
  <si>
    <t>Año 6</t>
  </si>
  <si>
    <t>Año 7</t>
  </si>
  <si>
    <t>Total</t>
  </si>
  <si>
    <t>Granos básicos (maíz, frijol) - C1</t>
  </si>
  <si>
    <t>Café - C1</t>
  </si>
  <si>
    <t>Cacao - C1</t>
  </si>
  <si>
    <t>Huertos familiares - C1</t>
  </si>
  <si>
    <t>Subtotal C1</t>
  </si>
  <si>
    <t>Proportion</t>
  </si>
  <si>
    <t>Protección bosque - C2</t>
  </si>
  <si>
    <t>Manejo bosque - C2</t>
  </si>
  <si>
    <t>Café - C2</t>
  </si>
  <si>
    <t>Proporcion</t>
  </si>
  <si>
    <t>For Servicios Ecosistemicos</t>
  </si>
  <si>
    <t>Flujo economico productivo</t>
  </si>
  <si>
    <t>Granos basicos - Año 1</t>
  </si>
  <si>
    <t>Granos basicos - Año 2</t>
  </si>
  <si>
    <t>Granos basicos - Año 3</t>
  </si>
  <si>
    <t>Granos basicos - Año 4</t>
  </si>
  <si>
    <t>Granos basicos - Año 5</t>
  </si>
  <si>
    <t>Granos basicos - Año 6</t>
  </si>
  <si>
    <t>Granos basicos - Año 7</t>
  </si>
  <si>
    <t>Subtotal Granos basicos</t>
  </si>
  <si>
    <t>Café - Año 1</t>
  </si>
  <si>
    <t>Café - Año 2</t>
  </si>
  <si>
    <t>Café - Año 3</t>
  </si>
  <si>
    <t>Café - Año 4</t>
  </si>
  <si>
    <t>Café - Año 5</t>
  </si>
  <si>
    <t>Café - Año 6</t>
  </si>
  <si>
    <t>Café - Año 7</t>
  </si>
  <si>
    <t>Subtotal Café</t>
  </si>
  <si>
    <t>Cacao - Año 1</t>
  </si>
  <si>
    <t>Cacao - Año 2</t>
  </si>
  <si>
    <t>Cacao - Año 3</t>
  </si>
  <si>
    <t>Cacao - Año 4</t>
  </si>
  <si>
    <t>Subtotal Cacao</t>
  </si>
  <si>
    <t>Huertos familiares - Año 1</t>
  </si>
  <si>
    <t>Huertos familiares - Año 2</t>
  </si>
  <si>
    <t>Huertos familiares - Año 3</t>
  </si>
  <si>
    <t>Huertos familiares - Año 4</t>
  </si>
  <si>
    <t>Huertos familiares - Año 5</t>
  </si>
  <si>
    <t>Huertos familiares - Año 6</t>
  </si>
  <si>
    <t>Huertos familiares - Año 7</t>
  </si>
  <si>
    <t>Subtotal Huertos familiares</t>
  </si>
  <si>
    <t>Flujo Economico Productivo</t>
  </si>
  <si>
    <t>VAN Economico productivo</t>
  </si>
  <si>
    <t>IRR Economico productivo</t>
  </si>
  <si>
    <t>Captura de carbono Tco2</t>
  </si>
  <si>
    <t>Captura anual de carbono TC02</t>
  </si>
  <si>
    <t>Precio por TCO2 USD/TC02</t>
  </si>
  <si>
    <t>Flujo economico SE</t>
  </si>
  <si>
    <t>Protección bosque y manejo bosque Año 1</t>
  </si>
  <si>
    <t>Protección bosque y manejo bosque Año 2</t>
  </si>
  <si>
    <t>Protección bosque y manejo bosque Año 3</t>
  </si>
  <si>
    <t>Protección bosque y manejo bosque Año 4</t>
  </si>
  <si>
    <t>Protección bosque y manejo bosque Año 5</t>
  </si>
  <si>
    <t>Protección bosque y manejo bosque Año 6</t>
  </si>
  <si>
    <t>Protección bosque y manejo bosque Año 7</t>
  </si>
  <si>
    <t>Captura de carbono</t>
  </si>
  <si>
    <t>VAN Economico SE</t>
  </si>
  <si>
    <t>IRR Economico SE</t>
  </si>
  <si>
    <t>Flujo de beneficios economicos</t>
  </si>
  <si>
    <t>Flujo de costos economicos - Other investments</t>
  </si>
  <si>
    <t>C1 Output 1.1</t>
  </si>
  <si>
    <t>C2 Output 2.1</t>
  </si>
  <si>
    <t>C2 Output 2.3</t>
  </si>
  <si>
    <t>C3</t>
  </si>
  <si>
    <t>PMC</t>
  </si>
  <si>
    <t>Flujo Economico Total</t>
  </si>
  <si>
    <t>VAN Economico</t>
  </si>
  <si>
    <t>IRR Economico</t>
  </si>
  <si>
    <t>Beneficios economicos productivos</t>
  </si>
  <si>
    <t>Beneficios económicos ambientales</t>
  </si>
  <si>
    <t>VAN/ha</t>
  </si>
  <si>
    <t>Beneficiarios</t>
  </si>
  <si>
    <t>VAN/beneficiario</t>
  </si>
  <si>
    <t>SENSIBILIDAD Este flujo es para modelar sobrecostos</t>
  </si>
  <si>
    <t>Costo Output 1.2, 1.3. y 2.2</t>
  </si>
  <si>
    <t>Incremental Output 1.2, 1.3 y 2.2</t>
  </si>
  <si>
    <t>Incremental Cost Other Investments</t>
  </si>
  <si>
    <t>Total incremental cost</t>
  </si>
  <si>
    <t>Flujo total</t>
  </si>
  <si>
    <t>Componente</t>
  </si>
  <si>
    <t>Output</t>
  </si>
  <si>
    <t>FVC</t>
  </si>
  <si>
    <t>KOICA</t>
  </si>
  <si>
    <t>MAGA</t>
  </si>
  <si>
    <t>INAB</t>
  </si>
  <si>
    <t>TOTAL</t>
  </si>
  <si>
    <t>Componente 1</t>
  </si>
  <si>
    <t>Output 1.1.1</t>
  </si>
  <si>
    <t>Output 1.1.2</t>
  </si>
  <si>
    <t>Output 1.1.3</t>
  </si>
  <si>
    <t>Componente 2</t>
  </si>
  <si>
    <t>Output 2.1.1</t>
  </si>
  <si>
    <t>Output 2.1.2</t>
  </si>
  <si>
    <t>Output 2.1.3</t>
  </si>
  <si>
    <t>Componente 3</t>
  </si>
  <si>
    <t>Output 3.1.1</t>
  </si>
  <si>
    <t>Output 3.1.2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</si>
</sst>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6" formatCode="&quot;$&quot;#,##0_);[Red]\(&quot;$&quot;#,##0\)"/>
    <numFmt numFmtId="43" formatCode="_(* #,##0.00_);_(* \(#,##0.00\);_(* &quot;-&quot;??_);_(@_)"/>
    <numFmt numFmtId="164" formatCode="&quot;$&quot;#,##0"/>
    <numFmt numFmtId="165" formatCode="0.0"/>
    <numFmt numFmtId="166" formatCode="0.0%"/>
    <numFmt numFmtId="167" formatCode="&quot;$&quot;#,##0.00"/>
    <numFmt numFmtId="168" formatCode="&quot;$&quot;#,##0.0_);[Red]\(&quot;$&quot;#,##0.0\)"/>
    <numFmt numFmtId="169" formatCode="_(* #,##0_);_(* \(#,##0\);_(* &quot;-&quot;??_);_(@_)"/>
    <numFmt numFmtId="170" formatCode="_(* #,##0.0_);_(* \(#,##0.0\);_(* &quot;-&quot;??_);_(@_)"/>
  </numFmts>
  <fonts count="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rgb="FF000000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b/>
      <sz val="8"/>
      <color rgb="FF000000"/>
      <name val="Arial"/>
      <family val="2"/>
    </font>
    <font>
      <sz val="11"/>
      <color rgb="FF00000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58">
    <xf numFmtId="0" fontId="0" fillId="0" borderId="0" xfId="0"/>
    <xf numFmtId="1" fontId="3" fillId="0" borderId="1" xfId="0" applyNumberFormat="1" applyFont="1" applyBorder="1"/>
    <xf numFmtId="0" fontId="3" fillId="0" borderId="0" xfId="0" applyFont="1"/>
    <xf numFmtId="0" fontId="3" fillId="0" borderId="1" xfId="0" applyFont="1" applyBorder="1"/>
    <xf numFmtId="0" fontId="4" fillId="0" borderId="1" xfId="0" applyFont="1" applyBorder="1"/>
    <xf numFmtId="0" fontId="5" fillId="0" borderId="1" xfId="0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4" fillId="0" borderId="0" xfId="0" applyFont="1" applyBorder="1"/>
    <xf numFmtId="0" fontId="3" fillId="0" borderId="0" xfId="0" applyFont="1" applyBorder="1"/>
    <xf numFmtId="6" fontId="3" fillId="0" borderId="1" xfId="0" applyNumberFormat="1" applyFont="1" applyBorder="1"/>
    <xf numFmtId="166" fontId="3" fillId="0" borderId="1" xfId="0" applyNumberFormat="1" applyFont="1" applyBorder="1"/>
    <xf numFmtId="6" fontId="4" fillId="0" borderId="1" xfId="0" applyNumberFormat="1" applyFont="1" applyBorder="1"/>
    <xf numFmtId="166" fontId="4" fillId="0" borderId="1" xfId="0" applyNumberFormat="1" applyFont="1" applyBorder="1"/>
    <xf numFmtId="0" fontId="4" fillId="2" borderId="0" xfId="0" applyFont="1" applyFill="1"/>
    <xf numFmtId="0" fontId="4" fillId="2" borderId="1" xfId="0" applyFont="1" applyFill="1" applyBorder="1"/>
    <xf numFmtId="6" fontId="4" fillId="0" borderId="0" xfId="0" applyNumberFormat="1" applyFont="1" applyBorder="1"/>
    <xf numFmtId="0" fontId="3" fillId="0" borderId="2" xfId="0" applyFont="1" applyBorder="1"/>
    <xf numFmtId="1" fontId="3" fillId="0" borderId="0" xfId="0" applyNumberFormat="1" applyFont="1" applyBorder="1"/>
    <xf numFmtId="9" fontId="3" fillId="0" borderId="1" xfId="1" applyFont="1" applyBorder="1"/>
    <xf numFmtId="164" fontId="3" fillId="0" borderId="1" xfId="0" applyNumberFormat="1" applyFont="1" applyBorder="1"/>
    <xf numFmtId="165" fontId="3" fillId="0" borderId="1" xfId="0" applyNumberFormat="1" applyFont="1" applyBorder="1"/>
    <xf numFmtId="0" fontId="3" fillId="0" borderId="3" xfId="0" applyFont="1" applyBorder="1"/>
    <xf numFmtId="165" fontId="3" fillId="0" borderId="0" xfId="0" applyNumberFormat="1" applyFont="1"/>
    <xf numFmtId="0" fontId="4" fillId="2" borderId="4" xfId="0" applyFont="1" applyFill="1" applyBorder="1"/>
    <xf numFmtId="2" fontId="3" fillId="0" borderId="1" xfId="0" applyNumberFormat="1" applyFont="1" applyBorder="1"/>
    <xf numFmtId="0" fontId="3" fillId="0" borderId="1" xfId="0" applyFont="1" applyFill="1" applyBorder="1"/>
    <xf numFmtId="1" fontId="3" fillId="0" borderId="0" xfId="0" applyNumberFormat="1" applyFont="1"/>
    <xf numFmtId="164" fontId="3" fillId="0" borderId="0" xfId="0" applyNumberFormat="1" applyFont="1"/>
    <xf numFmtId="0" fontId="3" fillId="0" borderId="1" xfId="0" applyNumberFormat="1" applyFont="1" applyBorder="1"/>
    <xf numFmtId="9" fontId="4" fillId="0" borderId="1" xfId="0" applyNumberFormat="1" applyFont="1" applyBorder="1"/>
    <xf numFmtId="167" fontId="3" fillId="0" borderId="1" xfId="0" applyNumberFormat="1" applyFont="1" applyBorder="1"/>
    <xf numFmtId="168" fontId="4" fillId="0" borderId="1" xfId="0" applyNumberFormat="1" applyFont="1" applyBorder="1"/>
    <xf numFmtId="164" fontId="3" fillId="0" borderId="0" xfId="0" applyNumberFormat="1" applyFont="1" applyBorder="1"/>
    <xf numFmtId="166" fontId="4" fillId="0" borderId="0" xfId="0" applyNumberFormat="1" applyFont="1" applyBorder="1"/>
    <xf numFmtId="169" fontId="4" fillId="0" borderId="1" xfId="2" applyNumberFormat="1" applyFont="1" applyBorder="1"/>
    <xf numFmtId="1" fontId="3" fillId="0" borderId="1" xfId="0" applyNumberFormat="1" applyFont="1" applyFill="1" applyBorder="1"/>
    <xf numFmtId="0" fontId="6" fillId="0" borderId="1" xfId="0" applyFont="1" applyBorder="1" applyAlignment="1">
      <alignment vertical="center"/>
    </xf>
    <xf numFmtId="3" fontId="6" fillId="0" borderId="1" xfId="0" applyNumberFormat="1" applyFont="1" applyBorder="1" applyAlignment="1">
      <alignment horizontal="right" vertical="center"/>
    </xf>
    <xf numFmtId="167" fontId="3" fillId="0" borderId="0" xfId="0" applyNumberFormat="1" applyFont="1"/>
    <xf numFmtId="169" fontId="0" fillId="0" borderId="0" xfId="2" applyNumberFormat="1" applyFont="1"/>
    <xf numFmtId="0" fontId="4" fillId="0" borderId="5" xfId="0" applyFont="1" applyBorder="1"/>
    <xf numFmtId="3" fontId="3" fillId="0" borderId="1" xfId="0" applyNumberFormat="1" applyFont="1" applyBorder="1"/>
    <xf numFmtId="170" fontId="3" fillId="0" borderId="1" xfId="2" applyNumberFormat="1" applyFont="1" applyBorder="1"/>
    <xf numFmtId="170" fontId="3" fillId="0" borderId="0" xfId="0" applyNumberFormat="1" applyFont="1"/>
    <xf numFmtId="170" fontId="3" fillId="0" borderId="0" xfId="2" applyNumberFormat="1" applyFont="1" applyBorder="1"/>
    <xf numFmtId="170" fontId="3" fillId="0" borderId="1" xfId="0" applyNumberFormat="1" applyFont="1" applyBorder="1"/>
    <xf numFmtId="9" fontId="4" fillId="0" borderId="1" xfId="1" applyFont="1" applyBorder="1"/>
    <xf numFmtId="9" fontId="3" fillId="0" borderId="1" xfId="1" applyFont="1" applyFill="1" applyBorder="1"/>
    <xf numFmtId="169" fontId="3" fillId="0" borderId="1" xfId="2" applyNumberFormat="1" applyFont="1" applyBorder="1"/>
    <xf numFmtId="1" fontId="0" fillId="0" borderId="0" xfId="0" applyNumberFormat="1"/>
    <xf numFmtId="0" fontId="3" fillId="0" borderId="0" xfId="0" applyFont="1" applyAlignment="1">
      <alignment horizontal="center"/>
    </xf>
    <xf numFmtId="0" fontId="5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6" fillId="0" borderId="4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</cellXfs>
  <cellStyles count="3">
    <cellStyle name="Comma" xfId="2" builtinId="3"/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1.xml"/><Relationship Id="rId15" Type="http://schemas.openxmlformats.org/officeDocument/2006/relationships/customXml" Target="../customXml/item3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unfao-my.sharepoint.com/personal/cristian_rodrigueznavia_fao_org/Documents/FAO/Guatemala/FVC/Reportes/Mayo%202019/ABC%20FINANCIERO_100519%20final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unfao-my.sharepoint.com/personal/cristian_rodrigueznavia_fao_org/Documents/FAO/Guatemala/FVC/Reportes/Mayo%202019/MM%20ACB_BeneficioCafe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unfao-my.sharepoint.com/personal/cristian_rodrigueznavia_fao_org/Documents/FAO/Guatemala/FVC/Reportes/Mayo%202019/MM%20ACB_ValorAgregadCacao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unfao-my.sharepoint.com/personal/cristian_rodrigueznavia_fao_org/Documents/FAO/Guatemala/FVC/Reportes/Mayo%202019/ABC%20ECONOMICO_100519%20fin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ENIDO"/>
      <sheetName val="Insumos y Productos"/>
      <sheetName val="Produccion (t)"/>
      <sheetName val="Requerimientos (t)"/>
      <sheetName val="GRANOS BÁSICOS"/>
      <sheetName val="CAFE"/>
      <sheetName val="HUERTOS"/>
      <sheetName val="CACAO"/>
      <sheetName val="Cálculos económicos"/>
      <sheetName val="VAN Incremental"/>
      <sheetName val="cuadro_flujo y producciones"/>
      <sheetName val="indicadores financieros"/>
    </sheetNames>
    <sheetDataSet>
      <sheetData sheetId="0"/>
      <sheetData sheetId="1"/>
      <sheetData sheetId="2"/>
      <sheetData sheetId="3"/>
      <sheetData sheetId="4">
        <row r="3">
          <cell r="E3">
            <v>1306.3999999999999</v>
          </cell>
          <cell r="F3">
            <v>1319.24</v>
          </cell>
          <cell r="G3">
            <v>1353.68</v>
          </cell>
          <cell r="H3">
            <v>1388.12</v>
          </cell>
          <cell r="I3">
            <v>1453.06</v>
          </cell>
          <cell r="J3">
            <v>1468.0999999999997</v>
          </cell>
          <cell r="K3">
            <v>1502.5399999999997</v>
          </cell>
          <cell r="L3">
            <v>1536.9799999999998</v>
          </cell>
          <cell r="M3">
            <v>1571.4199999999998</v>
          </cell>
          <cell r="N3">
            <v>1683.9399999999998</v>
          </cell>
          <cell r="O3">
            <v>1679.9399999999998</v>
          </cell>
          <cell r="P3">
            <v>1679.9399999999998</v>
          </cell>
          <cell r="Q3">
            <v>1679.9399999999998</v>
          </cell>
          <cell r="R3">
            <v>1679.9399999999998</v>
          </cell>
          <cell r="S3">
            <v>1758.02</v>
          </cell>
          <cell r="T3">
            <v>1754.02</v>
          </cell>
          <cell r="U3">
            <v>1754.02</v>
          </cell>
          <cell r="V3">
            <v>1754.02</v>
          </cell>
          <cell r="W3">
            <v>1754.02</v>
          </cell>
          <cell r="X3">
            <v>1758.02</v>
          </cell>
        </row>
        <row r="4">
          <cell r="E4">
            <v>2003.0142000000003</v>
          </cell>
          <cell r="F4">
            <v>1249.6108489400001</v>
          </cell>
          <cell r="G4">
            <v>1295.0795619217581</v>
          </cell>
          <cell r="H4">
            <v>1230.4630238942366</v>
          </cell>
          <cell r="I4">
            <v>1337.3819534922798</v>
          </cell>
          <cell r="J4">
            <v>1224.1515024933199</v>
          </cell>
          <cell r="K4">
            <v>1270.234855282951</v>
          </cell>
          <cell r="L4">
            <v>1206.3224283292309</v>
          </cell>
          <cell r="M4">
            <v>1296.554669665562</v>
          </cell>
          <cell r="N4">
            <v>1205.9748583820115</v>
          </cell>
          <cell r="O4">
            <v>1265.7095041249329</v>
          </cell>
          <cell r="P4">
            <v>1173.9707466047485</v>
          </cell>
          <cell r="Q4">
            <v>1265.7467551117591</v>
          </cell>
          <cell r="R4">
            <v>1159.5157280398512</v>
          </cell>
          <cell r="S4">
            <v>1224.6058924179695</v>
          </cell>
          <cell r="T4">
            <v>1152.4558924179692</v>
          </cell>
          <cell r="U4">
            <v>1251.5158924179693</v>
          </cell>
          <cell r="V4">
            <v>1152.4558924179692</v>
          </cell>
          <cell r="W4">
            <v>1207.5158924179693</v>
          </cell>
          <cell r="X4">
            <v>1198.8258924179695</v>
          </cell>
        </row>
        <row r="7">
          <cell r="E7">
            <v>1041.5999999999999</v>
          </cell>
          <cell r="F7">
            <v>1036.8776855999999</v>
          </cell>
          <cell r="G7">
            <v>1032.1553712</v>
          </cell>
          <cell r="H7">
            <v>1027.4330568</v>
          </cell>
          <cell r="I7">
            <v>1022.7107424000001</v>
          </cell>
          <cell r="J7">
            <v>1017.9884280000001</v>
          </cell>
          <cell r="K7">
            <v>1013.2661136000002</v>
          </cell>
          <cell r="L7">
            <v>1008.5437992000001</v>
          </cell>
          <cell r="M7">
            <v>1003.8214848</v>
          </cell>
          <cell r="N7">
            <v>999.09917040000016</v>
          </cell>
          <cell r="O7">
            <v>994.3768560000002</v>
          </cell>
          <cell r="P7">
            <v>989.65454160000013</v>
          </cell>
          <cell r="Q7">
            <v>984.93222720000017</v>
          </cell>
          <cell r="R7">
            <v>980.20991280000021</v>
          </cell>
          <cell r="S7">
            <v>975.48759840000025</v>
          </cell>
          <cell r="T7">
            <v>970.76528400000029</v>
          </cell>
          <cell r="U7">
            <v>966.04296960000022</v>
          </cell>
          <cell r="V7">
            <v>961.32065520000037</v>
          </cell>
          <cell r="W7">
            <v>956.59834080000041</v>
          </cell>
          <cell r="X7">
            <v>951.87602640000034</v>
          </cell>
        </row>
        <row r="8">
          <cell r="E8">
            <v>995.38999999999987</v>
          </cell>
          <cell r="F8">
            <v>967.66866559999994</v>
          </cell>
          <cell r="G8">
            <v>995.00733119999995</v>
          </cell>
          <cell r="H8">
            <v>967.28599680000002</v>
          </cell>
          <cell r="I8">
            <v>994.62466239999981</v>
          </cell>
          <cell r="J8">
            <v>966.90332799999987</v>
          </cell>
          <cell r="K8">
            <v>994.24199359999989</v>
          </cell>
          <cell r="L8">
            <v>966.52065919999995</v>
          </cell>
          <cell r="M8">
            <v>993.85932479999997</v>
          </cell>
          <cell r="N8">
            <v>966.13799040000004</v>
          </cell>
          <cell r="O8">
            <v>993.47665599999982</v>
          </cell>
          <cell r="P8">
            <v>965.75532159999989</v>
          </cell>
          <cell r="Q8">
            <v>993.0939871999999</v>
          </cell>
          <cell r="R8">
            <v>965.37265279999997</v>
          </cell>
          <cell r="S8">
            <v>992.71131839999998</v>
          </cell>
          <cell r="T8">
            <v>964.98998399999982</v>
          </cell>
          <cell r="U8">
            <v>989.88864960000001</v>
          </cell>
          <cell r="V8">
            <v>964.6073151999999</v>
          </cell>
          <cell r="W8">
            <v>989.50598080000009</v>
          </cell>
          <cell r="X8">
            <v>964.22464639999998</v>
          </cell>
        </row>
      </sheetData>
      <sheetData sheetId="5">
        <row r="3">
          <cell r="E3">
            <v>1172.1999999999998</v>
          </cell>
          <cell r="F3">
            <v>1469.1999999999998</v>
          </cell>
          <cell r="G3">
            <v>1924.336</v>
          </cell>
          <cell r="H3">
            <v>2055.8959999999997</v>
          </cell>
          <cell r="I3">
            <v>2309.8199999999997</v>
          </cell>
          <cell r="J3">
            <v>2870.38</v>
          </cell>
          <cell r="K3">
            <v>3298.94</v>
          </cell>
          <cell r="L3">
            <v>3298.94</v>
          </cell>
          <cell r="M3">
            <v>3008.8040000000001</v>
          </cell>
          <cell r="N3">
            <v>3298.94</v>
          </cell>
          <cell r="O3">
            <v>3008.8040000000001</v>
          </cell>
          <cell r="P3">
            <v>3298.94</v>
          </cell>
          <cell r="Q3">
            <v>3008.8040000000001</v>
          </cell>
          <cell r="R3">
            <v>3298.94</v>
          </cell>
          <cell r="S3">
            <v>3156.9639999999999</v>
          </cell>
          <cell r="T3">
            <v>3447.1000000000004</v>
          </cell>
          <cell r="U3">
            <v>3156.9639999999999</v>
          </cell>
          <cell r="V3">
            <v>3447.1000000000004</v>
          </cell>
          <cell r="W3">
            <v>3156.9639999999999</v>
          </cell>
          <cell r="X3">
            <v>3447.1000000000004</v>
          </cell>
        </row>
        <row r="4">
          <cell r="E4">
            <v>1798.8532500000001</v>
          </cell>
          <cell r="F4">
            <v>1795.421</v>
          </cell>
          <cell r="G4">
            <v>1946.4848750000001</v>
          </cell>
          <cell r="H4">
            <v>2145.4365000000003</v>
          </cell>
          <cell r="I4">
            <v>1219.7665</v>
          </cell>
          <cell r="J4">
            <v>1321.0265000000002</v>
          </cell>
          <cell r="K4">
            <v>1470.5065</v>
          </cell>
          <cell r="L4">
            <v>1466.4665</v>
          </cell>
          <cell r="M4">
            <v>1502.5665000000001</v>
          </cell>
          <cell r="N4">
            <v>1466.4665</v>
          </cell>
          <cell r="O4">
            <v>1470.5065000000002</v>
          </cell>
          <cell r="P4">
            <v>1466.4665</v>
          </cell>
          <cell r="Q4">
            <v>1502.5665000000001</v>
          </cell>
          <cell r="R4">
            <v>1466.4665</v>
          </cell>
          <cell r="S4">
            <v>1470.5065000000002</v>
          </cell>
          <cell r="T4">
            <v>1466.4665</v>
          </cell>
          <cell r="U4">
            <v>1502.5665000000001</v>
          </cell>
          <cell r="V4">
            <v>1466.4665</v>
          </cell>
          <cell r="W4">
            <v>1470.5065000000002</v>
          </cell>
          <cell r="X4">
            <v>1466.4665</v>
          </cell>
        </row>
        <row r="7">
          <cell r="E7">
            <v>1981.28</v>
          </cell>
          <cell r="F7">
            <v>1901.8565000000001</v>
          </cell>
          <cell r="G7">
            <v>1822.433</v>
          </cell>
          <cell r="H7">
            <v>1743.0095000000003</v>
          </cell>
          <cell r="I7">
            <v>1663.5860000000002</v>
          </cell>
          <cell r="J7">
            <v>1655.7298000000003</v>
          </cell>
          <cell r="K7">
            <v>1647.8736000000004</v>
          </cell>
          <cell r="L7">
            <v>1640.0174000000004</v>
          </cell>
          <cell r="M7">
            <v>1632.1612000000002</v>
          </cell>
          <cell r="N7">
            <v>1624.3050000000003</v>
          </cell>
          <cell r="O7">
            <v>1616.4488000000003</v>
          </cell>
          <cell r="P7">
            <v>1608.5926000000002</v>
          </cell>
          <cell r="Q7">
            <v>1600.7364000000002</v>
          </cell>
          <cell r="R7">
            <v>1592.8802000000003</v>
          </cell>
          <cell r="S7">
            <v>1585.0240000000003</v>
          </cell>
          <cell r="T7">
            <v>1577.1678000000002</v>
          </cell>
          <cell r="U7">
            <v>1569.3116000000002</v>
          </cell>
          <cell r="V7">
            <v>1561.4554000000003</v>
          </cell>
          <cell r="W7">
            <v>1553.5992000000001</v>
          </cell>
          <cell r="X7">
            <v>1545.7430000000002</v>
          </cell>
        </row>
        <row r="8">
          <cell r="E8">
            <v>1040.5825000000002</v>
          </cell>
          <cell r="F8">
            <v>1017.7173000000001</v>
          </cell>
          <cell r="G8">
            <v>1029.4321000000002</v>
          </cell>
          <cell r="H8">
            <v>1006.5669000000001</v>
          </cell>
          <cell r="I8">
            <v>1018.2817000000001</v>
          </cell>
          <cell r="J8">
            <v>995.41650000000016</v>
          </cell>
          <cell r="K8">
            <v>1007.1313000000001</v>
          </cell>
          <cell r="L8">
            <v>984.26610000000016</v>
          </cell>
          <cell r="M8">
            <v>995.98090000000013</v>
          </cell>
          <cell r="N8">
            <v>973.11570000000017</v>
          </cell>
          <cell r="O8">
            <v>984.83050000000014</v>
          </cell>
          <cell r="P8">
            <v>961.9653000000003</v>
          </cell>
          <cell r="Q8">
            <v>973.68010000000027</v>
          </cell>
          <cell r="R8">
            <v>950.81490000000031</v>
          </cell>
          <cell r="S8">
            <v>962.52970000000028</v>
          </cell>
          <cell r="T8">
            <v>939.66450000000043</v>
          </cell>
          <cell r="U8">
            <v>951.3793000000004</v>
          </cell>
          <cell r="V8">
            <v>928.51410000000044</v>
          </cell>
          <cell r="W8">
            <v>940.22890000000041</v>
          </cell>
          <cell r="X8">
            <v>917.36370000000045</v>
          </cell>
        </row>
      </sheetData>
      <sheetData sheetId="6">
        <row r="3">
          <cell r="E3">
            <v>494.01245543562266</v>
          </cell>
          <cell r="F3">
            <v>504.20345169043151</v>
          </cell>
          <cell r="G3">
            <v>504.20345169043151</v>
          </cell>
          <cell r="H3">
            <v>494.01245543562266</v>
          </cell>
          <cell r="I3">
            <v>529.01144669684334</v>
          </cell>
          <cell r="J3">
            <v>549.85944170325524</v>
          </cell>
          <cell r="K3">
            <v>574.00743670966699</v>
          </cell>
          <cell r="L3">
            <v>579.65644045485806</v>
          </cell>
          <cell r="M3">
            <v>601.06743670966694</v>
          </cell>
          <cell r="N3">
            <v>608.98743670966701</v>
          </cell>
          <cell r="O3">
            <v>608.98743670966701</v>
          </cell>
          <cell r="P3">
            <v>598.79644045485816</v>
          </cell>
          <cell r="Q3">
            <v>608.98743670966701</v>
          </cell>
          <cell r="R3">
            <v>608.98743670966701</v>
          </cell>
          <cell r="S3">
            <v>608.98743670966701</v>
          </cell>
          <cell r="T3">
            <v>598.79644045485816</v>
          </cell>
          <cell r="U3">
            <v>608.98743670966701</v>
          </cell>
          <cell r="V3">
            <v>608.98743670966701</v>
          </cell>
          <cell r="W3">
            <v>608.98743670966701</v>
          </cell>
          <cell r="X3">
            <v>598.79644045485816</v>
          </cell>
        </row>
        <row r="4">
          <cell r="E4">
            <v>625.53450537104641</v>
          </cell>
          <cell r="F4">
            <v>356.70957528548752</v>
          </cell>
          <cell r="G4">
            <v>372.90215926191678</v>
          </cell>
          <cell r="H4">
            <v>372.62717528548762</v>
          </cell>
          <cell r="I4">
            <v>374.89384395393404</v>
          </cell>
          <cell r="J4">
            <v>373.16611834708414</v>
          </cell>
          <cell r="K4">
            <v>379.90510232351335</v>
          </cell>
          <cell r="L4">
            <v>372.62717528548762</v>
          </cell>
          <cell r="M4">
            <v>374.89384395393404</v>
          </cell>
          <cell r="N4">
            <v>373.16611834708414</v>
          </cell>
          <cell r="O4">
            <v>379.90510232351335</v>
          </cell>
          <cell r="P4">
            <v>372.62717528548762</v>
          </cell>
          <cell r="Q4">
            <v>374.89384395393404</v>
          </cell>
          <cell r="R4">
            <v>373.16611834708414</v>
          </cell>
          <cell r="S4">
            <v>379.90510232351335</v>
          </cell>
          <cell r="T4">
            <v>372.62717528548762</v>
          </cell>
          <cell r="U4">
            <v>374.89384395393404</v>
          </cell>
          <cell r="V4">
            <v>373.16611834708414</v>
          </cell>
          <cell r="W4">
            <v>379.90510232351335</v>
          </cell>
          <cell r="X4">
            <v>372.62717528548762</v>
          </cell>
        </row>
        <row r="7">
          <cell r="E7">
            <v>371.29196355020338</v>
          </cell>
          <cell r="F7">
            <v>369.32411614338736</v>
          </cell>
          <cell r="G7">
            <v>367.36669832782741</v>
          </cell>
          <cell r="H7">
            <v>365.41965482669002</v>
          </cell>
          <cell r="I7">
            <v>363.48293065610858</v>
          </cell>
          <cell r="J7">
            <v>361.55647112363113</v>
          </cell>
          <cell r="K7">
            <v>359.64022182667594</v>
          </cell>
          <cell r="L7">
            <v>357.73412865099453</v>
          </cell>
          <cell r="M7">
            <v>355.83813776914428</v>
          </cell>
          <cell r="N7">
            <v>353.95219563896785</v>
          </cell>
          <cell r="O7">
            <v>352.07624900208134</v>
          </cell>
          <cell r="P7">
            <v>350.21024488237026</v>
          </cell>
          <cell r="Q7">
            <v>348.35413058449376</v>
          </cell>
          <cell r="R7">
            <v>346.50785369239588</v>
          </cell>
          <cell r="S7">
            <v>344.67136206782624</v>
          </cell>
          <cell r="T7">
            <v>342.84460384886671</v>
          </cell>
          <cell r="U7">
            <v>341.02752744846777</v>
          </cell>
          <cell r="V7">
            <v>339.22008155299085</v>
          </cell>
          <cell r="W7">
            <v>337.42221512076003</v>
          </cell>
          <cell r="X7">
            <v>335.63387738061999</v>
          </cell>
        </row>
        <row r="8">
          <cell r="E8">
            <v>284.56896281742485</v>
          </cell>
          <cell r="F8">
            <v>219.66989025393994</v>
          </cell>
          <cell r="G8">
            <v>219.66989025393994</v>
          </cell>
          <cell r="H8">
            <v>219.66989025393994</v>
          </cell>
          <cell r="I8">
            <v>219.66989025393994</v>
          </cell>
          <cell r="J8">
            <v>219.66989025393994</v>
          </cell>
          <cell r="K8">
            <v>219.66989025393994</v>
          </cell>
          <cell r="L8">
            <v>219.66989025393994</v>
          </cell>
          <cell r="M8">
            <v>219.66989025393994</v>
          </cell>
          <cell r="N8">
            <v>219.66989025393994</v>
          </cell>
          <cell r="O8">
            <v>219.66989025393994</v>
          </cell>
          <cell r="P8">
            <v>219.66989025393994</v>
          </cell>
          <cell r="Q8">
            <v>219.66989025393994</v>
          </cell>
          <cell r="R8">
            <v>219.66989025393994</v>
          </cell>
          <cell r="S8">
            <v>219.66989025393994</v>
          </cell>
          <cell r="T8">
            <v>219.66989025393994</v>
          </cell>
          <cell r="U8">
            <v>219.66989025393994</v>
          </cell>
          <cell r="V8">
            <v>219.66989025393994</v>
          </cell>
          <cell r="W8">
            <v>219.66989025393994</v>
          </cell>
          <cell r="X8">
            <v>219.66989025393994</v>
          </cell>
        </row>
      </sheetData>
      <sheetData sheetId="7">
        <row r="3">
          <cell r="E3">
            <v>707.08</v>
          </cell>
          <cell r="F3">
            <v>979.58</v>
          </cell>
          <cell r="G3">
            <v>1177.58</v>
          </cell>
          <cell r="H3">
            <v>1027.58</v>
          </cell>
          <cell r="I3">
            <v>1257.08</v>
          </cell>
          <cell r="J3">
            <v>1609.58</v>
          </cell>
          <cell r="K3">
            <v>1903.58</v>
          </cell>
          <cell r="L3">
            <v>1903.58</v>
          </cell>
          <cell r="M3">
            <v>1828.2800000000002</v>
          </cell>
          <cell r="N3">
            <v>1903.58</v>
          </cell>
          <cell r="O3">
            <v>1828.2800000000002</v>
          </cell>
          <cell r="P3">
            <v>1903.58</v>
          </cell>
          <cell r="Q3">
            <v>1828.2800000000002</v>
          </cell>
          <cell r="R3">
            <v>1903.58</v>
          </cell>
          <cell r="S3">
            <v>1976.4400000000003</v>
          </cell>
          <cell r="T3">
            <v>2051.7399999999998</v>
          </cell>
          <cell r="U3">
            <v>1976.4400000000003</v>
          </cell>
          <cell r="V3">
            <v>2051.7399999999998</v>
          </cell>
          <cell r="W3">
            <v>1976.4400000000003</v>
          </cell>
          <cell r="X3">
            <v>2051.7399999999998</v>
          </cell>
        </row>
        <row r="4">
          <cell r="E4">
            <v>1281.6670000000001</v>
          </cell>
          <cell r="F4">
            <v>1249.444</v>
          </cell>
          <cell r="G4">
            <v>1406.5610000000004</v>
          </cell>
          <cell r="H4">
            <v>1438.7180000000003</v>
          </cell>
          <cell r="I4">
            <v>829.38800000000015</v>
          </cell>
          <cell r="J4">
            <v>793.28800000000012</v>
          </cell>
          <cell r="K4">
            <v>797.3280000000002</v>
          </cell>
          <cell r="L4">
            <v>793.28800000000012</v>
          </cell>
          <cell r="M4">
            <v>829.38800000000015</v>
          </cell>
          <cell r="N4">
            <v>793.28800000000012</v>
          </cell>
          <cell r="O4">
            <v>797.3280000000002</v>
          </cell>
          <cell r="P4">
            <v>793.28800000000012</v>
          </cell>
          <cell r="Q4">
            <v>829.38800000000015</v>
          </cell>
          <cell r="R4">
            <v>793.28800000000012</v>
          </cell>
          <cell r="S4">
            <v>797.3280000000002</v>
          </cell>
          <cell r="T4">
            <v>793.28800000000012</v>
          </cell>
          <cell r="U4">
            <v>829.38800000000015</v>
          </cell>
          <cell r="V4">
            <v>793.28800000000012</v>
          </cell>
          <cell r="W4">
            <v>797.3280000000002</v>
          </cell>
          <cell r="X4">
            <v>793.28800000000012</v>
          </cell>
        </row>
        <row r="7">
          <cell r="E7">
            <v>653.18000000000006</v>
          </cell>
          <cell r="F7">
            <v>625.48974999999996</v>
          </cell>
          <cell r="G7">
            <v>598.43870000000004</v>
          </cell>
          <cell r="H7">
            <v>571.99488999999994</v>
          </cell>
          <cell r="I7">
            <v>546.12795800000004</v>
          </cell>
          <cell r="J7">
            <v>532.93281009999998</v>
          </cell>
          <cell r="K7">
            <v>530.15031009999996</v>
          </cell>
          <cell r="L7">
            <v>527.36781009999993</v>
          </cell>
          <cell r="M7">
            <v>524.5853100999999</v>
          </cell>
          <cell r="N7">
            <v>521.80281009999999</v>
          </cell>
          <cell r="O7">
            <v>519.02031009999996</v>
          </cell>
          <cell r="P7">
            <v>516.23781009999993</v>
          </cell>
          <cell r="Q7">
            <v>513.45531009999991</v>
          </cell>
          <cell r="R7">
            <v>510.67281009999999</v>
          </cell>
          <cell r="S7">
            <v>507.89031009999997</v>
          </cell>
          <cell r="T7">
            <v>505.10781009999999</v>
          </cell>
          <cell r="U7">
            <v>502.32531009999997</v>
          </cell>
          <cell r="V7">
            <v>499.5428101</v>
          </cell>
          <cell r="W7">
            <v>496.76031009999997</v>
          </cell>
          <cell r="X7">
            <v>493.97781009999994</v>
          </cell>
        </row>
        <row r="8">
          <cell r="E8">
            <v>308.17</v>
          </cell>
          <cell r="F8">
            <v>304.13</v>
          </cell>
          <cell r="G8">
            <v>308.17</v>
          </cell>
          <cell r="H8">
            <v>304.13</v>
          </cell>
          <cell r="I8">
            <v>308.17</v>
          </cell>
          <cell r="J8">
            <v>304.13</v>
          </cell>
          <cell r="K8">
            <v>308.17</v>
          </cell>
          <cell r="L8">
            <v>304.13</v>
          </cell>
          <cell r="M8">
            <v>308.17</v>
          </cell>
          <cell r="N8">
            <v>304.13</v>
          </cell>
          <cell r="O8">
            <v>308.17</v>
          </cell>
          <cell r="P8">
            <v>304.13</v>
          </cell>
          <cell r="Q8">
            <v>308.17</v>
          </cell>
          <cell r="R8">
            <v>304.13</v>
          </cell>
          <cell r="S8">
            <v>308.17</v>
          </cell>
          <cell r="T8">
            <v>304.13</v>
          </cell>
          <cell r="U8">
            <v>308.17</v>
          </cell>
          <cell r="V8">
            <v>304.13</v>
          </cell>
          <cell r="W8">
            <v>308.17</v>
          </cell>
          <cell r="X8">
            <v>304.13</v>
          </cell>
        </row>
      </sheetData>
      <sheetData sheetId="8"/>
      <sheetData sheetId="9"/>
      <sheetData sheetId="10"/>
      <sheetData sheetId="1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sistenciaTecnica"/>
      <sheetName val="Equipo&amp;Admon"/>
      <sheetName val="Bodega y oficina"/>
      <sheetName val="JornalesBeneficioCafé"/>
      <sheetName val="BIOFABRICA"/>
      <sheetName val="RendimientoSegúnCATIE"/>
      <sheetName val="BeneficiadoCafé"/>
      <sheetName val="AnálisisFinanciero"/>
      <sheetName val="TOSTADURI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19">
          <cell r="B19">
            <v>825114.35364203295</v>
          </cell>
          <cell r="C19">
            <v>306523.44455112383</v>
          </cell>
          <cell r="D19">
            <v>387725.75843594153</v>
          </cell>
          <cell r="E19">
            <v>523062.94824397092</v>
          </cell>
          <cell r="F19">
            <v>577197.82416718279</v>
          </cell>
          <cell r="G19">
            <v>712535.01397521212</v>
          </cell>
          <cell r="H19">
            <v>847872.20378324168</v>
          </cell>
          <cell r="I19">
            <v>847872.20378324168</v>
          </cell>
          <cell r="J19">
            <v>847872.20378324168</v>
          </cell>
          <cell r="K19">
            <v>847872.20378324168</v>
          </cell>
          <cell r="L19">
            <v>847872.20378324168</v>
          </cell>
          <cell r="M19">
            <v>847872.20378324168</v>
          </cell>
          <cell r="N19">
            <v>847872.20378324168</v>
          </cell>
          <cell r="O19">
            <v>847872.20378324168</v>
          </cell>
          <cell r="P19">
            <v>847872.20378324168</v>
          </cell>
          <cell r="Q19">
            <v>847872.20378324168</v>
          </cell>
          <cell r="R19">
            <v>847872.20378324168</v>
          </cell>
          <cell r="S19">
            <v>847872.20378324168</v>
          </cell>
          <cell r="T19">
            <v>847872.20378324168</v>
          </cell>
          <cell r="U19">
            <v>847872.20378324168</v>
          </cell>
        </row>
        <row r="26">
          <cell r="B26">
            <v>317134.40000000002</v>
          </cell>
          <cell r="C26">
            <v>317134.40000000002</v>
          </cell>
          <cell r="D26">
            <v>412274.72000000003</v>
          </cell>
          <cell r="E26">
            <v>570841.91999999993</v>
          </cell>
          <cell r="F26">
            <v>634268.80000000005</v>
          </cell>
          <cell r="G26">
            <v>792836</v>
          </cell>
          <cell r="H26">
            <v>951403.20000000019</v>
          </cell>
          <cell r="I26">
            <v>951403.20000000019</v>
          </cell>
          <cell r="J26">
            <v>951403.20000000019</v>
          </cell>
          <cell r="K26">
            <v>951403.20000000019</v>
          </cell>
          <cell r="L26">
            <v>951403.20000000019</v>
          </cell>
          <cell r="M26">
            <v>951403.20000000019</v>
          </cell>
          <cell r="N26">
            <v>951403.20000000019</v>
          </cell>
          <cell r="O26">
            <v>951403.20000000019</v>
          </cell>
          <cell r="P26">
            <v>951403.20000000019</v>
          </cell>
          <cell r="Q26">
            <v>951403.20000000019</v>
          </cell>
          <cell r="R26">
            <v>951403.20000000019</v>
          </cell>
          <cell r="S26">
            <v>951403.20000000019</v>
          </cell>
          <cell r="T26">
            <v>951403.20000000019</v>
          </cell>
          <cell r="U26">
            <v>951403.20000000019</v>
          </cell>
        </row>
        <row r="57">
          <cell r="B57">
            <v>715360.16039896314</v>
          </cell>
          <cell r="C57">
            <v>265010.92694441788</v>
          </cell>
          <cell r="D57">
            <v>334664.5416957952</v>
          </cell>
          <cell r="E57">
            <v>450753.89961475739</v>
          </cell>
          <cell r="F57">
            <v>497189.64278234227</v>
          </cell>
          <cell r="G57">
            <v>613279.00070130441</v>
          </cell>
          <cell r="H57">
            <v>729368.35862026666</v>
          </cell>
          <cell r="I57">
            <v>729368.35862026666</v>
          </cell>
          <cell r="J57">
            <v>729368.35862026666</v>
          </cell>
          <cell r="K57">
            <v>729368.35862026666</v>
          </cell>
          <cell r="L57">
            <v>729368.35862026666</v>
          </cell>
          <cell r="M57">
            <v>729368.35862026666</v>
          </cell>
          <cell r="N57">
            <v>729368.35862026666</v>
          </cell>
          <cell r="O57">
            <v>729368.35862026666</v>
          </cell>
          <cell r="P57">
            <v>729368.35862026666</v>
          </cell>
          <cell r="Q57">
            <v>729368.35862026666</v>
          </cell>
          <cell r="R57">
            <v>729368.35862026666</v>
          </cell>
          <cell r="S57">
            <v>729368.35862026666</v>
          </cell>
          <cell r="T57">
            <v>729368.35862026666</v>
          </cell>
          <cell r="U57">
            <v>729368.35862026666</v>
          </cell>
        </row>
        <row r="64">
          <cell r="B64">
            <v>275399.51296000002</v>
          </cell>
          <cell r="C64">
            <v>275399.51296000002</v>
          </cell>
          <cell r="D64">
            <v>358019.36684800003</v>
          </cell>
          <cell r="E64">
            <v>495719.12332799996</v>
          </cell>
          <cell r="F64">
            <v>550799.02592000004</v>
          </cell>
          <cell r="G64">
            <v>688498.78240000003</v>
          </cell>
          <cell r="H64">
            <v>826198.53888000012</v>
          </cell>
          <cell r="I64">
            <v>826198.53888000012</v>
          </cell>
          <cell r="J64">
            <v>826198.53888000012</v>
          </cell>
          <cell r="K64">
            <v>826198.53888000012</v>
          </cell>
          <cell r="L64">
            <v>826198.53888000012</v>
          </cell>
          <cell r="M64">
            <v>826198.53888000012</v>
          </cell>
          <cell r="N64">
            <v>826198.53888000012</v>
          </cell>
          <cell r="O64">
            <v>826198.53888000012</v>
          </cell>
          <cell r="P64">
            <v>826198.53888000012</v>
          </cell>
          <cell r="Q64">
            <v>826198.53888000012</v>
          </cell>
          <cell r="R64">
            <v>826198.53888000012</v>
          </cell>
          <cell r="S64">
            <v>826198.53888000012</v>
          </cell>
          <cell r="T64">
            <v>826198.53888000012</v>
          </cell>
          <cell r="U64">
            <v>826198.53888000012</v>
          </cell>
        </row>
      </sheetData>
      <sheetData sheetId="8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secha&amp;_Venta"/>
      <sheetName val="Equipo&amp;Admon"/>
      <sheetName val="Fermentador"/>
      <sheetName val="Secador solar"/>
      <sheetName val="Bodega y oficina"/>
      <sheetName val="AsistenciaTecnica"/>
      <sheetName val="AnalisisFinanciero (Q)"/>
      <sheetName val="PrecioCacao"/>
      <sheetName val="CalculoProd&amp;_Area"/>
      <sheetName val="CalculoAreasCacao"/>
      <sheetName val="DatosCalculoBeneficiarios"/>
    </sheetNames>
    <sheetDataSet>
      <sheetData sheetId="0"/>
      <sheetData sheetId="1"/>
      <sheetData sheetId="2"/>
      <sheetData sheetId="3"/>
      <sheetData sheetId="4"/>
      <sheetData sheetId="5"/>
      <sheetData sheetId="6">
        <row r="43">
          <cell r="B43">
            <v>542047.38618524338</v>
          </cell>
          <cell r="C43">
            <v>83244.209875838438</v>
          </cell>
          <cell r="D43">
            <v>84755.133099757368</v>
          </cell>
          <cell r="E43">
            <v>83431.784445768513</v>
          </cell>
          <cell r="F43">
            <v>83532.662964474788</v>
          </cell>
          <cell r="G43">
            <v>84881.27129465944</v>
          </cell>
          <cell r="H43">
            <v>83749.8039759901</v>
          </cell>
          <cell r="I43">
            <v>83866.583471207472</v>
          </cell>
          <cell r="J43">
            <v>85231.887826728751</v>
          </cell>
          <cell r="K43">
            <v>84117.951334662866</v>
          </cell>
          <cell r="L43">
            <v>84253.138197813882</v>
          </cell>
          <cell r="M43">
            <v>85637.770289665466</v>
          </cell>
          <cell r="N43">
            <v>84544.127920746425</v>
          </cell>
          <cell r="O43">
            <v>84700.62361320162</v>
          </cell>
          <cell r="P43">
            <v>86107.629975822609</v>
          </cell>
          <cell r="Q43">
            <v>85037.48059121141</v>
          </cell>
          <cell r="R43">
            <v>85218.643917189853</v>
          </cell>
          <cell r="S43">
            <v>86651.551295010257</v>
          </cell>
          <cell r="T43">
            <v>85608.597976358447</v>
          </cell>
          <cell r="U43">
            <v>85818.317171594244</v>
          </cell>
        </row>
        <row r="49">
          <cell r="B49">
            <v>163636.36363636365</v>
          </cell>
          <cell r="C49">
            <v>163636.36363636365</v>
          </cell>
          <cell r="D49">
            <v>163636.36363636365</v>
          </cell>
          <cell r="E49">
            <v>163636.36363636365</v>
          </cell>
          <cell r="F49">
            <v>163636.36363636365</v>
          </cell>
          <cell r="G49">
            <v>163636.36363636365</v>
          </cell>
          <cell r="H49">
            <v>163636.36363636365</v>
          </cell>
          <cell r="I49">
            <v>163636.36363636365</v>
          </cell>
          <cell r="J49">
            <v>163636.36363636365</v>
          </cell>
          <cell r="K49">
            <v>163636.36363636365</v>
          </cell>
          <cell r="L49">
            <v>163636.36363636365</v>
          </cell>
          <cell r="M49">
            <v>163636.36363636365</v>
          </cell>
          <cell r="N49">
            <v>163636.36363636365</v>
          </cell>
          <cell r="O49">
            <v>163636.36363636365</v>
          </cell>
          <cell r="P49">
            <v>163636.36363636365</v>
          </cell>
          <cell r="Q49">
            <v>163636.36363636365</v>
          </cell>
          <cell r="R49">
            <v>163636.36363636365</v>
          </cell>
          <cell r="S49">
            <v>163636.36363636365</v>
          </cell>
          <cell r="T49">
            <v>163636.36363636365</v>
          </cell>
          <cell r="U49">
            <v>163636.36363636365</v>
          </cell>
        </row>
        <row r="98">
          <cell r="B98">
            <v>472336.28854488366</v>
          </cell>
          <cell r="C98">
            <v>73143.872075638646</v>
          </cell>
          <cell r="D98">
            <v>74433.046255821304</v>
          </cell>
          <cell r="E98">
            <v>73259.793159855413</v>
          </cell>
          <cell r="F98">
            <v>73322.136084415921</v>
          </cell>
          <cell r="G98">
            <v>74466.744578209997</v>
          </cell>
          <cell r="H98">
            <v>73456.329229532363</v>
          </cell>
          <cell r="I98">
            <v>73528.498957576696</v>
          </cell>
          <cell r="J98">
            <v>74683.425595028821</v>
          </cell>
          <cell r="K98">
            <v>73683.844297192147</v>
          </cell>
          <cell r="L98">
            <v>73767.389778619458</v>
          </cell>
          <cell r="M98">
            <v>74934.260957123712</v>
          </cell>
          <cell r="N98">
            <v>73947.221427391778</v>
          </cell>
          <cell r="O98">
            <v>74043.935765329079</v>
          </cell>
          <cell r="P98">
            <v>75224.634243168839</v>
          </cell>
          <cell r="Q98">
            <v>74252.113377739151</v>
          </cell>
          <cell r="R98">
            <v>74364.072313193814</v>
          </cell>
          <cell r="S98">
            <v>75560.7776184268</v>
          </cell>
          <cell r="T98">
            <v>74605.063921760011</v>
          </cell>
          <cell r="U98">
            <v>74734.670384415716</v>
          </cell>
        </row>
        <row r="104">
          <cell r="B104">
            <v>142101.81818181818</v>
          </cell>
          <cell r="C104">
            <v>142101.81818181818</v>
          </cell>
          <cell r="D104">
            <v>142101.81818181818</v>
          </cell>
          <cell r="E104">
            <v>142101.81818181818</v>
          </cell>
          <cell r="F104">
            <v>142101.81818181818</v>
          </cell>
          <cell r="G104">
            <v>142101.81818181818</v>
          </cell>
          <cell r="H104">
            <v>142101.81818181818</v>
          </cell>
          <cell r="I104">
            <v>142101.81818181818</v>
          </cell>
          <cell r="J104">
            <v>142101.81818181818</v>
          </cell>
          <cell r="K104">
            <v>142101.81818181818</v>
          </cell>
          <cell r="L104">
            <v>142101.81818181818</v>
          </cell>
          <cell r="M104">
            <v>142101.81818181818</v>
          </cell>
          <cell r="N104">
            <v>142101.81818181818</v>
          </cell>
          <cell r="O104">
            <v>142101.81818181818</v>
          </cell>
          <cell r="P104">
            <v>142101.81818181818</v>
          </cell>
          <cell r="Q104">
            <v>142101.81818181818</v>
          </cell>
          <cell r="R104">
            <v>142101.81818181818</v>
          </cell>
          <cell r="S104">
            <v>142101.81818181818</v>
          </cell>
          <cell r="T104">
            <v>142101.81818181818</v>
          </cell>
          <cell r="U104">
            <v>142101.81818181818</v>
          </cell>
        </row>
      </sheetData>
      <sheetData sheetId="7"/>
      <sheetData sheetId="8"/>
      <sheetData sheetId="9"/>
      <sheetData sheetId="1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ENIDO"/>
      <sheetName val="Insumos y Productos"/>
      <sheetName val="Produccion (t)"/>
      <sheetName val="Requerimientos (t)"/>
      <sheetName val="GRANOS BÁSICOS"/>
      <sheetName val="CAFE"/>
      <sheetName val="CACAO"/>
      <sheetName val="HUERTOS"/>
      <sheetName val="Externalidades"/>
      <sheetName val="Cálculos económicos"/>
      <sheetName val="Análisis Economico"/>
      <sheetName val="Incremental"/>
    </sheetNames>
    <sheetDataSet>
      <sheetData sheetId="0"/>
      <sheetData sheetId="1"/>
      <sheetData sheetId="2"/>
      <sheetData sheetId="3"/>
      <sheetData sheetId="4">
        <row r="3">
          <cell r="E3">
            <v>1158.2777599999999</v>
          </cell>
          <cell r="F3">
            <v>1172.4280159999998</v>
          </cell>
          <cell r="G3">
            <v>1205.3357119999998</v>
          </cell>
          <cell r="H3">
            <v>1238.2434079999996</v>
          </cell>
          <cell r="I3">
            <v>1297.6373039999996</v>
          </cell>
          <cell r="J3">
            <v>1310.6980399999995</v>
          </cell>
          <cell r="K3">
            <v>1340.6057359999998</v>
          </cell>
          <cell r="L3">
            <v>1370.5134319999995</v>
          </cell>
          <cell r="M3">
            <v>1400.4211279999997</v>
          </cell>
          <cell r="N3">
            <v>1498.1334959999997</v>
          </cell>
          <cell r="O3">
            <v>1494.6598959999997</v>
          </cell>
          <cell r="P3">
            <v>1494.6598959999997</v>
          </cell>
          <cell r="Q3">
            <v>1494.6598959999997</v>
          </cell>
          <cell r="R3">
            <v>1494.6598959999997</v>
          </cell>
          <cell r="S3">
            <v>1562.4645679999996</v>
          </cell>
          <cell r="T3">
            <v>1558.9909679999996</v>
          </cell>
          <cell r="U3">
            <v>1558.9909679999996</v>
          </cell>
          <cell r="V3">
            <v>1558.9909679999996</v>
          </cell>
          <cell r="W3">
            <v>1558.9909679999996</v>
          </cell>
          <cell r="X3">
            <v>1562.4645679999996</v>
          </cell>
        </row>
        <row r="4">
          <cell r="E4">
            <v>1522.9317072799995</v>
          </cell>
          <cell r="F4">
            <v>902.90669245789604</v>
          </cell>
          <cell r="G4">
            <v>943.22451971995429</v>
          </cell>
          <cell r="H4">
            <v>887.93022927331072</v>
          </cell>
          <cell r="I4">
            <v>981.58349357001771</v>
          </cell>
          <cell r="J4">
            <v>881.01057866813244</v>
          </cell>
          <cell r="K4">
            <v>921.80724207923549</v>
          </cell>
          <cell r="L4">
            <v>867.07042166228348</v>
          </cell>
          <cell r="M4">
            <v>946.17990676368322</v>
          </cell>
          <cell r="N4">
            <v>868.25950136349388</v>
          </cell>
          <cell r="O4">
            <v>920.85968306764994</v>
          </cell>
          <cell r="P4">
            <v>841.90808690611243</v>
          </cell>
          <cell r="Q4">
            <v>922.30864833684882</v>
          </cell>
          <cell r="R4">
            <v>830.74804049554746</v>
          </cell>
          <cell r="S4">
            <v>887.95109785097065</v>
          </cell>
          <cell r="T4">
            <v>825.29603785097083</v>
          </cell>
          <cell r="U4">
            <v>911.31974185097079</v>
          </cell>
          <cell r="V4">
            <v>825.29603785097083</v>
          </cell>
          <cell r="W4">
            <v>873.11014185097065</v>
          </cell>
          <cell r="X4">
            <v>865.56374585097069</v>
          </cell>
        </row>
        <row r="7">
          <cell r="E7">
            <v>904.52543999999989</v>
          </cell>
          <cell r="F7">
            <v>900.42458217503997</v>
          </cell>
          <cell r="G7">
            <v>896.32372435008006</v>
          </cell>
          <cell r="H7">
            <v>892.22286652512003</v>
          </cell>
          <cell r="I7">
            <v>888.12200870015999</v>
          </cell>
          <cell r="J7">
            <v>884.02115087519996</v>
          </cell>
          <cell r="K7">
            <v>879.92029305024005</v>
          </cell>
          <cell r="L7">
            <v>875.81943522528013</v>
          </cell>
          <cell r="M7">
            <v>871.7185774003201</v>
          </cell>
          <cell r="N7">
            <v>867.61771957536007</v>
          </cell>
          <cell r="O7">
            <v>863.51686175040004</v>
          </cell>
          <cell r="P7">
            <v>859.41600392544012</v>
          </cell>
          <cell r="Q7">
            <v>855.31514610048021</v>
          </cell>
          <cell r="R7">
            <v>851.21428827552018</v>
          </cell>
          <cell r="S7">
            <v>847.11343045056014</v>
          </cell>
          <cell r="T7">
            <v>843.01257262560011</v>
          </cell>
          <cell r="U7">
            <v>838.9117148006402</v>
          </cell>
          <cell r="V7">
            <v>834.81085697568017</v>
          </cell>
          <cell r="W7">
            <v>830.70999915072025</v>
          </cell>
          <cell r="X7">
            <v>826.60914132576022</v>
          </cell>
        </row>
        <row r="8">
          <cell r="E8">
            <v>848.85896400000001</v>
          </cell>
          <cell r="F8">
            <v>681.54766734079976</v>
          </cell>
          <cell r="G8">
            <v>705.33647468159995</v>
          </cell>
          <cell r="H8">
            <v>681.31117802239976</v>
          </cell>
          <cell r="I8">
            <v>705.09998536319995</v>
          </cell>
          <cell r="J8">
            <v>681.07468870399975</v>
          </cell>
          <cell r="K8">
            <v>704.86349604479994</v>
          </cell>
          <cell r="L8">
            <v>680.83819938559986</v>
          </cell>
          <cell r="M8">
            <v>704.62700672639994</v>
          </cell>
          <cell r="N8">
            <v>680.60171006719986</v>
          </cell>
          <cell r="O8">
            <v>704.39051740799994</v>
          </cell>
          <cell r="P8">
            <v>680.36522074879986</v>
          </cell>
          <cell r="Q8">
            <v>704.15402808959993</v>
          </cell>
          <cell r="R8">
            <v>680.12873143039985</v>
          </cell>
          <cell r="S8">
            <v>703.91753877119993</v>
          </cell>
          <cell r="T8">
            <v>679.89224211199985</v>
          </cell>
          <cell r="U8">
            <v>701.56215345279986</v>
          </cell>
          <cell r="V8">
            <v>679.65575279359985</v>
          </cell>
          <cell r="W8">
            <v>701.32566413439986</v>
          </cell>
          <cell r="X8">
            <v>679.41926347519984</v>
          </cell>
        </row>
      </sheetData>
      <sheetData sheetId="5">
        <row r="3">
          <cell r="E3">
            <v>1061.3384799999999</v>
          </cell>
          <cell r="F3">
            <v>1326.2532799999999</v>
          </cell>
          <cell r="G3">
            <v>1728.4933823999997</v>
          </cell>
          <cell r="H3">
            <v>1849.7400863999999</v>
          </cell>
          <cell r="I3">
            <v>2077.2476879999999</v>
          </cell>
          <cell r="J3">
            <v>2564.037992</v>
          </cell>
          <cell r="K3">
            <v>2936.1994960000002</v>
          </cell>
          <cell r="L3">
            <v>2936.1994960000002</v>
          </cell>
          <cell r="M3">
            <v>2684.2453936000002</v>
          </cell>
          <cell r="N3">
            <v>2936.1994960000002</v>
          </cell>
          <cell r="O3">
            <v>2684.2453936000002</v>
          </cell>
          <cell r="P3">
            <v>2936.1994960000002</v>
          </cell>
          <cell r="Q3">
            <v>2684.2453936000002</v>
          </cell>
          <cell r="R3">
            <v>2936.1994960000002</v>
          </cell>
          <cell r="S3">
            <v>2812.9075376000001</v>
          </cell>
          <cell r="T3">
            <v>3064.8616400000001</v>
          </cell>
          <cell r="U3">
            <v>2812.9075376000001</v>
          </cell>
          <cell r="V3">
            <v>3064.8616400000001</v>
          </cell>
          <cell r="W3">
            <v>2812.9075376000001</v>
          </cell>
          <cell r="X3">
            <v>3064.8616400000001</v>
          </cell>
        </row>
        <row r="4">
          <cell r="E4">
            <v>1401.7830262999998</v>
          </cell>
          <cell r="F4">
            <v>1398.8024603999993</v>
          </cell>
          <cell r="G4">
            <v>1507.7307774499996</v>
          </cell>
          <cell r="H4">
            <v>1640.0357286000001</v>
          </cell>
          <cell r="I4">
            <v>836.6897085999999</v>
          </cell>
          <cell r="J4">
            <v>894.27541259999998</v>
          </cell>
          <cell r="K4">
            <v>987.66566859999978</v>
          </cell>
          <cell r="L4">
            <v>984.15733260000002</v>
          </cell>
          <cell r="M4">
            <v>1011.4601086</v>
          </cell>
          <cell r="N4">
            <v>984.15733260000002</v>
          </cell>
          <cell r="O4">
            <v>987.66566859999989</v>
          </cell>
          <cell r="P4">
            <v>984.15733260000002</v>
          </cell>
          <cell r="Q4">
            <v>1011.4601086</v>
          </cell>
          <cell r="R4">
            <v>984.15733260000002</v>
          </cell>
          <cell r="S4">
            <v>987.66566859999989</v>
          </cell>
          <cell r="T4">
            <v>984.15733260000002</v>
          </cell>
          <cell r="U4">
            <v>1011.4601086</v>
          </cell>
          <cell r="V4">
            <v>984.15733260000002</v>
          </cell>
          <cell r="W4">
            <v>987.66566859999989</v>
          </cell>
          <cell r="X4">
            <v>984.15733260000002</v>
          </cell>
        </row>
        <row r="7">
          <cell r="E7">
            <v>1756.5435519999999</v>
          </cell>
          <cell r="F7">
            <v>1687.5721845999999</v>
          </cell>
          <cell r="G7">
            <v>1618.6008171999999</v>
          </cell>
          <cell r="H7">
            <v>1549.6294498000002</v>
          </cell>
          <cell r="I7">
            <v>1480.6580824000002</v>
          </cell>
          <cell r="J7">
            <v>1473.8357583200002</v>
          </cell>
          <cell r="K7">
            <v>1467.0134342400002</v>
          </cell>
          <cell r="L7">
            <v>1460.1911101600001</v>
          </cell>
          <cell r="M7">
            <v>1453.3687860800001</v>
          </cell>
          <cell r="N7">
            <v>1446.546462</v>
          </cell>
          <cell r="O7">
            <v>1439.7241379200002</v>
          </cell>
          <cell r="P7">
            <v>1432.9018138400002</v>
          </cell>
          <cell r="Q7">
            <v>1426.0794897600001</v>
          </cell>
          <cell r="R7">
            <v>1419.2571656800001</v>
          </cell>
          <cell r="S7">
            <v>1412.4348416</v>
          </cell>
          <cell r="T7">
            <v>1405.61251752</v>
          </cell>
          <cell r="U7">
            <v>1398.7901934400002</v>
          </cell>
          <cell r="V7">
            <v>1391.9678693600001</v>
          </cell>
          <cell r="W7">
            <v>1385.1455452800001</v>
          </cell>
          <cell r="X7">
            <v>1378.3232212</v>
          </cell>
        </row>
        <row r="8">
          <cell r="E8">
            <v>693.22571500000004</v>
          </cell>
          <cell r="F8">
            <v>674.76560540000003</v>
          </cell>
          <cell r="G8">
            <v>686.33476780000001</v>
          </cell>
          <cell r="H8">
            <v>667.8746582</v>
          </cell>
          <cell r="I8">
            <v>679.44382060000009</v>
          </cell>
          <cell r="J8">
            <v>660.98371100000008</v>
          </cell>
          <cell r="K8">
            <v>672.55287340000007</v>
          </cell>
          <cell r="L8">
            <v>654.09276380000006</v>
          </cell>
          <cell r="M8">
            <v>665.66192620000015</v>
          </cell>
          <cell r="N8">
            <v>647.20181660000014</v>
          </cell>
          <cell r="O8">
            <v>658.77097900000012</v>
          </cell>
          <cell r="P8">
            <v>640.31086940000012</v>
          </cell>
          <cell r="Q8">
            <v>651.8800318000001</v>
          </cell>
          <cell r="R8">
            <v>633.4199222000002</v>
          </cell>
          <cell r="S8">
            <v>644.98908460000018</v>
          </cell>
          <cell r="T8">
            <v>626.52897500000017</v>
          </cell>
          <cell r="U8">
            <v>638.09813740000016</v>
          </cell>
          <cell r="V8">
            <v>619.63802780000026</v>
          </cell>
          <cell r="W8">
            <v>631.20719020000024</v>
          </cell>
          <cell r="X8">
            <v>612.74708060000023</v>
          </cell>
        </row>
      </sheetData>
      <sheetData sheetId="6">
        <row r="3">
          <cell r="E3">
            <v>709.01547199999993</v>
          </cell>
          <cell r="F3">
            <v>949.43027199999995</v>
          </cell>
          <cell r="G3">
            <v>1128.373472</v>
          </cell>
          <cell r="H3">
            <v>1024.458672</v>
          </cell>
          <cell r="I3">
            <v>1250.101672</v>
          </cell>
          <cell r="J3">
            <v>1585.230472</v>
          </cell>
          <cell r="K3">
            <v>1879.230472</v>
          </cell>
          <cell r="L3">
            <v>1879.230472</v>
          </cell>
          <cell r="M3">
            <v>1806.101872</v>
          </cell>
          <cell r="N3">
            <v>1879.230472</v>
          </cell>
          <cell r="O3">
            <v>1806.101872</v>
          </cell>
          <cell r="P3">
            <v>1879.230472</v>
          </cell>
          <cell r="Q3">
            <v>1806.101872</v>
          </cell>
          <cell r="R3">
            <v>1879.230472</v>
          </cell>
          <cell r="S3">
            <v>1934.7640160000001</v>
          </cell>
          <cell r="T3">
            <v>2007.8926160000001</v>
          </cell>
          <cell r="U3">
            <v>1934.7640160000001</v>
          </cell>
          <cell r="V3">
            <v>2007.8926160000001</v>
          </cell>
          <cell r="W3">
            <v>1934.7640160000001</v>
          </cell>
          <cell r="X3">
            <v>2007.8926160000001</v>
          </cell>
        </row>
        <row r="4">
          <cell r="E4">
            <v>983.00696680000033</v>
          </cell>
          <cell r="F4">
            <v>959.07097760000022</v>
          </cell>
          <cell r="G4">
            <v>1089.4416844000002</v>
          </cell>
          <cell r="H4">
            <v>1109.2738952000004</v>
          </cell>
          <cell r="I4">
            <v>584.68399520000003</v>
          </cell>
          <cell r="J4">
            <v>557.38121920000003</v>
          </cell>
          <cell r="K4">
            <v>560.88955520000002</v>
          </cell>
          <cell r="L4">
            <v>557.38121919999992</v>
          </cell>
          <cell r="M4">
            <v>584.68399520000003</v>
          </cell>
          <cell r="N4">
            <v>557.38121919999992</v>
          </cell>
          <cell r="O4">
            <v>560.8895551999999</v>
          </cell>
          <cell r="P4">
            <v>557.38121919999992</v>
          </cell>
          <cell r="Q4">
            <v>584.68399520000003</v>
          </cell>
          <cell r="R4">
            <v>557.38121919999992</v>
          </cell>
          <cell r="S4">
            <v>560.8895551999999</v>
          </cell>
          <cell r="T4">
            <v>557.38121919999992</v>
          </cell>
          <cell r="U4">
            <v>584.68399520000003</v>
          </cell>
          <cell r="V4">
            <v>557.38121919999992</v>
          </cell>
          <cell r="W4">
            <v>560.8895551999999</v>
          </cell>
          <cell r="X4">
            <v>557.38121919999992</v>
          </cell>
        </row>
        <row r="7">
          <cell r="E7">
            <v>603.22151199999996</v>
          </cell>
          <cell r="F7">
            <v>579.17529890000003</v>
          </cell>
          <cell r="G7">
            <v>555.68416708000007</v>
          </cell>
          <cell r="H7">
            <v>532.72036247599999</v>
          </cell>
          <cell r="I7">
            <v>510.25751872720002</v>
          </cell>
          <cell r="J7">
            <v>498.79885229083993</v>
          </cell>
          <cell r="K7">
            <v>496.38252929083995</v>
          </cell>
          <cell r="L7">
            <v>493.96620629083998</v>
          </cell>
          <cell r="M7">
            <v>491.54988329083994</v>
          </cell>
          <cell r="N7">
            <v>489.13356029083997</v>
          </cell>
          <cell r="O7">
            <v>486.71723729083993</v>
          </cell>
          <cell r="P7">
            <v>484.30091429083996</v>
          </cell>
          <cell r="Q7">
            <v>481.88459129083998</v>
          </cell>
          <cell r="R7">
            <v>479.46826829083994</v>
          </cell>
          <cell r="S7">
            <v>477.05194529083997</v>
          </cell>
          <cell r="T7">
            <v>474.63562229083993</v>
          </cell>
          <cell r="U7">
            <v>472.21929929083996</v>
          </cell>
          <cell r="V7">
            <v>469.80297629083998</v>
          </cell>
          <cell r="W7">
            <v>467.38665329083994</v>
          </cell>
          <cell r="X7">
            <v>464.97033029083997</v>
          </cell>
        </row>
        <row r="8">
          <cell r="E8">
            <v>194.77847599999998</v>
          </cell>
          <cell r="F8">
            <v>191.27014</v>
          </cell>
          <cell r="G8">
            <v>194.77847599999998</v>
          </cell>
          <cell r="H8">
            <v>191.27014</v>
          </cell>
          <cell r="I8">
            <v>194.77847599999998</v>
          </cell>
          <cell r="J8">
            <v>191.27014</v>
          </cell>
          <cell r="K8">
            <v>194.77847599999998</v>
          </cell>
          <cell r="L8">
            <v>191.27014</v>
          </cell>
          <cell r="M8">
            <v>194.77847599999998</v>
          </cell>
          <cell r="N8">
            <v>191.27014</v>
          </cell>
          <cell r="O8">
            <v>194.77847599999998</v>
          </cell>
          <cell r="P8">
            <v>191.27014</v>
          </cell>
          <cell r="Q8">
            <v>194.77847599999998</v>
          </cell>
          <cell r="R8">
            <v>191.27014</v>
          </cell>
          <cell r="S8">
            <v>194.77847599999998</v>
          </cell>
          <cell r="T8">
            <v>191.27014</v>
          </cell>
          <cell r="U8">
            <v>194.77847599999998</v>
          </cell>
          <cell r="V8">
            <v>191.27014</v>
          </cell>
          <cell r="W8">
            <v>194.77847599999998</v>
          </cell>
          <cell r="X8">
            <v>191.27014</v>
          </cell>
        </row>
      </sheetData>
      <sheetData sheetId="7">
        <row r="3">
          <cell r="E3">
            <v>429.00041630029466</v>
          </cell>
          <cell r="F3">
            <v>437.85027744797071</v>
          </cell>
          <cell r="G3">
            <v>437.85027744797071</v>
          </cell>
          <cell r="H3">
            <v>429.00041630029466</v>
          </cell>
          <cell r="I3">
            <v>459.3935403115388</v>
          </cell>
          <cell r="J3">
            <v>477.49793917510681</v>
          </cell>
          <cell r="K3">
            <v>498.46805803867483</v>
          </cell>
          <cell r="L3">
            <v>503.37365289099876</v>
          </cell>
          <cell r="M3">
            <v>521.96696203867475</v>
          </cell>
          <cell r="N3">
            <v>528.8446900386748</v>
          </cell>
          <cell r="O3">
            <v>528.8446900386748</v>
          </cell>
          <cell r="P3">
            <v>519.99482889099875</v>
          </cell>
          <cell r="Q3">
            <v>528.8446900386748</v>
          </cell>
          <cell r="R3">
            <v>528.8446900386748</v>
          </cell>
          <cell r="S3">
            <v>528.8446900386748</v>
          </cell>
          <cell r="T3">
            <v>519.99482889099875</v>
          </cell>
          <cell r="U3">
            <v>528.8446900386748</v>
          </cell>
          <cell r="V3">
            <v>528.8446900386748</v>
          </cell>
          <cell r="W3">
            <v>528.8446900386748</v>
          </cell>
          <cell r="X3">
            <v>519.99482889099875</v>
          </cell>
        </row>
        <row r="4">
          <cell r="E4">
            <v>488.97131454421657</v>
          </cell>
          <cell r="F4">
            <v>261.36607005791734</v>
          </cell>
          <cell r="G4">
            <v>271.2129557430485</v>
          </cell>
          <cell r="H4">
            <v>264.26226525791731</v>
          </cell>
          <cell r="I4">
            <v>268.87286496959621</v>
          </cell>
          <cell r="J4">
            <v>265.82884021260782</v>
          </cell>
          <cell r="K4">
            <v>271.68097389773891</v>
          </cell>
          <cell r="L4">
            <v>264.26226525791731</v>
          </cell>
          <cell r="M4">
            <v>268.87286496959621</v>
          </cell>
          <cell r="N4">
            <v>265.82884021260782</v>
          </cell>
          <cell r="O4">
            <v>271.68097389773891</v>
          </cell>
          <cell r="P4">
            <v>264.26226525791731</v>
          </cell>
          <cell r="Q4">
            <v>268.87286496959621</v>
          </cell>
          <cell r="R4">
            <v>265.82884021260782</v>
          </cell>
          <cell r="S4">
            <v>271.68097389773891</v>
          </cell>
          <cell r="T4">
            <v>264.26226525791731</v>
          </cell>
          <cell r="U4">
            <v>268.87286496959621</v>
          </cell>
          <cell r="V4">
            <v>265.82884021260782</v>
          </cell>
          <cell r="W4">
            <v>271.68097389773891</v>
          </cell>
          <cell r="X4">
            <v>264.26226525791731</v>
          </cell>
        </row>
        <row r="7">
          <cell r="E7">
            <v>322.42994114699661</v>
          </cell>
          <cell r="F7">
            <v>320.72106245891757</v>
          </cell>
          <cell r="G7">
            <v>319.02124082788532</v>
          </cell>
          <cell r="H7">
            <v>317.33042825149755</v>
          </cell>
          <cell r="I7">
            <v>315.64857698176462</v>
          </cell>
          <cell r="J7">
            <v>313.97563952376129</v>
          </cell>
          <cell r="K7">
            <v>312.31156863428532</v>
          </cell>
          <cell r="L7">
            <v>310.65631732052361</v>
          </cell>
          <cell r="M7">
            <v>309.00983883872487</v>
          </cell>
          <cell r="N7">
            <v>307.37208669287963</v>
          </cell>
          <cell r="O7">
            <v>305.74301463340737</v>
          </cell>
          <cell r="P7">
            <v>304.12257665585031</v>
          </cell>
          <cell r="Q7">
            <v>302.51072699957433</v>
          </cell>
          <cell r="R7">
            <v>300.90742014647662</v>
          </cell>
          <cell r="S7">
            <v>299.31261081970024</v>
          </cell>
          <cell r="T7">
            <v>297.72625398235584</v>
          </cell>
          <cell r="U7">
            <v>296.14830483624939</v>
          </cell>
          <cell r="V7">
            <v>294.57871882061727</v>
          </cell>
          <cell r="W7">
            <v>293.01745161086797</v>
          </cell>
          <cell r="X7">
            <v>291.46445911733042</v>
          </cell>
        </row>
        <row r="8">
          <cell r="E8">
            <v>201.79929051065182</v>
          </cell>
          <cell r="F8">
            <v>201.79929051065182</v>
          </cell>
          <cell r="G8">
            <v>201.79929051065182</v>
          </cell>
          <cell r="H8">
            <v>201.79929051065182</v>
          </cell>
          <cell r="I8">
            <v>201.79929051065182</v>
          </cell>
          <cell r="J8">
            <v>201.79929051065182</v>
          </cell>
          <cell r="K8">
            <v>201.79929051065182</v>
          </cell>
          <cell r="L8">
            <v>201.79929051065182</v>
          </cell>
          <cell r="M8">
            <v>201.79929051065182</v>
          </cell>
          <cell r="N8">
            <v>201.79929051065182</v>
          </cell>
          <cell r="O8">
            <v>201.79929051065182</v>
          </cell>
          <cell r="P8">
            <v>201.79929051065182</v>
          </cell>
          <cell r="Q8">
            <v>201.79929051065182</v>
          </cell>
          <cell r="R8">
            <v>201.79929051065182</v>
          </cell>
          <cell r="S8">
            <v>201.79929051065182</v>
          </cell>
          <cell r="T8">
            <v>201.79929051065182</v>
          </cell>
          <cell r="U8">
            <v>201.79929051065182</v>
          </cell>
          <cell r="V8">
            <v>201.79929051065182</v>
          </cell>
          <cell r="W8">
            <v>201.79929051065182</v>
          </cell>
          <cell r="X8">
            <v>201.79929051065182</v>
          </cell>
        </row>
      </sheetData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U102"/>
  <sheetViews>
    <sheetView topLeftCell="A55" zoomScale="130" zoomScaleNormal="130" workbookViewId="0">
      <selection activeCell="B74" sqref="B74"/>
    </sheetView>
  </sheetViews>
  <sheetFormatPr defaultRowHeight="11.25"/>
  <cols>
    <col min="1" max="1" width="24" style="2" customWidth="1"/>
    <col min="2" max="2" width="8.5703125" style="2" bestFit="1" customWidth="1"/>
    <col min="3" max="10" width="8.28515625" style="2" bestFit="1" customWidth="1"/>
    <col min="11" max="11" width="10.7109375" style="2" customWidth="1"/>
    <col min="12" max="21" width="9.42578125" style="2" bestFit="1" customWidth="1"/>
    <col min="22" max="16384" width="9.140625" style="2"/>
  </cols>
  <sheetData>
    <row r="3" spans="1:21">
      <c r="A3" s="15" t="s">
        <v>0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</row>
    <row r="4" spans="1:21">
      <c r="A4" s="4" t="s">
        <v>1</v>
      </c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9</v>
      </c>
      <c r="J4" s="4" t="s">
        <v>10</v>
      </c>
      <c r="K4" s="4" t="s">
        <v>11</v>
      </c>
      <c r="L4" s="4" t="s">
        <v>12</v>
      </c>
      <c r="M4" s="4" t="s">
        <v>13</v>
      </c>
      <c r="N4" s="4" t="s">
        <v>14</v>
      </c>
      <c r="O4" s="4" t="s">
        <v>15</v>
      </c>
      <c r="P4" s="4" t="s">
        <v>16</v>
      </c>
      <c r="Q4" s="4" t="s">
        <v>17</v>
      </c>
      <c r="R4" s="4" t="s">
        <v>18</v>
      </c>
      <c r="S4" s="4" t="s">
        <v>19</v>
      </c>
      <c r="T4" s="4" t="s">
        <v>20</v>
      </c>
      <c r="U4" s="4" t="s">
        <v>21</v>
      </c>
    </row>
    <row r="5" spans="1:21">
      <c r="A5" s="3" t="s">
        <v>22</v>
      </c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</row>
    <row r="6" spans="1:21">
      <c r="A6" s="3" t="s">
        <v>23</v>
      </c>
      <c r="B6" s="1">
        <f>'[1]GRANOS BÁSICOS'!E3</f>
        <v>1306.3999999999999</v>
      </c>
      <c r="C6" s="1">
        <f>'[1]GRANOS BÁSICOS'!F3</f>
        <v>1319.24</v>
      </c>
      <c r="D6" s="1">
        <f>'[1]GRANOS BÁSICOS'!G3</f>
        <v>1353.68</v>
      </c>
      <c r="E6" s="1">
        <f>'[1]GRANOS BÁSICOS'!H3</f>
        <v>1388.12</v>
      </c>
      <c r="F6" s="1">
        <f>'[1]GRANOS BÁSICOS'!I3</f>
        <v>1453.06</v>
      </c>
      <c r="G6" s="1">
        <f>'[1]GRANOS BÁSICOS'!J3</f>
        <v>1468.0999999999997</v>
      </c>
      <c r="H6" s="1">
        <f>'[1]GRANOS BÁSICOS'!K3</f>
        <v>1502.5399999999997</v>
      </c>
      <c r="I6" s="1">
        <f>'[1]GRANOS BÁSICOS'!L3</f>
        <v>1536.9799999999998</v>
      </c>
      <c r="J6" s="1">
        <f>'[1]GRANOS BÁSICOS'!M3</f>
        <v>1571.4199999999998</v>
      </c>
      <c r="K6" s="1">
        <f>'[1]GRANOS BÁSICOS'!N3</f>
        <v>1683.9399999999998</v>
      </c>
      <c r="L6" s="1">
        <f>'[1]GRANOS BÁSICOS'!O3</f>
        <v>1679.9399999999998</v>
      </c>
      <c r="M6" s="1">
        <f>'[1]GRANOS BÁSICOS'!P3</f>
        <v>1679.9399999999998</v>
      </c>
      <c r="N6" s="1">
        <f>'[1]GRANOS BÁSICOS'!Q3</f>
        <v>1679.9399999999998</v>
      </c>
      <c r="O6" s="1">
        <f>'[1]GRANOS BÁSICOS'!R3</f>
        <v>1679.9399999999998</v>
      </c>
      <c r="P6" s="1">
        <f>'[1]GRANOS BÁSICOS'!S3</f>
        <v>1758.02</v>
      </c>
      <c r="Q6" s="1">
        <f>'[1]GRANOS BÁSICOS'!T3</f>
        <v>1754.02</v>
      </c>
      <c r="R6" s="1">
        <f>'[1]GRANOS BÁSICOS'!U3</f>
        <v>1754.02</v>
      </c>
      <c r="S6" s="1">
        <f>'[1]GRANOS BÁSICOS'!V3</f>
        <v>1754.02</v>
      </c>
      <c r="T6" s="1">
        <f>'[1]GRANOS BÁSICOS'!W3</f>
        <v>1754.02</v>
      </c>
      <c r="U6" s="1">
        <f>'[1]GRANOS BÁSICOS'!X3</f>
        <v>1758.02</v>
      </c>
    </row>
    <row r="7" spans="1:21">
      <c r="A7" s="3" t="s">
        <v>24</v>
      </c>
      <c r="B7" s="1">
        <f>'[1]GRANOS BÁSICOS'!E4</f>
        <v>2003.0142000000003</v>
      </c>
      <c r="C7" s="1">
        <f>'[1]GRANOS BÁSICOS'!F4</f>
        <v>1249.6108489400001</v>
      </c>
      <c r="D7" s="1">
        <f>'[1]GRANOS BÁSICOS'!G4</f>
        <v>1295.0795619217581</v>
      </c>
      <c r="E7" s="1">
        <f>'[1]GRANOS BÁSICOS'!H4</f>
        <v>1230.4630238942366</v>
      </c>
      <c r="F7" s="1">
        <f>'[1]GRANOS BÁSICOS'!I4</f>
        <v>1337.3819534922798</v>
      </c>
      <c r="G7" s="1">
        <f>'[1]GRANOS BÁSICOS'!J4</f>
        <v>1224.1515024933199</v>
      </c>
      <c r="H7" s="1">
        <f>'[1]GRANOS BÁSICOS'!K4</f>
        <v>1270.234855282951</v>
      </c>
      <c r="I7" s="1">
        <f>'[1]GRANOS BÁSICOS'!L4</f>
        <v>1206.3224283292309</v>
      </c>
      <c r="J7" s="1">
        <f>'[1]GRANOS BÁSICOS'!M4</f>
        <v>1296.554669665562</v>
      </c>
      <c r="K7" s="1">
        <f>'[1]GRANOS BÁSICOS'!N4</f>
        <v>1205.9748583820115</v>
      </c>
      <c r="L7" s="1">
        <f>'[1]GRANOS BÁSICOS'!O4</f>
        <v>1265.7095041249329</v>
      </c>
      <c r="M7" s="1">
        <f>'[1]GRANOS BÁSICOS'!P4</f>
        <v>1173.9707466047485</v>
      </c>
      <c r="N7" s="1">
        <f>'[1]GRANOS BÁSICOS'!Q4</f>
        <v>1265.7467551117591</v>
      </c>
      <c r="O7" s="1">
        <f>'[1]GRANOS BÁSICOS'!R4</f>
        <v>1159.5157280398512</v>
      </c>
      <c r="P7" s="1">
        <f>'[1]GRANOS BÁSICOS'!S4</f>
        <v>1224.6058924179695</v>
      </c>
      <c r="Q7" s="1">
        <f>'[1]GRANOS BÁSICOS'!T4</f>
        <v>1152.4558924179692</v>
      </c>
      <c r="R7" s="1">
        <f>'[1]GRANOS BÁSICOS'!U4</f>
        <v>1251.5158924179693</v>
      </c>
      <c r="S7" s="1">
        <f>'[1]GRANOS BÁSICOS'!V4</f>
        <v>1152.4558924179692</v>
      </c>
      <c r="T7" s="1">
        <f>'[1]GRANOS BÁSICOS'!W4</f>
        <v>1207.5158924179693</v>
      </c>
      <c r="U7" s="1">
        <f>'[1]GRANOS BÁSICOS'!X4</f>
        <v>1198.8258924179695</v>
      </c>
    </row>
    <row r="8" spans="1:21">
      <c r="A8" s="3" t="s">
        <v>25</v>
      </c>
      <c r="B8" s="1">
        <f>B6-B7</f>
        <v>-696.61420000000044</v>
      </c>
      <c r="C8" s="1">
        <f t="shared" ref="C8:U8" si="0">C6-C7</f>
        <v>69.629151059999913</v>
      </c>
      <c r="D8" s="1">
        <f t="shared" si="0"/>
        <v>58.60043807824195</v>
      </c>
      <c r="E8" s="1">
        <f t="shared" si="0"/>
        <v>157.65697610576331</v>
      </c>
      <c r="F8" s="1">
        <f t="shared" si="0"/>
        <v>115.67804650772018</v>
      </c>
      <c r="G8" s="1">
        <f t="shared" si="0"/>
        <v>243.94849750667981</v>
      </c>
      <c r="H8" s="1">
        <f t="shared" si="0"/>
        <v>232.30514471704873</v>
      </c>
      <c r="I8" s="1">
        <f t="shared" si="0"/>
        <v>330.6575716707689</v>
      </c>
      <c r="J8" s="1">
        <f t="shared" si="0"/>
        <v>274.86533033443789</v>
      </c>
      <c r="K8" s="1">
        <f t="shared" si="0"/>
        <v>477.96514161798837</v>
      </c>
      <c r="L8" s="1">
        <f t="shared" si="0"/>
        <v>414.23049587506694</v>
      </c>
      <c r="M8" s="1">
        <f t="shared" si="0"/>
        <v>505.96925339525137</v>
      </c>
      <c r="N8" s="1">
        <f t="shared" si="0"/>
        <v>414.19324488824077</v>
      </c>
      <c r="O8" s="1">
        <f t="shared" si="0"/>
        <v>520.42427196014864</v>
      </c>
      <c r="P8" s="1">
        <f t="shared" si="0"/>
        <v>533.41410758203051</v>
      </c>
      <c r="Q8" s="1">
        <f t="shared" si="0"/>
        <v>601.56410758203083</v>
      </c>
      <c r="R8" s="1">
        <f t="shared" si="0"/>
        <v>502.50410758203066</v>
      </c>
      <c r="S8" s="1">
        <f t="shared" si="0"/>
        <v>601.56410758203083</v>
      </c>
      <c r="T8" s="1">
        <f t="shared" si="0"/>
        <v>546.50410758203066</v>
      </c>
      <c r="U8" s="1">
        <f t="shared" si="0"/>
        <v>559.19410758203048</v>
      </c>
    </row>
    <row r="9" spans="1:21">
      <c r="A9" s="3" t="s">
        <v>26</v>
      </c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</row>
    <row r="10" spans="1:21">
      <c r="A10" s="3" t="s">
        <v>23</v>
      </c>
      <c r="B10" s="1">
        <f>'[1]GRANOS BÁSICOS'!E7</f>
        <v>1041.5999999999999</v>
      </c>
      <c r="C10" s="1">
        <f>'[1]GRANOS BÁSICOS'!F7</f>
        <v>1036.8776855999999</v>
      </c>
      <c r="D10" s="1">
        <f>'[1]GRANOS BÁSICOS'!G7</f>
        <v>1032.1553712</v>
      </c>
      <c r="E10" s="1">
        <f>'[1]GRANOS BÁSICOS'!H7</f>
        <v>1027.4330568</v>
      </c>
      <c r="F10" s="1">
        <f>'[1]GRANOS BÁSICOS'!I7</f>
        <v>1022.7107424000001</v>
      </c>
      <c r="G10" s="1">
        <f>'[1]GRANOS BÁSICOS'!J7</f>
        <v>1017.9884280000001</v>
      </c>
      <c r="H10" s="1">
        <f>'[1]GRANOS BÁSICOS'!K7</f>
        <v>1013.2661136000002</v>
      </c>
      <c r="I10" s="1">
        <f>'[1]GRANOS BÁSICOS'!L7</f>
        <v>1008.5437992000001</v>
      </c>
      <c r="J10" s="1">
        <f>'[1]GRANOS BÁSICOS'!M7</f>
        <v>1003.8214848</v>
      </c>
      <c r="K10" s="1">
        <f>'[1]GRANOS BÁSICOS'!N7</f>
        <v>999.09917040000016</v>
      </c>
      <c r="L10" s="1">
        <f>'[1]GRANOS BÁSICOS'!O7</f>
        <v>994.3768560000002</v>
      </c>
      <c r="M10" s="1">
        <f>'[1]GRANOS BÁSICOS'!P7</f>
        <v>989.65454160000013</v>
      </c>
      <c r="N10" s="1">
        <f>'[1]GRANOS BÁSICOS'!Q7</f>
        <v>984.93222720000017</v>
      </c>
      <c r="O10" s="1">
        <f>'[1]GRANOS BÁSICOS'!R7</f>
        <v>980.20991280000021</v>
      </c>
      <c r="P10" s="1">
        <f>'[1]GRANOS BÁSICOS'!S7</f>
        <v>975.48759840000025</v>
      </c>
      <c r="Q10" s="1">
        <f>'[1]GRANOS BÁSICOS'!T7</f>
        <v>970.76528400000029</v>
      </c>
      <c r="R10" s="1">
        <f>'[1]GRANOS BÁSICOS'!U7</f>
        <v>966.04296960000022</v>
      </c>
      <c r="S10" s="1">
        <f>'[1]GRANOS BÁSICOS'!V7</f>
        <v>961.32065520000037</v>
      </c>
      <c r="T10" s="1">
        <f>'[1]GRANOS BÁSICOS'!W7</f>
        <v>956.59834080000041</v>
      </c>
      <c r="U10" s="1">
        <f>'[1]GRANOS BÁSICOS'!X7</f>
        <v>951.87602640000034</v>
      </c>
    </row>
    <row r="11" spans="1:21">
      <c r="A11" s="3" t="s">
        <v>24</v>
      </c>
      <c r="B11" s="1">
        <f>'[1]GRANOS BÁSICOS'!E8</f>
        <v>995.38999999999987</v>
      </c>
      <c r="C11" s="1">
        <f>'[1]GRANOS BÁSICOS'!F8</f>
        <v>967.66866559999994</v>
      </c>
      <c r="D11" s="1">
        <f>'[1]GRANOS BÁSICOS'!G8</f>
        <v>995.00733119999995</v>
      </c>
      <c r="E11" s="1">
        <f>'[1]GRANOS BÁSICOS'!H8</f>
        <v>967.28599680000002</v>
      </c>
      <c r="F11" s="1">
        <f>'[1]GRANOS BÁSICOS'!I8</f>
        <v>994.62466239999981</v>
      </c>
      <c r="G11" s="1">
        <f>'[1]GRANOS BÁSICOS'!J8</f>
        <v>966.90332799999987</v>
      </c>
      <c r="H11" s="1">
        <f>'[1]GRANOS BÁSICOS'!K8</f>
        <v>994.24199359999989</v>
      </c>
      <c r="I11" s="1">
        <f>'[1]GRANOS BÁSICOS'!L8</f>
        <v>966.52065919999995</v>
      </c>
      <c r="J11" s="1">
        <f>'[1]GRANOS BÁSICOS'!M8</f>
        <v>993.85932479999997</v>
      </c>
      <c r="K11" s="1">
        <f>'[1]GRANOS BÁSICOS'!N8</f>
        <v>966.13799040000004</v>
      </c>
      <c r="L11" s="1">
        <f>'[1]GRANOS BÁSICOS'!O8</f>
        <v>993.47665599999982</v>
      </c>
      <c r="M11" s="1">
        <f>'[1]GRANOS BÁSICOS'!P8</f>
        <v>965.75532159999989</v>
      </c>
      <c r="N11" s="1">
        <f>'[1]GRANOS BÁSICOS'!Q8</f>
        <v>993.0939871999999</v>
      </c>
      <c r="O11" s="1">
        <f>'[1]GRANOS BÁSICOS'!R8</f>
        <v>965.37265279999997</v>
      </c>
      <c r="P11" s="1">
        <f>'[1]GRANOS BÁSICOS'!S8</f>
        <v>992.71131839999998</v>
      </c>
      <c r="Q11" s="1">
        <f>'[1]GRANOS BÁSICOS'!T8</f>
        <v>964.98998399999982</v>
      </c>
      <c r="R11" s="1">
        <f>'[1]GRANOS BÁSICOS'!U8</f>
        <v>989.88864960000001</v>
      </c>
      <c r="S11" s="1">
        <f>'[1]GRANOS BÁSICOS'!V8</f>
        <v>964.6073151999999</v>
      </c>
      <c r="T11" s="1">
        <f>'[1]GRANOS BÁSICOS'!W8</f>
        <v>989.50598080000009</v>
      </c>
      <c r="U11" s="1">
        <f>'[1]GRANOS BÁSICOS'!X8</f>
        <v>964.22464639999998</v>
      </c>
    </row>
    <row r="12" spans="1:21">
      <c r="A12" s="3" t="s">
        <v>25</v>
      </c>
      <c r="B12" s="1">
        <f>B10-B11</f>
        <v>46.210000000000036</v>
      </c>
      <c r="C12" s="1">
        <f t="shared" ref="C12:U12" si="1">C10-C11</f>
        <v>69.20902000000001</v>
      </c>
      <c r="D12" s="1">
        <f t="shared" si="1"/>
        <v>37.148040000000037</v>
      </c>
      <c r="E12" s="1">
        <f t="shared" si="1"/>
        <v>60.14706000000001</v>
      </c>
      <c r="F12" s="1">
        <f t="shared" si="1"/>
        <v>28.086080000000265</v>
      </c>
      <c r="G12" s="1">
        <f t="shared" si="1"/>
        <v>51.085100000000239</v>
      </c>
      <c r="H12" s="1">
        <f t="shared" si="1"/>
        <v>19.024120000000266</v>
      </c>
      <c r="I12" s="1">
        <f t="shared" si="1"/>
        <v>42.023140000000126</v>
      </c>
      <c r="J12" s="1">
        <f t="shared" si="1"/>
        <v>9.9621600000000399</v>
      </c>
      <c r="K12" s="1">
        <f t="shared" si="1"/>
        <v>32.961180000000127</v>
      </c>
      <c r="L12" s="1">
        <f t="shared" si="1"/>
        <v>0.90020000000038181</v>
      </c>
      <c r="M12" s="1">
        <f t="shared" si="1"/>
        <v>23.899220000000241</v>
      </c>
      <c r="N12" s="1">
        <f t="shared" si="1"/>
        <v>-8.161759999999731</v>
      </c>
      <c r="O12" s="1">
        <f t="shared" si="1"/>
        <v>14.837260000000242</v>
      </c>
      <c r="P12" s="1">
        <f t="shared" si="1"/>
        <v>-17.22371999999973</v>
      </c>
      <c r="Q12" s="1">
        <f t="shared" si="1"/>
        <v>5.7753000000004704</v>
      </c>
      <c r="R12" s="1">
        <f t="shared" si="1"/>
        <v>-23.845679999999788</v>
      </c>
      <c r="S12" s="1">
        <f t="shared" si="1"/>
        <v>-3.2866599999995287</v>
      </c>
      <c r="T12" s="1">
        <f t="shared" si="1"/>
        <v>-32.907639999999674</v>
      </c>
      <c r="U12" s="1">
        <f t="shared" si="1"/>
        <v>-12.348619999999642</v>
      </c>
    </row>
    <row r="13" spans="1:21">
      <c r="A13" s="3" t="s">
        <v>27</v>
      </c>
      <c r="B13" s="1">
        <f>B8-B12</f>
        <v>-742.82420000000047</v>
      </c>
      <c r="C13" s="1">
        <f t="shared" ref="C13:U13" si="2">C8-C12</f>
        <v>0.4201310599999033</v>
      </c>
      <c r="D13" s="1">
        <f t="shared" si="2"/>
        <v>21.452398078241913</v>
      </c>
      <c r="E13" s="1">
        <f t="shared" si="2"/>
        <v>97.509916105763295</v>
      </c>
      <c r="F13" s="1">
        <f t="shared" si="2"/>
        <v>87.591966507719917</v>
      </c>
      <c r="G13" s="1">
        <f t="shared" si="2"/>
        <v>192.86339750667958</v>
      </c>
      <c r="H13" s="1">
        <f t="shared" si="2"/>
        <v>213.28102471704847</v>
      </c>
      <c r="I13" s="1">
        <f t="shared" si="2"/>
        <v>288.63443167076878</v>
      </c>
      <c r="J13" s="1">
        <f t="shared" si="2"/>
        <v>264.90317033443785</v>
      </c>
      <c r="K13" s="1">
        <f t="shared" si="2"/>
        <v>445.00396161798824</v>
      </c>
      <c r="L13" s="1">
        <f t="shared" si="2"/>
        <v>413.33029587506655</v>
      </c>
      <c r="M13" s="1">
        <f t="shared" si="2"/>
        <v>482.07003339525113</v>
      </c>
      <c r="N13" s="1">
        <f t="shared" si="2"/>
        <v>422.3550048882405</v>
      </c>
      <c r="O13" s="1">
        <f t="shared" si="2"/>
        <v>505.5870119601484</v>
      </c>
      <c r="P13" s="1">
        <f t="shared" si="2"/>
        <v>550.63782758203024</v>
      </c>
      <c r="Q13" s="1">
        <f t="shared" si="2"/>
        <v>595.78880758203036</v>
      </c>
      <c r="R13" s="1">
        <f t="shared" si="2"/>
        <v>526.34978758203044</v>
      </c>
      <c r="S13" s="1">
        <f t="shared" si="2"/>
        <v>604.85076758203036</v>
      </c>
      <c r="T13" s="1">
        <f t="shared" si="2"/>
        <v>579.41174758203033</v>
      </c>
      <c r="U13" s="1">
        <f t="shared" si="2"/>
        <v>571.54272758203012</v>
      </c>
    </row>
    <row r="14" spans="1:21">
      <c r="A14" s="4" t="s">
        <v>28</v>
      </c>
      <c r="B14" s="12">
        <f>NPV(12%,B13:U13)</f>
        <v>936.03609150273871</v>
      </c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</row>
    <row r="15" spans="1:21">
      <c r="A15" s="4" t="s">
        <v>29</v>
      </c>
      <c r="B15" s="13">
        <f>IRR(B13:U13)</f>
        <v>0.22442271442322137</v>
      </c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</row>
    <row r="16" spans="1:21">
      <c r="A16" s="4" t="s">
        <v>30</v>
      </c>
      <c r="B16" s="12">
        <f>-PMT(12%,20,B14)</f>
        <v>125.31537000347885</v>
      </c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</row>
    <row r="20" spans="1:21">
      <c r="A20" s="4" t="s">
        <v>31</v>
      </c>
      <c r="B20" s="4" t="s">
        <v>2</v>
      </c>
      <c r="C20" s="4" t="s">
        <v>3</v>
      </c>
      <c r="D20" s="4" t="s">
        <v>4</v>
      </c>
      <c r="E20" s="4" t="s">
        <v>5</v>
      </c>
      <c r="F20" s="4" t="s">
        <v>6</v>
      </c>
      <c r="G20" s="4" t="s">
        <v>7</v>
      </c>
      <c r="H20" s="4" t="s">
        <v>8</v>
      </c>
      <c r="I20" s="4" t="s">
        <v>9</v>
      </c>
      <c r="J20" s="4" t="s">
        <v>10</v>
      </c>
      <c r="K20" s="4" t="s">
        <v>11</v>
      </c>
      <c r="L20" s="4" t="s">
        <v>12</v>
      </c>
      <c r="M20" s="4" t="s">
        <v>13</v>
      </c>
      <c r="N20" s="4" t="s">
        <v>14</v>
      </c>
      <c r="O20" s="4" t="s">
        <v>15</v>
      </c>
      <c r="P20" s="4" t="s">
        <v>16</v>
      </c>
      <c r="Q20" s="4" t="s">
        <v>17</v>
      </c>
      <c r="R20" s="4" t="s">
        <v>18</v>
      </c>
      <c r="S20" s="4" t="s">
        <v>19</v>
      </c>
      <c r="T20" s="4" t="s">
        <v>20</v>
      </c>
      <c r="U20" s="4" t="s">
        <v>21</v>
      </c>
    </row>
    <row r="21" spans="1:21">
      <c r="A21" s="3" t="s">
        <v>22</v>
      </c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</row>
    <row r="22" spans="1:21">
      <c r="A22" s="3" t="s">
        <v>23</v>
      </c>
      <c r="B22" s="1">
        <f>[1]CAFE!E3</f>
        <v>1172.1999999999998</v>
      </c>
      <c r="C22" s="1">
        <f>[1]CAFE!F3</f>
        <v>1469.1999999999998</v>
      </c>
      <c r="D22" s="1">
        <f>[1]CAFE!G3</f>
        <v>1924.336</v>
      </c>
      <c r="E22" s="1">
        <f>[1]CAFE!H3</f>
        <v>2055.8959999999997</v>
      </c>
      <c r="F22" s="1">
        <f>[1]CAFE!I3</f>
        <v>2309.8199999999997</v>
      </c>
      <c r="G22" s="1">
        <f>[1]CAFE!J3</f>
        <v>2870.38</v>
      </c>
      <c r="H22" s="1">
        <f>[1]CAFE!K3</f>
        <v>3298.94</v>
      </c>
      <c r="I22" s="1">
        <f>[1]CAFE!L3</f>
        <v>3298.94</v>
      </c>
      <c r="J22" s="1">
        <f>[1]CAFE!M3</f>
        <v>3008.8040000000001</v>
      </c>
      <c r="K22" s="1">
        <f>[1]CAFE!N3</f>
        <v>3298.94</v>
      </c>
      <c r="L22" s="1">
        <f>[1]CAFE!O3</f>
        <v>3008.8040000000001</v>
      </c>
      <c r="M22" s="1">
        <f>[1]CAFE!P3</f>
        <v>3298.94</v>
      </c>
      <c r="N22" s="1">
        <f>[1]CAFE!Q3</f>
        <v>3008.8040000000001</v>
      </c>
      <c r="O22" s="1">
        <f>[1]CAFE!R3</f>
        <v>3298.94</v>
      </c>
      <c r="P22" s="1">
        <f>[1]CAFE!S3</f>
        <v>3156.9639999999999</v>
      </c>
      <c r="Q22" s="1">
        <f>[1]CAFE!T3</f>
        <v>3447.1000000000004</v>
      </c>
      <c r="R22" s="1">
        <f>[1]CAFE!U3</f>
        <v>3156.9639999999999</v>
      </c>
      <c r="S22" s="1">
        <f>[1]CAFE!V3</f>
        <v>3447.1000000000004</v>
      </c>
      <c r="T22" s="1">
        <f>[1]CAFE!W3</f>
        <v>3156.9639999999999</v>
      </c>
      <c r="U22" s="1">
        <f>[1]CAFE!X3</f>
        <v>3447.1000000000004</v>
      </c>
    </row>
    <row r="23" spans="1:21">
      <c r="A23" s="3" t="s">
        <v>24</v>
      </c>
      <c r="B23" s="1">
        <f>[1]CAFE!E4</f>
        <v>1798.8532500000001</v>
      </c>
      <c r="C23" s="1">
        <f>[1]CAFE!F4</f>
        <v>1795.421</v>
      </c>
      <c r="D23" s="1">
        <f>[1]CAFE!G4</f>
        <v>1946.4848750000001</v>
      </c>
      <c r="E23" s="1">
        <f>[1]CAFE!H4</f>
        <v>2145.4365000000003</v>
      </c>
      <c r="F23" s="1">
        <f>[1]CAFE!I4</f>
        <v>1219.7665</v>
      </c>
      <c r="G23" s="1">
        <f>[1]CAFE!J4</f>
        <v>1321.0265000000002</v>
      </c>
      <c r="H23" s="1">
        <f>[1]CAFE!K4</f>
        <v>1470.5065</v>
      </c>
      <c r="I23" s="1">
        <f>[1]CAFE!L4</f>
        <v>1466.4665</v>
      </c>
      <c r="J23" s="1">
        <f>[1]CAFE!M4</f>
        <v>1502.5665000000001</v>
      </c>
      <c r="K23" s="1">
        <f>[1]CAFE!N4</f>
        <v>1466.4665</v>
      </c>
      <c r="L23" s="1">
        <f>[1]CAFE!O4</f>
        <v>1470.5065000000002</v>
      </c>
      <c r="M23" s="1">
        <f>[1]CAFE!P4</f>
        <v>1466.4665</v>
      </c>
      <c r="N23" s="1">
        <f>[1]CAFE!Q4</f>
        <v>1502.5665000000001</v>
      </c>
      <c r="O23" s="1">
        <f>[1]CAFE!R4</f>
        <v>1466.4665</v>
      </c>
      <c r="P23" s="1">
        <f>[1]CAFE!S4</f>
        <v>1470.5065000000002</v>
      </c>
      <c r="Q23" s="1">
        <f>[1]CAFE!T4</f>
        <v>1466.4665</v>
      </c>
      <c r="R23" s="1">
        <f>[1]CAFE!U4</f>
        <v>1502.5665000000001</v>
      </c>
      <c r="S23" s="1">
        <f>[1]CAFE!V4</f>
        <v>1466.4665</v>
      </c>
      <c r="T23" s="1">
        <f>[1]CAFE!W4</f>
        <v>1470.5065000000002</v>
      </c>
      <c r="U23" s="1">
        <f>[1]CAFE!X4</f>
        <v>1466.4665</v>
      </c>
    </row>
    <row r="24" spans="1:21">
      <c r="A24" s="3" t="s">
        <v>25</v>
      </c>
      <c r="B24" s="1">
        <f>B22-B23</f>
        <v>-626.6532500000003</v>
      </c>
      <c r="C24" s="1">
        <f t="shared" ref="C24:U24" si="3">C22-C23</f>
        <v>-326.22100000000023</v>
      </c>
      <c r="D24" s="1">
        <f t="shared" si="3"/>
        <v>-22.148875000000089</v>
      </c>
      <c r="E24" s="1">
        <f t="shared" si="3"/>
        <v>-89.54050000000052</v>
      </c>
      <c r="F24" s="1">
        <f t="shared" si="3"/>
        <v>1090.0534999999998</v>
      </c>
      <c r="G24" s="1">
        <f t="shared" si="3"/>
        <v>1549.3534999999999</v>
      </c>
      <c r="H24" s="1">
        <f t="shared" si="3"/>
        <v>1828.4335000000001</v>
      </c>
      <c r="I24" s="1">
        <f t="shared" si="3"/>
        <v>1832.4735000000001</v>
      </c>
      <c r="J24" s="1">
        <f t="shared" si="3"/>
        <v>1506.2375</v>
      </c>
      <c r="K24" s="1">
        <f t="shared" si="3"/>
        <v>1832.4735000000001</v>
      </c>
      <c r="L24" s="1">
        <f t="shared" si="3"/>
        <v>1538.2974999999999</v>
      </c>
      <c r="M24" s="1">
        <f t="shared" si="3"/>
        <v>1832.4735000000001</v>
      </c>
      <c r="N24" s="1">
        <f t="shared" si="3"/>
        <v>1506.2375</v>
      </c>
      <c r="O24" s="1">
        <f t="shared" si="3"/>
        <v>1832.4735000000001</v>
      </c>
      <c r="P24" s="1">
        <f t="shared" si="3"/>
        <v>1686.4574999999998</v>
      </c>
      <c r="Q24" s="1">
        <f t="shared" si="3"/>
        <v>1980.6335000000004</v>
      </c>
      <c r="R24" s="1">
        <f t="shared" si="3"/>
        <v>1654.3974999999998</v>
      </c>
      <c r="S24" s="1">
        <f t="shared" si="3"/>
        <v>1980.6335000000004</v>
      </c>
      <c r="T24" s="1">
        <f t="shared" si="3"/>
        <v>1686.4574999999998</v>
      </c>
      <c r="U24" s="1">
        <f t="shared" si="3"/>
        <v>1980.6335000000004</v>
      </c>
    </row>
    <row r="25" spans="1:21">
      <c r="A25" s="3" t="s">
        <v>26</v>
      </c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</row>
    <row r="26" spans="1:21">
      <c r="A26" s="3" t="s">
        <v>23</v>
      </c>
      <c r="B26" s="1">
        <f>[1]CAFE!E7</f>
        <v>1981.28</v>
      </c>
      <c r="C26" s="1">
        <f>[1]CAFE!F7</f>
        <v>1901.8565000000001</v>
      </c>
      <c r="D26" s="1">
        <f>[1]CAFE!G7</f>
        <v>1822.433</v>
      </c>
      <c r="E26" s="1">
        <f>[1]CAFE!H7</f>
        <v>1743.0095000000003</v>
      </c>
      <c r="F26" s="1">
        <f>[1]CAFE!I7</f>
        <v>1663.5860000000002</v>
      </c>
      <c r="G26" s="1">
        <f>[1]CAFE!J7</f>
        <v>1655.7298000000003</v>
      </c>
      <c r="H26" s="1">
        <f>[1]CAFE!K7</f>
        <v>1647.8736000000004</v>
      </c>
      <c r="I26" s="1">
        <f>[1]CAFE!L7</f>
        <v>1640.0174000000004</v>
      </c>
      <c r="J26" s="1">
        <f>[1]CAFE!M7</f>
        <v>1632.1612000000002</v>
      </c>
      <c r="K26" s="1">
        <f>[1]CAFE!N7</f>
        <v>1624.3050000000003</v>
      </c>
      <c r="L26" s="1">
        <f>[1]CAFE!O7</f>
        <v>1616.4488000000003</v>
      </c>
      <c r="M26" s="1">
        <f>[1]CAFE!P7</f>
        <v>1608.5926000000002</v>
      </c>
      <c r="N26" s="1">
        <f>[1]CAFE!Q7</f>
        <v>1600.7364000000002</v>
      </c>
      <c r="O26" s="1">
        <f>[1]CAFE!R7</f>
        <v>1592.8802000000003</v>
      </c>
      <c r="P26" s="1">
        <f>[1]CAFE!S7</f>
        <v>1585.0240000000003</v>
      </c>
      <c r="Q26" s="1">
        <f>[1]CAFE!T7</f>
        <v>1577.1678000000002</v>
      </c>
      <c r="R26" s="1">
        <f>[1]CAFE!U7</f>
        <v>1569.3116000000002</v>
      </c>
      <c r="S26" s="1">
        <f>[1]CAFE!V7</f>
        <v>1561.4554000000003</v>
      </c>
      <c r="T26" s="1">
        <f>[1]CAFE!W7</f>
        <v>1553.5992000000001</v>
      </c>
      <c r="U26" s="1">
        <f>[1]CAFE!X7</f>
        <v>1545.7430000000002</v>
      </c>
    </row>
    <row r="27" spans="1:21">
      <c r="A27" s="3" t="s">
        <v>24</v>
      </c>
      <c r="B27" s="1">
        <f>[1]CAFE!E8</f>
        <v>1040.5825000000002</v>
      </c>
      <c r="C27" s="1">
        <f>[1]CAFE!F8</f>
        <v>1017.7173000000001</v>
      </c>
      <c r="D27" s="1">
        <f>[1]CAFE!G8</f>
        <v>1029.4321000000002</v>
      </c>
      <c r="E27" s="1">
        <f>[1]CAFE!H8</f>
        <v>1006.5669000000001</v>
      </c>
      <c r="F27" s="1">
        <f>[1]CAFE!I8</f>
        <v>1018.2817000000001</v>
      </c>
      <c r="G27" s="1">
        <f>[1]CAFE!J8</f>
        <v>995.41650000000016</v>
      </c>
      <c r="H27" s="1">
        <f>[1]CAFE!K8</f>
        <v>1007.1313000000001</v>
      </c>
      <c r="I27" s="1">
        <f>[1]CAFE!L8</f>
        <v>984.26610000000016</v>
      </c>
      <c r="J27" s="1">
        <f>[1]CAFE!M8</f>
        <v>995.98090000000013</v>
      </c>
      <c r="K27" s="1">
        <f>[1]CAFE!N8</f>
        <v>973.11570000000017</v>
      </c>
      <c r="L27" s="1">
        <f>[1]CAFE!O8</f>
        <v>984.83050000000014</v>
      </c>
      <c r="M27" s="1">
        <f>[1]CAFE!P8</f>
        <v>961.9653000000003</v>
      </c>
      <c r="N27" s="1">
        <f>[1]CAFE!Q8</f>
        <v>973.68010000000027</v>
      </c>
      <c r="O27" s="1">
        <f>[1]CAFE!R8</f>
        <v>950.81490000000031</v>
      </c>
      <c r="P27" s="1">
        <f>[1]CAFE!S8</f>
        <v>962.52970000000028</v>
      </c>
      <c r="Q27" s="1">
        <f>[1]CAFE!T8</f>
        <v>939.66450000000043</v>
      </c>
      <c r="R27" s="1">
        <f>[1]CAFE!U8</f>
        <v>951.3793000000004</v>
      </c>
      <c r="S27" s="1">
        <f>[1]CAFE!V8</f>
        <v>928.51410000000044</v>
      </c>
      <c r="T27" s="1">
        <f>[1]CAFE!W8</f>
        <v>940.22890000000041</v>
      </c>
      <c r="U27" s="1">
        <f>[1]CAFE!X8</f>
        <v>917.36370000000045</v>
      </c>
    </row>
    <row r="28" spans="1:21">
      <c r="A28" s="3" t="s">
        <v>25</v>
      </c>
      <c r="B28" s="1">
        <f>B26-B27</f>
        <v>940.69749999999976</v>
      </c>
      <c r="C28" s="1">
        <f t="shared" ref="C28:U28" si="4">C26-C27</f>
        <v>884.13919999999996</v>
      </c>
      <c r="D28" s="1">
        <f t="shared" si="4"/>
        <v>793.00089999999977</v>
      </c>
      <c r="E28" s="1">
        <f t="shared" si="4"/>
        <v>736.4426000000002</v>
      </c>
      <c r="F28" s="1">
        <f t="shared" si="4"/>
        <v>645.30430000000013</v>
      </c>
      <c r="G28" s="1">
        <f t="shared" si="4"/>
        <v>660.31330000000014</v>
      </c>
      <c r="H28" s="1">
        <f t="shared" si="4"/>
        <v>640.74230000000023</v>
      </c>
      <c r="I28" s="1">
        <f t="shared" si="4"/>
        <v>655.75130000000024</v>
      </c>
      <c r="J28" s="1">
        <f t="shared" si="4"/>
        <v>636.1803000000001</v>
      </c>
      <c r="K28" s="1">
        <f t="shared" si="4"/>
        <v>651.18930000000012</v>
      </c>
      <c r="L28" s="1">
        <f t="shared" si="4"/>
        <v>631.6183000000002</v>
      </c>
      <c r="M28" s="1">
        <f t="shared" si="4"/>
        <v>646.62729999999988</v>
      </c>
      <c r="N28" s="1">
        <f t="shared" si="4"/>
        <v>627.05629999999996</v>
      </c>
      <c r="O28" s="1">
        <f t="shared" si="4"/>
        <v>642.06529999999998</v>
      </c>
      <c r="P28" s="1">
        <f t="shared" si="4"/>
        <v>622.49430000000007</v>
      </c>
      <c r="Q28" s="1">
        <f t="shared" si="4"/>
        <v>637.50329999999974</v>
      </c>
      <c r="R28" s="1">
        <f t="shared" si="4"/>
        <v>617.93229999999983</v>
      </c>
      <c r="S28" s="1">
        <f t="shared" si="4"/>
        <v>632.94129999999984</v>
      </c>
      <c r="T28" s="1">
        <f t="shared" si="4"/>
        <v>613.3702999999997</v>
      </c>
      <c r="U28" s="1">
        <f t="shared" si="4"/>
        <v>628.37929999999972</v>
      </c>
    </row>
    <row r="29" spans="1:21">
      <c r="A29" s="3" t="s">
        <v>27</v>
      </c>
      <c r="B29" s="1">
        <f>B24-B28</f>
        <v>-1567.3507500000001</v>
      </c>
      <c r="C29" s="1">
        <f t="shared" ref="C29:U29" si="5">C24-C28</f>
        <v>-1210.3602000000001</v>
      </c>
      <c r="D29" s="1">
        <f t="shared" si="5"/>
        <v>-815.14977499999986</v>
      </c>
      <c r="E29" s="1">
        <f t="shared" si="5"/>
        <v>-825.98310000000072</v>
      </c>
      <c r="F29" s="1">
        <f t="shared" si="5"/>
        <v>444.74919999999963</v>
      </c>
      <c r="G29" s="1">
        <f t="shared" si="5"/>
        <v>889.0401999999998</v>
      </c>
      <c r="H29" s="1">
        <f t="shared" si="5"/>
        <v>1187.6911999999998</v>
      </c>
      <c r="I29" s="1">
        <f t="shared" si="5"/>
        <v>1176.7221999999997</v>
      </c>
      <c r="J29" s="1">
        <f t="shared" si="5"/>
        <v>870.05719999999985</v>
      </c>
      <c r="K29" s="1">
        <f t="shared" si="5"/>
        <v>1181.2842000000001</v>
      </c>
      <c r="L29" s="1">
        <f t="shared" si="5"/>
        <v>906.6791999999997</v>
      </c>
      <c r="M29" s="1">
        <f t="shared" si="5"/>
        <v>1185.8462000000002</v>
      </c>
      <c r="N29" s="1">
        <f t="shared" si="5"/>
        <v>879.18119999999999</v>
      </c>
      <c r="O29" s="1">
        <f t="shared" si="5"/>
        <v>1190.4082000000001</v>
      </c>
      <c r="P29" s="1">
        <f t="shared" si="5"/>
        <v>1063.9631999999997</v>
      </c>
      <c r="Q29" s="1">
        <f t="shared" si="5"/>
        <v>1343.1302000000005</v>
      </c>
      <c r="R29" s="1">
        <f t="shared" si="5"/>
        <v>1036.4652000000001</v>
      </c>
      <c r="S29" s="1">
        <f t="shared" si="5"/>
        <v>1347.6922000000004</v>
      </c>
      <c r="T29" s="1">
        <f t="shared" si="5"/>
        <v>1073.0871999999999</v>
      </c>
      <c r="U29" s="1">
        <f t="shared" si="5"/>
        <v>1352.2542000000008</v>
      </c>
    </row>
    <row r="30" spans="1:21">
      <c r="A30" s="4" t="s">
        <v>28</v>
      </c>
      <c r="B30" s="12">
        <f>NPV(12%,B29:U29)</f>
        <v>954.48751318550376</v>
      </c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</row>
    <row r="31" spans="1:21">
      <c r="A31" s="4" t="s">
        <v>29</v>
      </c>
      <c r="B31" s="13">
        <f>IRR(B29:U29)</f>
        <v>0.15228267793923123</v>
      </c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</row>
    <row r="32" spans="1:21">
      <c r="A32" s="4" t="s">
        <v>30</v>
      </c>
      <c r="B32" s="12">
        <f>-PMT(12%,20,B30)</f>
        <v>127.78562382836476</v>
      </c>
    </row>
    <row r="36" spans="1:21">
      <c r="A36" s="4" t="s">
        <v>32</v>
      </c>
      <c r="B36" s="4" t="s">
        <v>2</v>
      </c>
      <c r="C36" s="4" t="s">
        <v>3</v>
      </c>
      <c r="D36" s="4" t="s">
        <v>4</v>
      </c>
      <c r="E36" s="4" t="s">
        <v>5</v>
      </c>
      <c r="F36" s="4" t="s">
        <v>6</v>
      </c>
      <c r="G36" s="4" t="s">
        <v>7</v>
      </c>
      <c r="H36" s="4" t="s">
        <v>8</v>
      </c>
      <c r="I36" s="4" t="s">
        <v>9</v>
      </c>
      <c r="J36" s="4" t="s">
        <v>10</v>
      </c>
      <c r="K36" s="4" t="s">
        <v>11</v>
      </c>
      <c r="L36" s="4" t="s">
        <v>12</v>
      </c>
      <c r="M36" s="4" t="s">
        <v>13</v>
      </c>
      <c r="N36" s="4" t="s">
        <v>14</v>
      </c>
      <c r="O36" s="4" t="s">
        <v>15</v>
      </c>
      <c r="P36" s="4" t="s">
        <v>16</v>
      </c>
      <c r="Q36" s="4" t="s">
        <v>17</v>
      </c>
      <c r="R36" s="4" t="s">
        <v>18</v>
      </c>
      <c r="S36" s="4" t="s">
        <v>19</v>
      </c>
      <c r="T36" s="4" t="s">
        <v>20</v>
      </c>
      <c r="U36" s="4" t="s">
        <v>21</v>
      </c>
    </row>
    <row r="37" spans="1:21">
      <c r="A37" s="3" t="s">
        <v>22</v>
      </c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</row>
    <row r="38" spans="1:21">
      <c r="A38" s="3" t="s">
        <v>23</v>
      </c>
      <c r="B38" s="1">
        <f>[1]CACAO!E3</f>
        <v>707.08</v>
      </c>
      <c r="C38" s="1">
        <f>[1]CACAO!F3</f>
        <v>979.58</v>
      </c>
      <c r="D38" s="1">
        <f>[1]CACAO!G3</f>
        <v>1177.58</v>
      </c>
      <c r="E38" s="1">
        <f>[1]CACAO!H3</f>
        <v>1027.58</v>
      </c>
      <c r="F38" s="1">
        <f>[1]CACAO!I3</f>
        <v>1257.08</v>
      </c>
      <c r="G38" s="1">
        <f>[1]CACAO!J3</f>
        <v>1609.58</v>
      </c>
      <c r="H38" s="1">
        <f>[1]CACAO!K3</f>
        <v>1903.58</v>
      </c>
      <c r="I38" s="1">
        <f>[1]CACAO!L3</f>
        <v>1903.58</v>
      </c>
      <c r="J38" s="1">
        <f>[1]CACAO!M3</f>
        <v>1828.2800000000002</v>
      </c>
      <c r="K38" s="1">
        <f>[1]CACAO!N3</f>
        <v>1903.58</v>
      </c>
      <c r="L38" s="1">
        <f>[1]CACAO!O3</f>
        <v>1828.2800000000002</v>
      </c>
      <c r="M38" s="1">
        <f>[1]CACAO!P3</f>
        <v>1903.58</v>
      </c>
      <c r="N38" s="1">
        <f>[1]CACAO!Q3</f>
        <v>1828.2800000000002</v>
      </c>
      <c r="O38" s="1">
        <f>[1]CACAO!R3</f>
        <v>1903.58</v>
      </c>
      <c r="P38" s="1">
        <f>[1]CACAO!S3</f>
        <v>1976.4400000000003</v>
      </c>
      <c r="Q38" s="1">
        <f>[1]CACAO!T3</f>
        <v>2051.7399999999998</v>
      </c>
      <c r="R38" s="1">
        <f>[1]CACAO!U3</f>
        <v>1976.4400000000003</v>
      </c>
      <c r="S38" s="1">
        <f>[1]CACAO!V3</f>
        <v>2051.7399999999998</v>
      </c>
      <c r="T38" s="1">
        <f>[1]CACAO!W3</f>
        <v>1976.4400000000003</v>
      </c>
      <c r="U38" s="1">
        <f>[1]CACAO!X3</f>
        <v>2051.7399999999998</v>
      </c>
    </row>
    <row r="39" spans="1:21">
      <c r="A39" s="3" t="s">
        <v>24</v>
      </c>
      <c r="B39" s="1">
        <f>[1]CACAO!E4</f>
        <v>1281.6670000000001</v>
      </c>
      <c r="C39" s="1">
        <f>[1]CACAO!F4</f>
        <v>1249.444</v>
      </c>
      <c r="D39" s="1">
        <f>[1]CACAO!G4</f>
        <v>1406.5610000000004</v>
      </c>
      <c r="E39" s="1">
        <f>[1]CACAO!H4</f>
        <v>1438.7180000000003</v>
      </c>
      <c r="F39" s="1">
        <f>[1]CACAO!I4</f>
        <v>829.38800000000015</v>
      </c>
      <c r="G39" s="1">
        <f>[1]CACAO!J4</f>
        <v>793.28800000000012</v>
      </c>
      <c r="H39" s="1">
        <f>[1]CACAO!K4</f>
        <v>797.3280000000002</v>
      </c>
      <c r="I39" s="1">
        <f>[1]CACAO!L4</f>
        <v>793.28800000000012</v>
      </c>
      <c r="J39" s="1">
        <f>[1]CACAO!M4</f>
        <v>829.38800000000015</v>
      </c>
      <c r="K39" s="1">
        <f>[1]CACAO!N4</f>
        <v>793.28800000000012</v>
      </c>
      <c r="L39" s="1">
        <f>[1]CACAO!O4</f>
        <v>797.3280000000002</v>
      </c>
      <c r="M39" s="1">
        <f>[1]CACAO!P4</f>
        <v>793.28800000000012</v>
      </c>
      <c r="N39" s="1">
        <f>[1]CACAO!Q4</f>
        <v>829.38800000000015</v>
      </c>
      <c r="O39" s="1">
        <f>[1]CACAO!R4</f>
        <v>793.28800000000012</v>
      </c>
      <c r="P39" s="1">
        <f>[1]CACAO!S4</f>
        <v>797.3280000000002</v>
      </c>
      <c r="Q39" s="1">
        <f>[1]CACAO!T4</f>
        <v>793.28800000000012</v>
      </c>
      <c r="R39" s="1">
        <f>[1]CACAO!U4</f>
        <v>829.38800000000015</v>
      </c>
      <c r="S39" s="1">
        <f>[1]CACAO!V4</f>
        <v>793.28800000000012</v>
      </c>
      <c r="T39" s="1">
        <f>[1]CACAO!W4</f>
        <v>797.3280000000002</v>
      </c>
      <c r="U39" s="1">
        <f>[1]CACAO!X4</f>
        <v>793.28800000000012</v>
      </c>
    </row>
    <row r="40" spans="1:21">
      <c r="A40" s="3" t="s">
        <v>25</v>
      </c>
      <c r="B40" s="1">
        <f>B38-B39</f>
        <v>-574.5870000000001</v>
      </c>
      <c r="C40" s="1">
        <f t="shared" ref="C40:U40" si="6">C38-C39</f>
        <v>-269.86399999999992</v>
      </c>
      <c r="D40" s="1">
        <f t="shared" si="6"/>
        <v>-228.98100000000045</v>
      </c>
      <c r="E40" s="1">
        <f t="shared" si="6"/>
        <v>-411.13800000000037</v>
      </c>
      <c r="F40" s="1">
        <f t="shared" si="6"/>
        <v>427.69199999999978</v>
      </c>
      <c r="G40" s="1">
        <f t="shared" si="6"/>
        <v>816.2919999999998</v>
      </c>
      <c r="H40" s="1">
        <f t="shared" si="6"/>
        <v>1106.2519999999997</v>
      </c>
      <c r="I40" s="1">
        <f t="shared" si="6"/>
        <v>1110.2919999999999</v>
      </c>
      <c r="J40" s="1">
        <f t="shared" si="6"/>
        <v>998.89200000000005</v>
      </c>
      <c r="K40" s="1">
        <f t="shared" si="6"/>
        <v>1110.2919999999999</v>
      </c>
      <c r="L40" s="1">
        <f t="shared" si="6"/>
        <v>1030.952</v>
      </c>
      <c r="M40" s="1">
        <f t="shared" si="6"/>
        <v>1110.2919999999999</v>
      </c>
      <c r="N40" s="1">
        <f t="shared" si="6"/>
        <v>998.89200000000005</v>
      </c>
      <c r="O40" s="1">
        <f t="shared" si="6"/>
        <v>1110.2919999999999</v>
      </c>
      <c r="P40" s="1">
        <f t="shared" si="6"/>
        <v>1179.1120000000001</v>
      </c>
      <c r="Q40" s="1">
        <f t="shared" si="6"/>
        <v>1258.4519999999998</v>
      </c>
      <c r="R40" s="1">
        <f t="shared" si="6"/>
        <v>1147.0520000000001</v>
      </c>
      <c r="S40" s="1">
        <f t="shared" si="6"/>
        <v>1258.4519999999998</v>
      </c>
      <c r="T40" s="1">
        <f t="shared" si="6"/>
        <v>1179.1120000000001</v>
      </c>
      <c r="U40" s="1">
        <f t="shared" si="6"/>
        <v>1258.4519999999998</v>
      </c>
    </row>
    <row r="41" spans="1:21">
      <c r="A41" s="3" t="s">
        <v>26</v>
      </c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</row>
    <row r="42" spans="1:21">
      <c r="A42" s="3" t="s">
        <v>23</v>
      </c>
      <c r="B42" s="1">
        <f>[1]CACAO!E7</f>
        <v>653.18000000000006</v>
      </c>
      <c r="C42" s="1">
        <f>[1]CACAO!F7</f>
        <v>625.48974999999996</v>
      </c>
      <c r="D42" s="1">
        <f>[1]CACAO!G7</f>
        <v>598.43870000000004</v>
      </c>
      <c r="E42" s="1">
        <f>[1]CACAO!H7</f>
        <v>571.99488999999994</v>
      </c>
      <c r="F42" s="1">
        <f>[1]CACAO!I7</f>
        <v>546.12795800000004</v>
      </c>
      <c r="G42" s="1">
        <f>[1]CACAO!J7</f>
        <v>532.93281009999998</v>
      </c>
      <c r="H42" s="1">
        <f>[1]CACAO!K7</f>
        <v>530.15031009999996</v>
      </c>
      <c r="I42" s="1">
        <f>[1]CACAO!L7</f>
        <v>527.36781009999993</v>
      </c>
      <c r="J42" s="1">
        <f>[1]CACAO!M7</f>
        <v>524.5853100999999</v>
      </c>
      <c r="K42" s="1">
        <f>[1]CACAO!N7</f>
        <v>521.80281009999999</v>
      </c>
      <c r="L42" s="1">
        <f>[1]CACAO!O7</f>
        <v>519.02031009999996</v>
      </c>
      <c r="M42" s="1">
        <f>[1]CACAO!P7</f>
        <v>516.23781009999993</v>
      </c>
      <c r="N42" s="1">
        <f>[1]CACAO!Q7</f>
        <v>513.45531009999991</v>
      </c>
      <c r="O42" s="1">
        <f>[1]CACAO!R7</f>
        <v>510.67281009999999</v>
      </c>
      <c r="P42" s="1">
        <f>[1]CACAO!S7</f>
        <v>507.89031009999997</v>
      </c>
      <c r="Q42" s="1">
        <f>[1]CACAO!T7</f>
        <v>505.10781009999999</v>
      </c>
      <c r="R42" s="1">
        <f>[1]CACAO!U7</f>
        <v>502.32531009999997</v>
      </c>
      <c r="S42" s="1">
        <f>[1]CACAO!V7</f>
        <v>499.5428101</v>
      </c>
      <c r="T42" s="1">
        <f>[1]CACAO!W7</f>
        <v>496.76031009999997</v>
      </c>
      <c r="U42" s="1">
        <f>[1]CACAO!X7</f>
        <v>493.97781009999994</v>
      </c>
    </row>
    <row r="43" spans="1:21">
      <c r="A43" s="3" t="s">
        <v>24</v>
      </c>
      <c r="B43" s="1">
        <f>[1]CACAO!E8</f>
        <v>308.17</v>
      </c>
      <c r="C43" s="1">
        <f>[1]CACAO!F8</f>
        <v>304.13</v>
      </c>
      <c r="D43" s="1">
        <f>[1]CACAO!G8</f>
        <v>308.17</v>
      </c>
      <c r="E43" s="1">
        <f>[1]CACAO!H8</f>
        <v>304.13</v>
      </c>
      <c r="F43" s="1">
        <f>[1]CACAO!I8</f>
        <v>308.17</v>
      </c>
      <c r="G43" s="1">
        <f>[1]CACAO!J8</f>
        <v>304.13</v>
      </c>
      <c r="H43" s="1">
        <f>[1]CACAO!K8</f>
        <v>308.17</v>
      </c>
      <c r="I43" s="1">
        <f>[1]CACAO!L8</f>
        <v>304.13</v>
      </c>
      <c r="J43" s="1">
        <f>[1]CACAO!M8</f>
        <v>308.17</v>
      </c>
      <c r="K43" s="1">
        <f>[1]CACAO!N8</f>
        <v>304.13</v>
      </c>
      <c r="L43" s="1">
        <f>[1]CACAO!O8</f>
        <v>308.17</v>
      </c>
      <c r="M43" s="1">
        <f>[1]CACAO!P8</f>
        <v>304.13</v>
      </c>
      <c r="N43" s="1">
        <f>[1]CACAO!Q8</f>
        <v>308.17</v>
      </c>
      <c r="O43" s="1">
        <f>[1]CACAO!R8</f>
        <v>304.13</v>
      </c>
      <c r="P43" s="1">
        <f>[1]CACAO!S8</f>
        <v>308.17</v>
      </c>
      <c r="Q43" s="1">
        <f>[1]CACAO!T8</f>
        <v>304.13</v>
      </c>
      <c r="R43" s="1">
        <f>[1]CACAO!U8</f>
        <v>308.17</v>
      </c>
      <c r="S43" s="1">
        <f>[1]CACAO!V8</f>
        <v>304.13</v>
      </c>
      <c r="T43" s="1">
        <f>[1]CACAO!W8</f>
        <v>308.17</v>
      </c>
      <c r="U43" s="1">
        <f>[1]CACAO!X8</f>
        <v>304.13</v>
      </c>
    </row>
    <row r="44" spans="1:21">
      <c r="A44" s="3" t="s">
        <v>25</v>
      </c>
      <c r="B44" s="1">
        <f>B42-B43</f>
        <v>345.01000000000005</v>
      </c>
      <c r="C44" s="1">
        <f t="shared" ref="C44:U44" si="7">C42-C43</f>
        <v>321.35974999999996</v>
      </c>
      <c r="D44" s="1">
        <f t="shared" si="7"/>
        <v>290.26870000000002</v>
      </c>
      <c r="E44" s="1">
        <f t="shared" si="7"/>
        <v>267.86488999999995</v>
      </c>
      <c r="F44" s="1">
        <f t="shared" si="7"/>
        <v>237.95795800000002</v>
      </c>
      <c r="G44" s="1">
        <f t="shared" si="7"/>
        <v>228.80281009999999</v>
      </c>
      <c r="H44" s="1">
        <f t="shared" si="7"/>
        <v>221.98031009999994</v>
      </c>
      <c r="I44" s="1">
        <f t="shared" si="7"/>
        <v>223.23781009999993</v>
      </c>
      <c r="J44" s="1">
        <f t="shared" si="7"/>
        <v>216.41531009999989</v>
      </c>
      <c r="K44" s="1">
        <f t="shared" si="7"/>
        <v>217.67281009999999</v>
      </c>
      <c r="L44" s="1">
        <f t="shared" si="7"/>
        <v>210.85031009999994</v>
      </c>
      <c r="M44" s="1">
        <f t="shared" si="7"/>
        <v>212.10781009999994</v>
      </c>
      <c r="N44" s="1">
        <f t="shared" si="7"/>
        <v>205.28531009999989</v>
      </c>
      <c r="O44" s="1">
        <f t="shared" si="7"/>
        <v>206.5428101</v>
      </c>
      <c r="P44" s="1">
        <f t="shared" si="7"/>
        <v>199.72031009999995</v>
      </c>
      <c r="Q44" s="1">
        <f t="shared" si="7"/>
        <v>200.9778101</v>
      </c>
      <c r="R44" s="1">
        <f t="shared" si="7"/>
        <v>194.15531009999995</v>
      </c>
      <c r="S44" s="1">
        <f t="shared" si="7"/>
        <v>195.4128101</v>
      </c>
      <c r="T44" s="1">
        <f t="shared" si="7"/>
        <v>188.59031009999995</v>
      </c>
      <c r="U44" s="1">
        <f t="shared" si="7"/>
        <v>189.84781009999995</v>
      </c>
    </row>
    <row r="45" spans="1:21">
      <c r="A45" s="3" t="s">
        <v>27</v>
      </c>
      <c r="B45" s="1">
        <f>B40-B44</f>
        <v>-919.59700000000021</v>
      </c>
      <c r="C45" s="1">
        <f t="shared" ref="C45:U45" si="8">C40-C44</f>
        <v>-591.22374999999988</v>
      </c>
      <c r="D45" s="1">
        <f t="shared" si="8"/>
        <v>-519.24970000000053</v>
      </c>
      <c r="E45" s="1">
        <f t="shared" si="8"/>
        <v>-679.00289000000032</v>
      </c>
      <c r="F45" s="1">
        <f t="shared" si="8"/>
        <v>189.73404199999976</v>
      </c>
      <c r="G45" s="1">
        <f t="shared" si="8"/>
        <v>587.48918989999981</v>
      </c>
      <c r="H45" s="1">
        <f t="shared" si="8"/>
        <v>884.27168989999973</v>
      </c>
      <c r="I45" s="1">
        <f t="shared" si="8"/>
        <v>887.05418989999998</v>
      </c>
      <c r="J45" s="1">
        <f t="shared" si="8"/>
        <v>782.47668990000011</v>
      </c>
      <c r="K45" s="1">
        <f t="shared" si="8"/>
        <v>892.61918989999992</v>
      </c>
      <c r="L45" s="1">
        <f t="shared" si="8"/>
        <v>820.10168990000011</v>
      </c>
      <c r="M45" s="1">
        <f t="shared" si="8"/>
        <v>898.18418989999998</v>
      </c>
      <c r="N45" s="1">
        <f t="shared" si="8"/>
        <v>793.60668990000022</v>
      </c>
      <c r="O45" s="1">
        <f t="shared" si="8"/>
        <v>903.74918989999992</v>
      </c>
      <c r="P45" s="1">
        <f t="shared" si="8"/>
        <v>979.39168990000007</v>
      </c>
      <c r="Q45" s="1">
        <f t="shared" si="8"/>
        <v>1057.4741898999998</v>
      </c>
      <c r="R45" s="1">
        <f t="shared" si="8"/>
        <v>952.89668990000018</v>
      </c>
      <c r="S45" s="1">
        <f t="shared" si="8"/>
        <v>1063.0391898999997</v>
      </c>
      <c r="T45" s="1">
        <f t="shared" si="8"/>
        <v>990.52168990000018</v>
      </c>
      <c r="U45" s="1">
        <f t="shared" si="8"/>
        <v>1068.6041898999997</v>
      </c>
    </row>
    <row r="46" spans="1:21">
      <c r="A46" s="4" t="s">
        <v>28</v>
      </c>
      <c r="B46" s="12">
        <f>NPV(12%,B45:U45)</f>
        <v>1326.9705131144549</v>
      </c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</row>
    <row r="47" spans="1:21">
      <c r="A47" s="4" t="s">
        <v>29</v>
      </c>
      <c r="B47" s="13">
        <f>IRR(B45:U45)</f>
        <v>0.18587925740702538</v>
      </c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</row>
    <row r="48" spans="1:21">
      <c r="A48" s="4" t="s">
        <v>30</v>
      </c>
      <c r="B48" s="12">
        <f>-PMT(12%,20,B46)</f>
        <v>177.65319344436574</v>
      </c>
    </row>
    <row r="52" spans="1:21">
      <c r="A52" s="4" t="s">
        <v>33</v>
      </c>
      <c r="B52" s="4" t="s">
        <v>2</v>
      </c>
      <c r="C52" s="4" t="s">
        <v>3</v>
      </c>
      <c r="D52" s="4" t="s">
        <v>4</v>
      </c>
      <c r="E52" s="4" t="s">
        <v>5</v>
      </c>
      <c r="F52" s="4" t="s">
        <v>6</v>
      </c>
      <c r="G52" s="4" t="s">
        <v>7</v>
      </c>
      <c r="H52" s="4" t="s">
        <v>8</v>
      </c>
      <c r="I52" s="4" t="s">
        <v>9</v>
      </c>
      <c r="J52" s="4" t="s">
        <v>10</v>
      </c>
      <c r="K52" s="4" t="s">
        <v>11</v>
      </c>
      <c r="L52" s="4" t="s">
        <v>12</v>
      </c>
      <c r="M52" s="4" t="s">
        <v>13</v>
      </c>
      <c r="N52" s="4" t="s">
        <v>14</v>
      </c>
      <c r="O52" s="4" t="s">
        <v>15</v>
      </c>
      <c r="P52" s="4" t="s">
        <v>16</v>
      </c>
      <c r="Q52" s="4" t="s">
        <v>17</v>
      </c>
      <c r="R52" s="4" t="s">
        <v>18</v>
      </c>
      <c r="S52" s="4" t="s">
        <v>19</v>
      </c>
      <c r="T52" s="4" t="s">
        <v>20</v>
      </c>
      <c r="U52" s="4" t="s">
        <v>21</v>
      </c>
    </row>
    <row r="53" spans="1:21">
      <c r="A53" s="3" t="s">
        <v>22</v>
      </c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</row>
    <row r="54" spans="1:21">
      <c r="A54" s="3" t="s">
        <v>23</v>
      </c>
      <c r="B54" s="1">
        <f>[1]HUERTOS!E3</f>
        <v>494.01245543562266</v>
      </c>
      <c r="C54" s="1">
        <f>[1]HUERTOS!F3</f>
        <v>504.20345169043151</v>
      </c>
      <c r="D54" s="1">
        <f>[1]HUERTOS!G3</f>
        <v>504.20345169043151</v>
      </c>
      <c r="E54" s="1">
        <f>[1]HUERTOS!H3</f>
        <v>494.01245543562266</v>
      </c>
      <c r="F54" s="1">
        <f>[1]HUERTOS!I3</f>
        <v>529.01144669684334</v>
      </c>
      <c r="G54" s="1">
        <f>[1]HUERTOS!J3</f>
        <v>549.85944170325524</v>
      </c>
      <c r="H54" s="1">
        <f>[1]HUERTOS!K3</f>
        <v>574.00743670966699</v>
      </c>
      <c r="I54" s="1">
        <f>[1]HUERTOS!L3</f>
        <v>579.65644045485806</v>
      </c>
      <c r="J54" s="1">
        <f>[1]HUERTOS!M3</f>
        <v>601.06743670966694</v>
      </c>
      <c r="K54" s="1">
        <f>[1]HUERTOS!N3</f>
        <v>608.98743670966701</v>
      </c>
      <c r="L54" s="1">
        <f>[1]HUERTOS!O3</f>
        <v>608.98743670966701</v>
      </c>
      <c r="M54" s="1">
        <f>[1]HUERTOS!P3</f>
        <v>598.79644045485816</v>
      </c>
      <c r="N54" s="1">
        <f>[1]HUERTOS!Q3</f>
        <v>608.98743670966701</v>
      </c>
      <c r="O54" s="1">
        <f>[1]HUERTOS!R3</f>
        <v>608.98743670966701</v>
      </c>
      <c r="P54" s="1">
        <f>[1]HUERTOS!S3</f>
        <v>608.98743670966701</v>
      </c>
      <c r="Q54" s="1">
        <f>[1]HUERTOS!T3</f>
        <v>598.79644045485816</v>
      </c>
      <c r="R54" s="1">
        <f>[1]HUERTOS!U3</f>
        <v>608.98743670966701</v>
      </c>
      <c r="S54" s="1">
        <f>[1]HUERTOS!V3</f>
        <v>608.98743670966701</v>
      </c>
      <c r="T54" s="1">
        <f>[1]HUERTOS!W3</f>
        <v>608.98743670966701</v>
      </c>
      <c r="U54" s="1">
        <f>[1]HUERTOS!X3</f>
        <v>598.79644045485816</v>
      </c>
    </row>
    <row r="55" spans="1:21">
      <c r="A55" s="3" t="s">
        <v>24</v>
      </c>
      <c r="B55" s="1">
        <f>[1]HUERTOS!E4</f>
        <v>625.53450537104641</v>
      </c>
      <c r="C55" s="1">
        <f>[1]HUERTOS!F4</f>
        <v>356.70957528548752</v>
      </c>
      <c r="D55" s="1">
        <f>[1]HUERTOS!G4</f>
        <v>372.90215926191678</v>
      </c>
      <c r="E55" s="1">
        <f>[1]HUERTOS!H4</f>
        <v>372.62717528548762</v>
      </c>
      <c r="F55" s="1">
        <f>[1]HUERTOS!I4</f>
        <v>374.89384395393404</v>
      </c>
      <c r="G55" s="1">
        <f>[1]HUERTOS!J4</f>
        <v>373.16611834708414</v>
      </c>
      <c r="H55" s="1">
        <f>[1]HUERTOS!K4</f>
        <v>379.90510232351335</v>
      </c>
      <c r="I55" s="1">
        <f>[1]HUERTOS!L4</f>
        <v>372.62717528548762</v>
      </c>
      <c r="J55" s="1">
        <f>[1]HUERTOS!M4</f>
        <v>374.89384395393404</v>
      </c>
      <c r="K55" s="1">
        <f>[1]HUERTOS!N4</f>
        <v>373.16611834708414</v>
      </c>
      <c r="L55" s="1">
        <f>[1]HUERTOS!O4</f>
        <v>379.90510232351335</v>
      </c>
      <c r="M55" s="1">
        <f>[1]HUERTOS!P4</f>
        <v>372.62717528548762</v>
      </c>
      <c r="N55" s="1">
        <f>[1]HUERTOS!Q4</f>
        <v>374.89384395393404</v>
      </c>
      <c r="O55" s="1">
        <f>[1]HUERTOS!R4</f>
        <v>373.16611834708414</v>
      </c>
      <c r="P55" s="1">
        <f>[1]HUERTOS!S4</f>
        <v>379.90510232351335</v>
      </c>
      <c r="Q55" s="1">
        <f>[1]HUERTOS!T4</f>
        <v>372.62717528548762</v>
      </c>
      <c r="R55" s="1">
        <f>[1]HUERTOS!U4</f>
        <v>374.89384395393404</v>
      </c>
      <c r="S55" s="1">
        <f>[1]HUERTOS!V4</f>
        <v>373.16611834708414</v>
      </c>
      <c r="T55" s="1">
        <f>[1]HUERTOS!W4</f>
        <v>379.90510232351335</v>
      </c>
      <c r="U55" s="1">
        <f>[1]HUERTOS!X4</f>
        <v>372.62717528548762</v>
      </c>
    </row>
    <row r="56" spans="1:21">
      <c r="A56" s="3" t="s">
        <v>25</v>
      </c>
      <c r="B56" s="1">
        <f>B54-B55</f>
        <v>-131.52204993542375</v>
      </c>
      <c r="C56" s="1">
        <f t="shared" ref="C56:U56" si="9">C54-C55</f>
        <v>147.49387640494399</v>
      </c>
      <c r="D56" s="1">
        <f t="shared" si="9"/>
        <v>131.30129242851473</v>
      </c>
      <c r="E56" s="1">
        <f t="shared" si="9"/>
        <v>121.38528015013503</v>
      </c>
      <c r="F56" s="1">
        <f t="shared" si="9"/>
        <v>154.1176027429093</v>
      </c>
      <c r="G56" s="1">
        <f t="shared" si="9"/>
        <v>176.69332335617111</v>
      </c>
      <c r="H56" s="1">
        <f t="shared" si="9"/>
        <v>194.10233438615364</v>
      </c>
      <c r="I56" s="1">
        <f t="shared" si="9"/>
        <v>207.02926516937043</v>
      </c>
      <c r="J56" s="1">
        <f t="shared" si="9"/>
        <v>226.1735927557329</v>
      </c>
      <c r="K56" s="1">
        <f t="shared" si="9"/>
        <v>235.82131836258287</v>
      </c>
      <c r="L56" s="1">
        <f t="shared" si="9"/>
        <v>229.08233438615366</v>
      </c>
      <c r="M56" s="1">
        <f t="shared" si="9"/>
        <v>226.16926516937053</v>
      </c>
      <c r="N56" s="1">
        <f t="shared" si="9"/>
        <v>234.09359275573297</v>
      </c>
      <c r="O56" s="1">
        <f t="shared" si="9"/>
        <v>235.82131836258287</v>
      </c>
      <c r="P56" s="1">
        <f t="shared" si="9"/>
        <v>229.08233438615366</v>
      </c>
      <c r="Q56" s="1">
        <f t="shared" si="9"/>
        <v>226.16926516937053</v>
      </c>
      <c r="R56" s="1">
        <f t="shared" si="9"/>
        <v>234.09359275573297</v>
      </c>
      <c r="S56" s="1">
        <f t="shared" si="9"/>
        <v>235.82131836258287</v>
      </c>
      <c r="T56" s="1">
        <f t="shared" si="9"/>
        <v>229.08233438615366</v>
      </c>
      <c r="U56" s="1">
        <f t="shared" si="9"/>
        <v>226.16926516937053</v>
      </c>
    </row>
    <row r="57" spans="1:21">
      <c r="A57" s="3" t="s">
        <v>26</v>
      </c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</row>
    <row r="58" spans="1:21">
      <c r="A58" s="3" t="s">
        <v>23</v>
      </c>
      <c r="B58" s="1">
        <f>[1]HUERTOS!E7</f>
        <v>371.29196355020338</v>
      </c>
      <c r="C58" s="1">
        <f>[1]HUERTOS!F7</f>
        <v>369.32411614338736</v>
      </c>
      <c r="D58" s="1">
        <f>[1]HUERTOS!G7</f>
        <v>367.36669832782741</v>
      </c>
      <c r="E58" s="1">
        <f>[1]HUERTOS!H7</f>
        <v>365.41965482669002</v>
      </c>
      <c r="F58" s="1">
        <f>[1]HUERTOS!I7</f>
        <v>363.48293065610858</v>
      </c>
      <c r="G58" s="1">
        <f>[1]HUERTOS!J7</f>
        <v>361.55647112363113</v>
      </c>
      <c r="H58" s="1">
        <f>[1]HUERTOS!K7</f>
        <v>359.64022182667594</v>
      </c>
      <c r="I58" s="1">
        <f>[1]HUERTOS!L7</f>
        <v>357.73412865099453</v>
      </c>
      <c r="J58" s="1">
        <f>[1]HUERTOS!M7</f>
        <v>355.83813776914428</v>
      </c>
      <c r="K58" s="1">
        <f>[1]HUERTOS!N7</f>
        <v>353.95219563896785</v>
      </c>
      <c r="L58" s="1">
        <f>[1]HUERTOS!O7</f>
        <v>352.07624900208134</v>
      </c>
      <c r="M58" s="1">
        <f>[1]HUERTOS!P7</f>
        <v>350.21024488237026</v>
      </c>
      <c r="N58" s="1">
        <f>[1]HUERTOS!Q7</f>
        <v>348.35413058449376</v>
      </c>
      <c r="O58" s="1">
        <f>[1]HUERTOS!R7</f>
        <v>346.50785369239588</v>
      </c>
      <c r="P58" s="1">
        <f>[1]HUERTOS!S7</f>
        <v>344.67136206782624</v>
      </c>
      <c r="Q58" s="1">
        <f>[1]HUERTOS!T7</f>
        <v>342.84460384886671</v>
      </c>
      <c r="R58" s="1">
        <f>[1]HUERTOS!U7</f>
        <v>341.02752744846777</v>
      </c>
      <c r="S58" s="1">
        <f>[1]HUERTOS!V7</f>
        <v>339.22008155299085</v>
      </c>
      <c r="T58" s="1">
        <f>[1]HUERTOS!W7</f>
        <v>337.42221512076003</v>
      </c>
      <c r="U58" s="1">
        <f>[1]HUERTOS!X7</f>
        <v>335.63387738061999</v>
      </c>
    </row>
    <row r="59" spans="1:21">
      <c r="A59" s="3" t="s">
        <v>24</v>
      </c>
      <c r="B59" s="1">
        <f>[1]HUERTOS!E8</f>
        <v>284.56896281742485</v>
      </c>
      <c r="C59" s="1">
        <f>[1]HUERTOS!F8</f>
        <v>219.66989025393994</v>
      </c>
      <c r="D59" s="1">
        <f>[1]HUERTOS!G8</f>
        <v>219.66989025393994</v>
      </c>
      <c r="E59" s="1">
        <f>[1]HUERTOS!H8</f>
        <v>219.66989025393994</v>
      </c>
      <c r="F59" s="1">
        <f>[1]HUERTOS!I8</f>
        <v>219.66989025393994</v>
      </c>
      <c r="G59" s="1">
        <f>[1]HUERTOS!J8</f>
        <v>219.66989025393994</v>
      </c>
      <c r="H59" s="1">
        <f>[1]HUERTOS!K8</f>
        <v>219.66989025393994</v>
      </c>
      <c r="I59" s="1">
        <f>[1]HUERTOS!L8</f>
        <v>219.66989025393994</v>
      </c>
      <c r="J59" s="1">
        <f>[1]HUERTOS!M8</f>
        <v>219.66989025393994</v>
      </c>
      <c r="K59" s="1">
        <f>[1]HUERTOS!N8</f>
        <v>219.66989025393994</v>
      </c>
      <c r="L59" s="1">
        <f>[1]HUERTOS!O8</f>
        <v>219.66989025393994</v>
      </c>
      <c r="M59" s="1">
        <f>[1]HUERTOS!P8</f>
        <v>219.66989025393994</v>
      </c>
      <c r="N59" s="1">
        <f>[1]HUERTOS!Q8</f>
        <v>219.66989025393994</v>
      </c>
      <c r="O59" s="1">
        <f>[1]HUERTOS!R8</f>
        <v>219.66989025393994</v>
      </c>
      <c r="P59" s="1">
        <f>[1]HUERTOS!S8</f>
        <v>219.66989025393994</v>
      </c>
      <c r="Q59" s="1">
        <f>[1]HUERTOS!T8</f>
        <v>219.66989025393994</v>
      </c>
      <c r="R59" s="1">
        <f>[1]HUERTOS!U8</f>
        <v>219.66989025393994</v>
      </c>
      <c r="S59" s="1">
        <f>[1]HUERTOS!V8</f>
        <v>219.66989025393994</v>
      </c>
      <c r="T59" s="1">
        <f>[1]HUERTOS!W8</f>
        <v>219.66989025393994</v>
      </c>
      <c r="U59" s="1">
        <f>[1]HUERTOS!X8</f>
        <v>219.66989025393994</v>
      </c>
    </row>
    <row r="60" spans="1:21">
      <c r="A60" s="3" t="s">
        <v>25</v>
      </c>
      <c r="B60" s="1">
        <f>B58-B59</f>
        <v>86.72300073277853</v>
      </c>
      <c r="C60" s="1">
        <f t="shared" ref="C60" si="10">C58-C59</f>
        <v>149.65422588944742</v>
      </c>
      <c r="D60" s="1">
        <f t="shared" ref="D60" si="11">D58-D59</f>
        <v>147.69680807388747</v>
      </c>
      <c r="E60" s="1">
        <f t="shared" ref="E60" si="12">E58-E59</f>
        <v>145.74976457275008</v>
      </c>
      <c r="F60" s="1">
        <f t="shared" ref="F60" si="13">F58-F59</f>
        <v>143.81304040216864</v>
      </c>
      <c r="G60" s="1">
        <f t="shared" ref="G60" si="14">G58-G59</f>
        <v>141.88658086969119</v>
      </c>
      <c r="H60" s="1">
        <f t="shared" ref="H60" si="15">H58-H59</f>
        <v>139.970331572736</v>
      </c>
      <c r="I60" s="1">
        <f t="shared" ref="I60" si="16">I58-I59</f>
        <v>138.06423839705459</v>
      </c>
      <c r="J60" s="1">
        <f t="shared" ref="J60" si="17">J58-J59</f>
        <v>136.16824751520434</v>
      </c>
      <c r="K60" s="1">
        <f t="shared" ref="K60" si="18">K58-K59</f>
        <v>134.28230538502791</v>
      </c>
      <c r="L60" s="1">
        <f t="shared" ref="L60" si="19">L58-L59</f>
        <v>132.4063587481414</v>
      </c>
      <c r="M60" s="1">
        <f t="shared" ref="M60" si="20">M58-M59</f>
        <v>130.54035462843032</v>
      </c>
      <c r="N60" s="1">
        <f t="shared" ref="N60" si="21">N58-N59</f>
        <v>128.68424033055382</v>
      </c>
      <c r="O60" s="1">
        <f t="shared" ref="O60" si="22">O58-O59</f>
        <v>126.83796343845594</v>
      </c>
      <c r="P60" s="1">
        <f t="shared" ref="P60" si="23">P58-P59</f>
        <v>125.0014718138863</v>
      </c>
      <c r="Q60" s="1">
        <f t="shared" ref="Q60" si="24">Q58-Q59</f>
        <v>123.17471359492677</v>
      </c>
      <c r="R60" s="1">
        <f t="shared" ref="R60" si="25">R58-R59</f>
        <v>121.35763719452783</v>
      </c>
      <c r="S60" s="1">
        <f t="shared" ref="S60" si="26">S58-S59</f>
        <v>119.55019129905091</v>
      </c>
      <c r="T60" s="1">
        <f t="shared" ref="T60" si="27">T58-T59</f>
        <v>117.75232486682009</v>
      </c>
      <c r="U60" s="1">
        <f t="shared" ref="U60" si="28">U58-U59</f>
        <v>115.96398712668005</v>
      </c>
    </row>
    <row r="61" spans="1:21">
      <c r="A61" s="3" t="s">
        <v>27</v>
      </c>
      <c r="B61" s="1">
        <f>B56-B60</f>
        <v>-218.24505066820228</v>
      </c>
      <c r="C61" s="1">
        <f t="shared" ref="C61" si="29">C56-C60</f>
        <v>-2.1603494845034277</v>
      </c>
      <c r="D61" s="1">
        <f t="shared" ref="D61" si="30">D56-D60</f>
        <v>-16.39551564537274</v>
      </c>
      <c r="E61" s="1">
        <f t="shared" ref="E61" si="31">E56-E60</f>
        <v>-24.36448442261505</v>
      </c>
      <c r="F61" s="1">
        <f t="shared" ref="F61" si="32">F56-F60</f>
        <v>10.304562340740659</v>
      </c>
      <c r="G61" s="1">
        <f t="shared" ref="G61" si="33">G56-G60</f>
        <v>34.806742486479919</v>
      </c>
      <c r="H61" s="1">
        <f t="shared" ref="H61" si="34">H56-H60</f>
        <v>54.132002813417643</v>
      </c>
      <c r="I61" s="1">
        <f t="shared" ref="I61" si="35">I56-I60</f>
        <v>68.965026772315838</v>
      </c>
      <c r="J61" s="1">
        <f t="shared" ref="J61" si="36">J56-J60</f>
        <v>90.005345240528555</v>
      </c>
      <c r="K61" s="1">
        <f t="shared" ref="K61" si="37">K56-K60</f>
        <v>101.53901297755496</v>
      </c>
      <c r="L61" s="1">
        <f t="shared" ref="L61" si="38">L56-L60</f>
        <v>96.675975638012261</v>
      </c>
      <c r="M61" s="1">
        <f t="shared" ref="M61" si="39">M56-M60</f>
        <v>95.628910540940211</v>
      </c>
      <c r="N61" s="1">
        <f t="shared" ref="N61" si="40">N56-N60</f>
        <v>105.40935242517915</v>
      </c>
      <c r="O61" s="1">
        <f t="shared" ref="O61" si="41">O56-O60</f>
        <v>108.98335492412693</v>
      </c>
      <c r="P61" s="1">
        <f t="shared" ref="P61" si="42">P56-P60</f>
        <v>104.08086257226736</v>
      </c>
      <c r="Q61" s="1">
        <f t="shared" ref="Q61" si="43">Q56-Q60</f>
        <v>102.99455157444376</v>
      </c>
      <c r="R61" s="1">
        <f t="shared" ref="R61" si="44">R56-R60</f>
        <v>112.73595556120515</v>
      </c>
      <c r="S61" s="1">
        <f t="shared" ref="S61" si="45">S56-S60</f>
        <v>116.27112706353196</v>
      </c>
      <c r="T61" s="1">
        <f t="shared" ref="T61" si="46">T56-T60</f>
        <v>111.33000951933357</v>
      </c>
      <c r="U61" s="1">
        <f t="shared" ref="U61" si="47">U56-U60</f>
        <v>110.20527804269048</v>
      </c>
    </row>
    <row r="62" spans="1:21">
      <c r="A62" s="4" t="s">
        <v>28</v>
      </c>
      <c r="B62" s="12">
        <f>NPV(12%,B61:U61)</f>
        <v>107.73405392378369</v>
      </c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</row>
    <row r="63" spans="1:21">
      <c r="A63" s="4" t="s">
        <v>29</v>
      </c>
      <c r="B63" s="13">
        <f>IRR(B61:U61)</f>
        <v>0.16346289133009551</v>
      </c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</row>
    <row r="64" spans="1:21">
      <c r="A64" s="4" t="s">
        <v>30</v>
      </c>
      <c r="B64" s="12">
        <f>-PMT(12%,20,B62)</f>
        <v>14.423303708043179</v>
      </c>
    </row>
    <row r="65" spans="1:21">
      <c r="A65" s="8"/>
      <c r="B65" s="16"/>
    </row>
    <row r="66" spans="1:21">
      <c r="A66" s="8"/>
      <c r="B66" s="16"/>
    </row>
    <row r="67" spans="1:21">
      <c r="A67" s="8"/>
      <c r="B67" s="16"/>
    </row>
    <row r="68" spans="1:21">
      <c r="A68" s="4" t="s">
        <v>34</v>
      </c>
      <c r="B68" s="4" t="s">
        <v>2</v>
      </c>
      <c r="C68" s="4" t="s">
        <v>3</v>
      </c>
      <c r="D68" s="4" t="s">
        <v>4</v>
      </c>
      <c r="E68" s="4" t="s">
        <v>5</v>
      </c>
      <c r="F68" s="4" t="s">
        <v>6</v>
      </c>
      <c r="G68" s="4" t="s">
        <v>7</v>
      </c>
      <c r="H68" s="4" t="s">
        <v>8</v>
      </c>
      <c r="I68" s="4" t="s">
        <v>9</v>
      </c>
      <c r="J68" s="4" t="s">
        <v>10</v>
      </c>
      <c r="K68" s="4" t="s">
        <v>11</v>
      </c>
      <c r="L68" s="4" t="s">
        <v>12</v>
      </c>
      <c r="M68" s="4" t="s">
        <v>13</v>
      </c>
      <c r="N68" s="4" t="s">
        <v>14</v>
      </c>
      <c r="O68" s="4" t="s">
        <v>15</v>
      </c>
      <c r="P68" s="4" t="s">
        <v>16</v>
      </c>
      <c r="Q68" s="4" t="s">
        <v>17</v>
      </c>
      <c r="R68" s="4" t="s">
        <v>18</v>
      </c>
      <c r="S68" s="4" t="s">
        <v>19</v>
      </c>
      <c r="T68" s="4" t="s">
        <v>20</v>
      </c>
      <c r="U68" s="4" t="s">
        <v>21</v>
      </c>
    </row>
    <row r="69" spans="1:21">
      <c r="A69" s="3" t="s">
        <v>22</v>
      </c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</row>
    <row r="70" spans="1:21">
      <c r="A70" s="3" t="s">
        <v>23</v>
      </c>
      <c r="B70" s="1">
        <f>[2]AnálisisFinanciero!B26</f>
        <v>317134.40000000002</v>
      </c>
      <c r="C70" s="1">
        <f>[2]AnálisisFinanciero!C26</f>
        <v>317134.40000000002</v>
      </c>
      <c r="D70" s="1">
        <f>[2]AnálisisFinanciero!D26</f>
        <v>412274.72000000003</v>
      </c>
      <c r="E70" s="1">
        <f>[2]AnálisisFinanciero!E26</f>
        <v>570841.91999999993</v>
      </c>
      <c r="F70" s="1">
        <f>[2]AnálisisFinanciero!F26</f>
        <v>634268.80000000005</v>
      </c>
      <c r="G70" s="1">
        <f>[2]AnálisisFinanciero!G26</f>
        <v>792836</v>
      </c>
      <c r="H70" s="1">
        <f>[2]AnálisisFinanciero!H26</f>
        <v>951403.20000000019</v>
      </c>
      <c r="I70" s="1">
        <f>[2]AnálisisFinanciero!I26</f>
        <v>951403.20000000019</v>
      </c>
      <c r="J70" s="1">
        <f>[2]AnálisisFinanciero!J26</f>
        <v>951403.20000000019</v>
      </c>
      <c r="K70" s="1">
        <f>[2]AnálisisFinanciero!K26</f>
        <v>951403.20000000019</v>
      </c>
      <c r="L70" s="1">
        <f>[2]AnálisisFinanciero!L26</f>
        <v>951403.20000000019</v>
      </c>
      <c r="M70" s="1">
        <f>[2]AnálisisFinanciero!M26</f>
        <v>951403.20000000019</v>
      </c>
      <c r="N70" s="1">
        <f>[2]AnálisisFinanciero!N26</f>
        <v>951403.20000000019</v>
      </c>
      <c r="O70" s="1">
        <f>[2]AnálisisFinanciero!O26</f>
        <v>951403.20000000019</v>
      </c>
      <c r="P70" s="1">
        <f>[2]AnálisisFinanciero!P26</f>
        <v>951403.20000000019</v>
      </c>
      <c r="Q70" s="1">
        <f>[2]AnálisisFinanciero!Q26</f>
        <v>951403.20000000019</v>
      </c>
      <c r="R70" s="1">
        <f>[2]AnálisisFinanciero!R26</f>
        <v>951403.20000000019</v>
      </c>
      <c r="S70" s="1">
        <f>[2]AnálisisFinanciero!S26</f>
        <v>951403.20000000019</v>
      </c>
      <c r="T70" s="1">
        <f>[2]AnálisisFinanciero!T26</f>
        <v>951403.20000000019</v>
      </c>
      <c r="U70" s="1">
        <f>[2]AnálisisFinanciero!U26</f>
        <v>951403.20000000019</v>
      </c>
    </row>
    <row r="71" spans="1:21">
      <c r="A71" s="3" t="s">
        <v>24</v>
      </c>
      <c r="B71" s="1">
        <f>[2]AnálisisFinanciero!B19</f>
        <v>825114.35364203295</v>
      </c>
      <c r="C71" s="1">
        <f>[2]AnálisisFinanciero!C19</f>
        <v>306523.44455112383</v>
      </c>
      <c r="D71" s="1">
        <f>[2]AnálisisFinanciero!D19</f>
        <v>387725.75843594153</v>
      </c>
      <c r="E71" s="1">
        <f>[2]AnálisisFinanciero!E19</f>
        <v>523062.94824397092</v>
      </c>
      <c r="F71" s="1">
        <f>[2]AnálisisFinanciero!F19</f>
        <v>577197.82416718279</v>
      </c>
      <c r="G71" s="1">
        <f>[2]AnálisisFinanciero!G19</f>
        <v>712535.01397521212</v>
      </c>
      <c r="H71" s="1">
        <f>[2]AnálisisFinanciero!H19</f>
        <v>847872.20378324168</v>
      </c>
      <c r="I71" s="1">
        <f>[2]AnálisisFinanciero!I19</f>
        <v>847872.20378324168</v>
      </c>
      <c r="J71" s="1">
        <f>[2]AnálisisFinanciero!J19</f>
        <v>847872.20378324168</v>
      </c>
      <c r="K71" s="1">
        <f>[2]AnálisisFinanciero!K19</f>
        <v>847872.20378324168</v>
      </c>
      <c r="L71" s="1">
        <f>[2]AnálisisFinanciero!L19</f>
        <v>847872.20378324168</v>
      </c>
      <c r="M71" s="1">
        <f>[2]AnálisisFinanciero!M19</f>
        <v>847872.20378324168</v>
      </c>
      <c r="N71" s="1">
        <f>[2]AnálisisFinanciero!N19</f>
        <v>847872.20378324168</v>
      </c>
      <c r="O71" s="1">
        <f>[2]AnálisisFinanciero!O19</f>
        <v>847872.20378324168</v>
      </c>
      <c r="P71" s="1">
        <f>[2]AnálisisFinanciero!P19</f>
        <v>847872.20378324168</v>
      </c>
      <c r="Q71" s="1">
        <f>[2]AnálisisFinanciero!Q19</f>
        <v>847872.20378324168</v>
      </c>
      <c r="R71" s="1">
        <f>[2]AnálisisFinanciero!R19</f>
        <v>847872.20378324168</v>
      </c>
      <c r="S71" s="1">
        <f>[2]AnálisisFinanciero!S19</f>
        <v>847872.20378324168</v>
      </c>
      <c r="T71" s="1">
        <f>[2]AnálisisFinanciero!T19</f>
        <v>847872.20378324168</v>
      </c>
      <c r="U71" s="1">
        <f>[2]AnálisisFinanciero!U19</f>
        <v>847872.20378324168</v>
      </c>
    </row>
    <row r="72" spans="1:21">
      <c r="A72" s="3" t="s">
        <v>25</v>
      </c>
      <c r="B72" s="1">
        <f>B70-B71</f>
        <v>-507979.95364203292</v>
      </c>
      <c r="C72" s="1">
        <f t="shared" ref="C72:T72" si="48">C70-C71</f>
        <v>10610.955448876193</v>
      </c>
      <c r="D72" s="1">
        <f t="shared" si="48"/>
        <v>24548.961564058496</v>
      </c>
      <c r="E72" s="1">
        <f t="shared" si="48"/>
        <v>47778.971756029001</v>
      </c>
      <c r="F72" s="1">
        <f t="shared" si="48"/>
        <v>57070.975832817261</v>
      </c>
      <c r="G72" s="1">
        <f t="shared" si="48"/>
        <v>80300.986024787882</v>
      </c>
      <c r="H72" s="1">
        <f t="shared" si="48"/>
        <v>103530.9962167585</v>
      </c>
      <c r="I72" s="1">
        <f t="shared" si="48"/>
        <v>103530.9962167585</v>
      </c>
      <c r="J72" s="1">
        <f t="shared" si="48"/>
        <v>103530.9962167585</v>
      </c>
      <c r="K72" s="1">
        <f t="shared" si="48"/>
        <v>103530.9962167585</v>
      </c>
      <c r="L72" s="1">
        <f t="shared" si="48"/>
        <v>103530.9962167585</v>
      </c>
      <c r="M72" s="1">
        <f t="shared" si="48"/>
        <v>103530.9962167585</v>
      </c>
      <c r="N72" s="1">
        <f t="shared" si="48"/>
        <v>103530.9962167585</v>
      </c>
      <c r="O72" s="1">
        <f t="shared" si="48"/>
        <v>103530.9962167585</v>
      </c>
      <c r="P72" s="1">
        <f t="shared" si="48"/>
        <v>103530.9962167585</v>
      </c>
      <c r="Q72" s="1">
        <f t="shared" si="48"/>
        <v>103530.9962167585</v>
      </c>
      <c r="R72" s="1">
        <f t="shared" si="48"/>
        <v>103530.9962167585</v>
      </c>
      <c r="S72" s="1">
        <f t="shared" si="48"/>
        <v>103530.9962167585</v>
      </c>
      <c r="T72" s="1">
        <f t="shared" si="48"/>
        <v>103530.9962167585</v>
      </c>
      <c r="U72" s="1">
        <f>U70-U71</f>
        <v>103530.9962167585</v>
      </c>
    </row>
    <row r="73" spans="1:21">
      <c r="A73" s="4" t="s">
        <v>28</v>
      </c>
      <c r="B73" s="12">
        <f>NPV(12%,B72:U72)</f>
        <v>23470.751450857199</v>
      </c>
    </row>
    <row r="74" spans="1:21">
      <c r="A74" s="4" t="s">
        <v>29</v>
      </c>
      <c r="B74" s="13">
        <f>IRR(B72:U72)</f>
        <v>0.12648332110720206</v>
      </c>
    </row>
    <row r="75" spans="1:21">
      <c r="A75" s="4" t="s">
        <v>30</v>
      </c>
      <c r="B75" s="12">
        <f>-PMT(12%,20,B73)</f>
        <v>3142.2355708548571</v>
      </c>
    </row>
    <row r="76" spans="1:21">
      <c r="A76" s="8"/>
      <c r="B76" s="16"/>
    </row>
    <row r="77" spans="1:21">
      <c r="A77" s="8"/>
      <c r="B77" s="16"/>
    </row>
    <row r="78" spans="1:21">
      <c r="A78" s="8"/>
      <c r="B78" s="16"/>
    </row>
    <row r="79" spans="1:21">
      <c r="A79" s="4" t="s">
        <v>35</v>
      </c>
      <c r="B79" s="4" t="s">
        <v>2</v>
      </c>
      <c r="C79" s="4" t="s">
        <v>3</v>
      </c>
      <c r="D79" s="4" t="s">
        <v>4</v>
      </c>
      <c r="E79" s="4" t="s">
        <v>5</v>
      </c>
      <c r="F79" s="4" t="s">
        <v>6</v>
      </c>
      <c r="G79" s="4" t="s">
        <v>7</v>
      </c>
      <c r="H79" s="4" t="s">
        <v>8</v>
      </c>
      <c r="I79" s="4" t="s">
        <v>9</v>
      </c>
      <c r="J79" s="4" t="s">
        <v>10</v>
      </c>
      <c r="K79" s="4" t="s">
        <v>11</v>
      </c>
      <c r="L79" s="4" t="s">
        <v>12</v>
      </c>
      <c r="M79" s="4" t="s">
        <v>13</v>
      </c>
      <c r="N79" s="4" t="s">
        <v>14</v>
      </c>
      <c r="O79" s="4" t="s">
        <v>15</v>
      </c>
      <c r="P79" s="4" t="s">
        <v>16</v>
      </c>
      <c r="Q79" s="4" t="s">
        <v>17</v>
      </c>
      <c r="R79" s="4" t="s">
        <v>18</v>
      </c>
      <c r="S79" s="4" t="s">
        <v>19</v>
      </c>
      <c r="T79" s="4" t="s">
        <v>20</v>
      </c>
      <c r="U79" s="4" t="s">
        <v>21</v>
      </c>
    </row>
    <row r="80" spans="1:21">
      <c r="A80" s="3" t="s">
        <v>22</v>
      </c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</row>
    <row r="81" spans="1:21">
      <c r="A81" s="3" t="s">
        <v>23</v>
      </c>
      <c r="B81" s="1">
        <f>'[3]AnalisisFinanciero (Q)'!B49</f>
        <v>163636.36363636365</v>
      </c>
      <c r="C81" s="1">
        <f>'[3]AnalisisFinanciero (Q)'!C49</f>
        <v>163636.36363636365</v>
      </c>
      <c r="D81" s="1">
        <f>'[3]AnalisisFinanciero (Q)'!D49</f>
        <v>163636.36363636365</v>
      </c>
      <c r="E81" s="1">
        <f>'[3]AnalisisFinanciero (Q)'!E49</f>
        <v>163636.36363636365</v>
      </c>
      <c r="F81" s="1">
        <f>'[3]AnalisisFinanciero (Q)'!F49</f>
        <v>163636.36363636365</v>
      </c>
      <c r="G81" s="1">
        <f>'[3]AnalisisFinanciero (Q)'!G49</f>
        <v>163636.36363636365</v>
      </c>
      <c r="H81" s="1">
        <f>'[3]AnalisisFinanciero (Q)'!H49</f>
        <v>163636.36363636365</v>
      </c>
      <c r="I81" s="1">
        <f>'[3]AnalisisFinanciero (Q)'!I49</f>
        <v>163636.36363636365</v>
      </c>
      <c r="J81" s="1">
        <f>'[3]AnalisisFinanciero (Q)'!J49</f>
        <v>163636.36363636365</v>
      </c>
      <c r="K81" s="1">
        <f>'[3]AnalisisFinanciero (Q)'!K49</f>
        <v>163636.36363636365</v>
      </c>
      <c r="L81" s="1">
        <f>'[3]AnalisisFinanciero (Q)'!L49</f>
        <v>163636.36363636365</v>
      </c>
      <c r="M81" s="1">
        <f>'[3]AnalisisFinanciero (Q)'!M49</f>
        <v>163636.36363636365</v>
      </c>
      <c r="N81" s="1">
        <f>'[3]AnalisisFinanciero (Q)'!N49</f>
        <v>163636.36363636365</v>
      </c>
      <c r="O81" s="1">
        <f>'[3]AnalisisFinanciero (Q)'!O49</f>
        <v>163636.36363636365</v>
      </c>
      <c r="P81" s="1">
        <f>'[3]AnalisisFinanciero (Q)'!P49</f>
        <v>163636.36363636365</v>
      </c>
      <c r="Q81" s="1">
        <f>'[3]AnalisisFinanciero (Q)'!Q49</f>
        <v>163636.36363636365</v>
      </c>
      <c r="R81" s="1">
        <f>'[3]AnalisisFinanciero (Q)'!R49</f>
        <v>163636.36363636365</v>
      </c>
      <c r="S81" s="1">
        <f>'[3]AnalisisFinanciero (Q)'!S49</f>
        <v>163636.36363636365</v>
      </c>
      <c r="T81" s="1">
        <f>'[3]AnalisisFinanciero (Q)'!T49</f>
        <v>163636.36363636365</v>
      </c>
      <c r="U81" s="1">
        <f>'[3]AnalisisFinanciero (Q)'!U49</f>
        <v>163636.36363636365</v>
      </c>
    </row>
    <row r="82" spans="1:21">
      <c r="A82" s="3" t="s">
        <v>24</v>
      </c>
      <c r="B82" s="1">
        <f>'[3]AnalisisFinanciero (Q)'!B43</f>
        <v>542047.38618524338</v>
      </c>
      <c r="C82" s="1">
        <f>'[3]AnalisisFinanciero (Q)'!C43</f>
        <v>83244.209875838438</v>
      </c>
      <c r="D82" s="1">
        <f>'[3]AnalisisFinanciero (Q)'!D43</f>
        <v>84755.133099757368</v>
      </c>
      <c r="E82" s="1">
        <f>'[3]AnalisisFinanciero (Q)'!E43</f>
        <v>83431.784445768513</v>
      </c>
      <c r="F82" s="1">
        <f>'[3]AnalisisFinanciero (Q)'!F43</f>
        <v>83532.662964474788</v>
      </c>
      <c r="G82" s="1">
        <f>'[3]AnalisisFinanciero (Q)'!G43</f>
        <v>84881.27129465944</v>
      </c>
      <c r="H82" s="1">
        <f>'[3]AnalisisFinanciero (Q)'!H43</f>
        <v>83749.8039759901</v>
      </c>
      <c r="I82" s="1">
        <f>'[3]AnalisisFinanciero (Q)'!I43</f>
        <v>83866.583471207472</v>
      </c>
      <c r="J82" s="1">
        <f>'[3]AnalisisFinanciero (Q)'!J43</f>
        <v>85231.887826728751</v>
      </c>
      <c r="K82" s="1">
        <f>'[3]AnalisisFinanciero (Q)'!K43</f>
        <v>84117.951334662866</v>
      </c>
      <c r="L82" s="1">
        <f>'[3]AnalisisFinanciero (Q)'!L43</f>
        <v>84253.138197813882</v>
      </c>
      <c r="M82" s="1">
        <f>'[3]AnalisisFinanciero (Q)'!M43</f>
        <v>85637.770289665466</v>
      </c>
      <c r="N82" s="1">
        <f>'[3]AnalisisFinanciero (Q)'!N43</f>
        <v>84544.127920746425</v>
      </c>
      <c r="O82" s="1">
        <f>'[3]AnalisisFinanciero (Q)'!O43</f>
        <v>84700.62361320162</v>
      </c>
      <c r="P82" s="1">
        <f>'[3]AnalisisFinanciero (Q)'!P43</f>
        <v>86107.629975822609</v>
      </c>
      <c r="Q82" s="1">
        <f>'[3]AnalisisFinanciero (Q)'!Q43</f>
        <v>85037.48059121141</v>
      </c>
      <c r="R82" s="1">
        <f>'[3]AnalisisFinanciero (Q)'!R43</f>
        <v>85218.643917189853</v>
      </c>
      <c r="S82" s="1">
        <f>'[3]AnalisisFinanciero (Q)'!S43</f>
        <v>86651.551295010257</v>
      </c>
      <c r="T82" s="1">
        <f>'[3]AnalisisFinanciero (Q)'!T43</f>
        <v>85608.597976358447</v>
      </c>
      <c r="U82" s="1">
        <f>'[3]AnalisisFinanciero (Q)'!U43</f>
        <v>85818.317171594244</v>
      </c>
    </row>
    <row r="83" spans="1:21">
      <c r="A83" s="3" t="s">
        <v>25</v>
      </c>
      <c r="B83" s="1">
        <f>B81-B82</f>
        <v>-378411.02254887973</v>
      </c>
      <c r="C83" s="1">
        <f t="shared" ref="C83:U83" si="49">C81-C82</f>
        <v>80392.153760525209</v>
      </c>
      <c r="D83" s="1">
        <f t="shared" si="49"/>
        <v>78881.230536606279</v>
      </c>
      <c r="E83" s="1">
        <f t="shared" si="49"/>
        <v>80204.579190595134</v>
      </c>
      <c r="F83" s="1">
        <f t="shared" si="49"/>
        <v>80103.700671888859</v>
      </c>
      <c r="G83" s="1">
        <f t="shared" si="49"/>
        <v>78755.092341704207</v>
      </c>
      <c r="H83" s="1">
        <f t="shared" si="49"/>
        <v>79886.559660373547</v>
      </c>
      <c r="I83" s="1">
        <f t="shared" si="49"/>
        <v>79769.780165156175</v>
      </c>
      <c r="J83" s="1">
        <f t="shared" si="49"/>
        <v>78404.475809634896</v>
      </c>
      <c r="K83" s="1">
        <f t="shared" si="49"/>
        <v>79518.412301700781</v>
      </c>
      <c r="L83" s="1">
        <f t="shared" si="49"/>
        <v>79383.225438549765</v>
      </c>
      <c r="M83" s="1">
        <f t="shared" si="49"/>
        <v>77998.593346698181</v>
      </c>
      <c r="N83" s="1">
        <f t="shared" si="49"/>
        <v>79092.235715617222</v>
      </c>
      <c r="O83" s="1">
        <f t="shared" si="49"/>
        <v>78935.740023162027</v>
      </c>
      <c r="P83" s="1">
        <f t="shared" si="49"/>
        <v>77528.733660541038</v>
      </c>
      <c r="Q83" s="1">
        <f t="shared" si="49"/>
        <v>78598.883045152237</v>
      </c>
      <c r="R83" s="1">
        <f t="shared" si="49"/>
        <v>78417.719719173794</v>
      </c>
      <c r="S83" s="1">
        <f t="shared" si="49"/>
        <v>76984.81234135339</v>
      </c>
      <c r="T83" s="1">
        <f t="shared" si="49"/>
        <v>78027.7656600052</v>
      </c>
      <c r="U83" s="1">
        <f t="shared" si="49"/>
        <v>77818.046464769403</v>
      </c>
    </row>
    <row r="84" spans="1:21">
      <c r="A84" s="4" t="s">
        <v>28</v>
      </c>
      <c r="B84" s="12">
        <f>NPV(12%,B83:U83)</f>
        <v>183585.07165248689</v>
      </c>
    </row>
    <row r="85" spans="1:21">
      <c r="A85" s="4" t="s">
        <v>29</v>
      </c>
      <c r="B85" s="13">
        <f>IRR(B83:U83)</f>
        <v>0.2038419804978977</v>
      </c>
    </row>
    <row r="86" spans="1:21">
      <c r="A86" s="4" t="s">
        <v>30</v>
      </c>
      <c r="B86" s="12">
        <f>-PMT(12%,20,B84)</f>
        <v>24578.145426328636</v>
      </c>
    </row>
    <row r="89" spans="1:21">
      <c r="A89" s="14" t="s">
        <v>36</v>
      </c>
    </row>
    <row r="90" spans="1:21">
      <c r="A90" s="2" t="s">
        <v>37</v>
      </c>
      <c r="B90" s="2">
        <v>1</v>
      </c>
    </row>
    <row r="91" spans="1:21">
      <c r="A91" s="2" t="s">
        <v>38</v>
      </c>
      <c r="B91" s="2">
        <v>1</v>
      </c>
    </row>
    <row r="92" spans="1:21">
      <c r="A92" s="52" t="s">
        <v>39</v>
      </c>
      <c r="B92" s="52" t="s">
        <v>40</v>
      </c>
      <c r="C92" s="52" t="s">
        <v>1</v>
      </c>
      <c r="D92" s="52"/>
      <c r="E92" s="52" t="s">
        <v>31</v>
      </c>
      <c r="F92" s="52"/>
      <c r="G92" s="52" t="s">
        <v>32</v>
      </c>
      <c r="H92" s="52"/>
      <c r="I92" s="52" t="s">
        <v>33</v>
      </c>
      <c r="J92" s="52"/>
      <c r="K92" s="52" t="s">
        <v>41</v>
      </c>
      <c r="L92" s="52"/>
      <c r="M92" s="52" t="s">
        <v>42</v>
      </c>
      <c r="N92" s="52"/>
    </row>
    <row r="93" spans="1:21" ht="45">
      <c r="A93" s="52"/>
      <c r="B93" s="52"/>
      <c r="C93" s="5" t="s">
        <v>43</v>
      </c>
      <c r="D93" s="5" t="s">
        <v>44</v>
      </c>
      <c r="E93" s="5" t="s">
        <v>43</v>
      </c>
      <c r="F93" s="5" t="s">
        <v>44</v>
      </c>
      <c r="G93" s="5" t="s">
        <v>43</v>
      </c>
      <c r="H93" s="5" t="s">
        <v>44</v>
      </c>
      <c r="I93" s="5" t="s">
        <v>43</v>
      </c>
      <c r="J93" s="5" t="s">
        <v>44</v>
      </c>
      <c r="K93" s="5" t="s">
        <v>43</v>
      </c>
      <c r="L93" s="5" t="s">
        <v>44</v>
      </c>
      <c r="M93" s="5" t="s">
        <v>43</v>
      </c>
      <c r="N93" s="5" t="s">
        <v>44</v>
      </c>
    </row>
    <row r="94" spans="1:21">
      <c r="A94" s="53" t="s">
        <v>45</v>
      </c>
      <c r="B94" s="6">
        <v>-0.05</v>
      </c>
      <c r="C94" s="10">
        <v>377.98397590958012</v>
      </c>
      <c r="D94" s="11">
        <v>0.15952529258913661</v>
      </c>
      <c r="E94" s="10">
        <v>30.581802804088397</v>
      </c>
      <c r="F94" s="11">
        <v>0.12104293597379212</v>
      </c>
      <c r="G94" s="10">
        <v>784.4888008806106</v>
      </c>
      <c r="H94" s="11">
        <v>0.15878066306778926</v>
      </c>
      <c r="I94" s="10">
        <v>-97.453914362146179</v>
      </c>
      <c r="J94" s="11">
        <v>8.2425619566976804E-2</v>
      </c>
      <c r="K94" s="10">
        <v>-233960.53372529827</v>
      </c>
      <c r="L94" s="11">
        <v>4.583861176235593E-2</v>
      </c>
      <c r="M94" s="10">
        <v>122471.44199889754</v>
      </c>
      <c r="N94" s="11">
        <v>0.17578201041580077</v>
      </c>
    </row>
    <row r="95" spans="1:21">
      <c r="A95" s="53"/>
      <c r="B95" s="6">
        <v>-0.1</v>
      </c>
      <c r="C95" s="10">
        <v>-180.06813968357702</v>
      </c>
      <c r="D95" s="11">
        <v>0.10195371086267713</v>
      </c>
      <c r="E95" s="10">
        <v>-893.32390757732492</v>
      </c>
      <c r="F95" s="11">
        <v>8.9039228036118301E-2</v>
      </c>
      <c r="G95" s="10">
        <v>242.00708864676818</v>
      </c>
      <c r="H95" s="11">
        <v>0.13196929160394233</v>
      </c>
      <c r="I95" s="10">
        <v>-302.64188264807575</v>
      </c>
      <c r="J95" s="11">
        <v>1.9599616833270161E-3</v>
      </c>
      <c r="K95" s="10">
        <v>-491391.81890145299</v>
      </c>
      <c r="L95" s="11">
        <v>-0.11477557730769372</v>
      </c>
      <c r="M95" s="10">
        <v>61357.812345308237</v>
      </c>
      <c r="N95" s="11">
        <v>0.14798451206878593</v>
      </c>
    </row>
    <row r="96" spans="1:21">
      <c r="A96" s="53"/>
      <c r="B96" s="6">
        <v>-0.15</v>
      </c>
      <c r="C96" s="10">
        <v>-738.12025527673563</v>
      </c>
      <c r="D96" s="11">
        <v>4.7361140804254465E-2</v>
      </c>
      <c r="E96" s="10">
        <v>-1817.2296179587395</v>
      </c>
      <c r="F96" s="11">
        <v>5.5330882226189759E-2</v>
      </c>
      <c r="G96" s="10">
        <v>-300.47462358707656</v>
      </c>
      <c r="H96" s="11">
        <v>0.10505055903741489</v>
      </c>
      <c r="I96" s="10">
        <v>-507.82985093400566</v>
      </c>
      <c r="J96" s="11">
        <v>-0.10480932824433642</v>
      </c>
      <c r="K96" s="10">
        <v>-748823.10407760891</v>
      </c>
      <c r="L96" s="11" t="s">
        <v>46</v>
      </c>
      <c r="M96" s="10">
        <v>244.18269171857136</v>
      </c>
      <c r="N96" s="11">
        <v>0.1201120729501004</v>
      </c>
    </row>
    <row r="97" spans="1:14">
      <c r="A97" s="53" t="s">
        <v>47</v>
      </c>
      <c r="B97" s="7" t="s">
        <v>48</v>
      </c>
      <c r="C97" s="10">
        <v>-422.51151900684312</v>
      </c>
      <c r="D97" s="11">
        <v>9.495221944793597E-2</v>
      </c>
      <c r="E97" s="10">
        <v>-1344.372675051135</v>
      </c>
      <c r="F97" s="11">
        <v>8.6145682553889324E-2</v>
      </c>
      <c r="G97" s="10">
        <v>-25.398556481863832</v>
      </c>
      <c r="H97" s="11">
        <v>0.11904852322190695</v>
      </c>
      <c r="I97" s="10">
        <v>-387.37881554944647</v>
      </c>
      <c r="J97" s="11">
        <v>4.3667102691428594E-2</v>
      </c>
      <c r="K97" s="10">
        <v>-616229.22752609674</v>
      </c>
      <c r="L97" s="11">
        <v>1.4434255530068052E-2</v>
      </c>
      <c r="M97" s="10">
        <v>37481.175548590792</v>
      </c>
      <c r="N97" s="11">
        <v>0.13260175210097147</v>
      </c>
    </row>
    <row r="98" spans="1:14">
      <c r="A98" s="53"/>
      <c r="B98" s="7" t="s">
        <v>49</v>
      </c>
      <c r="C98" s="10">
        <v>-1635.1302185151108</v>
      </c>
      <c r="D98" s="11">
        <v>4.5202687061734137E-2</v>
      </c>
      <c r="E98" s="10">
        <v>-3370.0715390539808</v>
      </c>
      <c r="F98" s="11">
        <v>4.8248448255491461E-2</v>
      </c>
      <c r="G98" s="10">
        <v>-1225.901201290563</v>
      </c>
      <c r="H98" s="11">
        <v>8.0591281079588351E-2</v>
      </c>
      <c r="I98" s="10">
        <v>-830.38715223508541</v>
      </c>
      <c r="J98" s="11">
        <v>-2.6821792504937436E-3</v>
      </c>
      <c r="K98" s="10">
        <v>-1187389.9230412333</v>
      </c>
      <c r="L98" s="11">
        <v>-3.9647208846971926E-2</v>
      </c>
      <c r="M98" s="10">
        <v>-92968.731687030697</v>
      </c>
      <c r="N98" s="11">
        <v>9.3603051029162554E-2</v>
      </c>
    </row>
    <row r="99" spans="1:14">
      <c r="A99" s="53"/>
      <c r="B99" s="7" t="s">
        <v>50</v>
      </c>
      <c r="C99" s="10">
        <v>-2717.8254859332069</v>
      </c>
      <c r="D99" s="11">
        <v>1.2877802655218762E-2</v>
      </c>
      <c r="E99" s="10">
        <v>-5205.5861145506769</v>
      </c>
      <c r="F99" s="11">
        <v>1.9168115363249472E-2</v>
      </c>
      <c r="G99" s="10">
        <v>-2304.7483014863433</v>
      </c>
      <c r="H99" s="11">
        <v>5.22739778760688E-2</v>
      </c>
      <c r="I99" s="10">
        <v>-1225.9303099901201</v>
      </c>
      <c r="J99" s="11">
        <v>-3.3224628055216643E-2</v>
      </c>
      <c r="K99" s="10">
        <v>-1697354.8297511772</v>
      </c>
      <c r="L99" s="11">
        <v>-7.6948590598197031E-2</v>
      </c>
      <c r="M99" s="10">
        <v>-209441.86314740704</v>
      </c>
      <c r="N99" s="11">
        <v>6.6563340354773182E-2</v>
      </c>
    </row>
    <row r="100" spans="1:14">
      <c r="A100" s="53" t="s">
        <v>51</v>
      </c>
      <c r="B100" s="6">
        <v>0.1</v>
      </c>
      <c r="C100" s="10">
        <v>757.19553793131013</v>
      </c>
      <c r="D100" s="11">
        <v>0.19329657544953899</v>
      </c>
      <c r="E100" s="10">
        <v>793.87561586407469</v>
      </c>
      <c r="F100" s="11">
        <v>0.14591995942551739</v>
      </c>
      <c r="G100" s="10">
        <v>1212.5359595430261</v>
      </c>
      <c r="H100" s="11">
        <v>0.17777576292300612</v>
      </c>
      <c r="I100" s="10">
        <v>51.88275880136873</v>
      </c>
      <c r="J100" s="11">
        <v>0.13821704211252483</v>
      </c>
      <c r="K100" s="10">
        <v>-50200.172981467265</v>
      </c>
      <c r="L100" s="11">
        <v>0.10750602584682478</v>
      </c>
      <c r="M100" s="10">
        <v>135187.98360023298</v>
      </c>
      <c r="N100" s="11">
        <v>0.17501274806116829</v>
      </c>
    </row>
    <row r="101" spans="1:14">
      <c r="A101" s="53"/>
      <c r="B101" s="6">
        <v>0.2</v>
      </c>
      <c r="C101" s="10">
        <v>578.35498435988154</v>
      </c>
      <c r="D101" s="11">
        <v>0.16983217362324043</v>
      </c>
      <c r="E101" s="10">
        <v>633.26371854264676</v>
      </c>
      <c r="F101" s="11">
        <v>0.13999577320561918</v>
      </c>
      <c r="G101" s="10">
        <v>1098.1014059715978</v>
      </c>
      <c r="H101" s="11">
        <v>0.1703459345714109</v>
      </c>
      <c r="I101" s="10">
        <v>-3.9685363210460802</v>
      </c>
      <c r="J101" s="11">
        <v>0.11875781011118969</v>
      </c>
      <c r="K101" s="10">
        <v>-123871.09741379155</v>
      </c>
      <c r="L101" s="11">
        <v>9.1858574758627132E-2</v>
      </c>
      <c r="M101" s="10">
        <v>86790.895547979148</v>
      </c>
      <c r="N101" s="11">
        <v>0.15194344490918366</v>
      </c>
    </row>
    <row r="102" spans="1:14">
      <c r="A102" s="53"/>
      <c r="B102" s="6">
        <v>0.3</v>
      </c>
      <c r="C102" s="10">
        <v>399.51443078845301</v>
      </c>
      <c r="D102" s="11">
        <v>0.15117859445077864</v>
      </c>
      <c r="E102" s="10">
        <v>472.65182122121809</v>
      </c>
      <c r="F102" s="11">
        <v>0.13445682351806609</v>
      </c>
      <c r="G102" s="10">
        <v>983.6668524001692</v>
      </c>
      <c r="H102" s="11">
        <v>0.163491914000778</v>
      </c>
      <c r="I102" s="10">
        <v>-59.819831443460885</v>
      </c>
      <c r="J102" s="11">
        <v>0.10302879332127302</v>
      </c>
      <c r="K102" s="10">
        <v>-197542.02184611594</v>
      </c>
      <c r="L102" s="11">
        <v>7.8620897383862021E-2</v>
      </c>
      <c r="M102" s="10">
        <v>38393.807495725239</v>
      </c>
      <c r="N102" s="11">
        <v>0.13292902697944764</v>
      </c>
    </row>
  </sheetData>
  <mergeCells count="11">
    <mergeCell ref="A100:A102"/>
    <mergeCell ref="A92:A93"/>
    <mergeCell ref="B92:B93"/>
    <mergeCell ref="C92:D92"/>
    <mergeCell ref="A94:A96"/>
    <mergeCell ref="A97:A99"/>
    <mergeCell ref="E92:F92"/>
    <mergeCell ref="G92:H92"/>
    <mergeCell ref="I92:J92"/>
    <mergeCell ref="K92:L92"/>
    <mergeCell ref="M92:N9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U248"/>
  <sheetViews>
    <sheetView tabSelected="1" topLeftCell="A207" zoomScale="110" zoomScaleNormal="110" workbookViewId="0">
      <selection activeCell="A228" sqref="A228"/>
    </sheetView>
  </sheetViews>
  <sheetFormatPr defaultRowHeight="11.25"/>
  <cols>
    <col min="1" max="1" width="39.5703125" style="2" bestFit="1" customWidth="1"/>
    <col min="2" max="2" width="13.42578125" style="2" customWidth="1"/>
    <col min="3" max="3" width="12.42578125" style="2" customWidth="1"/>
    <col min="4" max="4" width="12.140625" style="2" customWidth="1"/>
    <col min="5" max="5" width="10.5703125" style="2" customWidth="1"/>
    <col min="6" max="6" width="13.5703125" style="2" bestFit="1" customWidth="1"/>
    <col min="7" max="8" width="12.5703125" style="2" bestFit="1" customWidth="1"/>
    <col min="9" max="9" width="14.42578125" style="2" bestFit="1" customWidth="1"/>
    <col min="10" max="10" width="11.42578125" style="2" bestFit="1" customWidth="1"/>
    <col min="11" max="21" width="10" style="2" bestFit="1" customWidth="1"/>
    <col min="22" max="16384" width="9.140625" style="2"/>
  </cols>
  <sheetData>
    <row r="1" spans="1:21">
      <c r="A1" s="15" t="s">
        <v>52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</row>
    <row r="2" spans="1:21">
      <c r="A2" s="4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4" t="s">
        <v>7</v>
      </c>
      <c r="H2" s="4" t="s">
        <v>8</v>
      </c>
      <c r="I2" s="4" t="s">
        <v>9</v>
      </c>
      <c r="J2" s="4" t="s">
        <v>10</v>
      </c>
      <c r="K2" s="4" t="s">
        <v>11</v>
      </c>
      <c r="L2" s="4" t="s">
        <v>12</v>
      </c>
      <c r="M2" s="4" t="s">
        <v>13</v>
      </c>
      <c r="N2" s="4" t="s">
        <v>14</v>
      </c>
      <c r="O2" s="4" t="s">
        <v>15</v>
      </c>
      <c r="P2" s="4" t="s">
        <v>16</v>
      </c>
      <c r="Q2" s="4" t="s">
        <v>17</v>
      </c>
      <c r="R2" s="4" t="s">
        <v>18</v>
      </c>
      <c r="S2" s="4" t="s">
        <v>19</v>
      </c>
      <c r="T2" s="4" t="s">
        <v>20</v>
      </c>
      <c r="U2" s="4" t="s">
        <v>21</v>
      </c>
    </row>
    <row r="3" spans="1:21">
      <c r="A3" s="3" t="s">
        <v>22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</row>
    <row r="4" spans="1:21">
      <c r="A4" s="3" t="s">
        <v>23</v>
      </c>
      <c r="B4" s="1">
        <f>'[4]GRANOS BÁSICOS'!E3</f>
        <v>1158.2777599999999</v>
      </c>
      <c r="C4" s="1">
        <f>'[4]GRANOS BÁSICOS'!F3</f>
        <v>1172.4280159999998</v>
      </c>
      <c r="D4" s="1">
        <f>'[4]GRANOS BÁSICOS'!G3</f>
        <v>1205.3357119999998</v>
      </c>
      <c r="E4" s="1">
        <f>'[4]GRANOS BÁSICOS'!H3</f>
        <v>1238.2434079999996</v>
      </c>
      <c r="F4" s="1">
        <f>'[4]GRANOS BÁSICOS'!I3</f>
        <v>1297.6373039999996</v>
      </c>
      <c r="G4" s="1">
        <f>'[4]GRANOS BÁSICOS'!J3</f>
        <v>1310.6980399999995</v>
      </c>
      <c r="H4" s="1">
        <f>'[4]GRANOS BÁSICOS'!K3</f>
        <v>1340.6057359999998</v>
      </c>
      <c r="I4" s="1">
        <f>'[4]GRANOS BÁSICOS'!L3</f>
        <v>1370.5134319999995</v>
      </c>
      <c r="J4" s="1">
        <f>'[4]GRANOS BÁSICOS'!M3</f>
        <v>1400.4211279999997</v>
      </c>
      <c r="K4" s="1">
        <f>'[4]GRANOS BÁSICOS'!N3</f>
        <v>1498.1334959999997</v>
      </c>
      <c r="L4" s="1">
        <f>'[4]GRANOS BÁSICOS'!O3</f>
        <v>1494.6598959999997</v>
      </c>
      <c r="M4" s="1">
        <f>'[4]GRANOS BÁSICOS'!P3</f>
        <v>1494.6598959999997</v>
      </c>
      <c r="N4" s="1">
        <f>'[4]GRANOS BÁSICOS'!Q3</f>
        <v>1494.6598959999997</v>
      </c>
      <c r="O4" s="1">
        <f>'[4]GRANOS BÁSICOS'!R3</f>
        <v>1494.6598959999997</v>
      </c>
      <c r="P4" s="1">
        <f>'[4]GRANOS BÁSICOS'!S3</f>
        <v>1562.4645679999996</v>
      </c>
      <c r="Q4" s="1">
        <f>'[4]GRANOS BÁSICOS'!T3</f>
        <v>1558.9909679999996</v>
      </c>
      <c r="R4" s="1">
        <f>'[4]GRANOS BÁSICOS'!U3</f>
        <v>1558.9909679999996</v>
      </c>
      <c r="S4" s="1">
        <f>'[4]GRANOS BÁSICOS'!V3</f>
        <v>1558.9909679999996</v>
      </c>
      <c r="T4" s="1">
        <f>'[4]GRANOS BÁSICOS'!W3</f>
        <v>1558.9909679999996</v>
      </c>
      <c r="U4" s="1">
        <f>'[4]GRANOS BÁSICOS'!X3</f>
        <v>1562.4645679999996</v>
      </c>
    </row>
    <row r="5" spans="1:21">
      <c r="A5" s="3" t="s">
        <v>24</v>
      </c>
      <c r="B5" s="1">
        <f>'[4]GRANOS BÁSICOS'!E4</f>
        <v>1522.9317072799995</v>
      </c>
      <c r="C5" s="1">
        <f>'[4]GRANOS BÁSICOS'!F4</f>
        <v>902.90669245789604</v>
      </c>
      <c r="D5" s="1">
        <f>'[4]GRANOS BÁSICOS'!G4</f>
        <v>943.22451971995429</v>
      </c>
      <c r="E5" s="1">
        <f>'[4]GRANOS BÁSICOS'!H4</f>
        <v>887.93022927331072</v>
      </c>
      <c r="F5" s="1">
        <f>'[4]GRANOS BÁSICOS'!I4</f>
        <v>981.58349357001771</v>
      </c>
      <c r="G5" s="1">
        <f>'[4]GRANOS BÁSICOS'!J4</f>
        <v>881.01057866813244</v>
      </c>
      <c r="H5" s="1">
        <f>'[4]GRANOS BÁSICOS'!K4</f>
        <v>921.80724207923549</v>
      </c>
      <c r="I5" s="1">
        <f>'[4]GRANOS BÁSICOS'!L4</f>
        <v>867.07042166228348</v>
      </c>
      <c r="J5" s="1">
        <f>'[4]GRANOS BÁSICOS'!M4</f>
        <v>946.17990676368322</v>
      </c>
      <c r="K5" s="1">
        <f>'[4]GRANOS BÁSICOS'!N4</f>
        <v>868.25950136349388</v>
      </c>
      <c r="L5" s="1">
        <f>'[4]GRANOS BÁSICOS'!O4</f>
        <v>920.85968306764994</v>
      </c>
      <c r="M5" s="1">
        <f>'[4]GRANOS BÁSICOS'!P4</f>
        <v>841.90808690611243</v>
      </c>
      <c r="N5" s="1">
        <f>'[4]GRANOS BÁSICOS'!Q4</f>
        <v>922.30864833684882</v>
      </c>
      <c r="O5" s="1">
        <f>'[4]GRANOS BÁSICOS'!R4</f>
        <v>830.74804049554746</v>
      </c>
      <c r="P5" s="1">
        <f>'[4]GRANOS BÁSICOS'!S4</f>
        <v>887.95109785097065</v>
      </c>
      <c r="Q5" s="1">
        <f>'[4]GRANOS BÁSICOS'!T4</f>
        <v>825.29603785097083</v>
      </c>
      <c r="R5" s="1">
        <f>'[4]GRANOS BÁSICOS'!U4</f>
        <v>911.31974185097079</v>
      </c>
      <c r="S5" s="1">
        <f>'[4]GRANOS BÁSICOS'!V4</f>
        <v>825.29603785097083</v>
      </c>
      <c r="T5" s="1">
        <f>'[4]GRANOS BÁSICOS'!W4</f>
        <v>873.11014185097065</v>
      </c>
      <c r="U5" s="1">
        <f>'[4]GRANOS BÁSICOS'!X4</f>
        <v>865.56374585097069</v>
      </c>
    </row>
    <row r="6" spans="1:21">
      <c r="A6" s="3" t="s">
        <v>25</v>
      </c>
      <c r="B6" s="1">
        <f>B4-B5</f>
        <v>-364.65394727999956</v>
      </c>
      <c r="C6" s="1">
        <f t="shared" ref="C6:U6" si="0">C4-C5</f>
        <v>269.5213235421038</v>
      </c>
      <c r="D6" s="1">
        <f t="shared" si="0"/>
        <v>262.11119228004554</v>
      </c>
      <c r="E6" s="1">
        <f t="shared" si="0"/>
        <v>350.31317872668888</v>
      </c>
      <c r="F6" s="1">
        <f t="shared" si="0"/>
        <v>316.05381042998192</v>
      </c>
      <c r="G6" s="1">
        <f t="shared" si="0"/>
        <v>429.6874613318671</v>
      </c>
      <c r="H6" s="1">
        <f t="shared" si="0"/>
        <v>418.79849392076426</v>
      </c>
      <c r="I6" s="1">
        <f t="shared" si="0"/>
        <v>503.44301033771603</v>
      </c>
      <c r="J6" s="1">
        <f t="shared" si="0"/>
        <v>454.24122123631651</v>
      </c>
      <c r="K6" s="1">
        <f t="shared" si="0"/>
        <v>629.87399463650581</v>
      </c>
      <c r="L6" s="1">
        <f t="shared" si="0"/>
        <v>573.80021293234972</v>
      </c>
      <c r="M6" s="1">
        <f t="shared" si="0"/>
        <v>652.75180909388723</v>
      </c>
      <c r="N6" s="1">
        <f t="shared" si="0"/>
        <v>572.35124766315084</v>
      </c>
      <c r="O6" s="1">
        <f t="shared" si="0"/>
        <v>663.91185550445221</v>
      </c>
      <c r="P6" s="1">
        <f t="shared" si="0"/>
        <v>674.51347014902899</v>
      </c>
      <c r="Q6" s="1">
        <f t="shared" si="0"/>
        <v>733.69493014902878</v>
      </c>
      <c r="R6" s="1">
        <f t="shared" si="0"/>
        <v>647.67122614902883</v>
      </c>
      <c r="S6" s="1">
        <f t="shared" si="0"/>
        <v>733.69493014902878</v>
      </c>
      <c r="T6" s="1">
        <f t="shared" si="0"/>
        <v>685.88082614902896</v>
      </c>
      <c r="U6" s="1">
        <f t="shared" si="0"/>
        <v>696.90082214902895</v>
      </c>
    </row>
    <row r="7" spans="1:21">
      <c r="A7" s="3" t="s">
        <v>28</v>
      </c>
      <c r="B7" s="20">
        <f>NPV(12%,B6:K6)</f>
        <v>1454.8851203211091</v>
      </c>
      <c r="C7" s="18"/>
      <c r="D7" s="18"/>
      <c r="E7" s="18"/>
      <c r="F7" s="18"/>
      <c r="G7" s="18"/>
      <c r="H7" s="18"/>
      <c r="I7" s="18"/>
      <c r="J7" s="18"/>
      <c r="K7" s="18"/>
      <c r="L7" s="18"/>
      <c r="M7" s="18"/>
      <c r="N7" s="18"/>
      <c r="O7" s="18"/>
      <c r="P7" s="18"/>
      <c r="Q7" s="18"/>
      <c r="R7" s="18"/>
      <c r="S7" s="18"/>
      <c r="T7" s="18"/>
      <c r="U7" s="18"/>
    </row>
    <row r="8" spans="1:21">
      <c r="A8" s="3" t="s">
        <v>29</v>
      </c>
      <c r="B8" s="19">
        <f>IRR(B6:U6)</f>
        <v>0.82033344436373135</v>
      </c>
      <c r="C8" s="18"/>
      <c r="D8" s="18"/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</row>
    <row r="9" spans="1:21">
      <c r="A9" s="3" t="s">
        <v>30</v>
      </c>
      <c r="B9" s="20">
        <f>-PMT(12%,10,B7)</f>
        <v>257.49162696862567</v>
      </c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</row>
    <row r="10" spans="1:21">
      <c r="A10" s="9"/>
      <c r="B10" s="18"/>
      <c r="C10" s="18"/>
      <c r="D10" s="18"/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</row>
    <row r="11" spans="1:21">
      <c r="A11" s="3" t="s">
        <v>26</v>
      </c>
      <c r="B11" s="18"/>
      <c r="C11" s="18"/>
      <c r="D11" s="18"/>
      <c r="E11" s="18"/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</row>
    <row r="12" spans="1:21">
      <c r="A12" s="17" t="s">
        <v>23</v>
      </c>
      <c r="B12" s="1">
        <f>'[4]GRANOS BÁSICOS'!E7</f>
        <v>904.52543999999989</v>
      </c>
      <c r="C12" s="1">
        <f>'[4]GRANOS BÁSICOS'!F7</f>
        <v>900.42458217503997</v>
      </c>
      <c r="D12" s="1">
        <f>'[4]GRANOS BÁSICOS'!G7</f>
        <v>896.32372435008006</v>
      </c>
      <c r="E12" s="1">
        <f>'[4]GRANOS BÁSICOS'!H7</f>
        <v>892.22286652512003</v>
      </c>
      <c r="F12" s="1">
        <f>'[4]GRANOS BÁSICOS'!I7</f>
        <v>888.12200870015999</v>
      </c>
      <c r="G12" s="1">
        <f>'[4]GRANOS BÁSICOS'!J7</f>
        <v>884.02115087519996</v>
      </c>
      <c r="H12" s="1">
        <f>'[4]GRANOS BÁSICOS'!K7</f>
        <v>879.92029305024005</v>
      </c>
      <c r="I12" s="1">
        <f>'[4]GRANOS BÁSICOS'!L7</f>
        <v>875.81943522528013</v>
      </c>
      <c r="J12" s="1">
        <f>'[4]GRANOS BÁSICOS'!M7</f>
        <v>871.7185774003201</v>
      </c>
      <c r="K12" s="1">
        <f>'[4]GRANOS BÁSICOS'!N7</f>
        <v>867.61771957536007</v>
      </c>
      <c r="L12" s="1">
        <f>'[4]GRANOS BÁSICOS'!O7</f>
        <v>863.51686175040004</v>
      </c>
      <c r="M12" s="1">
        <f>'[4]GRANOS BÁSICOS'!P7</f>
        <v>859.41600392544012</v>
      </c>
      <c r="N12" s="1">
        <f>'[4]GRANOS BÁSICOS'!Q7</f>
        <v>855.31514610048021</v>
      </c>
      <c r="O12" s="1">
        <f>'[4]GRANOS BÁSICOS'!R7</f>
        <v>851.21428827552018</v>
      </c>
      <c r="P12" s="1">
        <f>'[4]GRANOS BÁSICOS'!S7</f>
        <v>847.11343045056014</v>
      </c>
      <c r="Q12" s="1">
        <f>'[4]GRANOS BÁSICOS'!T7</f>
        <v>843.01257262560011</v>
      </c>
      <c r="R12" s="1">
        <f>'[4]GRANOS BÁSICOS'!U7</f>
        <v>838.9117148006402</v>
      </c>
      <c r="S12" s="1">
        <f>'[4]GRANOS BÁSICOS'!V7</f>
        <v>834.81085697568017</v>
      </c>
      <c r="T12" s="1">
        <f>'[4]GRANOS BÁSICOS'!W7</f>
        <v>830.70999915072025</v>
      </c>
      <c r="U12" s="1">
        <f>'[4]GRANOS BÁSICOS'!X7</f>
        <v>826.60914132576022</v>
      </c>
    </row>
    <row r="13" spans="1:21">
      <c r="A13" s="3" t="s">
        <v>24</v>
      </c>
      <c r="B13" s="1">
        <f>'[4]GRANOS BÁSICOS'!E8</f>
        <v>848.85896400000001</v>
      </c>
      <c r="C13" s="1">
        <f>'[4]GRANOS BÁSICOS'!F8</f>
        <v>681.54766734079976</v>
      </c>
      <c r="D13" s="1">
        <f>'[4]GRANOS BÁSICOS'!G8</f>
        <v>705.33647468159995</v>
      </c>
      <c r="E13" s="1">
        <f>'[4]GRANOS BÁSICOS'!H8</f>
        <v>681.31117802239976</v>
      </c>
      <c r="F13" s="1">
        <f>'[4]GRANOS BÁSICOS'!I8</f>
        <v>705.09998536319995</v>
      </c>
      <c r="G13" s="1">
        <f>'[4]GRANOS BÁSICOS'!J8</f>
        <v>681.07468870399975</v>
      </c>
      <c r="H13" s="1">
        <f>'[4]GRANOS BÁSICOS'!K8</f>
        <v>704.86349604479994</v>
      </c>
      <c r="I13" s="1">
        <f>'[4]GRANOS BÁSICOS'!L8</f>
        <v>680.83819938559986</v>
      </c>
      <c r="J13" s="1">
        <f>'[4]GRANOS BÁSICOS'!M8</f>
        <v>704.62700672639994</v>
      </c>
      <c r="K13" s="1">
        <f>'[4]GRANOS BÁSICOS'!N8</f>
        <v>680.60171006719986</v>
      </c>
      <c r="L13" s="1">
        <f>'[4]GRANOS BÁSICOS'!O8</f>
        <v>704.39051740799994</v>
      </c>
      <c r="M13" s="1">
        <f>'[4]GRANOS BÁSICOS'!P8</f>
        <v>680.36522074879986</v>
      </c>
      <c r="N13" s="1">
        <f>'[4]GRANOS BÁSICOS'!Q8</f>
        <v>704.15402808959993</v>
      </c>
      <c r="O13" s="1">
        <f>'[4]GRANOS BÁSICOS'!R8</f>
        <v>680.12873143039985</v>
      </c>
      <c r="P13" s="1">
        <f>'[4]GRANOS BÁSICOS'!S8</f>
        <v>703.91753877119993</v>
      </c>
      <c r="Q13" s="1">
        <f>'[4]GRANOS BÁSICOS'!T8</f>
        <v>679.89224211199985</v>
      </c>
      <c r="R13" s="1">
        <f>'[4]GRANOS BÁSICOS'!U8</f>
        <v>701.56215345279986</v>
      </c>
      <c r="S13" s="1">
        <f>'[4]GRANOS BÁSICOS'!V8</f>
        <v>679.65575279359985</v>
      </c>
      <c r="T13" s="1">
        <f>'[4]GRANOS BÁSICOS'!W8</f>
        <v>701.32566413439986</v>
      </c>
      <c r="U13" s="1">
        <f>'[4]GRANOS BÁSICOS'!X8</f>
        <v>679.41926347519984</v>
      </c>
    </row>
    <row r="14" spans="1:21">
      <c r="A14" s="3" t="s">
        <v>25</v>
      </c>
      <c r="B14" s="1">
        <f>B12-B13</f>
        <v>55.666475999999875</v>
      </c>
      <c r="C14" s="1">
        <f>C12-C13</f>
        <v>218.87691483424021</v>
      </c>
      <c r="D14" s="1">
        <f t="shared" ref="D14:U14" si="1">D12-D13</f>
        <v>190.9872496684801</v>
      </c>
      <c r="E14" s="1">
        <f t="shared" si="1"/>
        <v>210.91168850272027</v>
      </c>
      <c r="F14" s="1">
        <f t="shared" si="1"/>
        <v>183.02202333696005</v>
      </c>
      <c r="G14" s="1">
        <f t="shared" si="1"/>
        <v>202.94646217120021</v>
      </c>
      <c r="H14" s="1">
        <f t="shared" si="1"/>
        <v>175.0567970054401</v>
      </c>
      <c r="I14" s="1">
        <f t="shared" si="1"/>
        <v>194.98123583968027</v>
      </c>
      <c r="J14" s="1">
        <f t="shared" si="1"/>
        <v>167.09157067392016</v>
      </c>
      <c r="K14" s="1">
        <f t="shared" si="1"/>
        <v>187.01600950816021</v>
      </c>
      <c r="L14" s="1">
        <f t="shared" si="1"/>
        <v>159.1263443424001</v>
      </c>
      <c r="M14" s="1">
        <f t="shared" si="1"/>
        <v>179.05078317664027</v>
      </c>
      <c r="N14" s="1">
        <f t="shared" si="1"/>
        <v>151.16111801088027</v>
      </c>
      <c r="O14" s="1">
        <f t="shared" si="1"/>
        <v>171.08555684512032</v>
      </c>
      <c r="P14" s="1">
        <f t="shared" si="1"/>
        <v>143.19589167936022</v>
      </c>
      <c r="Q14" s="1">
        <f t="shared" si="1"/>
        <v>163.12033051360027</v>
      </c>
      <c r="R14" s="1">
        <f t="shared" si="1"/>
        <v>137.34956134784034</v>
      </c>
      <c r="S14" s="1">
        <f t="shared" si="1"/>
        <v>155.15510418208032</v>
      </c>
      <c r="T14" s="1">
        <f t="shared" si="1"/>
        <v>129.38433501632039</v>
      </c>
      <c r="U14" s="1">
        <f t="shared" si="1"/>
        <v>147.18987785056038</v>
      </c>
    </row>
    <row r="15" spans="1:21">
      <c r="A15" s="3" t="s">
        <v>28</v>
      </c>
      <c r="B15" s="20">
        <f>NPV(12%,B14:K14)</f>
        <v>979.24479598580058</v>
      </c>
      <c r="C15" s="18"/>
      <c r="D15" s="18"/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</row>
    <row r="16" spans="1:21">
      <c r="A16" s="3" t="s">
        <v>29</v>
      </c>
      <c r="B16" s="19" t="e">
        <f>IRR(B14:U14)</f>
        <v>#NUM!</v>
      </c>
      <c r="C16" s="18"/>
      <c r="D16" s="18"/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</row>
    <row r="17" spans="1:21">
      <c r="A17" s="3" t="s">
        <v>30</v>
      </c>
      <c r="B17" s="20">
        <f>-PMT(12%,10,B15)</f>
        <v>173.31082172542395</v>
      </c>
      <c r="C17" s="18"/>
      <c r="D17" s="18"/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</row>
    <row r="18" spans="1:21">
      <c r="A18" s="8" t="s">
        <v>53</v>
      </c>
      <c r="B18" s="18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</row>
    <row r="19" spans="1:21">
      <c r="A19" s="3" t="s">
        <v>27</v>
      </c>
      <c r="B19" s="1">
        <f>B6-B14</f>
        <v>-420.32042327999943</v>
      </c>
      <c r="C19" s="1">
        <f t="shared" ref="C19:U19" si="2">C6-C14</f>
        <v>50.64440870786359</v>
      </c>
      <c r="D19" s="1">
        <f t="shared" si="2"/>
        <v>71.12394261156544</v>
      </c>
      <c r="E19" s="1">
        <f t="shared" si="2"/>
        <v>139.40149022396861</v>
      </c>
      <c r="F19" s="1">
        <f t="shared" si="2"/>
        <v>133.03178709302188</v>
      </c>
      <c r="G19" s="1">
        <f t="shared" si="2"/>
        <v>226.74099916066689</v>
      </c>
      <c r="H19" s="1">
        <f t="shared" si="2"/>
        <v>243.74169691532416</v>
      </c>
      <c r="I19" s="1">
        <f t="shared" si="2"/>
        <v>308.46177449803577</v>
      </c>
      <c r="J19" s="1">
        <f t="shared" si="2"/>
        <v>287.14965056239635</v>
      </c>
      <c r="K19" s="1">
        <f t="shared" si="2"/>
        <v>442.8579851283456</v>
      </c>
      <c r="L19" s="1">
        <f t="shared" si="2"/>
        <v>414.67386858994962</v>
      </c>
      <c r="M19" s="1">
        <f t="shared" si="2"/>
        <v>473.70102591724697</v>
      </c>
      <c r="N19" s="1">
        <f t="shared" si="2"/>
        <v>421.19012965227057</v>
      </c>
      <c r="O19" s="1">
        <f t="shared" si="2"/>
        <v>492.82629865933188</v>
      </c>
      <c r="P19" s="1">
        <f t="shared" si="2"/>
        <v>531.31757846966877</v>
      </c>
      <c r="Q19" s="1">
        <f t="shared" si="2"/>
        <v>570.57459963542851</v>
      </c>
      <c r="R19" s="1">
        <f t="shared" si="2"/>
        <v>510.32166480118849</v>
      </c>
      <c r="S19" s="1">
        <f t="shared" si="2"/>
        <v>578.53982596694846</v>
      </c>
      <c r="T19" s="1">
        <f t="shared" si="2"/>
        <v>556.49649113270857</v>
      </c>
      <c r="U19" s="1">
        <f t="shared" si="2"/>
        <v>549.71094429846858</v>
      </c>
    </row>
    <row r="20" spans="1:21">
      <c r="A20" s="4" t="s">
        <v>28</v>
      </c>
      <c r="B20" s="12">
        <f>NPV(12%,B19:K19)</f>
        <v>475.64032433530855</v>
      </c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</row>
    <row r="21" spans="1:21">
      <c r="A21" s="4" t="s">
        <v>29</v>
      </c>
      <c r="B21" s="13">
        <f>IRR(B19:K19)</f>
        <v>0.30527461193542416</v>
      </c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</row>
    <row r="22" spans="1:21">
      <c r="A22" s="4" t="s">
        <v>30</v>
      </c>
      <c r="B22" s="12">
        <f>-PMT(12%,10,B20)</f>
        <v>84.180805243201732</v>
      </c>
    </row>
    <row r="25" spans="1:21">
      <c r="A25" s="4" t="s">
        <v>31</v>
      </c>
      <c r="B25" s="4" t="s">
        <v>2</v>
      </c>
      <c r="C25" s="4" t="s">
        <v>3</v>
      </c>
      <c r="D25" s="4" t="s">
        <v>4</v>
      </c>
      <c r="E25" s="4" t="s">
        <v>5</v>
      </c>
      <c r="F25" s="4" t="s">
        <v>6</v>
      </c>
      <c r="G25" s="4" t="s">
        <v>7</v>
      </c>
      <c r="H25" s="4" t="s">
        <v>8</v>
      </c>
      <c r="I25" s="4" t="s">
        <v>9</v>
      </c>
      <c r="J25" s="4" t="s">
        <v>10</v>
      </c>
      <c r="K25" s="4" t="s">
        <v>11</v>
      </c>
      <c r="L25" s="4" t="s">
        <v>12</v>
      </c>
      <c r="M25" s="4" t="s">
        <v>13</v>
      </c>
      <c r="N25" s="4" t="s">
        <v>14</v>
      </c>
      <c r="O25" s="4" t="s">
        <v>15</v>
      </c>
      <c r="P25" s="4" t="s">
        <v>16</v>
      </c>
      <c r="Q25" s="4" t="s">
        <v>17</v>
      </c>
      <c r="R25" s="4" t="s">
        <v>18</v>
      </c>
      <c r="S25" s="4" t="s">
        <v>19</v>
      </c>
      <c r="T25" s="4" t="s">
        <v>20</v>
      </c>
      <c r="U25" s="4" t="s">
        <v>21</v>
      </c>
    </row>
    <row r="26" spans="1:21">
      <c r="A26" s="3" t="s">
        <v>22</v>
      </c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</row>
    <row r="27" spans="1:21">
      <c r="A27" s="3" t="s">
        <v>23</v>
      </c>
      <c r="B27" s="1">
        <f>[4]CAFE!E3</f>
        <v>1061.3384799999999</v>
      </c>
      <c r="C27" s="1">
        <f>[4]CAFE!F3</f>
        <v>1326.2532799999999</v>
      </c>
      <c r="D27" s="1">
        <f>[4]CAFE!G3</f>
        <v>1728.4933823999997</v>
      </c>
      <c r="E27" s="1">
        <f>[4]CAFE!H3</f>
        <v>1849.7400863999999</v>
      </c>
      <c r="F27" s="1">
        <f>[4]CAFE!I3</f>
        <v>2077.2476879999999</v>
      </c>
      <c r="G27" s="1">
        <f>[4]CAFE!J3</f>
        <v>2564.037992</v>
      </c>
      <c r="H27" s="1">
        <f>[4]CAFE!K3</f>
        <v>2936.1994960000002</v>
      </c>
      <c r="I27" s="1">
        <f>[4]CAFE!L3</f>
        <v>2936.1994960000002</v>
      </c>
      <c r="J27" s="1">
        <f>[4]CAFE!M3</f>
        <v>2684.2453936000002</v>
      </c>
      <c r="K27" s="1">
        <f>[4]CAFE!N3</f>
        <v>2936.1994960000002</v>
      </c>
      <c r="L27" s="1">
        <f>[4]CAFE!O3</f>
        <v>2684.2453936000002</v>
      </c>
      <c r="M27" s="1">
        <f>[4]CAFE!P3</f>
        <v>2936.1994960000002</v>
      </c>
      <c r="N27" s="1">
        <f>[4]CAFE!Q3</f>
        <v>2684.2453936000002</v>
      </c>
      <c r="O27" s="1">
        <f>[4]CAFE!R3</f>
        <v>2936.1994960000002</v>
      </c>
      <c r="P27" s="1">
        <f>[4]CAFE!S3</f>
        <v>2812.9075376000001</v>
      </c>
      <c r="Q27" s="1">
        <f>[4]CAFE!T3</f>
        <v>3064.8616400000001</v>
      </c>
      <c r="R27" s="1">
        <f>[4]CAFE!U3</f>
        <v>2812.9075376000001</v>
      </c>
      <c r="S27" s="1">
        <f>[4]CAFE!V3</f>
        <v>3064.8616400000001</v>
      </c>
      <c r="T27" s="1">
        <f>[4]CAFE!W3</f>
        <v>2812.9075376000001</v>
      </c>
      <c r="U27" s="1">
        <f>[4]CAFE!X3</f>
        <v>3064.8616400000001</v>
      </c>
    </row>
    <row r="28" spans="1:21">
      <c r="A28" s="3" t="s">
        <v>24</v>
      </c>
      <c r="B28" s="1">
        <f>[4]CAFE!E4</f>
        <v>1401.7830262999998</v>
      </c>
      <c r="C28" s="1">
        <f>[4]CAFE!F4</f>
        <v>1398.8024603999993</v>
      </c>
      <c r="D28" s="1">
        <f>[4]CAFE!G4</f>
        <v>1507.7307774499996</v>
      </c>
      <c r="E28" s="1">
        <f>[4]CAFE!H4</f>
        <v>1640.0357286000001</v>
      </c>
      <c r="F28" s="1">
        <f>[4]CAFE!I4</f>
        <v>836.6897085999999</v>
      </c>
      <c r="G28" s="1">
        <f>[4]CAFE!J4</f>
        <v>894.27541259999998</v>
      </c>
      <c r="H28" s="1">
        <f>[4]CAFE!K4</f>
        <v>987.66566859999978</v>
      </c>
      <c r="I28" s="1">
        <f>[4]CAFE!L4</f>
        <v>984.15733260000002</v>
      </c>
      <c r="J28" s="1">
        <f>[4]CAFE!M4</f>
        <v>1011.4601086</v>
      </c>
      <c r="K28" s="1">
        <f>[4]CAFE!N4</f>
        <v>984.15733260000002</v>
      </c>
      <c r="L28" s="1">
        <f>[4]CAFE!O4</f>
        <v>987.66566859999989</v>
      </c>
      <c r="M28" s="1">
        <f>[4]CAFE!P4</f>
        <v>984.15733260000002</v>
      </c>
      <c r="N28" s="1">
        <f>[4]CAFE!Q4</f>
        <v>1011.4601086</v>
      </c>
      <c r="O28" s="1">
        <f>[4]CAFE!R4</f>
        <v>984.15733260000002</v>
      </c>
      <c r="P28" s="1">
        <f>[4]CAFE!S4</f>
        <v>987.66566859999989</v>
      </c>
      <c r="Q28" s="1">
        <f>[4]CAFE!T4</f>
        <v>984.15733260000002</v>
      </c>
      <c r="R28" s="1">
        <f>[4]CAFE!U4</f>
        <v>1011.4601086</v>
      </c>
      <c r="S28" s="1">
        <f>[4]CAFE!V4</f>
        <v>984.15733260000002</v>
      </c>
      <c r="T28" s="1">
        <f>[4]CAFE!W4</f>
        <v>987.66566859999989</v>
      </c>
      <c r="U28" s="1">
        <f>[4]CAFE!X4</f>
        <v>984.15733260000002</v>
      </c>
    </row>
    <row r="29" spans="1:21">
      <c r="A29" s="3" t="s">
        <v>25</v>
      </c>
      <c r="B29" s="1">
        <f>B27-B28</f>
        <v>-340.44454629999996</v>
      </c>
      <c r="C29" s="1">
        <f t="shared" ref="C29:U29" si="3">C27-C28</f>
        <v>-72.549180399999386</v>
      </c>
      <c r="D29" s="1">
        <f t="shared" si="3"/>
        <v>220.7626049500002</v>
      </c>
      <c r="E29" s="1">
        <f t="shared" si="3"/>
        <v>209.7043577999998</v>
      </c>
      <c r="F29" s="1">
        <f t="shared" si="3"/>
        <v>1240.5579794</v>
      </c>
      <c r="G29" s="1">
        <f t="shared" si="3"/>
        <v>1669.7625794</v>
      </c>
      <c r="H29" s="1">
        <f t="shared" si="3"/>
        <v>1948.5338274000005</v>
      </c>
      <c r="I29" s="1">
        <f t="shared" si="3"/>
        <v>1952.0421634000002</v>
      </c>
      <c r="J29" s="1">
        <f t="shared" si="3"/>
        <v>1672.7852850000002</v>
      </c>
      <c r="K29" s="1">
        <f t="shared" si="3"/>
        <v>1952.0421634000002</v>
      </c>
      <c r="L29" s="1">
        <f t="shared" si="3"/>
        <v>1696.5797250000003</v>
      </c>
      <c r="M29" s="1">
        <f t="shared" si="3"/>
        <v>1952.0421634000002</v>
      </c>
      <c r="N29" s="1">
        <f t="shared" si="3"/>
        <v>1672.7852850000002</v>
      </c>
      <c r="O29" s="1">
        <f t="shared" si="3"/>
        <v>1952.0421634000002</v>
      </c>
      <c r="P29" s="1">
        <f t="shared" si="3"/>
        <v>1825.2418690000002</v>
      </c>
      <c r="Q29" s="1">
        <f t="shared" si="3"/>
        <v>2080.7043074000003</v>
      </c>
      <c r="R29" s="1">
        <f t="shared" si="3"/>
        <v>1801.4474290000001</v>
      </c>
      <c r="S29" s="1">
        <f t="shared" si="3"/>
        <v>2080.7043074000003</v>
      </c>
      <c r="T29" s="1">
        <f t="shared" si="3"/>
        <v>1825.2418690000002</v>
      </c>
      <c r="U29" s="1">
        <f t="shared" si="3"/>
        <v>2080.7043074000003</v>
      </c>
    </row>
    <row r="30" spans="1:21">
      <c r="A30" s="3" t="s">
        <v>28</v>
      </c>
      <c r="B30" s="20">
        <f>NPV(12%,B29:K29)</f>
        <v>4380.0241808150759</v>
      </c>
      <c r="C30" s="18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</row>
    <row r="31" spans="1:21">
      <c r="A31" s="3" t="s">
        <v>29</v>
      </c>
      <c r="B31" s="19">
        <f>IRR(B29:U29)</f>
        <v>0.85433052498187689</v>
      </c>
      <c r="C31" s="18"/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18"/>
      <c r="T31" s="18"/>
      <c r="U31" s="18"/>
    </row>
    <row r="32" spans="1:21">
      <c r="A32" s="3" t="s">
        <v>30</v>
      </c>
      <c r="B32" s="20">
        <f>-PMT(12%,10,B30)</f>
        <v>775.19491864146198</v>
      </c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</row>
    <row r="33" spans="1:21">
      <c r="A33" s="9"/>
      <c r="B33" s="18"/>
      <c r="C33" s="18"/>
      <c r="D33" s="18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</row>
    <row r="34" spans="1:21">
      <c r="A34" s="3" t="s">
        <v>26</v>
      </c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</row>
    <row r="35" spans="1:21">
      <c r="A35" s="3" t="s">
        <v>23</v>
      </c>
      <c r="B35" s="1">
        <f>[4]CAFE!E7</f>
        <v>1756.5435519999999</v>
      </c>
      <c r="C35" s="1">
        <f>[4]CAFE!F7</f>
        <v>1687.5721845999999</v>
      </c>
      <c r="D35" s="1">
        <f>[4]CAFE!G7</f>
        <v>1618.6008171999999</v>
      </c>
      <c r="E35" s="1">
        <f>[4]CAFE!H7</f>
        <v>1549.6294498000002</v>
      </c>
      <c r="F35" s="1">
        <f>[4]CAFE!I7</f>
        <v>1480.6580824000002</v>
      </c>
      <c r="G35" s="1">
        <f>[4]CAFE!J7</f>
        <v>1473.8357583200002</v>
      </c>
      <c r="H35" s="1">
        <f>[4]CAFE!K7</f>
        <v>1467.0134342400002</v>
      </c>
      <c r="I35" s="1">
        <f>[4]CAFE!L7</f>
        <v>1460.1911101600001</v>
      </c>
      <c r="J35" s="1">
        <f>[4]CAFE!M7</f>
        <v>1453.3687860800001</v>
      </c>
      <c r="K35" s="1">
        <f>[4]CAFE!N7</f>
        <v>1446.546462</v>
      </c>
      <c r="L35" s="1">
        <f>[4]CAFE!O7</f>
        <v>1439.7241379200002</v>
      </c>
      <c r="M35" s="1">
        <f>[4]CAFE!P7</f>
        <v>1432.9018138400002</v>
      </c>
      <c r="N35" s="1">
        <f>[4]CAFE!Q7</f>
        <v>1426.0794897600001</v>
      </c>
      <c r="O35" s="1">
        <f>[4]CAFE!R7</f>
        <v>1419.2571656800001</v>
      </c>
      <c r="P35" s="1">
        <f>[4]CAFE!S7</f>
        <v>1412.4348416</v>
      </c>
      <c r="Q35" s="1">
        <f>[4]CAFE!T7</f>
        <v>1405.61251752</v>
      </c>
      <c r="R35" s="1">
        <f>[4]CAFE!U7</f>
        <v>1398.7901934400002</v>
      </c>
      <c r="S35" s="1">
        <f>[4]CAFE!V7</f>
        <v>1391.9678693600001</v>
      </c>
      <c r="T35" s="1">
        <f>[4]CAFE!W7</f>
        <v>1385.1455452800001</v>
      </c>
      <c r="U35" s="1">
        <f>[4]CAFE!X7</f>
        <v>1378.3232212</v>
      </c>
    </row>
    <row r="36" spans="1:21">
      <c r="A36" s="3" t="s">
        <v>24</v>
      </c>
      <c r="B36" s="1">
        <f>[4]CAFE!E8</f>
        <v>693.22571500000004</v>
      </c>
      <c r="C36" s="1">
        <f>[4]CAFE!F8</f>
        <v>674.76560540000003</v>
      </c>
      <c r="D36" s="1">
        <f>[4]CAFE!G8</f>
        <v>686.33476780000001</v>
      </c>
      <c r="E36" s="1">
        <f>[4]CAFE!H8</f>
        <v>667.8746582</v>
      </c>
      <c r="F36" s="1">
        <f>[4]CAFE!I8</f>
        <v>679.44382060000009</v>
      </c>
      <c r="G36" s="1">
        <f>[4]CAFE!J8</f>
        <v>660.98371100000008</v>
      </c>
      <c r="H36" s="1">
        <f>[4]CAFE!K8</f>
        <v>672.55287340000007</v>
      </c>
      <c r="I36" s="1">
        <f>[4]CAFE!L8</f>
        <v>654.09276380000006</v>
      </c>
      <c r="J36" s="1">
        <f>[4]CAFE!M8</f>
        <v>665.66192620000015</v>
      </c>
      <c r="K36" s="1">
        <f>[4]CAFE!N8</f>
        <v>647.20181660000014</v>
      </c>
      <c r="L36" s="1">
        <f>[4]CAFE!O8</f>
        <v>658.77097900000012</v>
      </c>
      <c r="M36" s="1">
        <f>[4]CAFE!P8</f>
        <v>640.31086940000012</v>
      </c>
      <c r="N36" s="1">
        <f>[4]CAFE!Q8</f>
        <v>651.8800318000001</v>
      </c>
      <c r="O36" s="1">
        <f>[4]CAFE!R8</f>
        <v>633.4199222000002</v>
      </c>
      <c r="P36" s="1">
        <f>[4]CAFE!S8</f>
        <v>644.98908460000018</v>
      </c>
      <c r="Q36" s="1">
        <f>[4]CAFE!T8</f>
        <v>626.52897500000017</v>
      </c>
      <c r="R36" s="1">
        <f>[4]CAFE!U8</f>
        <v>638.09813740000016</v>
      </c>
      <c r="S36" s="1">
        <f>[4]CAFE!V8</f>
        <v>619.63802780000026</v>
      </c>
      <c r="T36" s="1">
        <f>[4]CAFE!W8</f>
        <v>631.20719020000024</v>
      </c>
      <c r="U36" s="1">
        <f>[4]CAFE!X8</f>
        <v>612.74708060000023</v>
      </c>
    </row>
    <row r="37" spans="1:21">
      <c r="A37" s="3" t="s">
        <v>25</v>
      </c>
      <c r="B37" s="1">
        <f>B35-B36</f>
        <v>1063.3178369999998</v>
      </c>
      <c r="C37" s="1">
        <f t="shared" ref="C37:U37" si="4">C35-C36</f>
        <v>1012.8065791999999</v>
      </c>
      <c r="D37" s="1">
        <f t="shared" si="4"/>
        <v>932.26604939999993</v>
      </c>
      <c r="E37" s="1">
        <f t="shared" si="4"/>
        <v>881.7547916000002</v>
      </c>
      <c r="F37" s="1">
        <f t="shared" si="4"/>
        <v>801.21426180000014</v>
      </c>
      <c r="G37" s="1">
        <f t="shared" si="4"/>
        <v>812.85204732000011</v>
      </c>
      <c r="H37" s="1">
        <f t="shared" si="4"/>
        <v>794.46056084000008</v>
      </c>
      <c r="I37" s="1">
        <f t="shared" si="4"/>
        <v>806.09834636000005</v>
      </c>
      <c r="J37" s="1">
        <f t="shared" si="4"/>
        <v>787.70685987999991</v>
      </c>
      <c r="K37" s="1">
        <f t="shared" si="4"/>
        <v>799.34464539999988</v>
      </c>
      <c r="L37" s="1">
        <f t="shared" si="4"/>
        <v>780.95315892000008</v>
      </c>
      <c r="M37" s="1">
        <f t="shared" si="4"/>
        <v>792.59094444000004</v>
      </c>
      <c r="N37" s="1">
        <f t="shared" si="4"/>
        <v>774.19945796000002</v>
      </c>
      <c r="O37" s="1">
        <f t="shared" si="4"/>
        <v>785.83724347999987</v>
      </c>
      <c r="P37" s="1">
        <f t="shared" si="4"/>
        <v>767.44575699999984</v>
      </c>
      <c r="Q37" s="1">
        <f t="shared" si="4"/>
        <v>779.08354251999981</v>
      </c>
      <c r="R37" s="1">
        <f t="shared" si="4"/>
        <v>760.69205604000001</v>
      </c>
      <c r="S37" s="1">
        <f t="shared" si="4"/>
        <v>772.32984155999986</v>
      </c>
      <c r="T37" s="1">
        <f t="shared" si="4"/>
        <v>753.93835507999984</v>
      </c>
      <c r="U37" s="1">
        <f t="shared" si="4"/>
        <v>765.5761405999998</v>
      </c>
    </row>
    <row r="38" spans="1:21">
      <c r="A38" s="3" t="s">
        <v>28</v>
      </c>
      <c r="B38" s="20">
        <f>NPV(12%,B37:K37)</f>
        <v>5073.5462204005798</v>
      </c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</row>
    <row r="39" spans="1:21">
      <c r="A39" s="3" t="s">
        <v>29</v>
      </c>
      <c r="B39" s="19" t="e">
        <f>IRR(B37:U37)</f>
        <v>#NUM!</v>
      </c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</row>
    <row r="40" spans="1:21">
      <c r="A40" s="3" t="s">
        <v>30</v>
      </c>
      <c r="B40" s="20">
        <f>-PMT(12%,10,B38)</f>
        <v>897.93733714393284</v>
      </c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</row>
    <row r="41" spans="1:21">
      <c r="A41" s="3" t="s">
        <v>27</v>
      </c>
      <c r="B41" s="1">
        <f>B29-B37</f>
        <v>-1403.7623832999998</v>
      </c>
      <c r="C41" s="1">
        <f t="shared" ref="C41:U41" si="5">C29-C37</f>
        <v>-1085.3557595999991</v>
      </c>
      <c r="D41" s="1">
        <f t="shared" si="5"/>
        <v>-711.50344444999973</v>
      </c>
      <c r="E41" s="1">
        <f t="shared" si="5"/>
        <v>-672.05043380000041</v>
      </c>
      <c r="F41" s="1">
        <f t="shared" si="5"/>
        <v>439.34371759999988</v>
      </c>
      <c r="G41" s="1">
        <f t="shared" si="5"/>
        <v>856.91053207999994</v>
      </c>
      <c r="H41" s="1">
        <f t="shared" si="5"/>
        <v>1154.0732665600003</v>
      </c>
      <c r="I41" s="1">
        <f t="shared" si="5"/>
        <v>1145.9438170400001</v>
      </c>
      <c r="J41" s="1">
        <f t="shared" si="5"/>
        <v>885.07842512000025</v>
      </c>
      <c r="K41" s="1">
        <f t="shared" si="5"/>
        <v>1152.6975180000004</v>
      </c>
      <c r="L41" s="1">
        <f t="shared" si="5"/>
        <v>915.6265660800002</v>
      </c>
      <c r="M41" s="1">
        <f t="shared" si="5"/>
        <v>1159.45121896</v>
      </c>
      <c r="N41" s="1">
        <f t="shared" si="5"/>
        <v>898.58582704000014</v>
      </c>
      <c r="O41" s="1">
        <f t="shared" si="5"/>
        <v>1166.2049199200003</v>
      </c>
      <c r="P41" s="1">
        <f t="shared" si="5"/>
        <v>1057.7961120000004</v>
      </c>
      <c r="Q41" s="1">
        <f t="shared" si="5"/>
        <v>1301.6207648800005</v>
      </c>
      <c r="R41" s="1">
        <f t="shared" si="5"/>
        <v>1040.7553729599999</v>
      </c>
      <c r="S41" s="1">
        <f t="shared" si="5"/>
        <v>1308.3744658400005</v>
      </c>
      <c r="T41" s="1">
        <f t="shared" si="5"/>
        <v>1071.3035139200003</v>
      </c>
      <c r="U41" s="1">
        <f t="shared" si="5"/>
        <v>1315.1281668000006</v>
      </c>
    </row>
    <row r="42" spans="1:21">
      <c r="A42" s="4" t="s">
        <v>28</v>
      </c>
      <c r="B42" s="12">
        <f>NPV(12%,B41:K41)</f>
        <v>-693.52203958550194</v>
      </c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</row>
    <row r="43" spans="1:21">
      <c r="A43" s="4" t="s">
        <v>29</v>
      </c>
      <c r="B43" s="13">
        <f>IRR(B41:K41)</f>
        <v>6.9073739567923509E-2</v>
      </c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</row>
    <row r="44" spans="1:21">
      <c r="A44" s="4" t="s">
        <v>30</v>
      </c>
      <c r="B44" s="12">
        <f>-PMT(12%,10,B42)</f>
        <v>-122.74241850247037</v>
      </c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  <c r="O44" s="9"/>
      <c r="P44" s="9"/>
      <c r="Q44" s="9"/>
      <c r="R44" s="9"/>
      <c r="S44" s="9"/>
      <c r="T44" s="9"/>
      <c r="U44" s="9"/>
    </row>
    <row r="47" spans="1:21">
      <c r="A47" s="4" t="s">
        <v>32</v>
      </c>
      <c r="B47" s="4" t="s">
        <v>2</v>
      </c>
      <c r="C47" s="4" t="s">
        <v>3</v>
      </c>
      <c r="D47" s="4" t="s">
        <v>4</v>
      </c>
      <c r="E47" s="4" t="s">
        <v>5</v>
      </c>
      <c r="F47" s="4" t="s">
        <v>6</v>
      </c>
      <c r="G47" s="4" t="s">
        <v>7</v>
      </c>
      <c r="H47" s="4" t="s">
        <v>8</v>
      </c>
      <c r="I47" s="4" t="s">
        <v>9</v>
      </c>
      <c r="J47" s="4" t="s">
        <v>10</v>
      </c>
      <c r="K47" s="4" t="s">
        <v>11</v>
      </c>
      <c r="L47" s="4" t="s">
        <v>12</v>
      </c>
      <c r="M47" s="4" t="s">
        <v>13</v>
      </c>
      <c r="N47" s="4" t="s">
        <v>14</v>
      </c>
      <c r="O47" s="4" t="s">
        <v>15</v>
      </c>
      <c r="P47" s="4" t="s">
        <v>16</v>
      </c>
      <c r="Q47" s="4" t="s">
        <v>17</v>
      </c>
      <c r="R47" s="4" t="s">
        <v>18</v>
      </c>
      <c r="S47" s="4" t="s">
        <v>19</v>
      </c>
      <c r="T47" s="4" t="s">
        <v>20</v>
      </c>
      <c r="U47" s="4" t="s">
        <v>21</v>
      </c>
    </row>
    <row r="48" spans="1:21">
      <c r="A48" s="3" t="s">
        <v>22</v>
      </c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</row>
    <row r="49" spans="1:21">
      <c r="A49" s="3" t="s">
        <v>23</v>
      </c>
      <c r="B49" s="1">
        <f>[4]CACAO!E3</f>
        <v>709.01547199999993</v>
      </c>
      <c r="C49" s="1">
        <f>[4]CACAO!F3</f>
        <v>949.43027199999995</v>
      </c>
      <c r="D49" s="1">
        <f>[4]CACAO!G3</f>
        <v>1128.373472</v>
      </c>
      <c r="E49" s="1">
        <f>[4]CACAO!H3</f>
        <v>1024.458672</v>
      </c>
      <c r="F49" s="1">
        <f>[4]CACAO!I3</f>
        <v>1250.101672</v>
      </c>
      <c r="G49" s="1">
        <f>[4]CACAO!J3</f>
        <v>1585.230472</v>
      </c>
      <c r="H49" s="1">
        <f>[4]CACAO!K3</f>
        <v>1879.230472</v>
      </c>
      <c r="I49" s="1">
        <f>[4]CACAO!L3</f>
        <v>1879.230472</v>
      </c>
      <c r="J49" s="1">
        <f>[4]CACAO!M3</f>
        <v>1806.101872</v>
      </c>
      <c r="K49" s="1">
        <f>[4]CACAO!N3</f>
        <v>1879.230472</v>
      </c>
      <c r="L49" s="1">
        <f>[4]CACAO!O3</f>
        <v>1806.101872</v>
      </c>
      <c r="M49" s="1">
        <f>[4]CACAO!P3</f>
        <v>1879.230472</v>
      </c>
      <c r="N49" s="1">
        <f>[4]CACAO!Q3</f>
        <v>1806.101872</v>
      </c>
      <c r="O49" s="1">
        <f>[4]CACAO!R3</f>
        <v>1879.230472</v>
      </c>
      <c r="P49" s="1">
        <f>[4]CACAO!S3</f>
        <v>1934.7640160000001</v>
      </c>
      <c r="Q49" s="1">
        <f>[4]CACAO!T3</f>
        <v>2007.8926160000001</v>
      </c>
      <c r="R49" s="1">
        <f>[4]CACAO!U3</f>
        <v>1934.7640160000001</v>
      </c>
      <c r="S49" s="1">
        <f>[4]CACAO!V3</f>
        <v>2007.8926160000001</v>
      </c>
      <c r="T49" s="1">
        <f>[4]CACAO!W3</f>
        <v>1934.7640160000001</v>
      </c>
      <c r="U49" s="1">
        <f>[4]CACAO!X3</f>
        <v>2007.8926160000001</v>
      </c>
    </row>
    <row r="50" spans="1:21">
      <c r="A50" s="3" t="s">
        <v>24</v>
      </c>
      <c r="B50" s="1">
        <f>[4]CACAO!E4</f>
        <v>983.00696680000033</v>
      </c>
      <c r="C50" s="1">
        <f>[4]CACAO!F4</f>
        <v>959.07097760000022</v>
      </c>
      <c r="D50" s="1">
        <f>[4]CACAO!G4</f>
        <v>1089.4416844000002</v>
      </c>
      <c r="E50" s="1">
        <f>[4]CACAO!H4</f>
        <v>1109.2738952000004</v>
      </c>
      <c r="F50" s="1">
        <f>[4]CACAO!I4</f>
        <v>584.68399520000003</v>
      </c>
      <c r="G50" s="1">
        <f>[4]CACAO!J4</f>
        <v>557.38121920000003</v>
      </c>
      <c r="H50" s="1">
        <f>[4]CACAO!K4</f>
        <v>560.88955520000002</v>
      </c>
      <c r="I50" s="1">
        <f>[4]CACAO!L4</f>
        <v>557.38121919999992</v>
      </c>
      <c r="J50" s="1">
        <f>[4]CACAO!M4</f>
        <v>584.68399520000003</v>
      </c>
      <c r="K50" s="1">
        <f>[4]CACAO!N4</f>
        <v>557.38121919999992</v>
      </c>
      <c r="L50" s="1">
        <f>[4]CACAO!O4</f>
        <v>560.8895551999999</v>
      </c>
      <c r="M50" s="1">
        <f>[4]CACAO!P4</f>
        <v>557.38121919999992</v>
      </c>
      <c r="N50" s="1">
        <f>[4]CACAO!Q4</f>
        <v>584.68399520000003</v>
      </c>
      <c r="O50" s="1">
        <f>[4]CACAO!R4</f>
        <v>557.38121919999992</v>
      </c>
      <c r="P50" s="1">
        <f>[4]CACAO!S4</f>
        <v>560.8895551999999</v>
      </c>
      <c r="Q50" s="1">
        <f>[4]CACAO!T4</f>
        <v>557.38121919999992</v>
      </c>
      <c r="R50" s="1">
        <f>[4]CACAO!U4</f>
        <v>584.68399520000003</v>
      </c>
      <c r="S50" s="1">
        <f>[4]CACAO!V4</f>
        <v>557.38121919999992</v>
      </c>
      <c r="T50" s="1">
        <f>[4]CACAO!W4</f>
        <v>560.8895551999999</v>
      </c>
      <c r="U50" s="1">
        <f>[4]CACAO!X4</f>
        <v>557.38121919999992</v>
      </c>
    </row>
    <row r="51" spans="1:21">
      <c r="A51" s="3" t="s">
        <v>25</v>
      </c>
      <c r="B51" s="1">
        <f>B49-B50</f>
        <v>-273.9914948000004</v>
      </c>
      <c r="C51" s="1">
        <f t="shared" ref="C51:U51" si="6">C49-C50</f>
        <v>-9.640705600000274</v>
      </c>
      <c r="D51" s="1">
        <f t="shared" si="6"/>
        <v>38.93178759999978</v>
      </c>
      <c r="E51" s="1">
        <f t="shared" si="6"/>
        <v>-84.815223200000446</v>
      </c>
      <c r="F51" s="1">
        <f t="shared" si="6"/>
        <v>665.41767679999998</v>
      </c>
      <c r="G51" s="1">
        <f t="shared" si="6"/>
        <v>1027.8492527999999</v>
      </c>
      <c r="H51" s="1">
        <f t="shared" si="6"/>
        <v>1318.3409167999998</v>
      </c>
      <c r="I51" s="1">
        <f t="shared" si="6"/>
        <v>1321.8492528000002</v>
      </c>
      <c r="J51" s="1">
        <f t="shared" si="6"/>
        <v>1221.4178767999999</v>
      </c>
      <c r="K51" s="1">
        <f t="shared" si="6"/>
        <v>1321.8492528000002</v>
      </c>
      <c r="L51" s="1">
        <f t="shared" si="6"/>
        <v>1245.2123168000001</v>
      </c>
      <c r="M51" s="1">
        <f t="shared" si="6"/>
        <v>1321.8492528000002</v>
      </c>
      <c r="N51" s="1">
        <f t="shared" si="6"/>
        <v>1221.4178767999999</v>
      </c>
      <c r="O51" s="1">
        <f t="shared" si="6"/>
        <v>1321.8492528000002</v>
      </c>
      <c r="P51" s="1">
        <f t="shared" si="6"/>
        <v>1373.8744608000002</v>
      </c>
      <c r="Q51" s="1">
        <f t="shared" si="6"/>
        <v>1450.5113968000001</v>
      </c>
      <c r="R51" s="1">
        <f t="shared" si="6"/>
        <v>1350.0800208000001</v>
      </c>
      <c r="S51" s="1">
        <f t="shared" si="6"/>
        <v>1450.5113968000001</v>
      </c>
      <c r="T51" s="1">
        <f t="shared" si="6"/>
        <v>1373.8744608000002</v>
      </c>
      <c r="U51" s="1">
        <f t="shared" si="6"/>
        <v>1450.5113968000001</v>
      </c>
    </row>
    <row r="52" spans="1:21">
      <c r="A52" s="3" t="s">
        <v>28</v>
      </c>
      <c r="B52" s="20">
        <f>NPV(12%,B51:K51)</f>
        <v>2616.0836101566479</v>
      </c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</row>
    <row r="53" spans="1:21">
      <c r="A53" s="3" t="s">
        <v>29</v>
      </c>
      <c r="B53" s="19">
        <f>IRR(B51:K51)</f>
        <v>0.68195355702031524</v>
      </c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</row>
    <row r="54" spans="1:21">
      <c r="A54" s="3" t="s">
        <v>30</v>
      </c>
      <c r="B54" s="20">
        <f>-PMT(12%,10,B52)</f>
        <v>463.00537111584174</v>
      </c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</row>
    <row r="55" spans="1:21">
      <c r="A55" s="9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</row>
    <row r="56" spans="1:21">
      <c r="A56" s="3" t="s">
        <v>26</v>
      </c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</row>
    <row r="57" spans="1:21">
      <c r="A57" s="3" t="s">
        <v>23</v>
      </c>
      <c r="B57" s="1">
        <f>[4]CACAO!E7</f>
        <v>603.22151199999996</v>
      </c>
      <c r="C57" s="1">
        <f>[4]CACAO!F7</f>
        <v>579.17529890000003</v>
      </c>
      <c r="D57" s="1">
        <f>[4]CACAO!G7</f>
        <v>555.68416708000007</v>
      </c>
      <c r="E57" s="1">
        <f>[4]CACAO!H7</f>
        <v>532.72036247599999</v>
      </c>
      <c r="F57" s="1">
        <f>[4]CACAO!I7</f>
        <v>510.25751872720002</v>
      </c>
      <c r="G57" s="1">
        <f>[4]CACAO!J7</f>
        <v>498.79885229083993</v>
      </c>
      <c r="H57" s="1">
        <f>[4]CACAO!K7</f>
        <v>496.38252929083995</v>
      </c>
      <c r="I57" s="1">
        <f>[4]CACAO!L7</f>
        <v>493.96620629083998</v>
      </c>
      <c r="J57" s="1">
        <f>[4]CACAO!M7</f>
        <v>491.54988329083994</v>
      </c>
      <c r="K57" s="1">
        <f>[4]CACAO!N7</f>
        <v>489.13356029083997</v>
      </c>
      <c r="L57" s="1">
        <f>[4]CACAO!O7</f>
        <v>486.71723729083993</v>
      </c>
      <c r="M57" s="1">
        <f>[4]CACAO!P7</f>
        <v>484.30091429083996</v>
      </c>
      <c r="N57" s="1">
        <f>[4]CACAO!Q7</f>
        <v>481.88459129083998</v>
      </c>
      <c r="O57" s="1">
        <f>[4]CACAO!R7</f>
        <v>479.46826829083994</v>
      </c>
      <c r="P57" s="1">
        <f>[4]CACAO!S7</f>
        <v>477.05194529083997</v>
      </c>
      <c r="Q57" s="1">
        <f>[4]CACAO!T7</f>
        <v>474.63562229083993</v>
      </c>
      <c r="R57" s="1">
        <f>[4]CACAO!U7</f>
        <v>472.21929929083996</v>
      </c>
      <c r="S57" s="1">
        <f>[4]CACAO!V7</f>
        <v>469.80297629083998</v>
      </c>
      <c r="T57" s="1">
        <f>[4]CACAO!W7</f>
        <v>467.38665329083994</v>
      </c>
      <c r="U57" s="1">
        <f>[4]CACAO!X7</f>
        <v>464.97033029083997</v>
      </c>
    </row>
    <row r="58" spans="1:21">
      <c r="A58" s="3" t="s">
        <v>24</v>
      </c>
      <c r="B58" s="1">
        <f>[4]CACAO!E8</f>
        <v>194.77847599999998</v>
      </c>
      <c r="C58" s="1">
        <f>[4]CACAO!F8</f>
        <v>191.27014</v>
      </c>
      <c r="D58" s="1">
        <f>[4]CACAO!G8</f>
        <v>194.77847599999998</v>
      </c>
      <c r="E58" s="1">
        <f>[4]CACAO!H8</f>
        <v>191.27014</v>
      </c>
      <c r="F58" s="1">
        <f>[4]CACAO!I8</f>
        <v>194.77847599999998</v>
      </c>
      <c r="G58" s="1">
        <f>[4]CACAO!J8</f>
        <v>191.27014</v>
      </c>
      <c r="H58" s="1">
        <f>[4]CACAO!K8</f>
        <v>194.77847599999998</v>
      </c>
      <c r="I58" s="1">
        <f>[4]CACAO!L8</f>
        <v>191.27014</v>
      </c>
      <c r="J58" s="1">
        <f>[4]CACAO!M8</f>
        <v>194.77847599999998</v>
      </c>
      <c r="K58" s="1">
        <f>[4]CACAO!N8</f>
        <v>191.27014</v>
      </c>
      <c r="L58" s="1">
        <f>[4]CACAO!O8</f>
        <v>194.77847599999998</v>
      </c>
      <c r="M58" s="1">
        <f>[4]CACAO!P8</f>
        <v>191.27014</v>
      </c>
      <c r="N58" s="1">
        <f>[4]CACAO!Q8</f>
        <v>194.77847599999998</v>
      </c>
      <c r="O58" s="1">
        <f>[4]CACAO!R8</f>
        <v>191.27014</v>
      </c>
      <c r="P58" s="1">
        <f>[4]CACAO!S8</f>
        <v>194.77847599999998</v>
      </c>
      <c r="Q58" s="1">
        <f>[4]CACAO!T8</f>
        <v>191.27014</v>
      </c>
      <c r="R58" s="1">
        <f>[4]CACAO!U8</f>
        <v>194.77847599999998</v>
      </c>
      <c r="S58" s="1">
        <f>[4]CACAO!V8</f>
        <v>191.27014</v>
      </c>
      <c r="T58" s="1">
        <f>[4]CACAO!W8</f>
        <v>194.77847599999998</v>
      </c>
      <c r="U58" s="1">
        <f>[4]CACAO!X8</f>
        <v>191.27014</v>
      </c>
    </row>
    <row r="59" spans="1:21">
      <c r="A59" s="3" t="s">
        <v>25</v>
      </c>
      <c r="B59" s="1">
        <f>B57-B58</f>
        <v>408.44303600000001</v>
      </c>
      <c r="C59" s="1">
        <f t="shared" ref="C59:U59" si="7">C57-C58</f>
        <v>387.90515890000006</v>
      </c>
      <c r="D59" s="1">
        <f t="shared" si="7"/>
        <v>360.90569108000011</v>
      </c>
      <c r="E59" s="1">
        <f t="shared" si="7"/>
        <v>341.45022247600002</v>
      </c>
      <c r="F59" s="1">
        <f t="shared" si="7"/>
        <v>315.47904272720007</v>
      </c>
      <c r="G59" s="1">
        <f t="shared" si="7"/>
        <v>307.52871229083996</v>
      </c>
      <c r="H59" s="1">
        <f t="shared" si="7"/>
        <v>301.60405329083994</v>
      </c>
      <c r="I59" s="1">
        <f t="shared" si="7"/>
        <v>302.69606629084001</v>
      </c>
      <c r="J59" s="1">
        <f t="shared" si="7"/>
        <v>296.77140729083999</v>
      </c>
      <c r="K59" s="1">
        <f t="shared" si="7"/>
        <v>297.86342029083994</v>
      </c>
      <c r="L59" s="1">
        <f t="shared" si="7"/>
        <v>291.93876129083992</v>
      </c>
      <c r="M59" s="1">
        <f t="shared" si="7"/>
        <v>293.03077429083999</v>
      </c>
      <c r="N59" s="1">
        <f t="shared" si="7"/>
        <v>287.10611529083997</v>
      </c>
      <c r="O59" s="1">
        <f t="shared" si="7"/>
        <v>288.19812829083992</v>
      </c>
      <c r="P59" s="1">
        <f t="shared" si="7"/>
        <v>282.27346929084001</v>
      </c>
      <c r="Q59" s="1">
        <f t="shared" si="7"/>
        <v>283.36548229083996</v>
      </c>
      <c r="R59" s="1">
        <f t="shared" si="7"/>
        <v>277.44082329083994</v>
      </c>
      <c r="S59" s="1">
        <f t="shared" si="7"/>
        <v>278.53283629084001</v>
      </c>
      <c r="T59" s="1">
        <f t="shared" si="7"/>
        <v>272.60817729083999</v>
      </c>
      <c r="U59" s="1">
        <f t="shared" si="7"/>
        <v>273.70019029083994</v>
      </c>
    </row>
    <row r="60" spans="1:21">
      <c r="A60" s="3" t="s">
        <v>28</v>
      </c>
      <c r="B60" s="20">
        <f>NPV(12%,B59:K59)</f>
        <v>1944.222144232094</v>
      </c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</row>
    <row r="61" spans="1:21">
      <c r="A61" s="3" t="s">
        <v>29</v>
      </c>
      <c r="B61" s="19" t="e">
        <f>IRR(B59:K59)</f>
        <v>#NUM!</v>
      </c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</row>
    <row r="62" spans="1:21">
      <c r="A62" s="3" t="s">
        <v>30</v>
      </c>
      <c r="B62" s="20">
        <f>-PMT(12%,10,B60)</f>
        <v>344.09653113797697</v>
      </c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</row>
    <row r="63" spans="1:21">
      <c r="A63" s="3" t="s">
        <v>27</v>
      </c>
      <c r="B63" s="1">
        <f>B51-B59</f>
        <v>-682.4345308000004</v>
      </c>
      <c r="C63" s="1">
        <f t="shared" ref="C63:U63" si="8">C51-C59</f>
        <v>-397.54586450000033</v>
      </c>
      <c r="D63" s="1">
        <f t="shared" si="8"/>
        <v>-321.97390348000033</v>
      </c>
      <c r="E63" s="1">
        <f t="shared" si="8"/>
        <v>-426.26544567600047</v>
      </c>
      <c r="F63" s="1">
        <f t="shared" si="8"/>
        <v>349.93863407279991</v>
      </c>
      <c r="G63" s="1">
        <f t="shared" si="8"/>
        <v>720.32054050915997</v>
      </c>
      <c r="H63" s="1">
        <f t="shared" si="8"/>
        <v>1016.7368635091599</v>
      </c>
      <c r="I63" s="1">
        <f t="shared" si="8"/>
        <v>1019.1531865091602</v>
      </c>
      <c r="J63" s="1">
        <f t="shared" si="8"/>
        <v>924.64646950915994</v>
      </c>
      <c r="K63" s="1">
        <f t="shared" si="8"/>
        <v>1023.9858325091602</v>
      </c>
      <c r="L63" s="1">
        <f t="shared" si="8"/>
        <v>953.27355550916013</v>
      </c>
      <c r="M63" s="1">
        <f t="shared" si="8"/>
        <v>1028.8184785091603</v>
      </c>
      <c r="N63" s="1">
        <f t="shared" si="8"/>
        <v>934.31176150915996</v>
      </c>
      <c r="O63" s="1">
        <f t="shared" si="8"/>
        <v>1033.6511245091601</v>
      </c>
      <c r="P63" s="1">
        <f t="shared" si="8"/>
        <v>1091.6009915091602</v>
      </c>
      <c r="Q63" s="1">
        <f t="shared" si="8"/>
        <v>1167.1459145091601</v>
      </c>
      <c r="R63" s="1">
        <f t="shared" si="8"/>
        <v>1072.6391975091601</v>
      </c>
      <c r="S63" s="1">
        <f t="shared" si="8"/>
        <v>1171.9785605091602</v>
      </c>
      <c r="T63" s="1">
        <f t="shared" si="8"/>
        <v>1101.2662835091601</v>
      </c>
      <c r="U63" s="1">
        <f t="shared" si="8"/>
        <v>1176.81120650916</v>
      </c>
    </row>
    <row r="64" spans="1:21">
      <c r="A64" s="4" t="s">
        <v>28</v>
      </c>
      <c r="B64" s="12">
        <f>NPV(12%,B63:K63)</f>
        <v>671.86146592455395</v>
      </c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</row>
    <row r="65" spans="1:21">
      <c r="A65" s="4" t="s">
        <v>29</v>
      </c>
      <c r="B65" s="13">
        <f>IRR(B63:K63)</f>
        <v>0.20187968746512985</v>
      </c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</row>
    <row r="66" spans="1:21">
      <c r="A66" s="4" t="s">
        <v>30</v>
      </c>
      <c r="B66" s="12">
        <f>-PMT(12%,10,B64)</f>
        <v>118.90883997786474</v>
      </c>
    </row>
    <row r="67" spans="1:21">
      <c r="A67" s="8"/>
      <c r="B67" s="16"/>
    </row>
    <row r="68" spans="1:21">
      <c r="A68" s="8"/>
      <c r="B68" s="16"/>
    </row>
    <row r="69" spans="1:21">
      <c r="A69" s="4" t="s">
        <v>33</v>
      </c>
      <c r="B69" s="4" t="s">
        <v>2</v>
      </c>
      <c r="C69" s="4" t="s">
        <v>3</v>
      </c>
      <c r="D69" s="4" t="s">
        <v>4</v>
      </c>
      <c r="E69" s="4" t="s">
        <v>5</v>
      </c>
      <c r="F69" s="4" t="s">
        <v>6</v>
      </c>
      <c r="G69" s="4" t="s">
        <v>7</v>
      </c>
      <c r="H69" s="4" t="s">
        <v>8</v>
      </c>
      <c r="I69" s="4" t="s">
        <v>9</v>
      </c>
      <c r="J69" s="4" t="s">
        <v>10</v>
      </c>
      <c r="K69" s="4" t="s">
        <v>11</v>
      </c>
      <c r="L69" s="4" t="s">
        <v>12</v>
      </c>
      <c r="M69" s="4" t="s">
        <v>13</v>
      </c>
      <c r="N69" s="4" t="s">
        <v>14</v>
      </c>
      <c r="O69" s="4" t="s">
        <v>15</v>
      </c>
      <c r="P69" s="4" t="s">
        <v>16</v>
      </c>
      <c r="Q69" s="4" t="s">
        <v>17</v>
      </c>
      <c r="R69" s="4" t="s">
        <v>18</v>
      </c>
      <c r="S69" s="4" t="s">
        <v>19</v>
      </c>
      <c r="T69" s="4" t="s">
        <v>20</v>
      </c>
      <c r="U69" s="4" t="s">
        <v>21</v>
      </c>
    </row>
    <row r="70" spans="1:21">
      <c r="A70" s="3" t="s">
        <v>22</v>
      </c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</row>
    <row r="71" spans="1:21">
      <c r="A71" s="3" t="s">
        <v>23</v>
      </c>
      <c r="B71" s="1">
        <f>[4]HUERTOS!E3</f>
        <v>429.00041630029466</v>
      </c>
      <c r="C71" s="1">
        <f>[4]HUERTOS!F3</f>
        <v>437.85027744797071</v>
      </c>
      <c r="D71" s="1">
        <f>[4]HUERTOS!G3</f>
        <v>437.85027744797071</v>
      </c>
      <c r="E71" s="1">
        <f>[4]HUERTOS!H3</f>
        <v>429.00041630029466</v>
      </c>
      <c r="F71" s="1">
        <f>[4]HUERTOS!I3</f>
        <v>459.3935403115388</v>
      </c>
      <c r="G71" s="1">
        <f>[4]HUERTOS!J3</f>
        <v>477.49793917510681</v>
      </c>
      <c r="H71" s="1">
        <f>[4]HUERTOS!K3</f>
        <v>498.46805803867483</v>
      </c>
      <c r="I71" s="1">
        <f>[4]HUERTOS!L3</f>
        <v>503.37365289099876</v>
      </c>
      <c r="J71" s="1">
        <f>[4]HUERTOS!M3</f>
        <v>521.96696203867475</v>
      </c>
      <c r="K71" s="1">
        <f>[4]HUERTOS!N3</f>
        <v>528.8446900386748</v>
      </c>
      <c r="L71" s="1">
        <f>[4]HUERTOS!O3</f>
        <v>528.8446900386748</v>
      </c>
      <c r="M71" s="1">
        <f>[4]HUERTOS!P3</f>
        <v>519.99482889099875</v>
      </c>
      <c r="N71" s="1">
        <f>[4]HUERTOS!Q3</f>
        <v>528.8446900386748</v>
      </c>
      <c r="O71" s="1">
        <f>[4]HUERTOS!R3</f>
        <v>528.8446900386748</v>
      </c>
      <c r="P71" s="1">
        <f>[4]HUERTOS!S3</f>
        <v>528.8446900386748</v>
      </c>
      <c r="Q71" s="1">
        <f>[4]HUERTOS!T3</f>
        <v>519.99482889099875</v>
      </c>
      <c r="R71" s="1">
        <f>[4]HUERTOS!U3</f>
        <v>528.8446900386748</v>
      </c>
      <c r="S71" s="1">
        <f>[4]HUERTOS!V3</f>
        <v>528.8446900386748</v>
      </c>
      <c r="T71" s="1">
        <f>[4]HUERTOS!W3</f>
        <v>528.8446900386748</v>
      </c>
      <c r="U71" s="1">
        <f>[4]HUERTOS!X3</f>
        <v>519.99482889099875</v>
      </c>
    </row>
    <row r="72" spans="1:21">
      <c r="A72" s="3" t="s">
        <v>24</v>
      </c>
      <c r="B72" s="1">
        <f>[4]HUERTOS!E4</f>
        <v>488.97131454421657</v>
      </c>
      <c r="C72" s="1">
        <f>[4]HUERTOS!F4</f>
        <v>261.36607005791734</v>
      </c>
      <c r="D72" s="1">
        <f>[4]HUERTOS!G4</f>
        <v>271.2129557430485</v>
      </c>
      <c r="E72" s="1">
        <f>[4]HUERTOS!H4</f>
        <v>264.26226525791731</v>
      </c>
      <c r="F72" s="1">
        <f>[4]HUERTOS!I4</f>
        <v>268.87286496959621</v>
      </c>
      <c r="G72" s="1">
        <f>[4]HUERTOS!J4</f>
        <v>265.82884021260782</v>
      </c>
      <c r="H72" s="1">
        <f>[4]HUERTOS!K4</f>
        <v>271.68097389773891</v>
      </c>
      <c r="I72" s="1">
        <f>[4]HUERTOS!L4</f>
        <v>264.26226525791731</v>
      </c>
      <c r="J72" s="1">
        <f>[4]HUERTOS!M4</f>
        <v>268.87286496959621</v>
      </c>
      <c r="K72" s="1">
        <f>[4]HUERTOS!N4</f>
        <v>265.82884021260782</v>
      </c>
      <c r="L72" s="1">
        <f>[4]HUERTOS!O4</f>
        <v>271.68097389773891</v>
      </c>
      <c r="M72" s="1">
        <f>[4]HUERTOS!P4</f>
        <v>264.26226525791731</v>
      </c>
      <c r="N72" s="1">
        <f>[4]HUERTOS!Q4</f>
        <v>268.87286496959621</v>
      </c>
      <c r="O72" s="1">
        <f>[4]HUERTOS!R4</f>
        <v>265.82884021260782</v>
      </c>
      <c r="P72" s="1">
        <f>[4]HUERTOS!S4</f>
        <v>271.68097389773891</v>
      </c>
      <c r="Q72" s="1">
        <f>[4]HUERTOS!T4</f>
        <v>264.26226525791731</v>
      </c>
      <c r="R72" s="1">
        <f>[4]HUERTOS!U4</f>
        <v>268.87286496959621</v>
      </c>
      <c r="S72" s="1">
        <f>[4]HUERTOS!V4</f>
        <v>265.82884021260782</v>
      </c>
      <c r="T72" s="1">
        <f>[4]HUERTOS!W4</f>
        <v>271.68097389773891</v>
      </c>
      <c r="U72" s="1">
        <f>[4]HUERTOS!X4</f>
        <v>264.26226525791731</v>
      </c>
    </row>
    <row r="73" spans="1:21">
      <c r="A73" s="3" t="s">
        <v>25</v>
      </c>
      <c r="B73" s="1">
        <f>B71-B72</f>
        <v>-59.970898243921908</v>
      </c>
      <c r="C73" s="1">
        <f t="shared" ref="C73" si="9">C71-C72</f>
        <v>176.48420739005337</v>
      </c>
      <c r="D73" s="1">
        <f t="shared" ref="D73" si="10">D71-D72</f>
        <v>166.63732170492221</v>
      </c>
      <c r="E73" s="1">
        <f t="shared" ref="E73" si="11">E71-E72</f>
        <v>164.73815104237735</v>
      </c>
      <c r="F73" s="1">
        <f t="shared" ref="F73" si="12">F71-F72</f>
        <v>190.52067534194259</v>
      </c>
      <c r="G73" s="1">
        <f t="shared" ref="G73" si="13">G71-G72</f>
        <v>211.66909896249899</v>
      </c>
      <c r="H73" s="1">
        <f t="shared" ref="H73" si="14">H71-H72</f>
        <v>226.78708414093592</v>
      </c>
      <c r="I73" s="1">
        <f t="shared" ref="I73" si="15">I71-I72</f>
        <v>239.11138763308145</v>
      </c>
      <c r="J73" s="1">
        <f t="shared" ref="J73" si="16">J71-J72</f>
        <v>253.09409706907854</v>
      </c>
      <c r="K73" s="1">
        <f t="shared" ref="K73" si="17">K71-K72</f>
        <v>263.01584982606698</v>
      </c>
      <c r="L73" s="1">
        <f t="shared" ref="L73" si="18">L71-L72</f>
        <v>257.16371614093589</v>
      </c>
      <c r="M73" s="1">
        <f t="shared" ref="M73" si="19">M71-M72</f>
        <v>255.73256363308144</v>
      </c>
      <c r="N73" s="1">
        <f t="shared" ref="N73" si="20">N71-N72</f>
        <v>259.97182506907859</v>
      </c>
      <c r="O73" s="1">
        <f t="shared" ref="O73" si="21">O71-O72</f>
        <v>263.01584982606698</v>
      </c>
      <c r="P73" s="1">
        <f t="shared" ref="P73" si="22">P71-P72</f>
        <v>257.16371614093589</v>
      </c>
      <c r="Q73" s="1">
        <f t="shared" ref="Q73" si="23">Q71-Q72</f>
        <v>255.73256363308144</v>
      </c>
      <c r="R73" s="1">
        <f t="shared" ref="R73" si="24">R71-R72</f>
        <v>259.97182506907859</v>
      </c>
      <c r="S73" s="1">
        <f t="shared" ref="S73" si="25">S71-S72</f>
        <v>263.01584982606698</v>
      </c>
      <c r="T73" s="1">
        <f t="shared" ref="T73" si="26">T71-T72</f>
        <v>257.16371614093589</v>
      </c>
      <c r="U73" s="1">
        <f t="shared" ref="U73" si="27">U71-U72</f>
        <v>255.73256363308144</v>
      </c>
    </row>
    <row r="74" spans="1:21">
      <c r="A74" s="3" t="s">
        <v>28</v>
      </c>
      <c r="B74" s="20">
        <f>NPV(12%,B73:K73)</f>
        <v>900.90698452177764</v>
      </c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</row>
    <row r="75" spans="1:21">
      <c r="A75" s="3" t="s">
        <v>29</v>
      </c>
      <c r="B75" s="19">
        <f>IRR(B73:K73)</f>
        <v>2.9077898392701922</v>
      </c>
      <c r="C75" s="18"/>
      <c r="D75" s="18"/>
      <c r="E75" s="18"/>
      <c r="F75" s="18"/>
      <c r="G75" s="18"/>
      <c r="H75" s="18"/>
      <c r="I75" s="18"/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8"/>
      <c r="U75" s="18"/>
    </row>
    <row r="76" spans="1:21">
      <c r="A76" s="3" t="s">
        <v>30</v>
      </c>
      <c r="B76" s="20">
        <f>-PMT(12%,10,B74)</f>
        <v>159.44626964135242</v>
      </c>
      <c r="C76" s="18"/>
      <c r="D76" s="18"/>
      <c r="E76" s="18"/>
      <c r="F76" s="18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</row>
    <row r="77" spans="1:21">
      <c r="A77" s="9"/>
      <c r="B77" s="18"/>
      <c r="C77" s="18"/>
      <c r="D77" s="18"/>
      <c r="E77" s="18"/>
      <c r="F77" s="18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</row>
    <row r="78" spans="1:21">
      <c r="A78" s="3" t="s">
        <v>26</v>
      </c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</row>
    <row r="79" spans="1:21">
      <c r="A79" s="3" t="s">
        <v>23</v>
      </c>
      <c r="B79" s="1">
        <f>[4]HUERTOS!E7</f>
        <v>322.42994114699661</v>
      </c>
      <c r="C79" s="1">
        <f>[4]HUERTOS!F7</f>
        <v>320.72106245891757</v>
      </c>
      <c r="D79" s="1">
        <f>[4]HUERTOS!G7</f>
        <v>319.02124082788532</v>
      </c>
      <c r="E79" s="1">
        <f>[4]HUERTOS!H7</f>
        <v>317.33042825149755</v>
      </c>
      <c r="F79" s="1">
        <f>[4]HUERTOS!I7</f>
        <v>315.64857698176462</v>
      </c>
      <c r="G79" s="1">
        <f>[4]HUERTOS!J7</f>
        <v>313.97563952376129</v>
      </c>
      <c r="H79" s="1">
        <f>[4]HUERTOS!K7</f>
        <v>312.31156863428532</v>
      </c>
      <c r="I79" s="1">
        <f>[4]HUERTOS!L7</f>
        <v>310.65631732052361</v>
      </c>
      <c r="J79" s="1">
        <f>[4]HUERTOS!M7</f>
        <v>309.00983883872487</v>
      </c>
      <c r="K79" s="1">
        <f>[4]HUERTOS!N7</f>
        <v>307.37208669287963</v>
      </c>
      <c r="L79" s="1">
        <f>[4]HUERTOS!O7</f>
        <v>305.74301463340737</v>
      </c>
      <c r="M79" s="1">
        <f>[4]HUERTOS!P7</f>
        <v>304.12257665585031</v>
      </c>
      <c r="N79" s="1">
        <f>[4]HUERTOS!Q7</f>
        <v>302.51072699957433</v>
      </c>
      <c r="O79" s="1">
        <f>[4]HUERTOS!R7</f>
        <v>300.90742014647662</v>
      </c>
      <c r="P79" s="1">
        <f>[4]HUERTOS!S7</f>
        <v>299.31261081970024</v>
      </c>
      <c r="Q79" s="1">
        <f>[4]HUERTOS!T7</f>
        <v>297.72625398235584</v>
      </c>
      <c r="R79" s="1">
        <f>[4]HUERTOS!U7</f>
        <v>296.14830483624939</v>
      </c>
      <c r="S79" s="1">
        <f>[4]HUERTOS!V7</f>
        <v>294.57871882061727</v>
      </c>
      <c r="T79" s="1">
        <f>[4]HUERTOS!W7</f>
        <v>293.01745161086797</v>
      </c>
      <c r="U79" s="1">
        <f>[4]HUERTOS!X7</f>
        <v>291.46445911733042</v>
      </c>
    </row>
    <row r="80" spans="1:21">
      <c r="A80" s="3" t="s">
        <v>24</v>
      </c>
      <c r="B80" s="1">
        <f>[4]HUERTOS!E8</f>
        <v>201.79929051065182</v>
      </c>
      <c r="C80" s="1">
        <f>[4]HUERTOS!F8</f>
        <v>201.79929051065182</v>
      </c>
      <c r="D80" s="1">
        <f>[4]HUERTOS!G8</f>
        <v>201.79929051065182</v>
      </c>
      <c r="E80" s="1">
        <f>[4]HUERTOS!H8</f>
        <v>201.79929051065182</v>
      </c>
      <c r="F80" s="1">
        <f>[4]HUERTOS!I8</f>
        <v>201.79929051065182</v>
      </c>
      <c r="G80" s="1">
        <f>[4]HUERTOS!J8</f>
        <v>201.79929051065182</v>
      </c>
      <c r="H80" s="1">
        <f>[4]HUERTOS!K8</f>
        <v>201.79929051065182</v>
      </c>
      <c r="I80" s="1">
        <f>[4]HUERTOS!L8</f>
        <v>201.79929051065182</v>
      </c>
      <c r="J80" s="1">
        <f>[4]HUERTOS!M8</f>
        <v>201.79929051065182</v>
      </c>
      <c r="K80" s="1">
        <f>[4]HUERTOS!N8</f>
        <v>201.79929051065182</v>
      </c>
      <c r="L80" s="1">
        <f>[4]HUERTOS!O8</f>
        <v>201.79929051065182</v>
      </c>
      <c r="M80" s="1">
        <f>[4]HUERTOS!P8</f>
        <v>201.79929051065182</v>
      </c>
      <c r="N80" s="1">
        <f>[4]HUERTOS!Q8</f>
        <v>201.79929051065182</v>
      </c>
      <c r="O80" s="1">
        <f>[4]HUERTOS!R8</f>
        <v>201.79929051065182</v>
      </c>
      <c r="P80" s="1">
        <f>[4]HUERTOS!S8</f>
        <v>201.79929051065182</v>
      </c>
      <c r="Q80" s="1">
        <f>[4]HUERTOS!T8</f>
        <v>201.79929051065182</v>
      </c>
      <c r="R80" s="1">
        <f>[4]HUERTOS!U8</f>
        <v>201.79929051065182</v>
      </c>
      <c r="S80" s="1">
        <f>[4]HUERTOS!V8</f>
        <v>201.79929051065182</v>
      </c>
      <c r="T80" s="1">
        <f>[4]HUERTOS!W8</f>
        <v>201.79929051065182</v>
      </c>
      <c r="U80" s="1">
        <f>[4]HUERTOS!X8</f>
        <v>201.79929051065182</v>
      </c>
    </row>
    <row r="81" spans="1:21">
      <c r="A81" s="3" t="s">
        <v>25</v>
      </c>
      <c r="B81" s="1">
        <f>B79-B80</f>
        <v>120.6306506363448</v>
      </c>
      <c r="C81" s="1">
        <f t="shared" ref="C81" si="28">C79-C80</f>
        <v>118.92177194826576</v>
      </c>
      <c r="D81" s="1">
        <f t="shared" ref="D81" si="29">D79-D80</f>
        <v>117.22195031723351</v>
      </c>
      <c r="E81" s="1">
        <f t="shared" ref="E81" si="30">E79-E80</f>
        <v>115.53113774084574</v>
      </c>
      <c r="F81" s="1">
        <f t="shared" ref="F81" si="31">F79-F80</f>
        <v>113.8492864711128</v>
      </c>
      <c r="G81" s="1">
        <f t="shared" ref="G81" si="32">G79-G80</f>
        <v>112.17634901310947</v>
      </c>
      <c r="H81" s="1">
        <f t="shared" ref="H81" si="33">H79-H80</f>
        <v>110.51227812363351</v>
      </c>
      <c r="I81" s="1">
        <f t="shared" ref="I81" si="34">I79-I80</f>
        <v>108.8570268098718</v>
      </c>
      <c r="J81" s="1">
        <f t="shared" ref="J81" si="35">J79-J80</f>
        <v>107.21054832807306</v>
      </c>
      <c r="K81" s="1">
        <f t="shared" ref="K81" si="36">K79-K80</f>
        <v>105.57279618222782</v>
      </c>
      <c r="L81" s="1">
        <f t="shared" ref="L81" si="37">L79-L80</f>
        <v>103.94372412275555</v>
      </c>
      <c r="M81" s="1">
        <f t="shared" ref="M81" si="38">M79-M80</f>
        <v>102.32328614519849</v>
      </c>
      <c r="N81" s="1">
        <f t="shared" ref="N81" si="39">N79-N80</f>
        <v>100.71143648892252</v>
      </c>
      <c r="O81" s="1">
        <f t="shared" ref="O81" si="40">O79-O80</f>
        <v>99.10812963582481</v>
      </c>
      <c r="P81" s="1">
        <f t="shared" ref="P81" si="41">P79-P80</f>
        <v>97.513320309048424</v>
      </c>
      <c r="Q81" s="1">
        <f t="shared" ref="Q81" si="42">Q79-Q80</f>
        <v>95.926963471704028</v>
      </c>
      <c r="R81" s="1">
        <f t="shared" ref="R81" si="43">R79-R80</f>
        <v>94.34901432559758</v>
      </c>
      <c r="S81" s="1">
        <f t="shared" ref="S81" si="44">S79-S80</f>
        <v>92.779428309965454</v>
      </c>
      <c r="T81" s="1">
        <f t="shared" ref="T81" si="45">T79-T80</f>
        <v>91.21816110021615</v>
      </c>
      <c r="U81" s="1">
        <f t="shared" ref="U81" si="46">U79-U80</f>
        <v>89.665168606678606</v>
      </c>
    </row>
    <row r="82" spans="1:21">
      <c r="A82" s="3" t="s">
        <v>28</v>
      </c>
      <c r="B82" s="20">
        <f>NPV(12%,B81:K81)</f>
        <v>647.40969725412151</v>
      </c>
      <c r="C82" s="18"/>
      <c r="D82" s="18"/>
      <c r="E82" s="18"/>
      <c r="F82" s="18"/>
      <c r="G82" s="18"/>
      <c r="H82" s="18"/>
      <c r="I82" s="18"/>
      <c r="J82" s="18"/>
      <c r="K82" s="18"/>
      <c r="L82" s="18"/>
      <c r="M82" s="18"/>
      <c r="N82" s="18"/>
      <c r="O82" s="18"/>
      <c r="P82" s="18"/>
      <c r="Q82" s="18"/>
      <c r="R82" s="18"/>
      <c r="S82" s="18"/>
      <c r="T82" s="18"/>
      <c r="U82" s="18"/>
    </row>
    <row r="83" spans="1:21">
      <c r="A83" s="3" t="s">
        <v>29</v>
      </c>
      <c r="B83" s="19" t="e">
        <f>IRR(B81:U81)</f>
        <v>#NUM!</v>
      </c>
      <c r="C83" s="18"/>
      <c r="D83" s="18"/>
      <c r="E83" s="18"/>
      <c r="F83" s="18"/>
      <c r="G83" s="18"/>
      <c r="H83" s="18"/>
      <c r="I83" s="18"/>
      <c r="J83" s="18"/>
      <c r="K83" s="18"/>
      <c r="L83" s="18"/>
      <c r="M83" s="18"/>
      <c r="N83" s="18"/>
      <c r="O83" s="18"/>
      <c r="P83" s="18"/>
      <c r="Q83" s="18"/>
      <c r="R83" s="18"/>
      <c r="S83" s="18"/>
      <c r="T83" s="18"/>
      <c r="U83" s="18"/>
    </row>
    <row r="84" spans="1:21">
      <c r="A84" s="3" t="s">
        <v>30</v>
      </c>
      <c r="B84" s="20">
        <f>-PMT(12%,10,B82)</f>
        <v>114.58126413749841</v>
      </c>
      <c r="C84" s="18"/>
      <c r="D84" s="18"/>
      <c r="E84" s="18"/>
      <c r="F84" s="18"/>
      <c r="G84" s="18"/>
      <c r="H84" s="18"/>
      <c r="I84" s="18"/>
      <c r="J84" s="18"/>
      <c r="K84" s="18"/>
      <c r="L84" s="18"/>
      <c r="M84" s="18"/>
      <c r="N84" s="18"/>
      <c r="O84" s="18"/>
      <c r="P84" s="18"/>
      <c r="Q84" s="18"/>
      <c r="R84" s="18"/>
      <c r="S84" s="18"/>
      <c r="T84" s="18"/>
      <c r="U84" s="18"/>
    </row>
    <row r="85" spans="1:21">
      <c r="A85" s="3" t="s">
        <v>27</v>
      </c>
      <c r="B85" s="1">
        <f>B73-B81</f>
        <v>-180.60154888026671</v>
      </c>
      <c r="C85" s="1">
        <f t="shared" ref="C85" si="47">C73-C81</f>
        <v>57.562435441787613</v>
      </c>
      <c r="D85" s="1">
        <f t="shared" ref="D85" si="48">D73-D81</f>
        <v>49.415371387688708</v>
      </c>
      <c r="E85" s="1">
        <f t="shared" ref="E85" si="49">E73-E81</f>
        <v>49.207013301531617</v>
      </c>
      <c r="F85" s="1">
        <f t="shared" ref="F85" si="50">F73-F81</f>
        <v>76.671388870829787</v>
      </c>
      <c r="G85" s="1">
        <f t="shared" ref="G85" si="51">G73-G81</f>
        <v>99.49274994938952</v>
      </c>
      <c r="H85" s="1">
        <f t="shared" ref="H85" si="52">H73-H81</f>
        <v>116.27480601730241</v>
      </c>
      <c r="I85" s="1">
        <f t="shared" ref="I85" si="53">I73-I81</f>
        <v>130.25436082320965</v>
      </c>
      <c r="J85" s="1">
        <f t="shared" ref="J85" si="54">J73-J81</f>
        <v>145.88354874100548</v>
      </c>
      <c r="K85" s="1">
        <f t="shared" ref="K85" si="55">K73-K81</f>
        <v>157.44305364383916</v>
      </c>
      <c r="L85" s="1">
        <f t="shared" ref="L85" si="56">L73-L81</f>
        <v>153.21999201818033</v>
      </c>
      <c r="M85" s="1">
        <f t="shared" ref="M85" si="57">M73-M81</f>
        <v>153.40927748788295</v>
      </c>
      <c r="N85" s="1">
        <f t="shared" ref="N85" si="58">N73-N81</f>
        <v>159.26038858015608</v>
      </c>
      <c r="O85" s="1">
        <f t="shared" ref="O85" si="59">O73-O81</f>
        <v>163.90772019024217</v>
      </c>
      <c r="P85" s="1">
        <f t="shared" ref="P85" si="60">P73-P81</f>
        <v>159.65039583188747</v>
      </c>
      <c r="Q85" s="1">
        <f t="shared" ref="Q85" si="61">Q73-Q81</f>
        <v>159.80560016137741</v>
      </c>
      <c r="R85" s="1">
        <f t="shared" ref="R85" si="62">R73-R81</f>
        <v>165.62281074348101</v>
      </c>
      <c r="S85" s="1">
        <f t="shared" ref="S85" si="63">S73-S81</f>
        <v>170.23642151610153</v>
      </c>
      <c r="T85" s="1">
        <f t="shared" ref="T85" si="64">T73-T81</f>
        <v>165.94555504071974</v>
      </c>
      <c r="U85" s="1">
        <f t="shared" ref="U85" si="65">U73-U81</f>
        <v>166.06739502640283</v>
      </c>
    </row>
    <row r="86" spans="1:21">
      <c r="A86" s="4" t="s">
        <v>28</v>
      </c>
      <c r="B86" s="12">
        <f>NPV(12%,B85:K85)</f>
        <v>253.49728726765602</v>
      </c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</row>
    <row r="87" spans="1:21">
      <c r="A87" s="4" t="s">
        <v>29</v>
      </c>
      <c r="B87" s="13">
        <f>IRR(B85:K85)</f>
        <v>0.37427352280441917</v>
      </c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</row>
    <row r="88" spans="1:21">
      <c r="A88" s="4" t="s">
        <v>30</v>
      </c>
      <c r="B88" s="12">
        <f>-PMT(12%,10,B86)</f>
        <v>44.865005503853986</v>
      </c>
    </row>
    <row r="89" spans="1:21">
      <c r="A89" s="8"/>
      <c r="B89" s="16"/>
    </row>
    <row r="91" spans="1:21">
      <c r="A91" s="8"/>
      <c r="B91" s="16"/>
    </row>
    <row r="92" spans="1:21">
      <c r="A92" s="4" t="s">
        <v>34</v>
      </c>
      <c r="B92" s="4" t="s">
        <v>2</v>
      </c>
      <c r="C92" s="4" t="s">
        <v>3</v>
      </c>
      <c r="D92" s="4" t="s">
        <v>4</v>
      </c>
      <c r="E92" s="4" t="s">
        <v>5</v>
      </c>
      <c r="F92" s="4" t="s">
        <v>6</v>
      </c>
      <c r="G92" s="4" t="s">
        <v>7</v>
      </c>
      <c r="H92" s="4" t="s">
        <v>8</v>
      </c>
      <c r="I92" s="4" t="s">
        <v>9</v>
      </c>
      <c r="J92" s="4" t="s">
        <v>10</v>
      </c>
      <c r="K92" s="4" t="s">
        <v>11</v>
      </c>
      <c r="L92" s="4" t="s">
        <v>12</v>
      </c>
      <c r="M92" s="4" t="s">
        <v>13</v>
      </c>
      <c r="N92" s="4" t="s">
        <v>14</v>
      </c>
      <c r="O92" s="4" t="s">
        <v>15</v>
      </c>
      <c r="P92" s="4" t="s">
        <v>16</v>
      </c>
      <c r="Q92" s="4" t="s">
        <v>17</v>
      </c>
      <c r="R92" s="4" t="s">
        <v>18</v>
      </c>
      <c r="S92" s="4" t="s">
        <v>19</v>
      </c>
      <c r="T92" s="4" t="s">
        <v>20</v>
      </c>
      <c r="U92" s="4" t="s">
        <v>21</v>
      </c>
    </row>
    <row r="93" spans="1:21">
      <c r="A93" s="3" t="s">
        <v>22</v>
      </c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</row>
    <row r="94" spans="1:21">
      <c r="A94" s="3" t="s">
        <v>23</v>
      </c>
      <c r="B94" s="1">
        <f>[2]AnálisisFinanciero!B64</f>
        <v>275399.51296000002</v>
      </c>
      <c r="C94" s="1">
        <f>[2]AnálisisFinanciero!C64</f>
        <v>275399.51296000002</v>
      </c>
      <c r="D94" s="1">
        <f>[2]AnálisisFinanciero!D64</f>
        <v>358019.36684800003</v>
      </c>
      <c r="E94" s="1">
        <f>[2]AnálisisFinanciero!E64</f>
        <v>495719.12332799996</v>
      </c>
      <c r="F94" s="1">
        <f>[2]AnálisisFinanciero!F64</f>
        <v>550799.02592000004</v>
      </c>
      <c r="G94" s="1">
        <f>[2]AnálisisFinanciero!G64</f>
        <v>688498.78240000003</v>
      </c>
      <c r="H94" s="1">
        <f>[2]AnálisisFinanciero!H64</f>
        <v>826198.53888000012</v>
      </c>
      <c r="I94" s="1">
        <f>[2]AnálisisFinanciero!I64</f>
        <v>826198.53888000012</v>
      </c>
      <c r="J94" s="1">
        <f>[2]AnálisisFinanciero!J64</f>
        <v>826198.53888000012</v>
      </c>
      <c r="K94" s="1">
        <f>[2]AnálisisFinanciero!K64</f>
        <v>826198.53888000012</v>
      </c>
      <c r="L94" s="1">
        <f>[2]AnálisisFinanciero!L64</f>
        <v>826198.53888000012</v>
      </c>
      <c r="M94" s="1">
        <f>[2]AnálisisFinanciero!M64</f>
        <v>826198.53888000012</v>
      </c>
      <c r="N94" s="1">
        <f>[2]AnálisisFinanciero!N64</f>
        <v>826198.53888000012</v>
      </c>
      <c r="O94" s="1">
        <f>[2]AnálisisFinanciero!O64</f>
        <v>826198.53888000012</v>
      </c>
      <c r="P94" s="1">
        <f>[2]AnálisisFinanciero!P64</f>
        <v>826198.53888000012</v>
      </c>
      <c r="Q94" s="1">
        <f>[2]AnálisisFinanciero!Q64</f>
        <v>826198.53888000012</v>
      </c>
      <c r="R94" s="1">
        <f>[2]AnálisisFinanciero!R64</f>
        <v>826198.53888000012</v>
      </c>
      <c r="S94" s="1">
        <f>[2]AnálisisFinanciero!S64</f>
        <v>826198.53888000012</v>
      </c>
      <c r="T94" s="1">
        <f>[2]AnálisisFinanciero!T64</f>
        <v>826198.53888000012</v>
      </c>
      <c r="U94" s="1">
        <f>[2]AnálisisFinanciero!U64</f>
        <v>826198.53888000012</v>
      </c>
    </row>
    <row r="95" spans="1:21">
      <c r="A95" s="3" t="s">
        <v>24</v>
      </c>
      <c r="B95" s="1">
        <f>[2]AnálisisFinanciero!B57</f>
        <v>715360.16039896314</v>
      </c>
      <c r="C95" s="1">
        <f>[2]AnálisisFinanciero!C57</f>
        <v>265010.92694441788</v>
      </c>
      <c r="D95" s="1">
        <f>[2]AnálisisFinanciero!D57</f>
        <v>334664.5416957952</v>
      </c>
      <c r="E95" s="1">
        <f>[2]AnálisisFinanciero!E57</f>
        <v>450753.89961475739</v>
      </c>
      <c r="F95" s="1">
        <f>[2]AnálisisFinanciero!F57</f>
        <v>497189.64278234227</v>
      </c>
      <c r="G95" s="1">
        <f>[2]AnálisisFinanciero!G57</f>
        <v>613279.00070130441</v>
      </c>
      <c r="H95" s="1">
        <f>[2]AnálisisFinanciero!H57</f>
        <v>729368.35862026666</v>
      </c>
      <c r="I95" s="1">
        <f>[2]AnálisisFinanciero!I57</f>
        <v>729368.35862026666</v>
      </c>
      <c r="J95" s="1">
        <f>[2]AnálisisFinanciero!J57</f>
        <v>729368.35862026666</v>
      </c>
      <c r="K95" s="1">
        <f>[2]AnálisisFinanciero!K57</f>
        <v>729368.35862026666</v>
      </c>
      <c r="L95" s="1">
        <f>[2]AnálisisFinanciero!L57</f>
        <v>729368.35862026666</v>
      </c>
      <c r="M95" s="1">
        <f>[2]AnálisisFinanciero!M57</f>
        <v>729368.35862026666</v>
      </c>
      <c r="N95" s="1">
        <f>[2]AnálisisFinanciero!N57</f>
        <v>729368.35862026666</v>
      </c>
      <c r="O95" s="1">
        <f>[2]AnálisisFinanciero!O57</f>
        <v>729368.35862026666</v>
      </c>
      <c r="P95" s="1">
        <f>[2]AnálisisFinanciero!P57</f>
        <v>729368.35862026666</v>
      </c>
      <c r="Q95" s="1">
        <f>[2]AnálisisFinanciero!Q57</f>
        <v>729368.35862026666</v>
      </c>
      <c r="R95" s="1">
        <f>[2]AnálisisFinanciero!R57</f>
        <v>729368.35862026666</v>
      </c>
      <c r="S95" s="1">
        <f>[2]AnálisisFinanciero!S57</f>
        <v>729368.35862026666</v>
      </c>
      <c r="T95" s="1">
        <f>[2]AnálisisFinanciero!T57</f>
        <v>729368.35862026666</v>
      </c>
      <c r="U95" s="1">
        <f>[2]AnálisisFinanciero!U57</f>
        <v>729368.35862026666</v>
      </c>
    </row>
    <row r="96" spans="1:21">
      <c r="A96" s="3" t="s">
        <v>25</v>
      </c>
      <c r="B96" s="1">
        <f>B94-B95</f>
        <v>-439960.64743896312</v>
      </c>
      <c r="C96" s="1">
        <f t="shared" ref="C96:U96" si="66">C94-C95</f>
        <v>10388.586015582143</v>
      </c>
      <c r="D96" s="1">
        <f t="shared" si="66"/>
        <v>23354.825152204838</v>
      </c>
      <c r="E96" s="1">
        <f t="shared" si="66"/>
        <v>44965.223713242565</v>
      </c>
      <c r="F96" s="1">
        <f t="shared" si="66"/>
        <v>53609.383137657773</v>
      </c>
      <c r="G96" s="1">
        <f t="shared" si="66"/>
        <v>75219.781698695617</v>
      </c>
      <c r="H96" s="1">
        <f t="shared" si="66"/>
        <v>96830.180259733461</v>
      </c>
      <c r="I96" s="1">
        <f t="shared" si="66"/>
        <v>96830.180259733461</v>
      </c>
      <c r="J96" s="1">
        <f t="shared" si="66"/>
        <v>96830.180259733461</v>
      </c>
      <c r="K96" s="1">
        <f t="shared" si="66"/>
        <v>96830.180259733461</v>
      </c>
      <c r="L96" s="1">
        <f t="shared" si="66"/>
        <v>96830.180259733461</v>
      </c>
      <c r="M96" s="1">
        <f t="shared" si="66"/>
        <v>96830.180259733461</v>
      </c>
      <c r="N96" s="1">
        <f t="shared" si="66"/>
        <v>96830.180259733461</v>
      </c>
      <c r="O96" s="1">
        <f t="shared" si="66"/>
        <v>96830.180259733461</v>
      </c>
      <c r="P96" s="1">
        <f t="shared" si="66"/>
        <v>96830.180259733461</v>
      </c>
      <c r="Q96" s="1">
        <f t="shared" si="66"/>
        <v>96830.180259733461</v>
      </c>
      <c r="R96" s="1">
        <f t="shared" si="66"/>
        <v>96830.180259733461</v>
      </c>
      <c r="S96" s="1">
        <f t="shared" si="66"/>
        <v>96830.180259733461</v>
      </c>
      <c r="T96" s="1">
        <f t="shared" si="66"/>
        <v>96830.180259733461</v>
      </c>
      <c r="U96" s="1">
        <f t="shared" si="66"/>
        <v>96830.180259733461</v>
      </c>
    </row>
    <row r="97" spans="1:21">
      <c r="A97" s="4" t="s">
        <v>28</v>
      </c>
      <c r="B97" s="12">
        <f>NPV(12%,B96:U96)</f>
        <v>54346.772703102193</v>
      </c>
    </row>
    <row r="98" spans="1:21">
      <c r="A98" s="4" t="s">
        <v>29</v>
      </c>
      <c r="B98" s="13">
        <f>IRR(B96:U96)</f>
        <v>0.13694242079528318</v>
      </c>
    </row>
    <row r="99" spans="1:21">
      <c r="A99" s="4" t="s">
        <v>30</v>
      </c>
      <c r="B99" s="12">
        <f>-PMT(12%,20,B97)</f>
        <v>7275.8796285840535</v>
      </c>
    </row>
    <row r="100" spans="1:21">
      <c r="A100" s="29" t="s">
        <v>54</v>
      </c>
      <c r="B100" s="29">
        <v>2</v>
      </c>
    </row>
    <row r="101" spans="1:21">
      <c r="A101" s="8"/>
      <c r="B101" s="16"/>
    </row>
    <row r="102" spans="1:21">
      <c r="A102" s="8"/>
      <c r="B102" s="16"/>
    </row>
    <row r="103" spans="1:21">
      <c r="A103" s="4" t="s">
        <v>35</v>
      </c>
      <c r="B103" s="4" t="s">
        <v>2</v>
      </c>
      <c r="C103" s="4" t="s">
        <v>3</v>
      </c>
      <c r="D103" s="4" t="s">
        <v>4</v>
      </c>
      <c r="E103" s="4" t="s">
        <v>5</v>
      </c>
      <c r="F103" s="4" t="s">
        <v>6</v>
      </c>
      <c r="G103" s="4" t="s">
        <v>7</v>
      </c>
      <c r="H103" s="4" t="s">
        <v>8</v>
      </c>
      <c r="I103" s="4" t="s">
        <v>9</v>
      </c>
      <c r="J103" s="4" t="s">
        <v>10</v>
      </c>
      <c r="K103" s="4" t="s">
        <v>11</v>
      </c>
      <c r="L103" s="4" t="s">
        <v>12</v>
      </c>
      <c r="M103" s="4" t="s">
        <v>13</v>
      </c>
      <c r="N103" s="4" t="s">
        <v>14</v>
      </c>
      <c r="O103" s="4" t="s">
        <v>15</v>
      </c>
      <c r="P103" s="4" t="s">
        <v>16</v>
      </c>
      <c r="Q103" s="4" t="s">
        <v>17</v>
      </c>
      <c r="R103" s="4" t="s">
        <v>18</v>
      </c>
      <c r="S103" s="4" t="s">
        <v>19</v>
      </c>
      <c r="T103" s="4" t="s">
        <v>20</v>
      </c>
      <c r="U103" s="4" t="s">
        <v>21</v>
      </c>
    </row>
    <row r="104" spans="1:21">
      <c r="A104" s="3" t="s">
        <v>22</v>
      </c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</row>
    <row r="105" spans="1:21">
      <c r="A105" s="3" t="s">
        <v>23</v>
      </c>
      <c r="B105" s="1">
        <f>'[3]AnalisisFinanciero (Q)'!B104</f>
        <v>142101.81818181818</v>
      </c>
      <c r="C105" s="1">
        <f>'[3]AnalisisFinanciero (Q)'!C104</f>
        <v>142101.81818181818</v>
      </c>
      <c r="D105" s="1">
        <f>'[3]AnalisisFinanciero (Q)'!D104</f>
        <v>142101.81818181818</v>
      </c>
      <c r="E105" s="1">
        <f>'[3]AnalisisFinanciero (Q)'!E104</f>
        <v>142101.81818181818</v>
      </c>
      <c r="F105" s="1">
        <f>'[3]AnalisisFinanciero (Q)'!F104</f>
        <v>142101.81818181818</v>
      </c>
      <c r="G105" s="1">
        <f>'[3]AnalisisFinanciero (Q)'!G104</f>
        <v>142101.81818181818</v>
      </c>
      <c r="H105" s="1">
        <f>'[3]AnalisisFinanciero (Q)'!H104</f>
        <v>142101.81818181818</v>
      </c>
      <c r="I105" s="1">
        <f>'[3]AnalisisFinanciero (Q)'!I104</f>
        <v>142101.81818181818</v>
      </c>
      <c r="J105" s="1">
        <f>'[3]AnalisisFinanciero (Q)'!J104</f>
        <v>142101.81818181818</v>
      </c>
      <c r="K105" s="1">
        <f>'[3]AnalisisFinanciero (Q)'!K104</f>
        <v>142101.81818181818</v>
      </c>
      <c r="L105" s="1">
        <f>'[3]AnalisisFinanciero (Q)'!L104</f>
        <v>142101.81818181818</v>
      </c>
      <c r="M105" s="1">
        <f>'[3]AnalisisFinanciero (Q)'!M104</f>
        <v>142101.81818181818</v>
      </c>
      <c r="N105" s="1">
        <f>'[3]AnalisisFinanciero (Q)'!N104</f>
        <v>142101.81818181818</v>
      </c>
      <c r="O105" s="1">
        <f>'[3]AnalisisFinanciero (Q)'!O104</f>
        <v>142101.81818181818</v>
      </c>
      <c r="P105" s="1">
        <f>'[3]AnalisisFinanciero (Q)'!P104</f>
        <v>142101.81818181818</v>
      </c>
      <c r="Q105" s="1">
        <f>'[3]AnalisisFinanciero (Q)'!Q104</f>
        <v>142101.81818181818</v>
      </c>
      <c r="R105" s="1">
        <f>'[3]AnalisisFinanciero (Q)'!R104</f>
        <v>142101.81818181818</v>
      </c>
      <c r="S105" s="1">
        <f>'[3]AnalisisFinanciero (Q)'!S104</f>
        <v>142101.81818181818</v>
      </c>
      <c r="T105" s="1">
        <f>'[3]AnalisisFinanciero (Q)'!T104</f>
        <v>142101.81818181818</v>
      </c>
      <c r="U105" s="1">
        <f>'[3]AnalisisFinanciero (Q)'!U104</f>
        <v>142101.81818181818</v>
      </c>
    </row>
    <row r="106" spans="1:21">
      <c r="A106" s="3" t="s">
        <v>24</v>
      </c>
      <c r="B106" s="1">
        <f>'[3]AnalisisFinanciero (Q)'!B98</f>
        <v>472336.28854488366</v>
      </c>
      <c r="C106" s="1">
        <f>'[3]AnalisisFinanciero (Q)'!C98</f>
        <v>73143.872075638646</v>
      </c>
      <c r="D106" s="1">
        <f>'[3]AnalisisFinanciero (Q)'!D98</f>
        <v>74433.046255821304</v>
      </c>
      <c r="E106" s="1">
        <f>'[3]AnalisisFinanciero (Q)'!E98</f>
        <v>73259.793159855413</v>
      </c>
      <c r="F106" s="1">
        <f>'[3]AnalisisFinanciero (Q)'!F98</f>
        <v>73322.136084415921</v>
      </c>
      <c r="G106" s="1">
        <f>'[3]AnalisisFinanciero (Q)'!G98</f>
        <v>74466.744578209997</v>
      </c>
      <c r="H106" s="1">
        <f>'[3]AnalisisFinanciero (Q)'!H98</f>
        <v>73456.329229532363</v>
      </c>
      <c r="I106" s="1">
        <f>'[3]AnalisisFinanciero (Q)'!I98</f>
        <v>73528.498957576696</v>
      </c>
      <c r="J106" s="1">
        <f>'[3]AnalisisFinanciero (Q)'!J98</f>
        <v>74683.425595028821</v>
      </c>
      <c r="K106" s="1">
        <f>'[3]AnalisisFinanciero (Q)'!K98</f>
        <v>73683.844297192147</v>
      </c>
      <c r="L106" s="1">
        <f>'[3]AnalisisFinanciero (Q)'!L98</f>
        <v>73767.389778619458</v>
      </c>
      <c r="M106" s="1">
        <f>'[3]AnalisisFinanciero (Q)'!M98</f>
        <v>74934.260957123712</v>
      </c>
      <c r="N106" s="1">
        <f>'[3]AnalisisFinanciero (Q)'!N98</f>
        <v>73947.221427391778</v>
      </c>
      <c r="O106" s="1">
        <f>'[3]AnalisisFinanciero (Q)'!O98</f>
        <v>74043.935765329079</v>
      </c>
      <c r="P106" s="1">
        <f>'[3]AnalisisFinanciero (Q)'!P98</f>
        <v>75224.634243168839</v>
      </c>
      <c r="Q106" s="1">
        <f>'[3]AnalisisFinanciero (Q)'!Q98</f>
        <v>74252.113377739151</v>
      </c>
      <c r="R106" s="1">
        <f>'[3]AnalisisFinanciero (Q)'!R98</f>
        <v>74364.072313193814</v>
      </c>
      <c r="S106" s="1">
        <f>'[3]AnalisisFinanciero (Q)'!S98</f>
        <v>75560.7776184268</v>
      </c>
      <c r="T106" s="1">
        <f>'[3]AnalisisFinanciero (Q)'!T98</f>
        <v>74605.063921760011</v>
      </c>
      <c r="U106" s="1">
        <f>'[3]AnalisisFinanciero (Q)'!U98</f>
        <v>74734.670384415716</v>
      </c>
    </row>
    <row r="107" spans="1:21">
      <c r="A107" s="3" t="s">
        <v>25</v>
      </c>
      <c r="B107" s="1">
        <f>B105-B106</f>
        <v>-330234.47036306548</v>
      </c>
      <c r="C107" s="1">
        <f t="shared" ref="C107:U107" si="67">C105-C106</f>
        <v>68957.94610617953</v>
      </c>
      <c r="D107" s="1">
        <f t="shared" si="67"/>
        <v>67668.771925996873</v>
      </c>
      <c r="E107" s="1">
        <f t="shared" si="67"/>
        <v>68842.025021962763</v>
      </c>
      <c r="F107" s="1">
        <f t="shared" si="67"/>
        <v>68779.682097402256</v>
      </c>
      <c r="G107" s="1">
        <f t="shared" si="67"/>
        <v>67635.07360360818</v>
      </c>
      <c r="H107" s="1">
        <f t="shared" si="67"/>
        <v>68645.488952285814</v>
      </c>
      <c r="I107" s="1">
        <f t="shared" si="67"/>
        <v>68573.319224241481</v>
      </c>
      <c r="J107" s="1">
        <f t="shared" si="67"/>
        <v>67418.392586789356</v>
      </c>
      <c r="K107" s="1">
        <f t="shared" si="67"/>
        <v>68417.97388462603</v>
      </c>
      <c r="L107" s="1">
        <f t="shared" si="67"/>
        <v>68334.428403198719</v>
      </c>
      <c r="M107" s="1">
        <f t="shared" si="67"/>
        <v>67167.557224694465</v>
      </c>
      <c r="N107" s="1">
        <f t="shared" si="67"/>
        <v>68154.596754426399</v>
      </c>
      <c r="O107" s="1">
        <f t="shared" si="67"/>
        <v>68057.882416489098</v>
      </c>
      <c r="P107" s="1">
        <f t="shared" si="67"/>
        <v>66877.183938649338</v>
      </c>
      <c r="Q107" s="1">
        <f t="shared" si="67"/>
        <v>67849.704804079025</v>
      </c>
      <c r="R107" s="1">
        <f t="shared" si="67"/>
        <v>67737.745868624363</v>
      </c>
      <c r="S107" s="1">
        <f t="shared" si="67"/>
        <v>66541.040563391376</v>
      </c>
      <c r="T107" s="1">
        <f t="shared" si="67"/>
        <v>67496.754260058166</v>
      </c>
      <c r="U107" s="1">
        <f t="shared" si="67"/>
        <v>67367.14779740246</v>
      </c>
    </row>
    <row r="108" spans="1:21">
      <c r="A108" s="4" t="s">
        <v>28</v>
      </c>
      <c r="B108" s="12">
        <f>NPV(12%,B107:U107)</f>
        <v>153472.75855077413</v>
      </c>
    </row>
    <row r="109" spans="1:21">
      <c r="A109" s="4" t="s">
        <v>29</v>
      </c>
      <c r="B109" s="13">
        <f>IRR(B107:U107)</f>
        <v>0.20032424717216801</v>
      </c>
    </row>
    <row r="110" spans="1:21">
      <c r="A110" s="4" t="s">
        <v>30</v>
      </c>
      <c r="B110" s="12">
        <f>-PMT(12%,20,B108)</f>
        <v>20546.745684099038</v>
      </c>
    </row>
    <row r="111" spans="1:21">
      <c r="A111" s="3" t="s">
        <v>55</v>
      </c>
      <c r="B111" s="3">
        <v>1</v>
      </c>
    </row>
    <row r="114" spans="1:7">
      <c r="A114" s="24" t="s">
        <v>56</v>
      </c>
      <c r="E114" s="3" t="s">
        <v>57</v>
      </c>
      <c r="F114" s="3" t="s">
        <v>58</v>
      </c>
      <c r="G114" s="3" t="s">
        <v>59</v>
      </c>
    </row>
    <row r="115" spans="1:7">
      <c r="A115" s="3"/>
      <c r="B115" s="3" t="s">
        <v>60</v>
      </c>
      <c r="C115" s="3"/>
      <c r="E115" s="3">
        <v>2008</v>
      </c>
      <c r="F115" s="3">
        <v>96.284000000000006</v>
      </c>
      <c r="G115" s="3">
        <v>0.39400000000000002</v>
      </c>
    </row>
    <row r="116" spans="1:7">
      <c r="A116" s="3" t="s">
        <v>61</v>
      </c>
      <c r="B116" s="3" t="s">
        <v>62</v>
      </c>
      <c r="C116" s="3" t="s">
        <v>63</v>
      </c>
      <c r="E116" s="3">
        <v>2010</v>
      </c>
      <c r="F116" s="3">
        <v>100</v>
      </c>
      <c r="G116" s="3"/>
    </row>
    <row r="117" spans="1:7">
      <c r="A117" s="3" t="s">
        <v>64</v>
      </c>
      <c r="B117" s="3">
        <v>52</v>
      </c>
      <c r="C117" s="21">
        <f>B117*(1+$F$119)*G115</f>
        <v>29.044044485065012</v>
      </c>
      <c r="E117" s="3">
        <v>2017</v>
      </c>
      <c r="F117" s="3">
        <v>132.83799999999999</v>
      </c>
      <c r="G117" s="3"/>
    </row>
    <row r="118" spans="1:7">
      <c r="A118" s="3" t="s">
        <v>65</v>
      </c>
      <c r="B118" s="3">
        <v>13</v>
      </c>
      <c r="C118" s="21">
        <f>B118*(1+$F$119)*G115</f>
        <v>7.2610111212662529</v>
      </c>
      <c r="E118" s="3">
        <v>2018</v>
      </c>
      <c r="F118" s="3">
        <f>F117+(F117-F115)/10</f>
        <v>136.49339999999998</v>
      </c>
      <c r="G118" s="3"/>
    </row>
    <row r="119" spans="1:7">
      <c r="B119" s="2" t="s">
        <v>66</v>
      </c>
      <c r="C119" s="23">
        <f>C117+C118</f>
        <v>36.305055606331265</v>
      </c>
      <c r="E119" s="3" t="s">
        <v>67</v>
      </c>
      <c r="F119" s="25">
        <f>(F118-F115)/F115</f>
        <v>0.41761247974741361</v>
      </c>
      <c r="G119" s="3"/>
    </row>
    <row r="120" spans="1:7">
      <c r="E120" s="54" t="s">
        <v>68</v>
      </c>
      <c r="F120" s="54"/>
    </row>
    <row r="121" spans="1:7">
      <c r="E121" s="51"/>
      <c r="F121" s="51"/>
    </row>
    <row r="122" spans="1:7">
      <c r="A122" s="3"/>
      <c r="B122" s="4" t="s">
        <v>69</v>
      </c>
      <c r="C122" s="4" t="s">
        <v>63</v>
      </c>
    </row>
    <row r="123" spans="1:7">
      <c r="A123" s="3" t="s">
        <v>70</v>
      </c>
      <c r="B123" s="22">
        <v>0.4</v>
      </c>
      <c r="C123" s="21">
        <f>B123*C119</f>
        <v>14.522022242532508</v>
      </c>
    </row>
    <row r="124" spans="1:7">
      <c r="A124" s="3" t="s">
        <v>71</v>
      </c>
      <c r="B124" s="22">
        <v>0.9</v>
      </c>
      <c r="C124" s="21">
        <f>B124*C119</f>
        <v>32.67455004569814</v>
      </c>
    </row>
    <row r="125" spans="1:7">
      <c r="C125" s="21">
        <f>C124-C123</f>
        <v>18.152527803165633</v>
      </c>
    </row>
    <row r="129" spans="1:21">
      <c r="A129" s="4" t="s">
        <v>72</v>
      </c>
      <c r="B129" s="4" t="s">
        <v>2</v>
      </c>
      <c r="C129" s="4" t="s">
        <v>3</v>
      </c>
      <c r="D129" s="4" t="s">
        <v>4</v>
      </c>
      <c r="E129" s="4" t="s">
        <v>5</v>
      </c>
      <c r="F129" s="4" t="s">
        <v>6</v>
      </c>
      <c r="G129" s="4" t="s">
        <v>7</v>
      </c>
      <c r="H129" s="4" t="s">
        <v>8</v>
      </c>
      <c r="I129" s="4" t="s">
        <v>9</v>
      </c>
      <c r="J129" s="4" t="s">
        <v>10</v>
      </c>
      <c r="K129" s="4" t="s">
        <v>11</v>
      </c>
      <c r="L129" s="4" t="s">
        <v>12</v>
      </c>
      <c r="M129" s="4" t="s">
        <v>13</v>
      </c>
      <c r="N129" s="4" t="s">
        <v>14</v>
      </c>
      <c r="O129" s="4" t="s">
        <v>15</v>
      </c>
      <c r="P129" s="4" t="s">
        <v>16</v>
      </c>
      <c r="Q129" s="4" t="s">
        <v>17</v>
      </c>
      <c r="R129" s="4" t="s">
        <v>18</v>
      </c>
      <c r="S129" s="4" t="s">
        <v>19</v>
      </c>
      <c r="T129" s="4" t="s">
        <v>20</v>
      </c>
      <c r="U129" s="4" t="s">
        <v>21</v>
      </c>
    </row>
    <row r="130" spans="1:21">
      <c r="A130" s="22" t="s">
        <v>22</v>
      </c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</row>
    <row r="131" spans="1:21">
      <c r="A131" s="22" t="s">
        <v>73</v>
      </c>
      <c r="B131" s="21">
        <f>C117*$B$124</f>
        <v>26.139640036558511</v>
      </c>
      <c r="C131" s="21">
        <f>B131</f>
        <v>26.139640036558511</v>
      </c>
      <c r="D131" s="21">
        <f t="shared" ref="D131:U131" si="68">C131</f>
        <v>26.139640036558511</v>
      </c>
      <c r="E131" s="21">
        <f t="shared" si="68"/>
        <v>26.139640036558511</v>
      </c>
      <c r="F131" s="21">
        <f t="shared" si="68"/>
        <v>26.139640036558511</v>
      </c>
      <c r="G131" s="21">
        <f t="shared" si="68"/>
        <v>26.139640036558511</v>
      </c>
      <c r="H131" s="21">
        <f t="shared" si="68"/>
        <v>26.139640036558511</v>
      </c>
      <c r="I131" s="21">
        <f t="shared" si="68"/>
        <v>26.139640036558511</v>
      </c>
      <c r="J131" s="21">
        <f t="shared" si="68"/>
        <v>26.139640036558511</v>
      </c>
      <c r="K131" s="21">
        <f t="shared" si="68"/>
        <v>26.139640036558511</v>
      </c>
      <c r="L131" s="21">
        <f t="shared" si="68"/>
        <v>26.139640036558511</v>
      </c>
      <c r="M131" s="21">
        <f t="shared" si="68"/>
        <v>26.139640036558511</v>
      </c>
      <c r="N131" s="21">
        <f t="shared" si="68"/>
        <v>26.139640036558511</v>
      </c>
      <c r="O131" s="21">
        <f t="shared" si="68"/>
        <v>26.139640036558511</v>
      </c>
      <c r="P131" s="21">
        <f t="shared" si="68"/>
        <v>26.139640036558511</v>
      </c>
      <c r="Q131" s="21">
        <f t="shared" si="68"/>
        <v>26.139640036558511</v>
      </c>
      <c r="R131" s="21">
        <f t="shared" si="68"/>
        <v>26.139640036558511</v>
      </c>
      <c r="S131" s="21">
        <f t="shared" si="68"/>
        <v>26.139640036558511</v>
      </c>
      <c r="T131" s="21">
        <f t="shared" si="68"/>
        <v>26.139640036558511</v>
      </c>
      <c r="U131" s="21">
        <f t="shared" si="68"/>
        <v>26.139640036558511</v>
      </c>
    </row>
    <row r="132" spans="1:21">
      <c r="A132" s="2" t="s">
        <v>74</v>
      </c>
      <c r="B132" s="21">
        <f>B124*C118</f>
        <v>6.5349100091396277</v>
      </c>
      <c r="C132" s="21">
        <f>B132</f>
        <v>6.5349100091396277</v>
      </c>
      <c r="D132" s="21">
        <f t="shared" ref="D132:U132" si="69">C132</f>
        <v>6.5349100091396277</v>
      </c>
      <c r="E132" s="21">
        <f t="shared" si="69"/>
        <v>6.5349100091396277</v>
      </c>
      <c r="F132" s="21">
        <f t="shared" si="69"/>
        <v>6.5349100091396277</v>
      </c>
      <c r="G132" s="21">
        <f t="shared" si="69"/>
        <v>6.5349100091396277</v>
      </c>
      <c r="H132" s="21">
        <f t="shared" si="69"/>
        <v>6.5349100091396277</v>
      </c>
      <c r="I132" s="21">
        <f t="shared" si="69"/>
        <v>6.5349100091396277</v>
      </c>
      <c r="J132" s="21">
        <f t="shared" si="69"/>
        <v>6.5349100091396277</v>
      </c>
      <c r="K132" s="21">
        <f t="shared" si="69"/>
        <v>6.5349100091396277</v>
      </c>
      <c r="L132" s="21">
        <f t="shared" si="69"/>
        <v>6.5349100091396277</v>
      </c>
      <c r="M132" s="21">
        <f t="shared" si="69"/>
        <v>6.5349100091396277</v>
      </c>
      <c r="N132" s="21">
        <f t="shared" si="69"/>
        <v>6.5349100091396277</v>
      </c>
      <c r="O132" s="21">
        <f t="shared" si="69"/>
        <v>6.5349100091396277</v>
      </c>
      <c r="P132" s="21">
        <f t="shared" si="69"/>
        <v>6.5349100091396277</v>
      </c>
      <c r="Q132" s="21">
        <f t="shared" si="69"/>
        <v>6.5349100091396277</v>
      </c>
      <c r="R132" s="21">
        <f t="shared" si="69"/>
        <v>6.5349100091396277</v>
      </c>
      <c r="S132" s="21">
        <f t="shared" si="69"/>
        <v>6.5349100091396277</v>
      </c>
      <c r="T132" s="21">
        <f t="shared" si="69"/>
        <v>6.5349100091396277</v>
      </c>
      <c r="U132" s="21">
        <f t="shared" si="69"/>
        <v>6.5349100091396277</v>
      </c>
    </row>
    <row r="133" spans="1:21">
      <c r="A133" s="22" t="s">
        <v>75</v>
      </c>
      <c r="B133" s="21">
        <f>B131+B132</f>
        <v>32.67455004569814</v>
      </c>
      <c r="C133" s="21">
        <f t="shared" ref="C133:U133" si="70">C131+C132</f>
        <v>32.67455004569814</v>
      </c>
      <c r="D133" s="21">
        <f t="shared" si="70"/>
        <v>32.67455004569814</v>
      </c>
      <c r="E133" s="21">
        <f t="shared" si="70"/>
        <v>32.67455004569814</v>
      </c>
      <c r="F133" s="21">
        <f t="shared" si="70"/>
        <v>32.67455004569814</v>
      </c>
      <c r="G133" s="21">
        <f t="shared" si="70"/>
        <v>32.67455004569814</v>
      </c>
      <c r="H133" s="21">
        <f t="shared" si="70"/>
        <v>32.67455004569814</v>
      </c>
      <c r="I133" s="21">
        <f t="shared" si="70"/>
        <v>32.67455004569814</v>
      </c>
      <c r="J133" s="21">
        <f t="shared" si="70"/>
        <v>32.67455004569814</v>
      </c>
      <c r="K133" s="21">
        <f t="shared" si="70"/>
        <v>32.67455004569814</v>
      </c>
      <c r="L133" s="21">
        <f t="shared" si="70"/>
        <v>32.67455004569814</v>
      </c>
      <c r="M133" s="21">
        <f t="shared" si="70"/>
        <v>32.67455004569814</v>
      </c>
      <c r="N133" s="21">
        <f t="shared" si="70"/>
        <v>32.67455004569814</v>
      </c>
      <c r="O133" s="21">
        <f t="shared" si="70"/>
        <v>32.67455004569814</v>
      </c>
      <c r="P133" s="21">
        <f t="shared" si="70"/>
        <v>32.67455004569814</v>
      </c>
      <c r="Q133" s="21">
        <f t="shared" si="70"/>
        <v>32.67455004569814</v>
      </c>
      <c r="R133" s="21">
        <f t="shared" si="70"/>
        <v>32.67455004569814</v>
      </c>
      <c r="S133" s="21">
        <f t="shared" si="70"/>
        <v>32.67455004569814</v>
      </c>
      <c r="T133" s="21">
        <f t="shared" si="70"/>
        <v>32.67455004569814</v>
      </c>
      <c r="U133" s="21">
        <f t="shared" si="70"/>
        <v>32.67455004569814</v>
      </c>
    </row>
    <row r="134" spans="1:21">
      <c r="A134" s="22" t="s">
        <v>26</v>
      </c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</row>
    <row r="135" spans="1:21">
      <c r="A135" s="22" t="s">
        <v>73</v>
      </c>
      <c r="B135" s="21">
        <f>B123*C117</f>
        <v>11.617617794026005</v>
      </c>
      <c r="C135" s="21">
        <f>B135</f>
        <v>11.617617794026005</v>
      </c>
      <c r="D135" s="21">
        <f t="shared" ref="D135:U135" si="71">C135</f>
        <v>11.617617794026005</v>
      </c>
      <c r="E135" s="21">
        <f t="shared" si="71"/>
        <v>11.617617794026005</v>
      </c>
      <c r="F135" s="21">
        <f t="shared" si="71"/>
        <v>11.617617794026005</v>
      </c>
      <c r="G135" s="21">
        <f t="shared" si="71"/>
        <v>11.617617794026005</v>
      </c>
      <c r="H135" s="21">
        <f t="shared" si="71"/>
        <v>11.617617794026005</v>
      </c>
      <c r="I135" s="21">
        <f t="shared" si="71"/>
        <v>11.617617794026005</v>
      </c>
      <c r="J135" s="21">
        <f t="shared" si="71"/>
        <v>11.617617794026005</v>
      </c>
      <c r="K135" s="21">
        <f t="shared" si="71"/>
        <v>11.617617794026005</v>
      </c>
      <c r="L135" s="21">
        <f t="shared" si="71"/>
        <v>11.617617794026005</v>
      </c>
      <c r="M135" s="21">
        <f t="shared" si="71"/>
        <v>11.617617794026005</v>
      </c>
      <c r="N135" s="21">
        <f t="shared" si="71"/>
        <v>11.617617794026005</v>
      </c>
      <c r="O135" s="21">
        <f t="shared" si="71"/>
        <v>11.617617794026005</v>
      </c>
      <c r="P135" s="21">
        <f t="shared" si="71"/>
        <v>11.617617794026005</v>
      </c>
      <c r="Q135" s="21">
        <f t="shared" si="71"/>
        <v>11.617617794026005</v>
      </c>
      <c r="R135" s="21">
        <f t="shared" si="71"/>
        <v>11.617617794026005</v>
      </c>
      <c r="S135" s="21">
        <f t="shared" si="71"/>
        <v>11.617617794026005</v>
      </c>
      <c r="T135" s="21">
        <f t="shared" si="71"/>
        <v>11.617617794026005</v>
      </c>
      <c r="U135" s="21">
        <f t="shared" si="71"/>
        <v>11.617617794026005</v>
      </c>
    </row>
    <row r="136" spans="1:21">
      <c r="A136" s="2" t="s">
        <v>74</v>
      </c>
      <c r="B136" s="21">
        <f>B123*C118</f>
        <v>2.9044044485065013</v>
      </c>
      <c r="C136" s="21">
        <f>B136</f>
        <v>2.9044044485065013</v>
      </c>
      <c r="D136" s="21">
        <f t="shared" ref="D136:U136" si="72">C136</f>
        <v>2.9044044485065013</v>
      </c>
      <c r="E136" s="21">
        <f t="shared" si="72"/>
        <v>2.9044044485065013</v>
      </c>
      <c r="F136" s="21">
        <f t="shared" si="72"/>
        <v>2.9044044485065013</v>
      </c>
      <c r="G136" s="21">
        <f t="shared" si="72"/>
        <v>2.9044044485065013</v>
      </c>
      <c r="H136" s="21">
        <f t="shared" si="72"/>
        <v>2.9044044485065013</v>
      </c>
      <c r="I136" s="21">
        <f t="shared" si="72"/>
        <v>2.9044044485065013</v>
      </c>
      <c r="J136" s="21">
        <f t="shared" si="72"/>
        <v>2.9044044485065013</v>
      </c>
      <c r="K136" s="21">
        <f t="shared" si="72"/>
        <v>2.9044044485065013</v>
      </c>
      <c r="L136" s="21">
        <f t="shared" si="72"/>
        <v>2.9044044485065013</v>
      </c>
      <c r="M136" s="21">
        <f t="shared" si="72"/>
        <v>2.9044044485065013</v>
      </c>
      <c r="N136" s="21">
        <f t="shared" si="72"/>
        <v>2.9044044485065013</v>
      </c>
      <c r="O136" s="21">
        <f t="shared" si="72"/>
        <v>2.9044044485065013</v>
      </c>
      <c r="P136" s="21">
        <f t="shared" si="72"/>
        <v>2.9044044485065013</v>
      </c>
      <c r="Q136" s="21">
        <f t="shared" si="72"/>
        <v>2.9044044485065013</v>
      </c>
      <c r="R136" s="21">
        <f t="shared" si="72"/>
        <v>2.9044044485065013</v>
      </c>
      <c r="S136" s="21">
        <f t="shared" si="72"/>
        <v>2.9044044485065013</v>
      </c>
      <c r="T136" s="21">
        <f t="shared" si="72"/>
        <v>2.9044044485065013</v>
      </c>
      <c r="U136" s="21">
        <f t="shared" si="72"/>
        <v>2.9044044485065013</v>
      </c>
    </row>
    <row r="137" spans="1:21">
      <c r="A137" s="22" t="s">
        <v>75</v>
      </c>
      <c r="B137" s="21">
        <f>B135+B136</f>
        <v>14.522022242532506</v>
      </c>
      <c r="C137" s="21">
        <f t="shared" ref="C137:U137" si="73">C135+C136</f>
        <v>14.522022242532506</v>
      </c>
      <c r="D137" s="21">
        <f t="shared" si="73"/>
        <v>14.522022242532506</v>
      </c>
      <c r="E137" s="21">
        <f t="shared" si="73"/>
        <v>14.522022242532506</v>
      </c>
      <c r="F137" s="21">
        <f t="shared" si="73"/>
        <v>14.522022242532506</v>
      </c>
      <c r="G137" s="21">
        <f t="shared" si="73"/>
        <v>14.522022242532506</v>
      </c>
      <c r="H137" s="21">
        <f t="shared" si="73"/>
        <v>14.522022242532506</v>
      </c>
      <c r="I137" s="21">
        <f t="shared" si="73"/>
        <v>14.522022242532506</v>
      </c>
      <c r="J137" s="21">
        <f t="shared" si="73"/>
        <v>14.522022242532506</v>
      </c>
      <c r="K137" s="21">
        <f t="shared" si="73"/>
        <v>14.522022242532506</v>
      </c>
      <c r="L137" s="21">
        <f t="shared" si="73"/>
        <v>14.522022242532506</v>
      </c>
      <c r="M137" s="21">
        <f t="shared" si="73"/>
        <v>14.522022242532506</v>
      </c>
      <c r="N137" s="21">
        <f t="shared" si="73"/>
        <v>14.522022242532506</v>
      </c>
      <c r="O137" s="21">
        <f t="shared" si="73"/>
        <v>14.522022242532506</v>
      </c>
      <c r="P137" s="21">
        <f t="shared" si="73"/>
        <v>14.522022242532506</v>
      </c>
      <c r="Q137" s="21">
        <f t="shared" si="73"/>
        <v>14.522022242532506</v>
      </c>
      <c r="R137" s="21">
        <f t="shared" si="73"/>
        <v>14.522022242532506</v>
      </c>
      <c r="S137" s="21">
        <f t="shared" si="73"/>
        <v>14.522022242532506</v>
      </c>
      <c r="T137" s="21">
        <f t="shared" si="73"/>
        <v>14.522022242532506</v>
      </c>
      <c r="U137" s="21">
        <f t="shared" si="73"/>
        <v>14.522022242532506</v>
      </c>
    </row>
    <row r="138" spans="1:21">
      <c r="A138" s="3" t="s">
        <v>76</v>
      </c>
      <c r="B138" s="21">
        <f>B133-B137</f>
        <v>18.152527803165633</v>
      </c>
      <c r="C138" s="21">
        <f t="shared" ref="C138:U138" si="74">C133-C137</f>
        <v>18.152527803165633</v>
      </c>
      <c r="D138" s="21">
        <f t="shared" si="74"/>
        <v>18.152527803165633</v>
      </c>
      <c r="E138" s="21">
        <f t="shared" si="74"/>
        <v>18.152527803165633</v>
      </c>
      <c r="F138" s="21">
        <f t="shared" si="74"/>
        <v>18.152527803165633</v>
      </c>
      <c r="G138" s="21">
        <f t="shared" si="74"/>
        <v>18.152527803165633</v>
      </c>
      <c r="H138" s="21">
        <f t="shared" si="74"/>
        <v>18.152527803165633</v>
      </c>
      <c r="I138" s="21">
        <f t="shared" si="74"/>
        <v>18.152527803165633</v>
      </c>
      <c r="J138" s="21">
        <f t="shared" si="74"/>
        <v>18.152527803165633</v>
      </c>
      <c r="K138" s="21">
        <f t="shared" si="74"/>
        <v>18.152527803165633</v>
      </c>
      <c r="L138" s="21">
        <f t="shared" si="74"/>
        <v>18.152527803165633</v>
      </c>
      <c r="M138" s="21">
        <f t="shared" si="74"/>
        <v>18.152527803165633</v>
      </c>
      <c r="N138" s="21">
        <f t="shared" si="74"/>
        <v>18.152527803165633</v>
      </c>
      <c r="O138" s="21">
        <f t="shared" si="74"/>
        <v>18.152527803165633</v>
      </c>
      <c r="P138" s="21">
        <f t="shared" si="74"/>
        <v>18.152527803165633</v>
      </c>
      <c r="Q138" s="21">
        <f t="shared" si="74"/>
        <v>18.152527803165633</v>
      </c>
      <c r="R138" s="21">
        <f t="shared" si="74"/>
        <v>18.152527803165633</v>
      </c>
      <c r="S138" s="21">
        <f t="shared" si="74"/>
        <v>18.152527803165633</v>
      </c>
      <c r="T138" s="21">
        <f t="shared" si="74"/>
        <v>18.152527803165633</v>
      </c>
      <c r="U138" s="21">
        <f t="shared" si="74"/>
        <v>18.152527803165633</v>
      </c>
    </row>
    <row r="142" spans="1:21">
      <c r="A142" s="14" t="s">
        <v>77</v>
      </c>
    </row>
    <row r="143" spans="1:21">
      <c r="A143" s="4" t="s">
        <v>78</v>
      </c>
      <c r="B143" s="4" t="s">
        <v>79</v>
      </c>
      <c r="C143" s="4" t="s">
        <v>80</v>
      </c>
      <c r="D143" s="4" t="s">
        <v>81</v>
      </c>
      <c r="E143" s="4" t="s">
        <v>82</v>
      </c>
      <c r="F143" s="4" t="s">
        <v>83</v>
      </c>
      <c r="G143" s="4" t="s">
        <v>84</v>
      </c>
      <c r="H143" s="4" t="s">
        <v>85</v>
      </c>
      <c r="I143" s="4" t="s">
        <v>86</v>
      </c>
    </row>
    <row r="144" spans="1:21">
      <c r="A144" s="26" t="s">
        <v>87</v>
      </c>
      <c r="B144" s="26">
        <v>989</v>
      </c>
      <c r="C144" s="26">
        <v>370</v>
      </c>
      <c r="D144" s="26">
        <v>370</v>
      </c>
      <c r="E144" s="26">
        <v>370</v>
      </c>
      <c r="F144" s="26">
        <v>370</v>
      </c>
      <c r="G144" s="26">
        <v>370</v>
      </c>
      <c r="H144" s="26">
        <v>0</v>
      </c>
      <c r="I144" s="26">
        <f>SUM(B144:H144)</f>
        <v>2839</v>
      </c>
    </row>
    <row r="145" spans="1:21">
      <c r="A145" s="26" t="s">
        <v>88</v>
      </c>
      <c r="B145" s="26">
        <v>308</v>
      </c>
      <c r="C145" s="26">
        <v>300</v>
      </c>
      <c r="D145" s="26">
        <v>300</v>
      </c>
      <c r="E145" s="26">
        <v>300</v>
      </c>
      <c r="F145" s="26">
        <v>300</v>
      </c>
      <c r="G145" s="26">
        <v>150</v>
      </c>
      <c r="H145" s="26">
        <v>150</v>
      </c>
      <c r="I145" s="26">
        <f t="shared" ref="I145:I150" si="75">SUM(B145:H145)</f>
        <v>1808</v>
      </c>
    </row>
    <row r="146" spans="1:21">
      <c r="A146" s="26" t="s">
        <v>89</v>
      </c>
      <c r="B146" s="26">
        <v>937</v>
      </c>
      <c r="C146" s="26">
        <v>250</v>
      </c>
      <c r="D146" s="26">
        <v>200</v>
      </c>
      <c r="E146" s="26">
        <v>161</v>
      </c>
      <c r="F146" s="26">
        <v>0</v>
      </c>
      <c r="G146" s="26">
        <v>0</v>
      </c>
      <c r="H146" s="26">
        <v>0</v>
      </c>
      <c r="I146" s="26">
        <f t="shared" si="75"/>
        <v>1548</v>
      </c>
    </row>
    <row r="147" spans="1:21">
      <c r="A147" s="26" t="s">
        <v>90</v>
      </c>
      <c r="B147" s="26">
        <v>626</v>
      </c>
      <c r="C147" s="26">
        <v>370</v>
      </c>
      <c r="D147" s="26">
        <v>370</v>
      </c>
      <c r="E147" s="26">
        <v>370</v>
      </c>
      <c r="F147" s="26">
        <v>370</v>
      </c>
      <c r="G147" s="26">
        <v>185</v>
      </c>
      <c r="H147" s="26">
        <v>185</v>
      </c>
      <c r="I147" s="26">
        <f t="shared" si="75"/>
        <v>2476</v>
      </c>
    </row>
    <row r="148" spans="1:21">
      <c r="A148" s="26" t="s">
        <v>91</v>
      </c>
      <c r="B148" s="26">
        <f>SUM(B144:B147)</f>
        <v>2860</v>
      </c>
      <c r="C148" s="26">
        <f t="shared" ref="C148:I148" si="76">SUM(C144:C147)</f>
        <v>1290</v>
      </c>
      <c r="D148" s="26">
        <f t="shared" si="76"/>
        <v>1240</v>
      </c>
      <c r="E148" s="26">
        <f t="shared" si="76"/>
        <v>1201</v>
      </c>
      <c r="F148" s="26">
        <f t="shared" si="76"/>
        <v>1040</v>
      </c>
      <c r="G148" s="26">
        <f t="shared" si="76"/>
        <v>705</v>
      </c>
      <c r="H148" s="26">
        <f t="shared" si="76"/>
        <v>335</v>
      </c>
      <c r="I148" s="26">
        <f t="shared" si="76"/>
        <v>8671</v>
      </c>
    </row>
    <row r="149" spans="1:21">
      <c r="A149" s="26" t="s">
        <v>92</v>
      </c>
      <c r="B149" s="48">
        <f>B148/$I$148</f>
        <v>0.32983508245877063</v>
      </c>
      <c r="C149" s="48">
        <f t="shared" ref="C149:I149" si="77">C148/$I$148</f>
        <v>0.14877176796217276</v>
      </c>
      <c r="D149" s="48">
        <f t="shared" si="77"/>
        <v>0.14300542036673972</v>
      </c>
      <c r="E149" s="48">
        <f t="shared" si="77"/>
        <v>0.13850766924230193</v>
      </c>
      <c r="F149" s="48">
        <f t="shared" si="77"/>
        <v>0.1199400299850075</v>
      </c>
      <c r="G149" s="48">
        <f t="shared" si="77"/>
        <v>8.1305501095606039E-2</v>
      </c>
      <c r="H149" s="48">
        <f t="shared" si="77"/>
        <v>3.8634528889401457E-2</v>
      </c>
      <c r="I149" s="48">
        <f t="shared" si="77"/>
        <v>1</v>
      </c>
    </row>
    <row r="150" spans="1:21">
      <c r="A150" s="26" t="s">
        <v>93</v>
      </c>
      <c r="B150" s="26">
        <v>20</v>
      </c>
      <c r="C150" s="26">
        <v>20</v>
      </c>
      <c r="D150" s="26">
        <v>20</v>
      </c>
      <c r="E150" s="26">
        <v>20</v>
      </c>
      <c r="F150" s="26">
        <v>20</v>
      </c>
      <c r="G150" s="26">
        <v>10</v>
      </c>
      <c r="H150" s="26">
        <v>10</v>
      </c>
      <c r="I150" s="26">
        <f t="shared" si="75"/>
        <v>120</v>
      </c>
    </row>
    <row r="151" spans="1:21">
      <c r="A151" s="26" t="s">
        <v>94</v>
      </c>
      <c r="B151" s="26">
        <v>27</v>
      </c>
      <c r="C151" s="26">
        <v>27</v>
      </c>
      <c r="D151" s="26">
        <v>27</v>
      </c>
      <c r="E151" s="26">
        <v>27</v>
      </c>
      <c r="F151" s="26">
        <v>27</v>
      </c>
      <c r="G151" s="26">
        <v>14</v>
      </c>
      <c r="H151" s="26">
        <v>13</v>
      </c>
      <c r="I151" s="26">
        <f>SUM(B151:H151)</f>
        <v>162</v>
      </c>
    </row>
    <row r="152" spans="1:21">
      <c r="A152" s="26" t="s">
        <v>95</v>
      </c>
      <c r="B152" s="36">
        <v>3781</v>
      </c>
      <c r="C152" s="36">
        <v>1986</v>
      </c>
      <c r="D152" s="36">
        <v>1912</v>
      </c>
      <c r="E152" s="36">
        <v>1854</v>
      </c>
      <c r="F152" s="36">
        <v>1615</v>
      </c>
      <c r="G152" s="36">
        <v>808</v>
      </c>
      <c r="H152" s="36">
        <v>807</v>
      </c>
      <c r="I152" s="36">
        <f>SUM(B152:H152)</f>
        <v>12763</v>
      </c>
    </row>
    <row r="153" spans="1:21">
      <c r="A153" s="3" t="s">
        <v>86</v>
      </c>
      <c r="B153" s="1">
        <f>SUM(B144:B152)</f>
        <v>9548.3298350824589</v>
      </c>
      <c r="C153" s="1">
        <f t="shared" ref="C153:H153" si="78">SUM(C144:C152)-C147</f>
        <v>4243.148771767962</v>
      </c>
      <c r="D153" s="1">
        <f t="shared" si="78"/>
        <v>4069.1430054203665</v>
      </c>
      <c r="E153" s="1">
        <f t="shared" si="78"/>
        <v>3933.1385076692422</v>
      </c>
      <c r="F153" s="1">
        <f t="shared" si="78"/>
        <v>3372.1199400299852</v>
      </c>
      <c r="G153" s="1">
        <f t="shared" si="78"/>
        <v>2057.0813055010958</v>
      </c>
      <c r="H153" s="1">
        <f t="shared" si="78"/>
        <v>1315.0386345288894</v>
      </c>
      <c r="I153" s="36">
        <f>SUM(B153:H153)</f>
        <v>28538</v>
      </c>
    </row>
    <row r="154" spans="1:21">
      <c r="A154" s="3" t="s">
        <v>96</v>
      </c>
      <c r="B154" s="19">
        <f>B153/$I$153</f>
        <v>0.33458300634531007</v>
      </c>
      <c r="C154" s="19">
        <f t="shared" ref="C154:I154" si="79">C153/$I$153</f>
        <v>0.14868416748783944</v>
      </c>
      <c r="D154" s="19">
        <f t="shared" si="79"/>
        <v>0.14258683178289883</v>
      </c>
      <c r="E154" s="19">
        <f t="shared" si="79"/>
        <v>0.1378210984536142</v>
      </c>
      <c r="F154" s="19">
        <f t="shared" si="79"/>
        <v>0.11816244796516873</v>
      </c>
      <c r="G154" s="19">
        <f t="shared" si="79"/>
        <v>7.2082181845297355E-2</v>
      </c>
      <c r="H154" s="19">
        <f t="shared" si="79"/>
        <v>4.6080266119871378E-2</v>
      </c>
      <c r="I154" s="19">
        <f t="shared" si="79"/>
        <v>1</v>
      </c>
    </row>
    <row r="155" spans="1:21">
      <c r="A155" s="3" t="s">
        <v>97</v>
      </c>
      <c r="B155" s="1">
        <f>B145+B146+B150+B151+B152</f>
        <v>5073</v>
      </c>
      <c r="C155" s="1">
        <f t="shared" ref="C155:H155" si="80">C145+C146+C150+C151+C152</f>
        <v>2583</v>
      </c>
      <c r="D155" s="1">
        <f t="shared" si="80"/>
        <v>2459</v>
      </c>
      <c r="E155" s="1">
        <f t="shared" si="80"/>
        <v>2362</v>
      </c>
      <c r="F155" s="1">
        <f t="shared" si="80"/>
        <v>1962</v>
      </c>
      <c r="G155" s="1">
        <f t="shared" si="80"/>
        <v>982</v>
      </c>
      <c r="H155" s="1">
        <f t="shared" si="80"/>
        <v>980</v>
      </c>
      <c r="I155" s="36">
        <f>SUM(B155:H155)</f>
        <v>16401</v>
      </c>
    </row>
    <row r="158" spans="1:21">
      <c r="A158" s="4" t="s">
        <v>98</v>
      </c>
      <c r="B158" s="4" t="s">
        <v>2</v>
      </c>
      <c r="C158" s="4" t="s">
        <v>3</v>
      </c>
      <c r="D158" s="4" t="s">
        <v>4</v>
      </c>
      <c r="E158" s="4" t="s">
        <v>5</v>
      </c>
      <c r="F158" s="4" t="s">
        <v>6</v>
      </c>
      <c r="G158" s="4" t="s">
        <v>7</v>
      </c>
      <c r="H158" s="4" t="s">
        <v>8</v>
      </c>
      <c r="I158" s="4" t="s">
        <v>9</v>
      </c>
      <c r="J158" s="4" t="s">
        <v>10</v>
      </c>
      <c r="K158" s="4" t="s">
        <v>11</v>
      </c>
      <c r="L158" s="4" t="s">
        <v>12</v>
      </c>
      <c r="M158" s="4" t="s">
        <v>13</v>
      </c>
      <c r="N158" s="4" t="s">
        <v>14</v>
      </c>
      <c r="O158" s="4" t="s">
        <v>15</v>
      </c>
      <c r="P158" s="4" t="s">
        <v>16</v>
      </c>
      <c r="Q158" s="4" t="s">
        <v>17</v>
      </c>
      <c r="R158" s="4" t="s">
        <v>18</v>
      </c>
      <c r="S158" s="4" t="s">
        <v>19</v>
      </c>
      <c r="T158" s="4" t="s">
        <v>20</v>
      </c>
      <c r="U158" s="4" t="s">
        <v>21</v>
      </c>
    </row>
    <row r="159" spans="1:21">
      <c r="A159" s="3" t="s">
        <v>99</v>
      </c>
      <c r="B159" s="20">
        <f>$B$144*B19</f>
        <v>-415696.89862391946</v>
      </c>
      <c r="C159" s="20">
        <f t="shared" ref="C159:U159" si="81">$B$144*C19</f>
        <v>50087.320212077087</v>
      </c>
      <c r="D159" s="20">
        <f t="shared" si="81"/>
        <v>70341.579242838226</v>
      </c>
      <c r="E159" s="20">
        <f t="shared" si="81"/>
        <v>137868.07383150497</v>
      </c>
      <c r="F159" s="20">
        <f t="shared" si="81"/>
        <v>131568.43743499863</v>
      </c>
      <c r="G159" s="20">
        <f t="shared" si="81"/>
        <v>224246.84816989955</v>
      </c>
      <c r="H159" s="20">
        <f t="shared" si="81"/>
        <v>241060.53824925559</v>
      </c>
      <c r="I159" s="20">
        <f t="shared" si="81"/>
        <v>305068.69497855735</v>
      </c>
      <c r="J159" s="20">
        <f t="shared" si="81"/>
        <v>283991.00440620998</v>
      </c>
      <c r="K159" s="20">
        <f t="shared" si="81"/>
        <v>437986.54729193379</v>
      </c>
      <c r="L159" s="20">
        <f t="shared" si="81"/>
        <v>410112.45603546017</v>
      </c>
      <c r="M159" s="20">
        <f t="shared" si="81"/>
        <v>468490.31463215727</v>
      </c>
      <c r="N159" s="20">
        <f t="shared" si="81"/>
        <v>416557.03822609561</v>
      </c>
      <c r="O159" s="20">
        <f t="shared" si="81"/>
        <v>487405.20937407925</v>
      </c>
      <c r="P159" s="20">
        <f t="shared" si="81"/>
        <v>525473.0851065024</v>
      </c>
      <c r="Q159" s="20">
        <f t="shared" si="81"/>
        <v>564298.27903943881</v>
      </c>
      <c r="R159" s="20">
        <f t="shared" si="81"/>
        <v>504708.12648837542</v>
      </c>
      <c r="S159" s="20">
        <f t="shared" si="81"/>
        <v>572175.88788131205</v>
      </c>
      <c r="T159" s="20">
        <f t="shared" si="81"/>
        <v>550375.02973024873</v>
      </c>
      <c r="U159" s="20">
        <f t="shared" si="81"/>
        <v>543664.12391118542</v>
      </c>
    </row>
    <row r="160" spans="1:21">
      <c r="A160" s="3" t="s">
        <v>100</v>
      </c>
      <c r="B160" s="3"/>
      <c r="C160" s="20">
        <f>B19*$C$144</f>
        <v>-155518.55661359979</v>
      </c>
      <c r="D160" s="20">
        <f t="shared" ref="D160:U160" si="82">C19*$C$144</f>
        <v>18738.43122190953</v>
      </c>
      <c r="E160" s="20">
        <f t="shared" si="82"/>
        <v>26315.858766279212</v>
      </c>
      <c r="F160" s="20">
        <f t="shared" si="82"/>
        <v>51578.551382868383</v>
      </c>
      <c r="G160" s="20">
        <f t="shared" si="82"/>
        <v>49221.761224418093</v>
      </c>
      <c r="H160" s="20">
        <f t="shared" si="82"/>
        <v>83894.169689446746</v>
      </c>
      <c r="I160" s="20">
        <f t="shared" si="82"/>
        <v>90184.427858669937</v>
      </c>
      <c r="J160" s="20">
        <f t="shared" si="82"/>
        <v>114130.85656427323</v>
      </c>
      <c r="K160" s="20">
        <f t="shared" si="82"/>
        <v>106245.37070808664</v>
      </c>
      <c r="L160" s="20">
        <f t="shared" si="82"/>
        <v>163857.45449748787</v>
      </c>
      <c r="M160" s="20">
        <f t="shared" si="82"/>
        <v>153429.33137828135</v>
      </c>
      <c r="N160" s="20">
        <f t="shared" si="82"/>
        <v>175269.37958938137</v>
      </c>
      <c r="O160" s="20">
        <f t="shared" si="82"/>
        <v>155840.34797134012</v>
      </c>
      <c r="P160" s="20">
        <f t="shared" si="82"/>
        <v>182345.7305039528</v>
      </c>
      <c r="Q160" s="20">
        <f t="shared" si="82"/>
        <v>196587.50403377746</v>
      </c>
      <c r="R160" s="20">
        <f t="shared" si="82"/>
        <v>211112.60186510856</v>
      </c>
      <c r="S160" s="20">
        <f t="shared" si="82"/>
        <v>188819.01597643975</v>
      </c>
      <c r="T160" s="20">
        <f t="shared" si="82"/>
        <v>214059.73560777094</v>
      </c>
      <c r="U160" s="20">
        <f t="shared" si="82"/>
        <v>205903.70171910216</v>
      </c>
    </row>
    <row r="161" spans="1:21">
      <c r="A161" s="3" t="s">
        <v>101</v>
      </c>
      <c r="B161" s="3"/>
      <c r="C161" s="20"/>
      <c r="D161" s="20">
        <f>B19*$D$144</f>
        <v>-155518.55661359979</v>
      </c>
      <c r="E161" s="20">
        <f t="shared" ref="E161:U161" si="83">C19*$D$144</f>
        <v>18738.43122190953</v>
      </c>
      <c r="F161" s="20">
        <f t="shared" si="83"/>
        <v>26315.858766279212</v>
      </c>
      <c r="G161" s="20">
        <f t="shared" si="83"/>
        <v>51578.551382868383</v>
      </c>
      <c r="H161" s="20">
        <f t="shared" si="83"/>
        <v>49221.761224418093</v>
      </c>
      <c r="I161" s="20">
        <f t="shared" si="83"/>
        <v>83894.169689446746</v>
      </c>
      <c r="J161" s="20">
        <f t="shared" si="83"/>
        <v>90184.427858669937</v>
      </c>
      <c r="K161" s="20">
        <f t="shared" si="83"/>
        <v>114130.85656427323</v>
      </c>
      <c r="L161" s="20">
        <f t="shared" si="83"/>
        <v>106245.37070808664</v>
      </c>
      <c r="M161" s="20">
        <f t="shared" si="83"/>
        <v>163857.45449748787</v>
      </c>
      <c r="N161" s="20">
        <f t="shared" si="83"/>
        <v>153429.33137828135</v>
      </c>
      <c r="O161" s="20">
        <f t="shared" si="83"/>
        <v>175269.37958938137</v>
      </c>
      <c r="P161" s="20">
        <f>N19*$D$144</f>
        <v>155840.34797134012</v>
      </c>
      <c r="Q161" s="20">
        <f t="shared" si="83"/>
        <v>182345.7305039528</v>
      </c>
      <c r="R161" s="20">
        <f t="shared" si="83"/>
        <v>196587.50403377746</v>
      </c>
      <c r="S161" s="20">
        <f t="shared" si="83"/>
        <v>211112.60186510856</v>
      </c>
      <c r="T161" s="20">
        <f t="shared" si="83"/>
        <v>188819.01597643975</v>
      </c>
      <c r="U161" s="20">
        <f t="shared" si="83"/>
        <v>214059.73560777094</v>
      </c>
    </row>
    <row r="162" spans="1:21">
      <c r="A162" s="3" t="s">
        <v>102</v>
      </c>
      <c r="B162" s="3"/>
      <c r="C162" s="20"/>
      <c r="D162" s="20"/>
      <c r="E162" s="20">
        <f>$E$144*B19</f>
        <v>-155518.55661359979</v>
      </c>
      <c r="F162" s="20">
        <f>E162</f>
        <v>-155518.55661359979</v>
      </c>
      <c r="G162" s="20">
        <f t="shared" ref="G162:U162" si="84">F162</f>
        <v>-155518.55661359979</v>
      </c>
      <c r="H162" s="20">
        <f t="shared" si="84"/>
        <v>-155518.55661359979</v>
      </c>
      <c r="I162" s="20">
        <f t="shared" si="84"/>
        <v>-155518.55661359979</v>
      </c>
      <c r="J162" s="20">
        <f t="shared" si="84"/>
        <v>-155518.55661359979</v>
      </c>
      <c r="K162" s="20">
        <f t="shared" si="84"/>
        <v>-155518.55661359979</v>
      </c>
      <c r="L162" s="20">
        <f t="shared" si="84"/>
        <v>-155518.55661359979</v>
      </c>
      <c r="M162" s="20">
        <f t="shared" si="84"/>
        <v>-155518.55661359979</v>
      </c>
      <c r="N162" s="20">
        <f t="shared" si="84"/>
        <v>-155518.55661359979</v>
      </c>
      <c r="O162" s="20">
        <f t="shared" si="84"/>
        <v>-155518.55661359979</v>
      </c>
      <c r="P162" s="20">
        <f t="shared" si="84"/>
        <v>-155518.55661359979</v>
      </c>
      <c r="Q162" s="20">
        <f t="shared" si="84"/>
        <v>-155518.55661359979</v>
      </c>
      <c r="R162" s="20">
        <f t="shared" si="84"/>
        <v>-155518.55661359979</v>
      </c>
      <c r="S162" s="20">
        <f t="shared" si="84"/>
        <v>-155518.55661359979</v>
      </c>
      <c r="T162" s="20">
        <f t="shared" si="84"/>
        <v>-155518.55661359979</v>
      </c>
      <c r="U162" s="20">
        <f t="shared" si="84"/>
        <v>-155518.55661359979</v>
      </c>
    </row>
    <row r="163" spans="1:21">
      <c r="A163" s="3" t="s">
        <v>103</v>
      </c>
      <c r="B163" s="3"/>
      <c r="C163" s="20"/>
      <c r="D163" s="20"/>
      <c r="E163" s="20"/>
      <c r="F163" s="20">
        <f>$F$144*B19</f>
        <v>-155518.55661359979</v>
      </c>
      <c r="G163" s="20">
        <f t="shared" ref="G163:U163" si="85">$F$144*C19</f>
        <v>18738.43122190953</v>
      </c>
      <c r="H163" s="20">
        <f t="shared" si="85"/>
        <v>26315.858766279212</v>
      </c>
      <c r="I163" s="20">
        <f t="shared" si="85"/>
        <v>51578.551382868383</v>
      </c>
      <c r="J163" s="20">
        <f t="shared" si="85"/>
        <v>49221.761224418093</v>
      </c>
      <c r="K163" s="20">
        <f t="shared" si="85"/>
        <v>83894.169689446746</v>
      </c>
      <c r="L163" s="20">
        <f t="shared" si="85"/>
        <v>90184.427858669937</v>
      </c>
      <c r="M163" s="20">
        <f t="shared" si="85"/>
        <v>114130.85656427323</v>
      </c>
      <c r="N163" s="20">
        <f t="shared" si="85"/>
        <v>106245.37070808664</v>
      </c>
      <c r="O163" s="20">
        <f t="shared" si="85"/>
        <v>163857.45449748787</v>
      </c>
      <c r="P163" s="20">
        <f t="shared" si="85"/>
        <v>153429.33137828135</v>
      </c>
      <c r="Q163" s="20">
        <f t="shared" si="85"/>
        <v>175269.37958938137</v>
      </c>
      <c r="R163" s="20">
        <f t="shared" si="85"/>
        <v>155840.34797134012</v>
      </c>
      <c r="S163" s="20">
        <f t="shared" si="85"/>
        <v>182345.7305039528</v>
      </c>
      <c r="T163" s="20">
        <f t="shared" si="85"/>
        <v>196587.50403377746</v>
      </c>
      <c r="U163" s="20">
        <f t="shared" si="85"/>
        <v>211112.60186510856</v>
      </c>
    </row>
    <row r="164" spans="1:21">
      <c r="A164" s="3" t="s">
        <v>104</v>
      </c>
      <c r="B164" s="3"/>
      <c r="C164" s="20"/>
      <c r="D164" s="20"/>
      <c r="E164" s="20"/>
      <c r="F164" s="20"/>
      <c r="G164" s="20">
        <f>$G$144*B19</f>
        <v>-155518.55661359979</v>
      </c>
      <c r="H164" s="20">
        <f t="shared" ref="H164:T164" si="86">$G$144*C19</f>
        <v>18738.43122190953</v>
      </c>
      <c r="I164" s="20">
        <f t="shared" si="86"/>
        <v>26315.858766279212</v>
      </c>
      <c r="J164" s="20">
        <f t="shared" si="86"/>
        <v>51578.551382868383</v>
      </c>
      <c r="K164" s="20">
        <f t="shared" si="86"/>
        <v>49221.761224418093</v>
      </c>
      <c r="L164" s="20">
        <f t="shared" si="86"/>
        <v>83894.169689446746</v>
      </c>
      <c r="M164" s="20">
        <f t="shared" si="86"/>
        <v>90184.427858669937</v>
      </c>
      <c r="N164" s="20">
        <f t="shared" si="86"/>
        <v>114130.85656427323</v>
      </c>
      <c r="O164" s="20">
        <f t="shared" si="86"/>
        <v>106245.37070808664</v>
      </c>
      <c r="P164" s="20">
        <f t="shared" si="86"/>
        <v>163857.45449748787</v>
      </c>
      <c r="Q164" s="20">
        <f t="shared" si="86"/>
        <v>153429.33137828135</v>
      </c>
      <c r="R164" s="20">
        <f t="shared" si="86"/>
        <v>175269.37958938137</v>
      </c>
      <c r="S164" s="20">
        <f t="shared" si="86"/>
        <v>155840.34797134012</v>
      </c>
      <c r="T164" s="20">
        <f t="shared" si="86"/>
        <v>182345.7305039528</v>
      </c>
      <c r="U164" s="20">
        <f>$G$144*P19</f>
        <v>196587.50403377746</v>
      </c>
    </row>
    <row r="165" spans="1:21">
      <c r="A165" s="3" t="s">
        <v>105</v>
      </c>
      <c r="B165" s="3"/>
      <c r="C165" s="20"/>
      <c r="D165" s="20"/>
      <c r="E165" s="20"/>
      <c r="F165" s="20"/>
      <c r="G165" s="20"/>
      <c r="H165" s="20">
        <f>$H$144*B19</f>
        <v>0</v>
      </c>
      <c r="I165" s="20">
        <f t="shared" ref="I165:U165" si="87">$H$144*C19</f>
        <v>0</v>
      </c>
      <c r="J165" s="20">
        <f t="shared" si="87"/>
        <v>0</v>
      </c>
      <c r="K165" s="20">
        <f t="shared" si="87"/>
        <v>0</v>
      </c>
      <c r="L165" s="20">
        <f t="shared" si="87"/>
        <v>0</v>
      </c>
      <c r="M165" s="20">
        <f t="shared" si="87"/>
        <v>0</v>
      </c>
      <c r="N165" s="20">
        <f t="shared" si="87"/>
        <v>0</v>
      </c>
      <c r="O165" s="20">
        <f t="shared" si="87"/>
        <v>0</v>
      </c>
      <c r="P165" s="20">
        <f t="shared" si="87"/>
        <v>0</v>
      </c>
      <c r="Q165" s="20">
        <f t="shared" si="87"/>
        <v>0</v>
      </c>
      <c r="R165" s="20">
        <f t="shared" si="87"/>
        <v>0</v>
      </c>
      <c r="S165" s="20">
        <f t="shared" si="87"/>
        <v>0</v>
      </c>
      <c r="T165" s="20">
        <f t="shared" si="87"/>
        <v>0</v>
      </c>
      <c r="U165" s="20">
        <f t="shared" si="87"/>
        <v>0</v>
      </c>
    </row>
    <row r="166" spans="1:21">
      <c r="A166" s="3" t="s">
        <v>106</v>
      </c>
      <c r="B166" s="20">
        <f>SUM(B159:B165)</f>
        <v>-415696.89862391946</v>
      </c>
      <c r="C166" s="20">
        <f t="shared" ref="C166:U166" si="88">SUM(C159:C165)</f>
        <v>-105431.23640152271</v>
      </c>
      <c r="D166" s="20">
        <f t="shared" si="88"/>
        <v>-66438.546148852038</v>
      </c>
      <c r="E166" s="20">
        <f t="shared" si="88"/>
        <v>27403.807206093916</v>
      </c>
      <c r="F166" s="20">
        <f t="shared" si="88"/>
        <v>-101574.26564305337</v>
      </c>
      <c r="G166" s="20">
        <f t="shared" si="88"/>
        <v>32748.478771895927</v>
      </c>
      <c r="H166" s="20">
        <f t="shared" si="88"/>
        <v>263712.20253770932</v>
      </c>
      <c r="I166" s="20">
        <f t="shared" si="88"/>
        <v>401523.14606222184</v>
      </c>
      <c r="J166" s="20">
        <f t="shared" si="88"/>
        <v>433588.04482283985</v>
      </c>
      <c r="K166" s="20">
        <f t="shared" si="88"/>
        <v>635960.14886455878</v>
      </c>
      <c r="L166" s="20">
        <f t="shared" si="88"/>
        <v>698775.32217555167</v>
      </c>
      <c r="M166" s="20">
        <f t="shared" si="88"/>
        <v>834573.82831726992</v>
      </c>
      <c r="N166" s="20">
        <f t="shared" si="88"/>
        <v>810113.41985251848</v>
      </c>
      <c r="O166" s="20">
        <f t="shared" si="88"/>
        <v>933099.20552677556</v>
      </c>
      <c r="P166" s="20">
        <f t="shared" si="88"/>
        <v>1025427.3928439647</v>
      </c>
      <c r="Q166" s="20">
        <f t="shared" si="88"/>
        <v>1116411.6679312321</v>
      </c>
      <c r="R166" s="20">
        <f t="shared" si="88"/>
        <v>1087999.4033343832</v>
      </c>
      <c r="S166" s="20">
        <f t="shared" si="88"/>
        <v>1154775.0275845535</v>
      </c>
      <c r="T166" s="20">
        <f t="shared" si="88"/>
        <v>1176668.45923859</v>
      </c>
      <c r="U166" s="20">
        <f t="shared" si="88"/>
        <v>1215809.1105233449</v>
      </c>
    </row>
    <row r="167" spans="1:21">
      <c r="A167" s="3" t="s">
        <v>107</v>
      </c>
      <c r="B167" s="20">
        <f>$B$145*B41</f>
        <v>-432358.81405639992</v>
      </c>
      <c r="C167" s="20">
        <f t="shared" ref="C167:U167" si="89">$B$145*C41</f>
        <v>-334289.57395679975</v>
      </c>
      <c r="D167" s="20">
        <f t="shared" si="89"/>
        <v>-219143.06089059991</v>
      </c>
      <c r="E167" s="20">
        <f t="shared" si="89"/>
        <v>-206991.53361040013</v>
      </c>
      <c r="F167" s="20">
        <f t="shared" si="89"/>
        <v>135317.86502079997</v>
      </c>
      <c r="G167" s="20">
        <f t="shared" si="89"/>
        <v>263928.44388063997</v>
      </c>
      <c r="H167" s="20">
        <f t="shared" si="89"/>
        <v>355454.56610048009</v>
      </c>
      <c r="I167" s="20">
        <f t="shared" si="89"/>
        <v>352950.69564832002</v>
      </c>
      <c r="J167" s="20">
        <f t="shared" si="89"/>
        <v>272604.15493696008</v>
      </c>
      <c r="K167" s="20">
        <f t="shared" si="89"/>
        <v>355030.83554400015</v>
      </c>
      <c r="L167" s="20">
        <f t="shared" si="89"/>
        <v>282012.98235264007</v>
      </c>
      <c r="M167" s="20">
        <f t="shared" si="89"/>
        <v>357110.97543967998</v>
      </c>
      <c r="N167" s="20">
        <f t="shared" si="89"/>
        <v>276764.43472832005</v>
      </c>
      <c r="O167" s="20">
        <f t="shared" si="89"/>
        <v>359191.11533536011</v>
      </c>
      <c r="P167" s="20">
        <f t="shared" si="89"/>
        <v>325801.20249600016</v>
      </c>
      <c r="Q167" s="20">
        <f t="shared" si="89"/>
        <v>400899.19558304013</v>
      </c>
      <c r="R167" s="20">
        <f t="shared" si="89"/>
        <v>320552.65487167996</v>
      </c>
      <c r="S167" s="20">
        <f t="shared" si="89"/>
        <v>402979.33547872014</v>
      </c>
      <c r="T167" s="20">
        <f t="shared" si="89"/>
        <v>329961.48228736012</v>
      </c>
      <c r="U167" s="20">
        <f t="shared" si="89"/>
        <v>405059.47537440021</v>
      </c>
    </row>
    <row r="168" spans="1:21">
      <c r="A168" s="3" t="s">
        <v>108</v>
      </c>
      <c r="B168" s="3"/>
      <c r="C168" s="20">
        <f>$C$145*B41</f>
        <v>-421128.71498999995</v>
      </c>
      <c r="D168" s="20">
        <f t="shared" ref="D168:U168" si="90">$C$145*C41</f>
        <v>-325606.72787999973</v>
      </c>
      <c r="E168" s="20">
        <f t="shared" si="90"/>
        <v>-213451.03333499993</v>
      </c>
      <c r="F168" s="20">
        <f t="shared" si="90"/>
        <v>-201615.13014000011</v>
      </c>
      <c r="G168" s="20">
        <f t="shared" si="90"/>
        <v>131803.11527999997</v>
      </c>
      <c r="H168" s="20">
        <f t="shared" si="90"/>
        <v>257073.15962399999</v>
      </c>
      <c r="I168" s="20">
        <f t="shared" si="90"/>
        <v>346221.97996800009</v>
      </c>
      <c r="J168" s="20">
        <f t="shared" si="90"/>
        <v>343783.14511200006</v>
      </c>
      <c r="K168" s="20">
        <f t="shared" si="90"/>
        <v>265523.52753600007</v>
      </c>
      <c r="L168" s="20">
        <f t="shared" si="90"/>
        <v>345809.25540000014</v>
      </c>
      <c r="M168" s="20">
        <f t="shared" si="90"/>
        <v>274687.96982400009</v>
      </c>
      <c r="N168" s="20">
        <f t="shared" si="90"/>
        <v>347835.36568799999</v>
      </c>
      <c r="O168" s="20">
        <f t="shared" si="90"/>
        <v>269575.74811200006</v>
      </c>
      <c r="P168" s="20">
        <f t="shared" si="90"/>
        <v>349861.47597600007</v>
      </c>
      <c r="Q168" s="20">
        <f t="shared" si="90"/>
        <v>317338.83360000013</v>
      </c>
      <c r="R168" s="20">
        <f t="shared" si="90"/>
        <v>390486.22946400015</v>
      </c>
      <c r="S168" s="20">
        <f t="shared" si="90"/>
        <v>312226.61188799998</v>
      </c>
      <c r="T168" s="20">
        <f t="shared" si="90"/>
        <v>392512.33975200017</v>
      </c>
      <c r="U168" s="20">
        <f t="shared" si="90"/>
        <v>321391.05417600012</v>
      </c>
    </row>
    <row r="169" spans="1:21">
      <c r="A169" s="3" t="s">
        <v>109</v>
      </c>
      <c r="B169" s="3"/>
      <c r="C169" s="20"/>
      <c r="D169" s="20">
        <f>$D$145*B41</f>
        <v>-421128.71498999995</v>
      </c>
      <c r="E169" s="20">
        <f t="shared" ref="E169:U169" si="91">$D$145*C41</f>
        <v>-325606.72787999973</v>
      </c>
      <c r="F169" s="20">
        <f t="shared" si="91"/>
        <v>-213451.03333499993</v>
      </c>
      <c r="G169" s="20">
        <f t="shared" si="91"/>
        <v>-201615.13014000011</v>
      </c>
      <c r="H169" s="20">
        <f t="shared" si="91"/>
        <v>131803.11527999997</v>
      </c>
      <c r="I169" s="20">
        <f t="shared" si="91"/>
        <v>257073.15962399999</v>
      </c>
      <c r="J169" s="20">
        <f t="shared" si="91"/>
        <v>346221.97996800009</v>
      </c>
      <c r="K169" s="20">
        <f t="shared" si="91"/>
        <v>343783.14511200006</v>
      </c>
      <c r="L169" s="20">
        <f t="shared" si="91"/>
        <v>265523.52753600007</v>
      </c>
      <c r="M169" s="20">
        <f t="shared" si="91"/>
        <v>345809.25540000014</v>
      </c>
      <c r="N169" s="20">
        <f t="shared" si="91"/>
        <v>274687.96982400009</v>
      </c>
      <c r="O169" s="20">
        <f t="shared" si="91"/>
        <v>347835.36568799999</v>
      </c>
      <c r="P169" s="20">
        <f t="shared" si="91"/>
        <v>269575.74811200006</v>
      </c>
      <c r="Q169" s="20">
        <f t="shared" si="91"/>
        <v>349861.47597600007</v>
      </c>
      <c r="R169" s="20">
        <f t="shared" si="91"/>
        <v>317338.83360000013</v>
      </c>
      <c r="S169" s="20">
        <f t="shared" si="91"/>
        <v>390486.22946400015</v>
      </c>
      <c r="T169" s="20">
        <f t="shared" si="91"/>
        <v>312226.61188799998</v>
      </c>
      <c r="U169" s="20">
        <f t="shared" si="91"/>
        <v>392512.33975200017</v>
      </c>
    </row>
    <row r="170" spans="1:21">
      <c r="A170" s="3" t="s">
        <v>110</v>
      </c>
      <c r="B170" s="3"/>
      <c r="C170" s="20"/>
      <c r="D170" s="20"/>
      <c r="E170" s="20">
        <f>$E$144*B41</f>
        <v>-519392.08182099991</v>
      </c>
      <c r="F170" s="20">
        <f t="shared" ref="F170:U170" si="92">$E$144*C41</f>
        <v>-401581.63105199969</v>
      </c>
      <c r="G170" s="20">
        <f t="shared" si="92"/>
        <v>-263256.27444649988</v>
      </c>
      <c r="H170" s="20">
        <f t="shared" si="92"/>
        <v>-248658.66050600016</v>
      </c>
      <c r="I170" s="20">
        <f t="shared" si="92"/>
        <v>162557.17551199996</v>
      </c>
      <c r="J170" s="20">
        <f t="shared" si="92"/>
        <v>317056.89686959999</v>
      </c>
      <c r="K170" s="20">
        <f t="shared" si="92"/>
        <v>427007.10862720013</v>
      </c>
      <c r="L170" s="20">
        <f t="shared" si="92"/>
        <v>423999.21230480005</v>
      </c>
      <c r="M170" s="20">
        <f t="shared" si="92"/>
        <v>327479.01729440008</v>
      </c>
      <c r="N170" s="20">
        <f t="shared" si="92"/>
        <v>426498.08166000014</v>
      </c>
      <c r="O170" s="20">
        <f t="shared" si="92"/>
        <v>338781.82944960007</v>
      </c>
      <c r="P170" s="20">
        <f t="shared" si="92"/>
        <v>428996.9510152</v>
      </c>
      <c r="Q170" s="20">
        <f t="shared" si="92"/>
        <v>332476.75600480003</v>
      </c>
      <c r="R170" s="20">
        <f t="shared" si="92"/>
        <v>431495.82037040009</v>
      </c>
      <c r="S170" s="20">
        <f t="shared" si="92"/>
        <v>391384.56144000019</v>
      </c>
      <c r="T170" s="20">
        <f t="shared" si="92"/>
        <v>481599.68300560018</v>
      </c>
      <c r="U170" s="20">
        <f t="shared" si="92"/>
        <v>385079.48799519998</v>
      </c>
    </row>
    <row r="171" spans="1:21">
      <c r="A171" s="3" t="s">
        <v>111</v>
      </c>
      <c r="B171" s="3"/>
      <c r="C171" s="20"/>
      <c r="D171" s="20"/>
      <c r="E171" s="20"/>
      <c r="F171" s="20">
        <f>$F$145*B41</f>
        <v>-421128.71498999995</v>
      </c>
      <c r="G171" s="20">
        <f t="shared" ref="G171:U171" si="93">$F$145*C41</f>
        <v>-325606.72787999973</v>
      </c>
      <c r="H171" s="20">
        <f t="shared" si="93"/>
        <v>-213451.03333499993</v>
      </c>
      <c r="I171" s="20">
        <f t="shared" si="93"/>
        <v>-201615.13014000011</v>
      </c>
      <c r="J171" s="20">
        <f t="shared" si="93"/>
        <v>131803.11527999997</v>
      </c>
      <c r="K171" s="20">
        <f t="shared" si="93"/>
        <v>257073.15962399999</v>
      </c>
      <c r="L171" s="20">
        <f t="shared" si="93"/>
        <v>346221.97996800009</v>
      </c>
      <c r="M171" s="20">
        <f t="shared" si="93"/>
        <v>343783.14511200006</v>
      </c>
      <c r="N171" s="20">
        <f t="shared" si="93"/>
        <v>265523.52753600007</v>
      </c>
      <c r="O171" s="20">
        <f t="shared" si="93"/>
        <v>345809.25540000014</v>
      </c>
      <c r="P171" s="20">
        <f t="shared" si="93"/>
        <v>274687.96982400009</v>
      </c>
      <c r="Q171" s="20">
        <f t="shared" si="93"/>
        <v>347835.36568799999</v>
      </c>
      <c r="R171" s="20">
        <f t="shared" si="93"/>
        <v>269575.74811200006</v>
      </c>
      <c r="S171" s="20">
        <f t="shared" si="93"/>
        <v>349861.47597600007</v>
      </c>
      <c r="T171" s="20">
        <f t="shared" si="93"/>
        <v>317338.83360000013</v>
      </c>
      <c r="U171" s="20">
        <f t="shared" si="93"/>
        <v>390486.22946400015</v>
      </c>
    </row>
    <row r="172" spans="1:21">
      <c r="A172" s="3" t="s">
        <v>112</v>
      </c>
      <c r="B172" s="3"/>
      <c r="C172" s="20"/>
      <c r="D172" s="20"/>
      <c r="E172" s="20"/>
      <c r="F172" s="20"/>
      <c r="G172" s="20">
        <f>$G$145*B41</f>
        <v>-210564.35749499997</v>
      </c>
      <c r="H172" s="20">
        <f t="shared" ref="H172:U172" si="94">$G$145*C41</f>
        <v>-162803.36393999986</v>
      </c>
      <c r="I172" s="20">
        <f t="shared" si="94"/>
        <v>-106725.51666749996</v>
      </c>
      <c r="J172" s="20">
        <f t="shared" si="94"/>
        <v>-100807.56507000006</v>
      </c>
      <c r="K172" s="20">
        <f t="shared" si="94"/>
        <v>65901.557639999985</v>
      </c>
      <c r="L172" s="20">
        <f t="shared" si="94"/>
        <v>128536.579812</v>
      </c>
      <c r="M172" s="20">
        <f t="shared" si="94"/>
        <v>173110.98998400004</v>
      </c>
      <c r="N172" s="20">
        <f t="shared" si="94"/>
        <v>171891.57255600003</v>
      </c>
      <c r="O172" s="20">
        <f t="shared" si="94"/>
        <v>132761.76376800003</v>
      </c>
      <c r="P172" s="20">
        <f t="shared" si="94"/>
        <v>172904.62770000007</v>
      </c>
      <c r="Q172" s="20">
        <f t="shared" si="94"/>
        <v>137343.98491200004</v>
      </c>
      <c r="R172" s="20">
        <f t="shared" si="94"/>
        <v>173917.682844</v>
      </c>
      <c r="S172" s="20">
        <f t="shared" si="94"/>
        <v>134787.87405600003</v>
      </c>
      <c r="T172" s="20">
        <f t="shared" si="94"/>
        <v>174930.73798800004</v>
      </c>
      <c r="U172" s="20">
        <f t="shared" si="94"/>
        <v>158669.41680000006</v>
      </c>
    </row>
    <row r="173" spans="1:21">
      <c r="A173" s="3" t="s">
        <v>113</v>
      </c>
      <c r="B173" s="3"/>
      <c r="C173" s="20"/>
      <c r="D173" s="20"/>
      <c r="E173" s="20"/>
      <c r="F173" s="20"/>
      <c r="G173" s="20"/>
      <c r="H173" s="20">
        <f>$H$145*B41</f>
        <v>-210564.35749499997</v>
      </c>
      <c r="I173" s="20">
        <f t="shared" ref="I173:T173" si="95">$H$145*C41</f>
        <v>-162803.36393999986</v>
      </c>
      <c r="J173" s="20">
        <f t="shared" si="95"/>
        <v>-106725.51666749996</v>
      </c>
      <c r="K173" s="20">
        <f t="shared" si="95"/>
        <v>-100807.56507000006</v>
      </c>
      <c r="L173" s="20">
        <f t="shared" si="95"/>
        <v>65901.557639999985</v>
      </c>
      <c r="M173" s="20">
        <f t="shared" si="95"/>
        <v>128536.579812</v>
      </c>
      <c r="N173" s="20">
        <f t="shared" si="95"/>
        <v>173110.98998400004</v>
      </c>
      <c r="O173" s="20">
        <f t="shared" si="95"/>
        <v>171891.57255600003</v>
      </c>
      <c r="P173" s="20">
        <f t="shared" si="95"/>
        <v>132761.76376800003</v>
      </c>
      <c r="Q173" s="20">
        <f t="shared" si="95"/>
        <v>172904.62770000007</v>
      </c>
      <c r="R173" s="20">
        <f t="shared" si="95"/>
        <v>137343.98491200004</v>
      </c>
      <c r="S173" s="20">
        <f t="shared" si="95"/>
        <v>173917.682844</v>
      </c>
      <c r="T173" s="20">
        <f t="shared" si="95"/>
        <v>134787.87405600003</v>
      </c>
      <c r="U173" s="20">
        <f>$H$145*O41</f>
        <v>174930.73798800004</v>
      </c>
    </row>
    <row r="174" spans="1:21">
      <c r="A174" s="3" t="s">
        <v>114</v>
      </c>
      <c r="B174" s="20">
        <f>SUM(B167:B173)</f>
        <v>-432358.81405639992</v>
      </c>
      <c r="C174" s="20">
        <f t="shared" ref="C174" si="96">SUM(C167:C173)</f>
        <v>-755418.2889467997</v>
      </c>
      <c r="D174" s="20">
        <f t="shared" ref="D174" si="97">SUM(D167:D173)</f>
        <v>-965878.50376059953</v>
      </c>
      <c r="E174" s="20">
        <f t="shared" ref="E174" si="98">SUM(E167:E173)</f>
        <v>-1265441.3766463997</v>
      </c>
      <c r="F174" s="20">
        <f t="shared" ref="F174" si="99">SUM(F167:F173)</f>
        <v>-1102458.6444961997</v>
      </c>
      <c r="G174" s="20">
        <f t="shared" ref="G174" si="100">SUM(G167:G173)</f>
        <v>-605310.93080085982</v>
      </c>
      <c r="H174" s="20">
        <f t="shared" ref="H174" si="101">SUM(H167:H173)</f>
        <v>-91146.574271519785</v>
      </c>
      <c r="I174" s="20">
        <f t="shared" ref="I174" si="102">SUM(I167:I173)</f>
        <v>647659.00000482006</v>
      </c>
      <c r="J174" s="20">
        <f t="shared" ref="J174" si="103">SUM(J167:J173)</f>
        <v>1203936.2104290603</v>
      </c>
      <c r="K174" s="20">
        <f t="shared" ref="K174" si="104">SUM(K167:K173)</f>
        <v>1613511.7690132007</v>
      </c>
      <c r="L174" s="20">
        <f t="shared" ref="L174" si="105">SUM(L167:L173)</f>
        <v>1858005.0950134404</v>
      </c>
      <c r="M174" s="20">
        <f t="shared" ref="M174" si="106">SUM(M167:M173)</f>
        <v>1950517.9328660807</v>
      </c>
      <c r="N174" s="20">
        <f t="shared" ref="N174" si="107">SUM(N167:N173)</f>
        <v>1936311.9419763205</v>
      </c>
      <c r="O174" s="20">
        <f t="shared" ref="O174" si="108">SUM(O167:O173)</f>
        <v>1965846.6503089604</v>
      </c>
      <c r="P174" s="20">
        <f t="shared" ref="P174" si="109">SUM(P167:P173)</f>
        <v>1954589.7388912004</v>
      </c>
      <c r="Q174" s="20">
        <f t="shared" ref="Q174" si="110">SUM(Q167:Q173)</f>
        <v>2058660.2394638406</v>
      </c>
      <c r="R174" s="20">
        <f t="shared" ref="R174" si="111">SUM(R167:R173)</f>
        <v>2040710.9541740804</v>
      </c>
      <c r="S174" s="20">
        <f t="shared" ref="S174" si="112">SUM(S167:S173)</f>
        <v>2155643.7711467207</v>
      </c>
      <c r="T174" s="20">
        <f t="shared" ref="T174" si="113">SUM(T167:T173)</f>
        <v>2143357.5625769608</v>
      </c>
      <c r="U174" s="20">
        <f t="shared" ref="U174" si="114">SUM(U167:U173)</f>
        <v>2228128.7415496004</v>
      </c>
    </row>
    <row r="175" spans="1:21">
      <c r="A175" s="3" t="s">
        <v>115</v>
      </c>
      <c r="B175" s="20">
        <f>$B$146*B63</f>
        <v>-639441.15535960032</v>
      </c>
      <c r="C175" s="20">
        <f t="shared" ref="C175:U175" si="115">$B$146*C63</f>
        <v>-372500.47503650031</v>
      </c>
      <c r="D175" s="20">
        <f t="shared" si="115"/>
        <v>-301689.54756076029</v>
      </c>
      <c r="E175" s="20">
        <f t="shared" si="115"/>
        <v>-399410.72259841242</v>
      </c>
      <c r="F175" s="20">
        <f t="shared" si="115"/>
        <v>327892.50012621353</v>
      </c>
      <c r="G175" s="20">
        <f t="shared" si="115"/>
        <v>674940.34645708289</v>
      </c>
      <c r="H175" s="20">
        <f t="shared" si="115"/>
        <v>952682.44110808277</v>
      </c>
      <c r="I175" s="20">
        <f t="shared" si="115"/>
        <v>954946.53575908311</v>
      </c>
      <c r="J175" s="20">
        <f t="shared" si="115"/>
        <v>866393.74193008291</v>
      </c>
      <c r="K175" s="20">
        <f t="shared" si="115"/>
        <v>959474.7250610831</v>
      </c>
      <c r="L175" s="20">
        <f t="shared" si="115"/>
        <v>893217.32151208306</v>
      </c>
      <c r="M175" s="20">
        <f t="shared" si="115"/>
        <v>964002.9143630832</v>
      </c>
      <c r="N175" s="20">
        <f t="shared" si="115"/>
        <v>875450.12053408287</v>
      </c>
      <c r="O175" s="20">
        <f t="shared" si="115"/>
        <v>968531.10366508306</v>
      </c>
      <c r="P175" s="20">
        <f t="shared" si="115"/>
        <v>1022830.1290440831</v>
      </c>
      <c r="Q175" s="20">
        <f t="shared" si="115"/>
        <v>1093615.7218950831</v>
      </c>
      <c r="R175" s="20">
        <f t="shared" si="115"/>
        <v>1005062.928066083</v>
      </c>
      <c r="S175" s="20">
        <f t="shared" si="115"/>
        <v>1098143.9111970831</v>
      </c>
      <c r="T175" s="20">
        <f t="shared" si="115"/>
        <v>1031886.507648083</v>
      </c>
      <c r="U175" s="20">
        <f t="shared" si="115"/>
        <v>1102672.1004990828</v>
      </c>
    </row>
    <row r="176" spans="1:21">
      <c r="A176" s="3" t="s">
        <v>116</v>
      </c>
      <c r="B176" s="20"/>
      <c r="C176" s="20">
        <f>$C$146*B63</f>
        <v>-170608.6327000001</v>
      </c>
      <c r="D176" s="20">
        <f t="shared" ref="D176:U176" si="116">$C$146*C63</f>
        <v>-99386.466125000079</v>
      </c>
      <c r="E176" s="20">
        <f t="shared" si="116"/>
        <v>-80493.475870000082</v>
      </c>
      <c r="F176" s="20">
        <f t="shared" si="116"/>
        <v>-106566.36141900011</v>
      </c>
      <c r="G176" s="20">
        <f t="shared" si="116"/>
        <v>87484.658518199984</v>
      </c>
      <c r="H176" s="20">
        <f t="shared" si="116"/>
        <v>180080.13512729001</v>
      </c>
      <c r="I176" s="20">
        <f t="shared" si="116"/>
        <v>254184.21587728997</v>
      </c>
      <c r="J176" s="20">
        <f t="shared" si="116"/>
        <v>254788.29662729002</v>
      </c>
      <c r="K176" s="20">
        <f t="shared" si="116"/>
        <v>231161.61737728998</v>
      </c>
      <c r="L176" s="20">
        <f t="shared" si="116"/>
        <v>255996.45812729007</v>
      </c>
      <c r="M176" s="20">
        <f t="shared" si="116"/>
        <v>238318.38887729004</v>
      </c>
      <c r="N176" s="20">
        <f t="shared" si="116"/>
        <v>257204.61962729009</v>
      </c>
      <c r="O176" s="20">
        <f t="shared" si="116"/>
        <v>233577.94037728998</v>
      </c>
      <c r="P176" s="20">
        <f t="shared" si="116"/>
        <v>258412.78112729004</v>
      </c>
      <c r="Q176" s="20">
        <f t="shared" si="116"/>
        <v>272900.24787729006</v>
      </c>
      <c r="R176" s="20">
        <f t="shared" si="116"/>
        <v>291786.47862728999</v>
      </c>
      <c r="S176" s="20">
        <f t="shared" si="116"/>
        <v>268159.79937729001</v>
      </c>
      <c r="T176" s="20">
        <f t="shared" si="116"/>
        <v>292994.64012729004</v>
      </c>
      <c r="U176" s="20">
        <f t="shared" si="116"/>
        <v>275316.57087729004</v>
      </c>
    </row>
    <row r="177" spans="1:21">
      <c r="A177" s="3" t="s">
        <v>117</v>
      </c>
      <c r="B177" s="20"/>
      <c r="C177" s="20"/>
      <c r="D177" s="20">
        <f>$D$146*B63</f>
        <v>-136486.90616000007</v>
      </c>
      <c r="E177" s="20">
        <f t="shared" ref="E177:U177" si="117">$D$146*C63</f>
        <v>-79509.172900000063</v>
      </c>
      <c r="F177" s="20">
        <f t="shared" si="117"/>
        <v>-64394.780696000067</v>
      </c>
      <c r="G177" s="20">
        <f t="shared" si="117"/>
        <v>-85253.089135200091</v>
      </c>
      <c r="H177" s="20">
        <f t="shared" si="117"/>
        <v>69987.726814559981</v>
      </c>
      <c r="I177" s="20">
        <f t="shared" si="117"/>
        <v>144064.10810183198</v>
      </c>
      <c r="J177" s="20">
        <f t="shared" si="117"/>
        <v>203347.37270183198</v>
      </c>
      <c r="K177" s="20">
        <f t="shared" si="117"/>
        <v>203830.63730183203</v>
      </c>
      <c r="L177" s="20">
        <f t="shared" si="117"/>
        <v>184929.29390183199</v>
      </c>
      <c r="M177" s="20">
        <f t="shared" si="117"/>
        <v>204797.16650183205</v>
      </c>
      <c r="N177" s="20">
        <f t="shared" si="117"/>
        <v>190654.71110183201</v>
      </c>
      <c r="O177" s="20">
        <f t="shared" si="117"/>
        <v>205763.69570183207</v>
      </c>
      <c r="P177" s="20">
        <f t="shared" si="117"/>
        <v>186862.352301832</v>
      </c>
      <c r="Q177" s="20">
        <f t="shared" si="117"/>
        <v>206730.22490183203</v>
      </c>
      <c r="R177" s="20">
        <f t="shared" si="117"/>
        <v>218320.19830183205</v>
      </c>
      <c r="S177" s="20">
        <f t="shared" si="117"/>
        <v>233429.18290183201</v>
      </c>
      <c r="T177" s="20">
        <f>$D$146*R63</f>
        <v>214527.83950183203</v>
      </c>
      <c r="U177" s="20">
        <f t="shared" si="117"/>
        <v>234395.71210183203</v>
      </c>
    </row>
    <row r="178" spans="1:21">
      <c r="A178" s="3" t="s">
        <v>118</v>
      </c>
      <c r="B178" s="20"/>
      <c r="C178" s="20"/>
      <c r="D178" s="20"/>
      <c r="E178" s="20">
        <f>$E$146*B63</f>
        <v>-109871.95945880006</v>
      </c>
      <c r="F178" s="20">
        <f t="shared" ref="F178:U178" si="118">$E$146*C63</f>
        <v>-64004.884184500057</v>
      </c>
      <c r="G178" s="20">
        <f t="shared" si="118"/>
        <v>-51837.79846028005</v>
      </c>
      <c r="H178" s="20">
        <f t="shared" si="118"/>
        <v>-68628.73675383607</v>
      </c>
      <c r="I178" s="20">
        <f t="shared" si="118"/>
        <v>56340.120085720788</v>
      </c>
      <c r="J178" s="20">
        <f t="shared" si="118"/>
        <v>115971.60702197475</v>
      </c>
      <c r="K178" s="20">
        <f t="shared" si="118"/>
        <v>163694.63502497473</v>
      </c>
      <c r="L178" s="20">
        <f t="shared" si="118"/>
        <v>164083.66302797478</v>
      </c>
      <c r="M178" s="20">
        <f t="shared" si="118"/>
        <v>148868.08159097476</v>
      </c>
      <c r="N178" s="20">
        <f t="shared" si="118"/>
        <v>164861.7190339748</v>
      </c>
      <c r="O178" s="20">
        <f t="shared" si="118"/>
        <v>153477.04243697479</v>
      </c>
      <c r="P178" s="20">
        <f t="shared" si="118"/>
        <v>165639.7750399748</v>
      </c>
      <c r="Q178" s="20">
        <f t="shared" si="118"/>
        <v>150424.19360297476</v>
      </c>
      <c r="R178" s="20">
        <f t="shared" si="118"/>
        <v>166417.83104597477</v>
      </c>
      <c r="S178" s="20">
        <f t="shared" si="118"/>
        <v>175747.75963297478</v>
      </c>
      <c r="T178" s="20">
        <f t="shared" si="118"/>
        <v>187910.49223597479</v>
      </c>
      <c r="U178" s="20">
        <f t="shared" si="118"/>
        <v>172694.91079897477</v>
      </c>
    </row>
    <row r="179" spans="1:21">
      <c r="A179" s="3" t="s">
        <v>119</v>
      </c>
      <c r="B179" s="20">
        <f>SUM(B175:B178)</f>
        <v>-639441.15535960032</v>
      </c>
      <c r="C179" s="20">
        <f t="shared" ref="C179:U179" si="119">SUM(C175:C178)</f>
        <v>-543109.10773650045</v>
      </c>
      <c r="D179" s="20">
        <f t="shared" si="119"/>
        <v>-537562.91984576045</v>
      </c>
      <c r="E179" s="20">
        <f t="shared" si="119"/>
        <v>-669285.33082721266</v>
      </c>
      <c r="F179" s="20">
        <f t="shared" si="119"/>
        <v>92926.473826713307</v>
      </c>
      <c r="G179" s="20">
        <f t="shared" si="119"/>
        <v>625334.11737980263</v>
      </c>
      <c r="H179" s="20">
        <f t="shared" si="119"/>
        <v>1134121.5662960967</v>
      </c>
      <c r="I179" s="20">
        <f t="shared" si="119"/>
        <v>1409534.979823926</v>
      </c>
      <c r="J179" s="20">
        <f t="shared" si="119"/>
        <v>1440501.0182811799</v>
      </c>
      <c r="K179" s="20">
        <f t="shared" si="119"/>
        <v>1558161.6147651798</v>
      </c>
      <c r="L179" s="20">
        <f t="shared" si="119"/>
        <v>1498226.7365691799</v>
      </c>
      <c r="M179" s="20">
        <f t="shared" si="119"/>
        <v>1555986.5513331799</v>
      </c>
      <c r="N179" s="20">
        <f t="shared" si="119"/>
        <v>1488171.1702971798</v>
      </c>
      <c r="O179" s="20">
        <f t="shared" si="119"/>
        <v>1561349.7821811798</v>
      </c>
      <c r="P179" s="20">
        <f t="shared" si="119"/>
        <v>1633745.0375131799</v>
      </c>
      <c r="Q179" s="20">
        <f t="shared" si="119"/>
        <v>1723670.3882771798</v>
      </c>
      <c r="R179" s="20">
        <f t="shared" si="119"/>
        <v>1681587.4360411796</v>
      </c>
      <c r="S179" s="20">
        <f t="shared" si="119"/>
        <v>1775480.65310918</v>
      </c>
      <c r="T179" s="20">
        <f t="shared" si="119"/>
        <v>1727319.47951318</v>
      </c>
      <c r="U179" s="20">
        <f t="shared" si="119"/>
        <v>1785079.2942771798</v>
      </c>
    </row>
    <row r="180" spans="1:21">
      <c r="A180" s="3" t="s">
        <v>120</v>
      </c>
      <c r="B180" s="20">
        <f>$B$147*B85</f>
        <v>-113056.56959904695</v>
      </c>
      <c r="C180" s="20">
        <f t="shared" ref="C180:U180" si="120">$B$147*C85</f>
        <v>36034.084586559045</v>
      </c>
      <c r="D180" s="20">
        <f t="shared" si="120"/>
        <v>30934.022488693132</v>
      </c>
      <c r="E180" s="20">
        <f t="shared" si="120"/>
        <v>30803.590326758793</v>
      </c>
      <c r="F180" s="20">
        <f t="shared" si="120"/>
        <v>47996.289433139449</v>
      </c>
      <c r="G180" s="20">
        <f t="shared" si="120"/>
        <v>62282.461468317837</v>
      </c>
      <c r="H180" s="20">
        <f t="shared" si="120"/>
        <v>72788.028566831315</v>
      </c>
      <c r="I180" s="20">
        <f t="shared" si="120"/>
        <v>81539.229875329242</v>
      </c>
      <c r="J180" s="20">
        <f t="shared" si="120"/>
        <v>91323.101511869434</v>
      </c>
      <c r="K180" s="20">
        <f t="shared" si="120"/>
        <v>98559.351581043316</v>
      </c>
      <c r="L180" s="20">
        <f t="shared" si="120"/>
        <v>95915.715003380887</v>
      </c>
      <c r="M180" s="20">
        <f t="shared" si="120"/>
        <v>96034.207707414724</v>
      </c>
      <c r="N180" s="20">
        <f t="shared" si="120"/>
        <v>99697.00325117771</v>
      </c>
      <c r="O180" s="20">
        <f t="shared" si="120"/>
        <v>102606.23283909159</v>
      </c>
      <c r="P180" s="20">
        <f t="shared" si="120"/>
        <v>99941.147790761548</v>
      </c>
      <c r="Q180" s="20">
        <f t="shared" si="120"/>
        <v>100038.30570102225</v>
      </c>
      <c r="R180" s="20">
        <f t="shared" si="120"/>
        <v>103679.87952541911</v>
      </c>
      <c r="S180" s="20">
        <f t="shared" si="120"/>
        <v>106567.99986907956</v>
      </c>
      <c r="T180" s="20">
        <f t="shared" si="120"/>
        <v>103881.91745549056</v>
      </c>
      <c r="U180" s="20">
        <f t="shared" si="120"/>
        <v>103958.18928652817</v>
      </c>
    </row>
    <row r="181" spans="1:21">
      <c r="A181" s="3" t="s">
        <v>121</v>
      </c>
      <c r="B181" s="20"/>
      <c r="C181" s="20">
        <f>$C$147*B85</f>
        <v>-66822.573085698677</v>
      </c>
      <c r="D181" s="20">
        <f t="shared" ref="D181:U181" si="121">$C$147*C85</f>
        <v>21298.101113461416</v>
      </c>
      <c r="E181" s="20">
        <f t="shared" si="121"/>
        <v>18283.687413444823</v>
      </c>
      <c r="F181" s="20">
        <f t="shared" si="121"/>
        <v>18206.594921566699</v>
      </c>
      <c r="G181" s="20">
        <f t="shared" si="121"/>
        <v>28368.41388220702</v>
      </c>
      <c r="H181" s="20">
        <f t="shared" si="121"/>
        <v>36812.31748127412</v>
      </c>
      <c r="I181" s="20">
        <f t="shared" si="121"/>
        <v>43021.678226401891</v>
      </c>
      <c r="J181" s="20">
        <f t="shared" si="121"/>
        <v>48194.113504587571</v>
      </c>
      <c r="K181" s="20">
        <f t="shared" si="121"/>
        <v>53976.91303417203</v>
      </c>
      <c r="L181" s="20">
        <f t="shared" si="121"/>
        <v>58253.92984822049</v>
      </c>
      <c r="M181" s="20">
        <f t="shared" si="121"/>
        <v>56691.397046726721</v>
      </c>
      <c r="N181" s="20">
        <f t="shared" si="121"/>
        <v>56761.43267051669</v>
      </c>
      <c r="O181" s="20">
        <f t="shared" si="121"/>
        <v>58926.343774657747</v>
      </c>
      <c r="P181" s="20">
        <f t="shared" si="121"/>
        <v>60645.856470389605</v>
      </c>
      <c r="Q181" s="20">
        <f t="shared" si="121"/>
        <v>59070.646457798364</v>
      </c>
      <c r="R181" s="20">
        <f t="shared" si="121"/>
        <v>59128.072059709644</v>
      </c>
      <c r="S181" s="20">
        <f t="shared" si="121"/>
        <v>61280.439975087975</v>
      </c>
      <c r="T181" s="20">
        <f t="shared" si="121"/>
        <v>62987.475960957563</v>
      </c>
      <c r="U181" s="20">
        <f t="shared" si="121"/>
        <v>61399.855365066302</v>
      </c>
    </row>
    <row r="182" spans="1:21">
      <c r="A182" s="3" t="s">
        <v>122</v>
      </c>
      <c r="B182" s="20"/>
      <c r="C182" s="20"/>
      <c r="D182" s="20">
        <f>$D$147*B85</f>
        <v>-66822.573085698677</v>
      </c>
      <c r="E182" s="20">
        <f t="shared" ref="E182:U182" si="122">$D$147*C85</f>
        <v>21298.101113461416</v>
      </c>
      <c r="F182" s="20">
        <f t="shared" si="122"/>
        <v>18283.687413444823</v>
      </c>
      <c r="G182" s="20">
        <f t="shared" si="122"/>
        <v>18206.594921566699</v>
      </c>
      <c r="H182" s="20">
        <f t="shared" si="122"/>
        <v>28368.41388220702</v>
      </c>
      <c r="I182" s="20">
        <f t="shared" si="122"/>
        <v>36812.31748127412</v>
      </c>
      <c r="J182" s="20">
        <f t="shared" si="122"/>
        <v>43021.678226401891</v>
      </c>
      <c r="K182" s="20">
        <f t="shared" si="122"/>
        <v>48194.113504587571</v>
      </c>
      <c r="L182" s="20">
        <f t="shared" si="122"/>
        <v>53976.91303417203</v>
      </c>
      <c r="M182" s="20">
        <f t="shared" si="122"/>
        <v>58253.92984822049</v>
      </c>
      <c r="N182" s="20">
        <f t="shared" si="122"/>
        <v>56691.397046726721</v>
      </c>
      <c r="O182" s="20">
        <f t="shared" si="122"/>
        <v>56761.43267051669</v>
      </c>
      <c r="P182" s="20">
        <f t="shared" si="122"/>
        <v>58926.343774657747</v>
      </c>
      <c r="Q182" s="20">
        <f t="shared" si="122"/>
        <v>60645.856470389605</v>
      </c>
      <c r="R182" s="20">
        <f t="shared" si="122"/>
        <v>59070.646457798364</v>
      </c>
      <c r="S182" s="20">
        <f t="shared" si="122"/>
        <v>59128.072059709644</v>
      </c>
      <c r="T182" s="20">
        <f t="shared" si="122"/>
        <v>61280.439975087975</v>
      </c>
      <c r="U182" s="20">
        <f t="shared" si="122"/>
        <v>62987.475960957563</v>
      </c>
    </row>
    <row r="183" spans="1:21">
      <c r="A183" s="3" t="s">
        <v>123</v>
      </c>
      <c r="B183" s="20"/>
      <c r="C183" s="20"/>
      <c r="D183" s="20"/>
      <c r="E183" s="20">
        <f>$E$147*B85</f>
        <v>-66822.573085698677</v>
      </c>
      <c r="F183" s="20">
        <f t="shared" ref="F183:U183" si="123">$E$147*C85</f>
        <v>21298.101113461416</v>
      </c>
      <c r="G183" s="20">
        <f t="shared" si="123"/>
        <v>18283.687413444823</v>
      </c>
      <c r="H183" s="20">
        <f t="shared" si="123"/>
        <v>18206.594921566699</v>
      </c>
      <c r="I183" s="20">
        <f t="shared" si="123"/>
        <v>28368.41388220702</v>
      </c>
      <c r="J183" s="20">
        <f t="shared" si="123"/>
        <v>36812.31748127412</v>
      </c>
      <c r="K183" s="20">
        <f t="shared" si="123"/>
        <v>43021.678226401891</v>
      </c>
      <c r="L183" s="20">
        <f t="shared" si="123"/>
        <v>48194.113504587571</v>
      </c>
      <c r="M183" s="20">
        <f t="shared" si="123"/>
        <v>53976.91303417203</v>
      </c>
      <c r="N183" s="20">
        <f t="shared" si="123"/>
        <v>58253.92984822049</v>
      </c>
      <c r="O183" s="20">
        <f t="shared" si="123"/>
        <v>56691.397046726721</v>
      </c>
      <c r="P183" s="20">
        <f t="shared" si="123"/>
        <v>56761.43267051669</v>
      </c>
      <c r="Q183" s="20">
        <f t="shared" si="123"/>
        <v>58926.343774657747</v>
      </c>
      <c r="R183" s="20">
        <f t="shared" si="123"/>
        <v>60645.856470389605</v>
      </c>
      <c r="S183" s="20">
        <f t="shared" si="123"/>
        <v>59070.646457798364</v>
      </c>
      <c r="T183" s="20">
        <f t="shared" si="123"/>
        <v>59128.072059709644</v>
      </c>
      <c r="U183" s="20">
        <f t="shared" si="123"/>
        <v>61280.439975087975</v>
      </c>
    </row>
    <row r="184" spans="1:21">
      <c r="A184" s="3" t="s">
        <v>124</v>
      </c>
      <c r="B184" s="20"/>
      <c r="C184" s="20"/>
      <c r="D184" s="20"/>
      <c r="E184" s="20"/>
      <c r="F184" s="20">
        <f>$F$147*B85</f>
        <v>-66822.573085698677</v>
      </c>
      <c r="G184" s="20">
        <f t="shared" ref="G184:U184" si="124">$F$147*C85</f>
        <v>21298.101113461416</v>
      </c>
      <c r="H184" s="20">
        <f t="shared" si="124"/>
        <v>18283.687413444823</v>
      </c>
      <c r="I184" s="20">
        <f t="shared" si="124"/>
        <v>18206.594921566699</v>
      </c>
      <c r="J184" s="20">
        <f t="shared" si="124"/>
        <v>28368.41388220702</v>
      </c>
      <c r="K184" s="20">
        <f t="shared" si="124"/>
        <v>36812.31748127412</v>
      </c>
      <c r="L184" s="20">
        <f t="shared" si="124"/>
        <v>43021.678226401891</v>
      </c>
      <c r="M184" s="20">
        <f t="shared" si="124"/>
        <v>48194.113504587571</v>
      </c>
      <c r="N184" s="20">
        <f t="shared" si="124"/>
        <v>53976.91303417203</v>
      </c>
      <c r="O184" s="20">
        <f t="shared" si="124"/>
        <v>58253.92984822049</v>
      </c>
      <c r="P184" s="20">
        <f t="shared" si="124"/>
        <v>56691.397046726721</v>
      </c>
      <c r="Q184" s="20">
        <f t="shared" si="124"/>
        <v>56761.43267051669</v>
      </c>
      <c r="R184" s="20">
        <f t="shared" si="124"/>
        <v>58926.343774657747</v>
      </c>
      <c r="S184" s="20">
        <f t="shared" si="124"/>
        <v>60645.856470389605</v>
      </c>
      <c r="T184" s="20">
        <f t="shared" si="124"/>
        <v>59070.646457798364</v>
      </c>
      <c r="U184" s="20">
        <f t="shared" si="124"/>
        <v>59128.072059709644</v>
      </c>
    </row>
    <row r="185" spans="1:21">
      <c r="A185" s="3" t="s">
        <v>125</v>
      </c>
      <c r="B185" s="20"/>
      <c r="C185" s="20"/>
      <c r="D185" s="20"/>
      <c r="E185" s="20"/>
      <c r="F185" s="20"/>
      <c r="G185" s="20">
        <f>$G$147*B85</f>
        <v>-33411.286542849339</v>
      </c>
      <c r="H185" s="20">
        <f t="shared" ref="H185:U185" si="125">$G$147*C85</f>
        <v>10649.050556730708</v>
      </c>
      <c r="I185" s="20">
        <f t="shared" si="125"/>
        <v>9141.8437067224113</v>
      </c>
      <c r="J185" s="20">
        <f t="shared" si="125"/>
        <v>9103.2974607833494</v>
      </c>
      <c r="K185" s="20">
        <f t="shared" si="125"/>
        <v>14184.20694110351</v>
      </c>
      <c r="L185" s="20">
        <f t="shared" si="125"/>
        <v>18406.15874063706</v>
      </c>
      <c r="M185" s="20">
        <f t="shared" si="125"/>
        <v>21510.839113200946</v>
      </c>
      <c r="N185" s="20">
        <f t="shared" si="125"/>
        <v>24097.056752293785</v>
      </c>
      <c r="O185" s="20">
        <f t="shared" si="125"/>
        <v>26988.456517086015</v>
      </c>
      <c r="P185" s="20">
        <f t="shared" si="125"/>
        <v>29126.964924110245</v>
      </c>
      <c r="Q185" s="20">
        <f t="shared" si="125"/>
        <v>28345.69852336336</v>
      </c>
      <c r="R185" s="20">
        <f t="shared" si="125"/>
        <v>28380.716335258345</v>
      </c>
      <c r="S185" s="20">
        <f t="shared" si="125"/>
        <v>29463.171887328874</v>
      </c>
      <c r="T185" s="20">
        <f t="shared" si="125"/>
        <v>30322.928235194802</v>
      </c>
      <c r="U185" s="20">
        <f t="shared" si="125"/>
        <v>29535.323228899182</v>
      </c>
    </row>
    <row r="186" spans="1:21">
      <c r="A186" s="3" t="s">
        <v>126</v>
      </c>
      <c r="B186" s="20"/>
      <c r="C186" s="20"/>
      <c r="D186" s="20"/>
      <c r="E186" s="20"/>
      <c r="F186" s="20"/>
      <c r="G186" s="20"/>
      <c r="H186" s="20">
        <f>$H$147*B85</f>
        <v>-33411.286542849339</v>
      </c>
      <c r="I186" s="20">
        <f t="shared" ref="I186:U186" si="126">$H$147*C85</f>
        <v>10649.050556730708</v>
      </c>
      <c r="J186" s="20">
        <f t="shared" si="126"/>
        <v>9141.8437067224113</v>
      </c>
      <c r="K186" s="20">
        <f t="shared" si="126"/>
        <v>9103.2974607833494</v>
      </c>
      <c r="L186" s="20">
        <f t="shared" si="126"/>
        <v>14184.20694110351</v>
      </c>
      <c r="M186" s="20">
        <f t="shared" si="126"/>
        <v>18406.15874063706</v>
      </c>
      <c r="N186" s="20">
        <f t="shared" si="126"/>
        <v>21510.839113200946</v>
      </c>
      <c r="O186" s="20">
        <f t="shared" si="126"/>
        <v>24097.056752293785</v>
      </c>
      <c r="P186" s="20">
        <f t="shared" si="126"/>
        <v>26988.456517086015</v>
      </c>
      <c r="Q186" s="20">
        <f t="shared" si="126"/>
        <v>29126.964924110245</v>
      </c>
      <c r="R186" s="20">
        <f t="shared" si="126"/>
        <v>28345.69852336336</v>
      </c>
      <c r="S186" s="20">
        <f t="shared" si="126"/>
        <v>28380.716335258345</v>
      </c>
      <c r="T186" s="20">
        <f t="shared" si="126"/>
        <v>29463.171887328874</v>
      </c>
      <c r="U186" s="20">
        <f t="shared" si="126"/>
        <v>30322.928235194802</v>
      </c>
    </row>
    <row r="187" spans="1:21">
      <c r="A187" s="3" t="s">
        <v>127</v>
      </c>
      <c r="B187" s="20">
        <f>SUM(B180:B186)</f>
        <v>-113056.56959904695</v>
      </c>
      <c r="C187" s="20">
        <f t="shared" ref="C187:U187" si="127">SUM(C180:C186)</f>
        <v>-30788.488499139632</v>
      </c>
      <c r="D187" s="20">
        <f t="shared" si="127"/>
        <v>-14590.449483544129</v>
      </c>
      <c r="E187" s="20">
        <f t="shared" si="127"/>
        <v>3562.805767966347</v>
      </c>
      <c r="F187" s="20">
        <f t="shared" si="127"/>
        <v>38962.099795913731</v>
      </c>
      <c r="G187" s="20">
        <f t="shared" si="127"/>
        <v>115027.97225614848</v>
      </c>
      <c r="H187" s="20">
        <f t="shared" si="127"/>
        <v>151696.80627920537</v>
      </c>
      <c r="I187" s="20">
        <f t="shared" si="127"/>
        <v>227739.12865023204</v>
      </c>
      <c r="J187" s="20">
        <f t="shared" si="127"/>
        <v>265964.76577384578</v>
      </c>
      <c r="K187" s="20">
        <f t="shared" si="127"/>
        <v>303851.87822936574</v>
      </c>
      <c r="L187" s="20">
        <f t="shared" si="127"/>
        <v>331952.71529850346</v>
      </c>
      <c r="M187" s="20">
        <f t="shared" si="127"/>
        <v>353067.55899495957</v>
      </c>
      <c r="N187" s="20">
        <f t="shared" si="127"/>
        <v>370988.57171630836</v>
      </c>
      <c r="O187" s="20">
        <f t="shared" si="127"/>
        <v>384324.84944859304</v>
      </c>
      <c r="P187" s="20">
        <f t="shared" si="127"/>
        <v>389081.59919424856</v>
      </c>
      <c r="Q187" s="20">
        <f t="shared" si="127"/>
        <v>392915.24852185824</v>
      </c>
      <c r="R187" s="20">
        <f t="shared" si="127"/>
        <v>398177.21314659622</v>
      </c>
      <c r="S187" s="20">
        <f t="shared" si="127"/>
        <v>404536.90305465227</v>
      </c>
      <c r="T187" s="20">
        <f t="shared" si="127"/>
        <v>406134.65203156776</v>
      </c>
      <c r="U187" s="20">
        <f t="shared" si="127"/>
        <v>408612.28411144362</v>
      </c>
    </row>
    <row r="188" spans="1:21">
      <c r="A188" s="3" t="s">
        <v>34</v>
      </c>
      <c r="B188" s="20">
        <f>$B$100*B96</f>
        <v>-879921.29487792624</v>
      </c>
      <c r="C188" s="20">
        <f t="shared" ref="C188:U188" si="128">$B$100*C96</f>
        <v>20777.172031164286</v>
      </c>
      <c r="D188" s="20">
        <f t="shared" si="128"/>
        <v>46709.650304409675</v>
      </c>
      <c r="E188" s="20">
        <f t="shared" si="128"/>
        <v>89930.447426485131</v>
      </c>
      <c r="F188" s="20">
        <f t="shared" si="128"/>
        <v>107218.76627531555</v>
      </c>
      <c r="G188" s="20">
        <f t="shared" si="128"/>
        <v>150439.56339739123</v>
      </c>
      <c r="H188" s="20">
        <f t="shared" si="128"/>
        <v>193660.36051946692</v>
      </c>
      <c r="I188" s="20">
        <f t="shared" si="128"/>
        <v>193660.36051946692</v>
      </c>
      <c r="J188" s="20">
        <f t="shared" si="128"/>
        <v>193660.36051946692</v>
      </c>
      <c r="K188" s="20">
        <f t="shared" si="128"/>
        <v>193660.36051946692</v>
      </c>
      <c r="L188" s="20">
        <f t="shared" si="128"/>
        <v>193660.36051946692</v>
      </c>
      <c r="M188" s="20">
        <f t="shared" si="128"/>
        <v>193660.36051946692</v>
      </c>
      <c r="N188" s="20">
        <f t="shared" si="128"/>
        <v>193660.36051946692</v>
      </c>
      <c r="O188" s="20">
        <f t="shared" si="128"/>
        <v>193660.36051946692</v>
      </c>
      <c r="P188" s="20">
        <f t="shared" si="128"/>
        <v>193660.36051946692</v>
      </c>
      <c r="Q188" s="20">
        <f t="shared" si="128"/>
        <v>193660.36051946692</v>
      </c>
      <c r="R188" s="20">
        <f t="shared" si="128"/>
        <v>193660.36051946692</v>
      </c>
      <c r="S188" s="20">
        <f t="shared" si="128"/>
        <v>193660.36051946692</v>
      </c>
      <c r="T188" s="20">
        <f t="shared" si="128"/>
        <v>193660.36051946692</v>
      </c>
      <c r="U188" s="20">
        <f t="shared" si="128"/>
        <v>193660.36051946692</v>
      </c>
    </row>
    <row r="189" spans="1:21">
      <c r="A189" s="3" t="s">
        <v>35</v>
      </c>
      <c r="B189" s="20">
        <f>$B$111*B107</f>
        <v>-330234.47036306548</v>
      </c>
      <c r="C189" s="20">
        <f t="shared" ref="C189:U189" si="129">$B$111*C107</f>
        <v>68957.94610617953</v>
      </c>
      <c r="D189" s="20">
        <f t="shared" si="129"/>
        <v>67668.771925996873</v>
      </c>
      <c r="E189" s="20">
        <f t="shared" si="129"/>
        <v>68842.025021962763</v>
      </c>
      <c r="F189" s="20">
        <f t="shared" si="129"/>
        <v>68779.682097402256</v>
      </c>
      <c r="G189" s="20">
        <f t="shared" si="129"/>
        <v>67635.07360360818</v>
      </c>
      <c r="H189" s="20">
        <f t="shared" si="129"/>
        <v>68645.488952285814</v>
      </c>
      <c r="I189" s="20">
        <f t="shared" si="129"/>
        <v>68573.319224241481</v>
      </c>
      <c r="J189" s="20">
        <f t="shared" si="129"/>
        <v>67418.392586789356</v>
      </c>
      <c r="K189" s="20">
        <f t="shared" si="129"/>
        <v>68417.97388462603</v>
      </c>
      <c r="L189" s="20">
        <f t="shared" si="129"/>
        <v>68334.428403198719</v>
      </c>
      <c r="M189" s="20">
        <f t="shared" si="129"/>
        <v>67167.557224694465</v>
      </c>
      <c r="N189" s="20">
        <f t="shared" si="129"/>
        <v>68154.596754426399</v>
      </c>
      <c r="O189" s="20">
        <f t="shared" si="129"/>
        <v>68057.882416489098</v>
      </c>
      <c r="P189" s="20">
        <f t="shared" si="129"/>
        <v>66877.183938649338</v>
      </c>
      <c r="Q189" s="20">
        <f t="shared" si="129"/>
        <v>67849.704804079025</v>
      </c>
      <c r="R189" s="20">
        <f t="shared" si="129"/>
        <v>67737.745868624363</v>
      </c>
      <c r="S189" s="20">
        <f t="shared" si="129"/>
        <v>66541.040563391376</v>
      </c>
      <c r="T189" s="20">
        <f t="shared" si="129"/>
        <v>67496.754260058166</v>
      </c>
      <c r="U189" s="20">
        <f t="shared" si="129"/>
        <v>67367.14779740246</v>
      </c>
    </row>
    <row r="190" spans="1:21">
      <c r="A190" s="3" t="s">
        <v>128</v>
      </c>
      <c r="B190" s="20">
        <f>B166+B174+B179+B187+B188+B189</f>
        <v>-2810709.2028799583</v>
      </c>
      <c r="C190" s="20">
        <f t="shared" ref="C190:U190" si="130">C166+C174+C179+C187+C188+C189</f>
        <v>-1345012.0034466186</v>
      </c>
      <c r="D190" s="20">
        <f t="shared" si="130"/>
        <v>-1470091.9970083493</v>
      </c>
      <c r="E190" s="20">
        <f t="shared" si="130"/>
        <v>-1744987.622051104</v>
      </c>
      <c r="F190" s="20">
        <f t="shared" si="130"/>
        <v>-896145.88814390812</v>
      </c>
      <c r="G190" s="20">
        <f t="shared" si="130"/>
        <v>385874.27460798656</v>
      </c>
      <c r="H190" s="20">
        <f t="shared" si="130"/>
        <v>1720689.8503132442</v>
      </c>
      <c r="I190" s="20">
        <f t="shared" si="130"/>
        <v>2948689.9342849087</v>
      </c>
      <c r="J190" s="20">
        <f t="shared" si="130"/>
        <v>3605068.7924131821</v>
      </c>
      <c r="K190" s="20">
        <f t="shared" si="130"/>
        <v>4373563.745276398</v>
      </c>
      <c r="L190" s="20">
        <f t="shared" si="130"/>
        <v>4648954.6579793412</v>
      </c>
      <c r="M190" s="20">
        <f t="shared" si="130"/>
        <v>4954973.7892556507</v>
      </c>
      <c r="N190" s="20">
        <f t="shared" si="130"/>
        <v>4867400.0611162204</v>
      </c>
      <c r="O190" s="20">
        <f t="shared" si="130"/>
        <v>5106338.7304014657</v>
      </c>
      <c r="P190" s="20">
        <f t="shared" si="130"/>
        <v>5263381.3129007099</v>
      </c>
      <c r="Q190" s="20">
        <f t="shared" si="130"/>
        <v>5553167.6095176563</v>
      </c>
      <c r="R190" s="20">
        <f t="shared" si="130"/>
        <v>5469873.1130843312</v>
      </c>
      <c r="S190" s="20">
        <f t="shared" si="130"/>
        <v>5750637.755977964</v>
      </c>
      <c r="T190" s="20">
        <f t="shared" si="130"/>
        <v>5714637.2681398243</v>
      </c>
      <c r="U190" s="20">
        <f t="shared" si="130"/>
        <v>5898656.9387784377</v>
      </c>
    </row>
    <row r="191" spans="1:21">
      <c r="A191" s="4" t="s">
        <v>129</v>
      </c>
      <c r="B191" s="12">
        <f>NPV(12%,B190:U190)</f>
        <v>8082855.1856334014</v>
      </c>
    </row>
    <row r="192" spans="1:21">
      <c r="A192" s="4" t="s">
        <v>130</v>
      </c>
      <c r="B192" s="30">
        <f>IRR(B190:U190)</f>
        <v>0.21884878141175723</v>
      </c>
    </row>
    <row r="194" spans="1:21">
      <c r="A194" s="3" t="s">
        <v>131</v>
      </c>
      <c r="B194" s="42">
        <v>988260</v>
      </c>
    </row>
    <row r="195" spans="1:21">
      <c r="A195" s="3" t="s">
        <v>132</v>
      </c>
      <c r="B195" s="49">
        <f>B194/20</f>
        <v>49413</v>
      </c>
    </row>
    <row r="196" spans="1:21">
      <c r="A196" s="3"/>
      <c r="B196" s="4" t="s">
        <v>2</v>
      </c>
      <c r="C196" s="41" t="s">
        <v>3</v>
      </c>
      <c r="D196" s="4" t="s">
        <v>4</v>
      </c>
      <c r="E196" s="4" t="s">
        <v>5</v>
      </c>
      <c r="F196" s="4" t="s">
        <v>6</v>
      </c>
      <c r="G196" s="4" t="s">
        <v>7</v>
      </c>
      <c r="H196" s="4" t="s">
        <v>8</v>
      </c>
      <c r="I196" s="4" t="s">
        <v>9</v>
      </c>
      <c r="J196" s="4" t="s">
        <v>10</v>
      </c>
      <c r="K196" s="4" t="s">
        <v>11</v>
      </c>
      <c r="L196" s="4" t="s">
        <v>12</v>
      </c>
      <c r="M196" s="4" t="s">
        <v>13</v>
      </c>
      <c r="N196" s="4" t="s">
        <v>14</v>
      </c>
      <c r="O196" s="4" t="s">
        <v>15</v>
      </c>
      <c r="P196" s="4" t="s">
        <v>16</v>
      </c>
      <c r="Q196" s="4" t="s">
        <v>17</v>
      </c>
      <c r="R196" s="4" t="s">
        <v>18</v>
      </c>
      <c r="S196" s="4" t="s">
        <v>19</v>
      </c>
      <c r="T196" s="4" t="s">
        <v>20</v>
      </c>
      <c r="U196" s="4" t="s">
        <v>21</v>
      </c>
    </row>
    <row r="197" spans="1:21">
      <c r="A197" s="3" t="s">
        <v>133</v>
      </c>
      <c r="B197" s="43">
        <v>60</v>
      </c>
      <c r="C197" s="46">
        <f>B197*(1.0225)</f>
        <v>61.349999999999994</v>
      </c>
      <c r="D197" s="46">
        <f t="shared" ref="D197:U197" si="131">C197*(1.0225)</f>
        <v>62.730374999999995</v>
      </c>
      <c r="E197" s="46">
        <f t="shared" si="131"/>
        <v>64.141808437499989</v>
      </c>
      <c r="F197" s="46">
        <f t="shared" si="131"/>
        <v>65.584999127343735</v>
      </c>
      <c r="G197" s="46">
        <f t="shared" si="131"/>
        <v>67.060661607708965</v>
      </c>
      <c r="H197" s="46">
        <f t="shared" si="131"/>
        <v>68.569526493882421</v>
      </c>
      <c r="I197" s="46">
        <f t="shared" si="131"/>
        <v>70.112340839994772</v>
      </c>
      <c r="J197" s="46">
        <f t="shared" si="131"/>
        <v>71.689868508894648</v>
      </c>
      <c r="K197" s="46">
        <f t="shared" si="131"/>
        <v>73.30289055034477</v>
      </c>
      <c r="L197" s="46">
        <f t="shared" si="131"/>
        <v>74.952205587727519</v>
      </c>
      <c r="M197" s="46">
        <f t="shared" si="131"/>
        <v>76.638630213451393</v>
      </c>
      <c r="N197" s="46">
        <f t="shared" si="131"/>
        <v>78.362999393254043</v>
      </c>
      <c r="O197" s="46">
        <f t="shared" si="131"/>
        <v>80.126166879602252</v>
      </c>
      <c r="P197" s="46">
        <f t="shared" si="131"/>
        <v>81.929005634393306</v>
      </c>
      <c r="Q197" s="46">
        <f t="shared" si="131"/>
        <v>83.772408261167158</v>
      </c>
      <c r="R197" s="46">
        <f t="shared" si="131"/>
        <v>85.657287447043416</v>
      </c>
      <c r="S197" s="46">
        <f t="shared" si="131"/>
        <v>87.584576414601884</v>
      </c>
      <c r="T197" s="46">
        <f t="shared" si="131"/>
        <v>89.555229383930424</v>
      </c>
      <c r="U197" s="46">
        <f t="shared" si="131"/>
        <v>91.57022204506886</v>
      </c>
    </row>
    <row r="198" spans="1:21">
      <c r="A198" s="9"/>
      <c r="B198" s="45"/>
      <c r="C198" s="44"/>
      <c r="D198" s="44"/>
      <c r="E198" s="44"/>
      <c r="F198" s="44"/>
      <c r="G198" s="44"/>
      <c r="H198" s="44"/>
      <c r="I198" s="44"/>
      <c r="J198" s="44"/>
      <c r="K198" s="44"/>
      <c r="L198" s="44"/>
      <c r="M198" s="44"/>
      <c r="N198" s="44"/>
      <c r="O198" s="44"/>
      <c r="P198" s="44"/>
      <c r="Q198" s="44"/>
      <c r="R198" s="44"/>
      <c r="S198" s="44"/>
      <c r="T198" s="44"/>
      <c r="U198" s="44"/>
    </row>
    <row r="200" spans="1:21">
      <c r="A200" s="4" t="s">
        <v>134</v>
      </c>
      <c r="B200" s="4" t="s">
        <v>2</v>
      </c>
      <c r="C200" s="4" t="s">
        <v>3</v>
      </c>
      <c r="D200" s="4" t="s">
        <v>4</v>
      </c>
      <c r="E200" s="4" t="s">
        <v>5</v>
      </c>
      <c r="F200" s="4" t="s">
        <v>6</v>
      </c>
      <c r="G200" s="4" t="s">
        <v>7</v>
      </c>
      <c r="H200" s="4" t="s">
        <v>8</v>
      </c>
      <c r="I200" s="4" t="s">
        <v>9</v>
      </c>
      <c r="J200" s="4" t="s">
        <v>10</v>
      </c>
      <c r="K200" s="4" t="s">
        <v>11</v>
      </c>
      <c r="L200" s="4" t="s">
        <v>12</v>
      </c>
      <c r="M200" s="4" t="s">
        <v>13</v>
      </c>
      <c r="N200" s="4" t="s">
        <v>14</v>
      </c>
      <c r="O200" s="4" t="s">
        <v>15</v>
      </c>
      <c r="P200" s="4" t="s">
        <v>16</v>
      </c>
      <c r="Q200" s="4" t="s">
        <v>17</v>
      </c>
      <c r="R200" s="4" t="s">
        <v>18</v>
      </c>
      <c r="S200" s="4" t="s">
        <v>19</v>
      </c>
      <c r="T200" s="4" t="s">
        <v>20</v>
      </c>
      <c r="U200" s="4" t="s">
        <v>21</v>
      </c>
    </row>
    <row r="201" spans="1:21">
      <c r="A201" s="26" t="s">
        <v>135</v>
      </c>
      <c r="B201" s="1">
        <f>$B$155*B138</f>
        <v>92087.773545459262</v>
      </c>
      <c r="C201" s="1">
        <f t="shared" ref="C201:U201" si="132">$B$155*C138</f>
        <v>92087.773545459262</v>
      </c>
      <c r="D201" s="1">
        <f t="shared" si="132"/>
        <v>92087.773545459262</v>
      </c>
      <c r="E201" s="1">
        <f t="shared" si="132"/>
        <v>92087.773545459262</v>
      </c>
      <c r="F201" s="1">
        <f t="shared" si="132"/>
        <v>92087.773545459262</v>
      </c>
      <c r="G201" s="1">
        <f t="shared" si="132"/>
        <v>92087.773545459262</v>
      </c>
      <c r="H201" s="1">
        <f t="shared" si="132"/>
        <v>92087.773545459262</v>
      </c>
      <c r="I201" s="1">
        <f t="shared" si="132"/>
        <v>92087.773545459262</v>
      </c>
      <c r="J201" s="1">
        <f t="shared" si="132"/>
        <v>92087.773545459262</v>
      </c>
      <c r="K201" s="1">
        <f t="shared" si="132"/>
        <v>92087.773545459262</v>
      </c>
      <c r="L201" s="1">
        <f t="shared" si="132"/>
        <v>92087.773545459262</v>
      </c>
      <c r="M201" s="1">
        <f t="shared" si="132"/>
        <v>92087.773545459262</v>
      </c>
      <c r="N201" s="1">
        <f t="shared" si="132"/>
        <v>92087.773545459262</v>
      </c>
      <c r="O201" s="1">
        <f t="shared" si="132"/>
        <v>92087.773545459262</v>
      </c>
      <c r="P201" s="1">
        <f t="shared" si="132"/>
        <v>92087.773545459262</v>
      </c>
      <c r="Q201" s="1">
        <f t="shared" si="132"/>
        <v>92087.773545459262</v>
      </c>
      <c r="R201" s="1">
        <f t="shared" si="132"/>
        <v>92087.773545459262</v>
      </c>
      <c r="S201" s="1">
        <f t="shared" si="132"/>
        <v>92087.773545459262</v>
      </c>
      <c r="T201" s="1">
        <f t="shared" si="132"/>
        <v>92087.773545459262</v>
      </c>
      <c r="U201" s="1">
        <f t="shared" si="132"/>
        <v>92087.773545459262</v>
      </c>
    </row>
    <row r="202" spans="1:21">
      <c r="A202" s="26" t="s">
        <v>136</v>
      </c>
      <c r="B202" s="3"/>
      <c r="C202" s="1">
        <f>$C$155*B138</f>
        <v>46887.979315576828</v>
      </c>
      <c r="D202" s="1">
        <f t="shared" ref="D202:U202" si="133">$C$155*C138</f>
        <v>46887.979315576828</v>
      </c>
      <c r="E202" s="1">
        <f t="shared" si="133"/>
        <v>46887.979315576828</v>
      </c>
      <c r="F202" s="1">
        <f t="shared" si="133"/>
        <v>46887.979315576828</v>
      </c>
      <c r="G202" s="1">
        <f t="shared" si="133"/>
        <v>46887.979315576828</v>
      </c>
      <c r="H202" s="1">
        <f t="shared" si="133"/>
        <v>46887.979315576828</v>
      </c>
      <c r="I202" s="1">
        <f t="shared" si="133"/>
        <v>46887.979315576828</v>
      </c>
      <c r="J202" s="1">
        <f t="shared" si="133"/>
        <v>46887.979315576828</v>
      </c>
      <c r="K202" s="1">
        <f t="shared" si="133"/>
        <v>46887.979315576828</v>
      </c>
      <c r="L202" s="1">
        <f t="shared" si="133"/>
        <v>46887.979315576828</v>
      </c>
      <c r="M202" s="1">
        <f t="shared" si="133"/>
        <v>46887.979315576828</v>
      </c>
      <c r="N202" s="1">
        <f t="shared" si="133"/>
        <v>46887.979315576828</v>
      </c>
      <c r="O202" s="1">
        <f t="shared" si="133"/>
        <v>46887.979315576828</v>
      </c>
      <c r="P202" s="1">
        <f t="shared" si="133"/>
        <v>46887.979315576828</v>
      </c>
      <c r="Q202" s="1">
        <f t="shared" si="133"/>
        <v>46887.979315576828</v>
      </c>
      <c r="R202" s="1">
        <f t="shared" si="133"/>
        <v>46887.979315576828</v>
      </c>
      <c r="S202" s="1">
        <f t="shared" si="133"/>
        <v>46887.979315576828</v>
      </c>
      <c r="T202" s="1">
        <f t="shared" si="133"/>
        <v>46887.979315576828</v>
      </c>
      <c r="U202" s="1">
        <f t="shared" si="133"/>
        <v>46887.979315576828</v>
      </c>
    </row>
    <row r="203" spans="1:21">
      <c r="A203" s="26" t="s">
        <v>137</v>
      </c>
      <c r="B203" s="3"/>
      <c r="C203" s="1"/>
      <c r="D203" s="1">
        <f>$D$155*B138</f>
        <v>44637.065867984289</v>
      </c>
      <c r="E203" s="1">
        <f t="shared" ref="E203:U203" si="134">$D$155*C138</f>
        <v>44637.065867984289</v>
      </c>
      <c r="F203" s="1">
        <f t="shared" si="134"/>
        <v>44637.065867984289</v>
      </c>
      <c r="G203" s="1">
        <f t="shared" si="134"/>
        <v>44637.065867984289</v>
      </c>
      <c r="H203" s="1">
        <f t="shared" si="134"/>
        <v>44637.065867984289</v>
      </c>
      <c r="I203" s="1">
        <f t="shared" si="134"/>
        <v>44637.065867984289</v>
      </c>
      <c r="J203" s="1">
        <f t="shared" si="134"/>
        <v>44637.065867984289</v>
      </c>
      <c r="K203" s="1">
        <f t="shared" si="134"/>
        <v>44637.065867984289</v>
      </c>
      <c r="L203" s="1">
        <f t="shared" si="134"/>
        <v>44637.065867984289</v>
      </c>
      <c r="M203" s="1">
        <f t="shared" si="134"/>
        <v>44637.065867984289</v>
      </c>
      <c r="N203" s="1">
        <f t="shared" si="134"/>
        <v>44637.065867984289</v>
      </c>
      <c r="O203" s="1">
        <f t="shared" si="134"/>
        <v>44637.065867984289</v>
      </c>
      <c r="P203" s="1">
        <f t="shared" si="134"/>
        <v>44637.065867984289</v>
      </c>
      <c r="Q203" s="1">
        <f t="shared" si="134"/>
        <v>44637.065867984289</v>
      </c>
      <c r="R203" s="1">
        <f t="shared" si="134"/>
        <v>44637.065867984289</v>
      </c>
      <c r="S203" s="1">
        <f t="shared" si="134"/>
        <v>44637.065867984289</v>
      </c>
      <c r="T203" s="1">
        <f t="shared" si="134"/>
        <v>44637.065867984289</v>
      </c>
      <c r="U203" s="1">
        <f t="shared" si="134"/>
        <v>44637.065867984289</v>
      </c>
    </row>
    <row r="204" spans="1:21">
      <c r="A204" s="26" t="s">
        <v>138</v>
      </c>
      <c r="B204" s="3"/>
      <c r="C204" s="1"/>
      <c r="D204" s="1"/>
      <c r="E204" s="1">
        <f>$E$155*B138</f>
        <v>42876.270671077225</v>
      </c>
      <c r="F204" s="1">
        <f t="shared" ref="F204:U204" si="135">$E$155*C138</f>
        <v>42876.270671077225</v>
      </c>
      <c r="G204" s="1">
        <f t="shared" si="135"/>
        <v>42876.270671077225</v>
      </c>
      <c r="H204" s="1">
        <f t="shared" si="135"/>
        <v>42876.270671077225</v>
      </c>
      <c r="I204" s="1">
        <f t="shared" si="135"/>
        <v>42876.270671077225</v>
      </c>
      <c r="J204" s="1">
        <f t="shared" si="135"/>
        <v>42876.270671077225</v>
      </c>
      <c r="K204" s="1">
        <f t="shared" si="135"/>
        <v>42876.270671077225</v>
      </c>
      <c r="L204" s="1">
        <f t="shared" si="135"/>
        <v>42876.270671077225</v>
      </c>
      <c r="M204" s="1">
        <f t="shared" si="135"/>
        <v>42876.270671077225</v>
      </c>
      <c r="N204" s="1">
        <f t="shared" si="135"/>
        <v>42876.270671077225</v>
      </c>
      <c r="O204" s="1">
        <f t="shared" si="135"/>
        <v>42876.270671077225</v>
      </c>
      <c r="P204" s="1">
        <f t="shared" si="135"/>
        <v>42876.270671077225</v>
      </c>
      <c r="Q204" s="1">
        <f t="shared" si="135"/>
        <v>42876.270671077225</v>
      </c>
      <c r="R204" s="1">
        <f t="shared" si="135"/>
        <v>42876.270671077225</v>
      </c>
      <c r="S204" s="1">
        <f t="shared" si="135"/>
        <v>42876.270671077225</v>
      </c>
      <c r="T204" s="1">
        <f t="shared" si="135"/>
        <v>42876.270671077225</v>
      </c>
      <c r="U204" s="1">
        <f t="shared" si="135"/>
        <v>42876.270671077225</v>
      </c>
    </row>
    <row r="205" spans="1:21">
      <c r="A205" s="26" t="s">
        <v>139</v>
      </c>
      <c r="B205" s="3"/>
      <c r="C205" s="1"/>
      <c r="D205" s="1"/>
      <c r="E205" s="1"/>
      <c r="F205" s="1">
        <f>$F$155*B138</f>
        <v>35615.259549810973</v>
      </c>
      <c r="G205" s="1">
        <f t="shared" ref="G205:U205" si="136">$F$155*C138</f>
        <v>35615.259549810973</v>
      </c>
      <c r="H205" s="1">
        <f t="shared" si="136"/>
        <v>35615.259549810973</v>
      </c>
      <c r="I205" s="1">
        <f t="shared" si="136"/>
        <v>35615.259549810973</v>
      </c>
      <c r="J205" s="1">
        <f t="shared" si="136"/>
        <v>35615.259549810973</v>
      </c>
      <c r="K205" s="1">
        <f t="shared" si="136"/>
        <v>35615.259549810973</v>
      </c>
      <c r="L205" s="1">
        <f t="shared" si="136"/>
        <v>35615.259549810973</v>
      </c>
      <c r="M205" s="1">
        <f t="shared" si="136"/>
        <v>35615.259549810973</v>
      </c>
      <c r="N205" s="1">
        <f t="shared" si="136"/>
        <v>35615.259549810973</v>
      </c>
      <c r="O205" s="1">
        <f t="shared" si="136"/>
        <v>35615.259549810973</v>
      </c>
      <c r="P205" s="1">
        <f t="shared" si="136"/>
        <v>35615.259549810973</v>
      </c>
      <c r="Q205" s="1">
        <f t="shared" si="136"/>
        <v>35615.259549810973</v>
      </c>
      <c r="R205" s="1">
        <f t="shared" si="136"/>
        <v>35615.259549810973</v>
      </c>
      <c r="S205" s="1">
        <f t="shared" si="136"/>
        <v>35615.259549810973</v>
      </c>
      <c r="T205" s="1">
        <f t="shared" si="136"/>
        <v>35615.259549810973</v>
      </c>
      <c r="U205" s="1">
        <f t="shared" si="136"/>
        <v>35615.259549810973</v>
      </c>
    </row>
    <row r="206" spans="1:21">
      <c r="A206" s="26" t="s">
        <v>140</v>
      </c>
      <c r="B206" s="3"/>
      <c r="C206" s="1"/>
      <c r="D206" s="1"/>
      <c r="E206" s="1"/>
      <c r="F206" s="1"/>
      <c r="G206" s="1">
        <f>$G$155*G138</f>
        <v>17825.782302708652</v>
      </c>
      <c r="H206" s="1">
        <f t="shared" ref="H206:U206" si="137">$G$155*H138</f>
        <v>17825.782302708652</v>
      </c>
      <c r="I206" s="1">
        <f t="shared" si="137"/>
        <v>17825.782302708652</v>
      </c>
      <c r="J206" s="1">
        <f t="shared" si="137"/>
        <v>17825.782302708652</v>
      </c>
      <c r="K206" s="1">
        <f t="shared" si="137"/>
        <v>17825.782302708652</v>
      </c>
      <c r="L206" s="1">
        <f t="shared" si="137"/>
        <v>17825.782302708652</v>
      </c>
      <c r="M206" s="1">
        <f t="shared" si="137"/>
        <v>17825.782302708652</v>
      </c>
      <c r="N206" s="1">
        <f t="shared" si="137"/>
        <v>17825.782302708652</v>
      </c>
      <c r="O206" s="1">
        <f t="shared" si="137"/>
        <v>17825.782302708652</v>
      </c>
      <c r="P206" s="1">
        <f t="shared" si="137"/>
        <v>17825.782302708652</v>
      </c>
      <c r="Q206" s="1">
        <f t="shared" si="137"/>
        <v>17825.782302708652</v>
      </c>
      <c r="R206" s="1">
        <f t="shared" si="137"/>
        <v>17825.782302708652</v>
      </c>
      <c r="S206" s="1">
        <f t="shared" si="137"/>
        <v>17825.782302708652</v>
      </c>
      <c r="T206" s="1">
        <f t="shared" si="137"/>
        <v>17825.782302708652</v>
      </c>
      <c r="U206" s="1">
        <f t="shared" si="137"/>
        <v>17825.782302708652</v>
      </c>
    </row>
    <row r="207" spans="1:21">
      <c r="A207" s="26" t="s">
        <v>141</v>
      </c>
      <c r="B207" s="3"/>
      <c r="C207" s="3"/>
      <c r="D207" s="3"/>
      <c r="E207" s="3"/>
      <c r="F207" s="3"/>
      <c r="G207" s="3"/>
      <c r="H207" s="1">
        <f>$H$155*B138</f>
        <v>17789.477247102321</v>
      </c>
      <c r="I207" s="1">
        <f t="shared" ref="I207:U207" si="138">$H$155*C138</f>
        <v>17789.477247102321</v>
      </c>
      <c r="J207" s="1">
        <f t="shared" si="138"/>
        <v>17789.477247102321</v>
      </c>
      <c r="K207" s="1">
        <f t="shared" si="138"/>
        <v>17789.477247102321</v>
      </c>
      <c r="L207" s="1">
        <f t="shared" si="138"/>
        <v>17789.477247102321</v>
      </c>
      <c r="M207" s="1">
        <f t="shared" si="138"/>
        <v>17789.477247102321</v>
      </c>
      <c r="N207" s="1">
        <f t="shared" si="138"/>
        <v>17789.477247102321</v>
      </c>
      <c r="O207" s="1">
        <f t="shared" si="138"/>
        <v>17789.477247102321</v>
      </c>
      <c r="P207" s="1">
        <f t="shared" si="138"/>
        <v>17789.477247102321</v>
      </c>
      <c r="Q207" s="1">
        <f t="shared" si="138"/>
        <v>17789.477247102321</v>
      </c>
      <c r="R207" s="1">
        <f t="shared" si="138"/>
        <v>17789.477247102321</v>
      </c>
      <c r="S207" s="1">
        <f t="shared" si="138"/>
        <v>17789.477247102321</v>
      </c>
      <c r="T207" s="1">
        <f t="shared" si="138"/>
        <v>17789.477247102321</v>
      </c>
      <c r="U207" s="1">
        <f t="shared" si="138"/>
        <v>17789.477247102321</v>
      </c>
    </row>
    <row r="208" spans="1:21">
      <c r="A208" s="26" t="s">
        <v>142</v>
      </c>
      <c r="B208" s="1">
        <f>$B$195*B197</f>
        <v>2964780</v>
      </c>
      <c r="C208" s="1">
        <f t="shared" ref="C208:U208" si="139">$B$195*C197</f>
        <v>3031487.55</v>
      </c>
      <c r="D208" s="1">
        <f t="shared" si="139"/>
        <v>3099696.0198749998</v>
      </c>
      <c r="E208" s="1">
        <f t="shared" si="139"/>
        <v>3169439.180322187</v>
      </c>
      <c r="F208" s="1">
        <f t="shared" si="139"/>
        <v>3240751.561879436</v>
      </c>
      <c r="G208" s="1">
        <f t="shared" si="139"/>
        <v>3313668.4720217232</v>
      </c>
      <c r="H208" s="1">
        <f t="shared" si="139"/>
        <v>3388226.0126422122</v>
      </c>
      <c r="I208" s="1">
        <f t="shared" si="139"/>
        <v>3464461.0979266618</v>
      </c>
      <c r="J208" s="1">
        <f t="shared" si="139"/>
        <v>3542411.4726300114</v>
      </c>
      <c r="K208" s="1">
        <f t="shared" si="139"/>
        <v>3622115.730764186</v>
      </c>
      <c r="L208" s="1">
        <f t="shared" si="139"/>
        <v>3703613.33470638</v>
      </c>
      <c r="M208" s="1">
        <f t="shared" si="139"/>
        <v>3786944.6347372737</v>
      </c>
      <c r="N208" s="1">
        <f t="shared" si="139"/>
        <v>3872150.889018862</v>
      </c>
      <c r="O208" s="1">
        <f t="shared" si="139"/>
        <v>3959274.2840217859</v>
      </c>
      <c r="P208" s="1">
        <f t="shared" si="139"/>
        <v>4048357.9554122766</v>
      </c>
      <c r="Q208" s="1">
        <f t="shared" si="139"/>
        <v>4139446.0094090528</v>
      </c>
      <c r="R208" s="1">
        <f t="shared" si="139"/>
        <v>4232583.5446207561</v>
      </c>
      <c r="S208" s="1">
        <f t="shared" si="139"/>
        <v>4327816.6743747229</v>
      </c>
      <c r="T208" s="1">
        <f t="shared" si="139"/>
        <v>4425192.5495481538</v>
      </c>
      <c r="U208" s="1">
        <f t="shared" si="139"/>
        <v>4524759.3819129877</v>
      </c>
    </row>
    <row r="209" spans="1:21">
      <c r="A209" s="3" t="s">
        <v>134</v>
      </c>
      <c r="B209" s="1">
        <f>SUM(B201:B208)</f>
        <v>3056867.7735454594</v>
      </c>
      <c r="C209" s="1">
        <f t="shared" ref="C209:U209" si="140">SUM(C201:C208)</f>
        <v>3170463.3028610358</v>
      </c>
      <c r="D209" s="1">
        <f t="shared" si="140"/>
        <v>3283308.83860402</v>
      </c>
      <c r="E209" s="1">
        <f t="shared" si="140"/>
        <v>3395928.2697222847</v>
      </c>
      <c r="F209" s="1">
        <f t="shared" si="140"/>
        <v>3502855.9108293448</v>
      </c>
      <c r="G209" s="1">
        <f t="shared" si="140"/>
        <v>3593598.6032743403</v>
      </c>
      <c r="H209" s="1">
        <f t="shared" si="140"/>
        <v>3685945.621141932</v>
      </c>
      <c r="I209" s="1">
        <f t="shared" si="140"/>
        <v>3762180.7064263811</v>
      </c>
      <c r="J209" s="1">
        <f t="shared" si="140"/>
        <v>3840131.0811297307</v>
      </c>
      <c r="K209" s="1">
        <f t="shared" si="140"/>
        <v>3919835.3392639058</v>
      </c>
      <c r="L209" s="1">
        <f t="shared" si="140"/>
        <v>4001332.9432060998</v>
      </c>
      <c r="M209" s="1">
        <f t="shared" si="140"/>
        <v>4084664.2432369934</v>
      </c>
      <c r="N209" s="1">
        <f t="shared" si="140"/>
        <v>4169870.4975185813</v>
      </c>
      <c r="O209" s="1">
        <f t="shared" si="140"/>
        <v>4256993.8925215052</v>
      </c>
      <c r="P209" s="1">
        <f t="shared" si="140"/>
        <v>4346077.5639119959</v>
      </c>
      <c r="Q209" s="1">
        <f t="shared" si="140"/>
        <v>4437165.6179087721</v>
      </c>
      <c r="R209" s="1">
        <f t="shared" si="140"/>
        <v>4530303.1531204758</v>
      </c>
      <c r="S209" s="1">
        <f t="shared" si="140"/>
        <v>4625536.2828744426</v>
      </c>
      <c r="T209" s="1">
        <f t="shared" si="140"/>
        <v>4722912.1580478735</v>
      </c>
      <c r="U209" s="1">
        <f t="shared" si="140"/>
        <v>4822478.9904127074</v>
      </c>
    </row>
    <row r="210" spans="1:21">
      <c r="A210" s="4" t="s">
        <v>143</v>
      </c>
      <c r="B210" s="12">
        <f>NPV(12%,B209:U209)</f>
        <v>27246749.768606592</v>
      </c>
    </row>
    <row r="211" spans="1:21">
      <c r="A211" s="4" t="s">
        <v>144</v>
      </c>
      <c r="B211" s="30" t="e">
        <f>IRR(B209:U209)</f>
        <v>#NUM!</v>
      </c>
    </row>
    <row r="214" spans="1:21">
      <c r="A214" s="3" t="s">
        <v>145</v>
      </c>
      <c r="B214" s="20">
        <f>(B190+B209)*$B$238</f>
        <v>246158.57066550106</v>
      </c>
      <c r="C214" s="20">
        <f>(C190+C209)*$B$238</f>
        <v>1825451.2994144172</v>
      </c>
      <c r="D214" s="20">
        <f>(D190+D209)*$B$238</f>
        <v>1813216.8415956707</v>
      </c>
      <c r="E214" s="20">
        <f>(E190+E209)*$B$238</f>
        <v>1650940.6476711808</v>
      </c>
      <c r="F214" s="20">
        <f>(F190+F209)*$B$238</f>
        <v>2606710.0226854365</v>
      </c>
      <c r="G214" s="20">
        <f>(G190+G209)*$B$238</f>
        <v>3979472.877882327</v>
      </c>
      <c r="H214" s="20">
        <f>(H190+H209)*$B$238</f>
        <v>5406635.4714551764</v>
      </c>
      <c r="I214" s="20">
        <f>(I190+I209)*$B$238</f>
        <v>6710870.6407112898</v>
      </c>
      <c r="J214" s="20">
        <f>(J190+J209)*$B$238</f>
        <v>7445199.8735429123</v>
      </c>
      <c r="K214" s="20">
        <f>(K190+K209)*$B$238</f>
        <v>8293399.0845403038</v>
      </c>
      <c r="L214" s="20">
        <f>(L190+L209)*$B$238</f>
        <v>8650287.601185441</v>
      </c>
      <c r="M214" s="20">
        <f>(M190+M209)*$B$238</f>
        <v>9039638.0324926451</v>
      </c>
      <c r="N214" s="20">
        <f>(N190+N209)*$B$238</f>
        <v>9037270.5586348027</v>
      </c>
      <c r="O214" s="20">
        <f>(O190+O209)*$B$238</f>
        <v>9363332.6229229718</v>
      </c>
      <c r="P214" s="20">
        <f>(P190+P209)*$B$238</f>
        <v>9609458.8768127058</v>
      </c>
      <c r="Q214" s="20">
        <f>(Q190+Q209)*$B$238</f>
        <v>9990333.2274264283</v>
      </c>
      <c r="R214" s="20">
        <f>(R190+R209)*$B$238</f>
        <v>10000176.266204808</v>
      </c>
      <c r="S214" s="20">
        <f>(S190+S209)*$B$238</f>
        <v>10376174.038852407</v>
      </c>
      <c r="T214" s="20">
        <f>(T190+T209)*$B$238</f>
        <v>10437549.426187698</v>
      </c>
      <c r="U214" s="20">
        <f>(U190+U209)*$B$238</f>
        <v>10721135.929191146</v>
      </c>
    </row>
    <row r="215" spans="1:21">
      <c r="A215" s="2">
        <v>0.86839999999999995</v>
      </c>
    </row>
    <row r="216" spans="1:21">
      <c r="A216" s="3" t="s">
        <v>146</v>
      </c>
      <c r="B216" s="3"/>
      <c r="C216" s="3"/>
      <c r="D216" s="3"/>
      <c r="E216" s="3"/>
      <c r="F216" s="3"/>
      <c r="G216" s="3"/>
      <c r="H216" s="3"/>
    </row>
    <row r="217" spans="1:21">
      <c r="A217" s="3" t="s">
        <v>147</v>
      </c>
      <c r="B217" s="20">
        <f>B154*Costeo!$I$4*$A$215</f>
        <v>1054134.8092296482</v>
      </c>
      <c r="C217" s="20">
        <f>C154*Costeo!$I$4*$A$215</f>
        <v>468443.26686605398</v>
      </c>
      <c r="D217" s="20">
        <f>D154*Costeo!$I$4*$A$215</f>
        <v>449233.04492339131</v>
      </c>
      <c r="E217" s="20">
        <f>E154*Costeo!$I$4*$A$215</f>
        <v>434218.15983170789</v>
      </c>
      <c r="F217" s="20">
        <f>F154*Costeo!$I$4*$A$215</f>
        <v>372281.75723700307</v>
      </c>
      <c r="G217" s="20">
        <f>G154*Costeo!$I$4*$A$215</f>
        <v>227101.60279308649</v>
      </c>
      <c r="H217" s="20">
        <f>H154*Costeo!$I$4*$A$215</f>
        <v>145180.15444391657</v>
      </c>
      <c r="I217" s="27"/>
      <c r="J217" s="27"/>
    </row>
    <row r="218" spans="1:21">
      <c r="A218" s="3" t="s">
        <v>148</v>
      </c>
      <c r="B218" s="20">
        <f>B154*Costeo!$I$7*'Economic Analysis'!$A$215</f>
        <v>328388.19876116805</v>
      </c>
      <c r="C218" s="20">
        <f>C154*Costeo!$I$7*'Economic Analysis'!$A$215</f>
        <v>145931.27869514056</v>
      </c>
      <c r="D218" s="20">
        <f>D154*Costeo!$I$7*'Economic Analysis'!$A$215</f>
        <v>139946.8352194874</v>
      </c>
      <c r="E218" s="20">
        <f>E154*Costeo!$I$7*'Economic Analysis'!$A$215</f>
        <v>135269.33948868315</v>
      </c>
      <c r="F218" s="20">
        <f>F154*Costeo!$I$7*'Economic Analysis'!$A$215</f>
        <v>115974.66910332197</v>
      </c>
      <c r="G218" s="20">
        <f>G154*Costeo!$I$7*'Economic Analysis'!$A$215</f>
        <v>70747.579554361218</v>
      </c>
      <c r="H218" s="20">
        <f>H154*Costeo!$I$7*'Economic Analysis'!$A$215</f>
        <v>45227.089548960757</v>
      </c>
    </row>
    <row r="219" spans="1:21">
      <c r="A219" s="3" t="s">
        <v>149</v>
      </c>
      <c r="B219" s="20">
        <f>B154*Costeo!$I$9*'Economic Analysis'!$A$215</f>
        <v>1143008.5404508885</v>
      </c>
      <c r="C219" s="20">
        <f>C154*Costeo!$I$9*'Economic Analysis'!$A$215</f>
        <v>507937.5522528328</v>
      </c>
      <c r="D219" s="20">
        <f>D154*Costeo!$I$9*'Economic Analysis'!$A$215</f>
        <v>487107.72332377319</v>
      </c>
      <c r="E219" s="20">
        <f>E154*Costeo!$I$9*'Economic Analysis'!$A$215</f>
        <v>470826.93860495265</v>
      </c>
      <c r="F219" s="20">
        <f>F154*Costeo!$I$9*'Economic Analysis'!$A$215</f>
        <v>403668.69991412741</v>
      </c>
      <c r="G219" s="20">
        <f>G154*Costeo!$I$9*'Economic Analysis'!$A$215</f>
        <v>246248.45823304247</v>
      </c>
      <c r="H219" s="20">
        <f>H154*Costeo!$I$9*'Economic Analysis'!$A$215</f>
        <v>157420.24168108503</v>
      </c>
    </row>
    <row r="220" spans="1:21">
      <c r="A220" s="3" t="s">
        <v>150</v>
      </c>
      <c r="B220" s="20">
        <f>B154*Costeo!$J$11*'Economic Analysis'!$A$215</f>
        <v>0</v>
      </c>
      <c r="C220" s="20">
        <f>C154*Costeo!$J$11*'Economic Analysis'!$A$215</f>
        <v>0</v>
      </c>
      <c r="D220" s="20">
        <f>D154*Costeo!$J$11*'Economic Analysis'!$A$215</f>
        <v>0</v>
      </c>
      <c r="E220" s="20">
        <f>E154*Costeo!$J$11*'Economic Analysis'!$A$215</f>
        <v>0</v>
      </c>
      <c r="F220" s="20">
        <f>F154*Costeo!$J$11*'Economic Analysis'!$A$215</f>
        <v>0</v>
      </c>
      <c r="G220" s="20">
        <f>G154*Costeo!$J$11*'Economic Analysis'!$A$215</f>
        <v>0</v>
      </c>
      <c r="H220" s="20">
        <f>H154*Costeo!$J$11*'Economic Analysis'!$A$215</f>
        <v>0</v>
      </c>
    </row>
    <row r="221" spans="1:21">
      <c r="A221" s="3" t="s">
        <v>151</v>
      </c>
      <c r="B221" s="20">
        <f>B154*Costeo!$I$12*'Economic Analysis'!$A$215</f>
        <v>755053.17679520696</v>
      </c>
      <c r="C221" s="20">
        <f>C154*Costeo!$I$12*'Economic Analysis'!$A$215</f>
        <v>335535.43028715579</v>
      </c>
      <c r="D221" s="20">
        <f>D154*Costeo!$I$12*'Economic Analysis'!$A$215</f>
        <v>321775.57815273257</v>
      </c>
      <c r="E221" s="20">
        <f>E154*Costeo!$I$12*'Economic Analysis'!$A$215</f>
        <v>311020.75193086109</v>
      </c>
      <c r="F221" s="20">
        <f>F154*Costeo!$I$12*'Economic Analysis'!$A$215</f>
        <v>266657.09262567753</v>
      </c>
      <c r="G221" s="20">
        <f>G154*Costeo!$I$12*'Economic Analysis'!$A$215</f>
        <v>162667.7965122076</v>
      </c>
      <c r="H221" s="20">
        <f>H154*Costeo!$I$12*'Economic Analysis'!$A$215</f>
        <v>103989.29611346991</v>
      </c>
    </row>
    <row r="222" spans="1:21">
      <c r="A222" s="3" t="s">
        <v>86</v>
      </c>
      <c r="B222" s="20">
        <f>-SUM(B217:B221)</f>
        <v>-3280584.7252369113</v>
      </c>
      <c r="C222" s="20">
        <f t="shared" ref="C222:H222" si="141">-SUM(C217:C221)</f>
        <v>-1457847.528101183</v>
      </c>
      <c r="D222" s="20">
        <f t="shared" si="141"/>
        <v>-1398063.1816193843</v>
      </c>
      <c r="E222" s="20">
        <f t="shared" si="141"/>
        <v>-1351335.1898562049</v>
      </c>
      <c r="F222" s="20">
        <f t="shared" si="141"/>
        <v>-1158582.21888013</v>
      </c>
      <c r="G222" s="20">
        <f t="shared" si="141"/>
        <v>-706765.43709269783</v>
      </c>
      <c r="H222" s="20">
        <f t="shared" si="141"/>
        <v>-451816.78178743232</v>
      </c>
    </row>
    <row r="223" spans="1:21">
      <c r="B223" s="39"/>
    </row>
    <row r="225" spans="1:21">
      <c r="A225" s="3" t="s">
        <v>152</v>
      </c>
      <c r="B225" s="20">
        <f>B214+B222</f>
        <v>-3034426.1545714103</v>
      </c>
      <c r="C225" s="20">
        <f t="shared" ref="C225:U225" si="142">C214+C222</f>
        <v>367603.77131323423</v>
      </c>
      <c r="D225" s="20">
        <f t="shared" si="142"/>
        <v>415153.65997628635</v>
      </c>
      <c r="E225" s="20">
        <f t="shared" si="142"/>
        <v>299605.45781497587</v>
      </c>
      <c r="F225" s="20">
        <f t="shared" si="142"/>
        <v>1448127.8038053066</v>
      </c>
      <c r="G225" s="20">
        <f t="shared" si="142"/>
        <v>3272707.4407896292</v>
      </c>
      <c r="H225" s="20">
        <f t="shared" si="142"/>
        <v>4954818.6896677436</v>
      </c>
      <c r="I225" s="20">
        <f t="shared" si="142"/>
        <v>6710870.6407112898</v>
      </c>
      <c r="J225" s="20">
        <f t="shared" si="142"/>
        <v>7445199.8735429123</v>
      </c>
      <c r="K225" s="20">
        <f t="shared" si="142"/>
        <v>8293399.0845403038</v>
      </c>
      <c r="L225" s="20">
        <f t="shared" si="142"/>
        <v>8650287.601185441</v>
      </c>
      <c r="M225" s="20">
        <f t="shared" si="142"/>
        <v>9039638.0324926451</v>
      </c>
      <c r="N225" s="20">
        <f t="shared" si="142"/>
        <v>9037270.5586348027</v>
      </c>
      <c r="O225" s="20">
        <f t="shared" si="142"/>
        <v>9363332.6229229718</v>
      </c>
      <c r="P225" s="20">
        <f t="shared" si="142"/>
        <v>9609458.8768127058</v>
      </c>
      <c r="Q225" s="20">
        <f t="shared" si="142"/>
        <v>9990333.2274264283</v>
      </c>
      <c r="R225" s="20">
        <f t="shared" si="142"/>
        <v>10000176.266204808</v>
      </c>
      <c r="S225" s="20">
        <f t="shared" si="142"/>
        <v>10376174.038852407</v>
      </c>
      <c r="T225" s="20">
        <f t="shared" si="142"/>
        <v>10437549.426187698</v>
      </c>
      <c r="U225" s="20">
        <f t="shared" si="142"/>
        <v>10721135.929191146</v>
      </c>
    </row>
    <row r="226" spans="1:21">
      <c r="A226" s="9"/>
      <c r="B226" s="33"/>
      <c r="C226" s="33"/>
      <c r="D226" s="33"/>
      <c r="E226" s="33"/>
      <c r="F226" s="33"/>
      <c r="G226" s="33"/>
      <c r="H226" s="33"/>
      <c r="I226" s="33"/>
      <c r="J226" s="33"/>
      <c r="K226" s="33"/>
      <c r="L226" s="33"/>
      <c r="M226" s="33"/>
      <c r="N226" s="33"/>
      <c r="O226" s="33"/>
      <c r="P226" s="33"/>
      <c r="Q226" s="33"/>
      <c r="R226" s="33"/>
      <c r="S226" s="33"/>
      <c r="T226" s="33"/>
      <c r="U226" s="33"/>
    </row>
    <row r="227" spans="1:21">
      <c r="A227" s="4" t="s">
        <v>153</v>
      </c>
      <c r="B227" s="4" t="s">
        <v>154</v>
      </c>
      <c r="C227" s="33"/>
      <c r="D227" s="33"/>
      <c r="E227" s="33"/>
      <c r="F227" s="33"/>
      <c r="G227" s="33"/>
      <c r="H227" s="33"/>
      <c r="I227" s="33"/>
      <c r="J227" s="33"/>
      <c r="K227" s="33"/>
      <c r="L227" s="33"/>
      <c r="M227" s="33"/>
      <c r="N227" s="33"/>
      <c r="O227" s="33"/>
      <c r="P227" s="33"/>
      <c r="Q227" s="33"/>
      <c r="R227" s="33"/>
      <c r="S227" s="33"/>
      <c r="T227" s="33"/>
      <c r="U227" s="33"/>
    </row>
    <row r="228" spans="1:21">
      <c r="A228" s="32">
        <f>NPV(12%,B225:U225)/1000000</f>
        <v>28.164553626677066</v>
      </c>
      <c r="B228" s="13">
        <f>IRR(B225:U225)</f>
        <v>0.50004740826342275</v>
      </c>
    </row>
    <row r="229" spans="1:21">
      <c r="A229" s="9"/>
      <c r="B229" s="9"/>
    </row>
    <row r="230" spans="1:21">
      <c r="A230" s="4" t="s">
        <v>155</v>
      </c>
      <c r="B230" s="47">
        <f>SUM(B190:U190)/(SUM(B190:U190)+SUM(B209:U209))</f>
        <v>0.42269328665476602</v>
      </c>
    </row>
    <row r="231" spans="1:21">
      <c r="A231" s="4" t="s">
        <v>156</v>
      </c>
      <c r="B231" s="47">
        <f>SUM(B209:U209)/(SUM(B209:U209)+SUM(B190:U190))</f>
        <v>0.57730671334523398</v>
      </c>
    </row>
    <row r="232" spans="1:21">
      <c r="A232" s="9"/>
      <c r="B232" s="9"/>
    </row>
    <row r="233" spans="1:21">
      <c r="A233" s="4" t="s">
        <v>157</v>
      </c>
      <c r="B233" s="12">
        <f>A228*1000000/I153</f>
        <v>986.91406639137517</v>
      </c>
    </row>
    <row r="234" spans="1:21">
      <c r="A234" s="4" t="s">
        <v>158</v>
      </c>
      <c r="B234" s="35">
        <v>129580</v>
      </c>
    </row>
    <row r="235" spans="1:21">
      <c r="A235" s="4" t="s">
        <v>159</v>
      </c>
      <c r="B235" s="12">
        <f>A228*1000000/B234</f>
        <v>217.35262869792456</v>
      </c>
    </row>
    <row r="236" spans="1:21">
      <c r="D236" s="39"/>
    </row>
    <row r="237" spans="1:21">
      <c r="A237" s="14" t="s">
        <v>160</v>
      </c>
      <c r="J237" s="28"/>
    </row>
    <row r="238" spans="1:21">
      <c r="A238" s="3" t="s">
        <v>37</v>
      </c>
      <c r="B238" s="3">
        <v>1</v>
      </c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  <c r="P238" s="3"/>
      <c r="Q238" s="3"/>
      <c r="R238" s="3"/>
      <c r="S238" s="3"/>
      <c r="T238" s="3"/>
      <c r="U238" s="3"/>
    </row>
    <row r="239" spans="1:21">
      <c r="A239" s="3" t="s">
        <v>38</v>
      </c>
      <c r="B239" s="3">
        <v>1</v>
      </c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  <c r="P239" s="3"/>
      <c r="Q239" s="3"/>
      <c r="R239" s="3"/>
      <c r="S239" s="3"/>
      <c r="T239" s="3"/>
      <c r="U239" s="3"/>
    </row>
    <row r="240" spans="1:21">
      <c r="A240" s="3" t="s">
        <v>161</v>
      </c>
      <c r="B240" s="20">
        <f>-(Costeo!I5+Costeo!I6+Costeo!I8)*A215</f>
        <v>-47647511.478231072</v>
      </c>
      <c r="C240" s="31"/>
      <c r="D240" s="3"/>
      <c r="E240" s="3"/>
      <c r="F240" s="20"/>
      <c r="G240" s="3"/>
      <c r="H240" s="3"/>
      <c r="I240" s="3"/>
      <c r="J240" s="3"/>
      <c r="K240" s="3"/>
      <c r="L240" s="3"/>
      <c r="M240" s="3"/>
      <c r="N240" s="3"/>
      <c r="O240" s="3"/>
      <c r="P240" s="3"/>
      <c r="Q240" s="3"/>
      <c r="R240" s="3"/>
      <c r="S240" s="3"/>
      <c r="T240" s="3"/>
      <c r="U240" s="3"/>
    </row>
    <row r="241" spans="1:21">
      <c r="A241" s="3" t="s">
        <v>162</v>
      </c>
      <c r="B241" s="20">
        <f t="shared" ref="B241:H241" si="143">$B$240*B154*($B$239-1)</f>
        <v>0</v>
      </c>
      <c r="C241" s="20">
        <f t="shared" si="143"/>
        <v>0</v>
      </c>
      <c r="D241" s="20">
        <f t="shared" si="143"/>
        <v>0</v>
      </c>
      <c r="E241" s="20">
        <f t="shared" si="143"/>
        <v>0</v>
      </c>
      <c r="F241" s="20">
        <f t="shared" si="143"/>
        <v>0</v>
      </c>
      <c r="G241" s="20">
        <f t="shared" si="143"/>
        <v>0</v>
      </c>
      <c r="H241" s="20">
        <f t="shared" si="143"/>
        <v>0</v>
      </c>
      <c r="I241" s="3"/>
      <c r="J241" s="3"/>
      <c r="K241" s="3"/>
      <c r="L241" s="3"/>
      <c r="M241" s="3"/>
      <c r="N241" s="3"/>
      <c r="O241" s="3"/>
      <c r="P241" s="3"/>
      <c r="Q241" s="3"/>
      <c r="R241" s="3"/>
      <c r="S241" s="3"/>
      <c r="T241" s="3"/>
      <c r="U241" s="3"/>
    </row>
    <row r="242" spans="1:21">
      <c r="A242" s="3" t="s">
        <v>163</v>
      </c>
      <c r="B242" s="20">
        <f>($B$239-1)*B222</f>
        <v>0</v>
      </c>
      <c r="C242" s="20">
        <f t="shared" ref="C242:H242" si="144">($B$239-1)*C222</f>
        <v>0</v>
      </c>
      <c r="D242" s="20">
        <f t="shared" si="144"/>
        <v>0</v>
      </c>
      <c r="E242" s="20">
        <f t="shared" si="144"/>
        <v>0</v>
      </c>
      <c r="F242" s="20">
        <f t="shared" si="144"/>
        <v>0</v>
      </c>
      <c r="G242" s="20">
        <f t="shared" si="144"/>
        <v>0</v>
      </c>
      <c r="H242" s="20">
        <f t="shared" si="144"/>
        <v>0</v>
      </c>
      <c r="I242" s="3"/>
      <c r="J242" s="3"/>
      <c r="K242" s="3"/>
      <c r="L242" s="3"/>
      <c r="M242" s="3"/>
      <c r="N242" s="3"/>
      <c r="O242" s="3"/>
      <c r="P242" s="3"/>
      <c r="Q242" s="3"/>
      <c r="R242" s="3"/>
      <c r="S242" s="3"/>
      <c r="T242" s="3"/>
      <c r="U242" s="3"/>
    </row>
    <row r="243" spans="1:21">
      <c r="A243" s="3" t="s">
        <v>164</v>
      </c>
      <c r="B243" s="20">
        <f>B241+B242</f>
        <v>0</v>
      </c>
      <c r="C243" s="20">
        <f t="shared" ref="C243:H243" si="145">C241+C242</f>
        <v>0</v>
      </c>
      <c r="D243" s="20">
        <f t="shared" si="145"/>
        <v>0</v>
      </c>
      <c r="E243" s="20">
        <f t="shared" si="145"/>
        <v>0</v>
      </c>
      <c r="F243" s="20">
        <f t="shared" si="145"/>
        <v>0</v>
      </c>
      <c r="G243" s="20">
        <f t="shared" si="145"/>
        <v>0</v>
      </c>
      <c r="H243" s="20">
        <f t="shared" si="145"/>
        <v>0</v>
      </c>
      <c r="I243" s="3"/>
      <c r="J243" s="3"/>
      <c r="K243" s="3"/>
      <c r="L243" s="3"/>
      <c r="M243" s="3"/>
      <c r="N243" s="3"/>
      <c r="O243" s="3"/>
      <c r="P243" s="3"/>
      <c r="Q243" s="3"/>
      <c r="R243" s="3"/>
      <c r="S243" s="3"/>
      <c r="T243" s="3"/>
      <c r="U243" s="3"/>
    </row>
    <row r="244" spans="1:21">
      <c r="A244" s="3" t="s">
        <v>165</v>
      </c>
      <c r="B244" s="20">
        <f>B225+B243</f>
        <v>-3034426.1545714103</v>
      </c>
      <c r="C244" s="20">
        <f t="shared" ref="C244:U244" si="146">C225+C243</f>
        <v>367603.77131323423</v>
      </c>
      <c r="D244" s="20">
        <f t="shared" si="146"/>
        <v>415153.65997628635</v>
      </c>
      <c r="E244" s="20">
        <f t="shared" si="146"/>
        <v>299605.45781497587</v>
      </c>
      <c r="F244" s="20">
        <f t="shared" si="146"/>
        <v>1448127.8038053066</v>
      </c>
      <c r="G244" s="20">
        <f t="shared" si="146"/>
        <v>3272707.4407896292</v>
      </c>
      <c r="H244" s="20">
        <f t="shared" si="146"/>
        <v>4954818.6896677436</v>
      </c>
      <c r="I244" s="20">
        <f t="shared" si="146"/>
        <v>6710870.6407112898</v>
      </c>
      <c r="J244" s="20">
        <f t="shared" si="146"/>
        <v>7445199.8735429123</v>
      </c>
      <c r="K244" s="20">
        <f t="shared" si="146"/>
        <v>8293399.0845403038</v>
      </c>
      <c r="L244" s="20">
        <f t="shared" si="146"/>
        <v>8650287.601185441</v>
      </c>
      <c r="M244" s="20">
        <f t="shared" si="146"/>
        <v>9039638.0324926451</v>
      </c>
      <c r="N244" s="20">
        <f t="shared" si="146"/>
        <v>9037270.5586348027</v>
      </c>
      <c r="O244" s="20">
        <f t="shared" si="146"/>
        <v>9363332.6229229718</v>
      </c>
      <c r="P244" s="20">
        <f t="shared" si="146"/>
        <v>9609458.8768127058</v>
      </c>
      <c r="Q244" s="20">
        <f t="shared" si="146"/>
        <v>9990333.2274264283</v>
      </c>
      <c r="R244" s="20">
        <f t="shared" si="146"/>
        <v>10000176.266204808</v>
      </c>
      <c r="S244" s="20">
        <f t="shared" si="146"/>
        <v>10376174.038852407</v>
      </c>
      <c r="T244" s="20">
        <f t="shared" si="146"/>
        <v>10437549.426187698</v>
      </c>
      <c r="U244" s="20">
        <f t="shared" si="146"/>
        <v>10721135.929191146</v>
      </c>
    </row>
    <row r="245" spans="1:21">
      <c r="C245" s="20"/>
      <c r="D245" s="20"/>
      <c r="E245" s="20"/>
      <c r="F245" s="20"/>
      <c r="G245" s="20"/>
      <c r="H245" s="20"/>
      <c r="I245" s="3"/>
      <c r="J245" s="3"/>
      <c r="K245" s="3"/>
      <c r="L245" s="3"/>
      <c r="M245" s="3"/>
      <c r="N245" s="3"/>
      <c r="O245" s="3"/>
      <c r="P245" s="3"/>
      <c r="Q245" s="3"/>
      <c r="R245" s="3"/>
      <c r="S245" s="3"/>
      <c r="T245" s="3"/>
      <c r="U245" s="3"/>
    </row>
    <row r="246" spans="1:21">
      <c r="A246" s="4" t="s">
        <v>153</v>
      </c>
      <c r="B246" s="4" t="s">
        <v>154</v>
      </c>
      <c r="D246" s="3"/>
      <c r="E246" s="3"/>
      <c r="F246" s="20"/>
      <c r="G246" s="3"/>
      <c r="H246" s="3"/>
      <c r="I246" s="3"/>
      <c r="J246" s="3"/>
      <c r="K246" s="3"/>
      <c r="L246" s="3"/>
      <c r="M246" s="3"/>
      <c r="N246" s="3"/>
      <c r="O246" s="3"/>
      <c r="P246" s="3"/>
      <c r="Q246" s="3"/>
      <c r="R246" s="3"/>
      <c r="S246" s="3"/>
      <c r="T246" s="3"/>
      <c r="U246" s="3"/>
    </row>
    <row r="247" spans="1:21">
      <c r="A247" s="32">
        <f>NPV(12%,B244:U244)/1000000</f>
        <v>28.164553626677066</v>
      </c>
      <c r="B247" s="13">
        <f>IRR(B244:U244)</f>
        <v>0.50004740826342275</v>
      </c>
      <c r="C247" s="9"/>
      <c r="D247" s="9"/>
      <c r="E247" s="9"/>
      <c r="F247" s="33"/>
      <c r="G247" s="9"/>
      <c r="H247" s="9"/>
      <c r="I247" s="9"/>
    </row>
    <row r="248" spans="1:21">
      <c r="A248" s="8"/>
      <c r="B248" s="34"/>
      <c r="C248" s="9"/>
      <c r="D248" s="9"/>
      <c r="E248" s="9"/>
      <c r="F248" s="33"/>
      <c r="G248" s="9"/>
      <c r="H248" s="9"/>
      <c r="I248" s="9"/>
    </row>
  </sheetData>
  <mergeCells count="1">
    <mergeCell ref="E120:F120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C3:K15"/>
  <sheetViews>
    <sheetView zoomScale="80" zoomScaleNormal="80" workbookViewId="0">
      <selection activeCell="I13" sqref="I13"/>
    </sheetView>
  </sheetViews>
  <sheetFormatPr defaultRowHeight="15"/>
  <cols>
    <col min="1" max="1" width="9.140625" customWidth="1"/>
    <col min="3" max="3" width="14.140625" bestFit="1" customWidth="1"/>
    <col min="4" max="4" width="19" customWidth="1"/>
    <col min="5" max="5" width="11.5703125" bestFit="1" customWidth="1"/>
    <col min="6" max="6" width="10.140625" bestFit="1" customWidth="1"/>
    <col min="7" max="8" width="11.140625" bestFit="1" customWidth="1"/>
    <col min="9" max="9" width="13.85546875" bestFit="1" customWidth="1"/>
    <col min="11" max="11" width="15.140625" bestFit="1" customWidth="1"/>
  </cols>
  <sheetData>
    <row r="3" spans="3:11">
      <c r="C3" s="37" t="s">
        <v>166</v>
      </c>
      <c r="D3" s="37" t="s">
        <v>167</v>
      </c>
      <c r="E3" s="37" t="s">
        <v>168</v>
      </c>
      <c r="F3" s="37" t="s">
        <v>169</v>
      </c>
      <c r="G3" s="37" t="s">
        <v>170</v>
      </c>
      <c r="H3" s="37" t="s">
        <v>171</v>
      </c>
      <c r="I3" s="37" t="s">
        <v>172</v>
      </c>
    </row>
    <row r="4" spans="3:11">
      <c r="C4" s="57" t="s">
        <v>173</v>
      </c>
      <c r="D4" s="37" t="s">
        <v>174</v>
      </c>
      <c r="E4" s="38">
        <v>940347</v>
      </c>
      <c r="F4" s="38">
        <v>2948756</v>
      </c>
      <c r="G4" s="37">
        <v>0</v>
      </c>
      <c r="H4" s="37">
        <v>0</v>
      </c>
      <c r="I4" s="38">
        <v>3628043.2926356606</v>
      </c>
      <c r="K4" s="40"/>
    </row>
    <row r="5" spans="3:11">
      <c r="C5" s="57"/>
      <c r="D5" s="37" t="s">
        <v>175</v>
      </c>
      <c r="E5" s="38">
        <v>12685911</v>
      </c>
      <c r="F5" s="38">
        <v>427763</v>
      </c>
      <c r="G5" s="37">
        <v>5740000</v>
      </c>
      <c r="H5" s="38"/>
      <c r="I5" s="38">
        <v>18785389.454697277</v>
      </c>
      <c r="K5" s="40"/>
    </row>
    <row r="6" spans="3:11">
      <c r="C6" s="57"/>
      <c r="D6" s="37" t="s">
        <v>176</v>
      </c>
      <c r="E6" s="38">
        <v>894303</v>
      </c>
      <c r="F6" s="38">
        <v>2836246</v>
      </c>
      <c r="G6" s="37"/>
      <c r="H6" s="37"/>
      <c r="I6" s="38">
        <v>3133833.4184628162</v>
      </c>
      <c r="K6" s="40"/>
    </row>
    <row r="7" spans="3:11">
      <c r="C7" s="57" t="s">
        <v>177</v>
      </c>
      <c r="D7" s="37" t="s">
        <v>178</v>
      </c>
      <c r="E7" s="38">
        <v>925053</v>
      </c>
      <c r="F7" s="38"/>
      <c r="G7" s="37"/>
      <c r="H7" s="37"/>
      <c r="I7" s="38">
        <v>1130222.2367240018</v>
      </c>
      <c r="K7" s="40"/>
    </row>
    <row r="8" spans="3:11">
      <c r="C8" s="57"/>
      <c r="D8" s="37" t="s">
        <v>179</v>
      </c>
      <c r="E8" s="38">
        <v>8497127</v>
      </c>
      <c r="F8" s="38">
        <v>228384.5</v>
      </c>
      <c r="G8" s="38"/>
      <c r="H8" s="37">
        <v>24100000</v>
      </c>
      <c r="I8" s="38">
        <v>32948938.66326445</v>
      </c>
      <c r="K8" s="40"/>
    </row>
    <row r="9" spans="3:11">
      <c r="C9" s="57"/>
      <c r="D9" s="37" t="s">
        <v>180</v>
      </c>
      <c r="E9" s="38">
        <v>3897980.5</v>
      </c>
      <c r="F9" s="38"/>
      <c r="G9" s="37"/>
      <c r="H9" s="37"/>
      <c r="I9" s="38">
        <v>3933922.3335567736</v>
      </c>
      <c r="K9" s="40"/>
    </row>
    <row r="10" spans="3:11">
      <c r="C10" s="55" t="s">
        <v>181</v>
      </c>
      <c r="D10" s="37" t="s">
        <v>182</v>
      </c>
      <c r="E10" s="38">
        <v>137624</v>
      </c>
      <c r="F10" s="38"/>
      <c r="G10" s="37"/>
      <c r="H10" s="37"/>
      <c r="I10" s="38">
        <v>285219.60422809771</v>
      </c>
      <c r="K10" s="40"/>
    </row>
    <row r="11" spans="3:11">
      <c r="C11" s="56"/>
      <c r="D11" s="37" t="s">
        <v>183</v>
      </c>
      <c r="E11" s="38">
        <v>165648.79999999999</v>
      </c>
      <c r="F11" s="38"/>
      <c r="G11" s="37"/>
      <c r="H11" s="37"/>
      <c r="I11" s="38">
        <v>232913.72815565026</v>
      </c>
      <c r="J11" s="38"/>
      <c r="K11" s="40"/>
    </row>
    <row r="12" spans="3:11">
      <c r="C12" s="37" t="s">
        <v>151</v>
      </c>
      <c r="D12" s="37"/>
      <c r="E12" s="38">
        <v>1693174.9496216788</v>
      </c>
      <c r="F12" s="38">
        <v>558850.50094786775</v>
      </c>
      <c r="G12" s="37"/>
      <c r="H12" s="37"/>
      <c r="I12" s="38">
        <v>2598686.2303285487</v>
      </c>
      <c r="K12" s="40"/>
    </row>
    <row r="13" spans="3:11">
      <c r="C13" s="37" t="s">
        <v>172</v>
      </c>
      <c r="D13" s="37"/>
      <c r="E13" s="38">
        <v>29837169.249621678</v>
      </c>
      <c r="F13" s="38">
        <v>7000000.0009478675</v>
      </c>
      <c r="G13" s="38">
        <v>5740000</v>
      </c>
      <c r="H13" s="38">
        <v>24100000</v>
      </c>
      <c r="I13" s="38">
        <v>66677168.962053269</v>
      </c>
      <c r="K13" s="50"/>
    </row>
    <row r="15" spans="3:11">
      <c r="I15" s="40"/>
    </row>
  </sheetData>
  <mergeCells count="3">
    <mergeCell ref="C10:C11"/>
    <mergeCell ref="C4:C6"/>
    <mergeCell ref="C7:C9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workbookViewId="0"/>
  </sheetViews>
  <sheetFormatPr defaultRowHeight="1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remarks xmlns="366ae72f-6d51-4737-8f6b-a9169c366b64" xsi:nil="true"/>
    <file_x0020_ xmlns="366ae72f-6d51-4737-8f6b-a9169c366b64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0979F12F22C9E4F9273E32F354CEDB7" ma:contentTypeVersion="14" ma:contentTypeDescription="Create a new document." ma:contentTypeScope="" ma:versionID="20e30d4e9bb08fd08cde126d5a8214c5">
  <xsd:schema xmlns:xsd="http://www.w3.org/2001/XMLSchema" xmlns:xs="http://www.w3.org/2001/XMLSchema" xmlns:p="http://schemas.microsoft.com/office/2006/metadata/properties" xmlns:ns2="366ae72f-6d51-4737-8f6b-a9169c366b64" xmlns:ns3="a3cd7b71-671d-4139-9a97-5d1a7380fae4" targetNamespace="http://schemas.microsoft.com/office/2006/metadata/properties" ma:root="true" ma:fieldsID="1e4dae1d9d17e89866f720decb35dab9" ns2:_="" ns3:_="">
    <xsd:import namespace="366ae72f-6d51-4737-8f6b-a9169c366b64"/>
    <xsd:import namespace="a3cd7b71-671d-4139-9a97-5d1a7380fae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file_x0020_" minOccurs="0"/>
                <xsd:element ref="ns2:remark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66ae72f-6d51-4737-8f6b-a9169c366b6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description="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3" nillable="true" ma:displayName="Location" ma:internalName="MediaServiceLocation" ma:readOnly="true">
      <xsd:simpleType>
        <xsd:restriction base="dms:Text"/>
      </xsd:simpleType>
    </xsd:element>
    <xsd:element name="file_x0020_" ma:index="16" nillable="true" ma:displayName="file " ma:format="Dropdown" ma:internalName="file_x0020_" ma:percentage="FALSE">
      <xsd:simpleType>
        <xsd:restriction base="dms:Number"/>
      </xsd:simpleType>
    </xsd:element>
    <xsd:element name="remarks" ma:index="17" nillable="true" ma:displayName="remarks" ma:format="Dropdown" ma:internalName="remarks">
      <xsd:simpleType>
        <xsd:restriction base="dms:Text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2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3cd7b71-671d-4139-9a97-5d1a7380fae4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C87D694-D606-4017-BD29-E3E80336AE20}"/>
</file>

<file path=customXml/itemProps2.xml><?xml version="1.0" encoding="utf-8"?>
<ds:datastoreItem xmlns:ds="http://schemas.openxmlformats.org/officeDocument/2006/customXml" ds:itemID="{D34439B9-1CC4-4165-923D-0CECE316F14B}"/>
</file>

<file path=customXml/itemProps3.xml><?xml version="1.0" encoding="utf-8"?>
<ds:datastoreItem xmlns:ds="http://schemas.openxmlformats.org/officeDocument/2006/customXml" ds:itemID="{87203F5F-3884-42C5-9D60-97ECA4DBFF3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FAO of the UN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Windows User</dc:creator>
  <cp:keywords/>
  <dc:description/>
  <cp:lastModifiedBy>Proano, MariaMercedes (FAORLC)</cp:lastModifiedBy>
  <cp:revision/>
  <dcterms:created xsi:type="dcterms:W3CDTF">2019-05-20T20:44:58Z</dcterms:created>
  <dcterms:modified xsi:type="dcterms:W3CDTF">2020-06-21T02:09:59Z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0x01010000979F12F22C9E4F9273E32F354CEDB7</vt:lpwstr>
  </property>
</Properties>
</file>