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fao-my.sharepoint.com/personal/minoarivelo_randrianarison_fao_org/Documents/CDI - SAP-REDD+/18 may/Annex 10 economic and financial analysis/"/>
    </mc:Choice>
  </mc:AlternateContent>
  <bookViews>
    <workbookView xWindow="0" yWindow="0" windowWidth="19200" windowHeight="6470" firstSheet="2" activeTab="3"/>
  </bookViews>
  <sheets>
    <sheet name="Prices &amp; assums" sheetId="2" r:id="rId1"/>
    <sheet name="Coffee FIN" sheetId="6" r:id="rId2"/>
    <sheet name="Coffee ECO" sheetId="10" r:id="rId3"/>
    <sheet name="Cocoa FIN" sheetId="1" r:id="rId4"/>
    <sheet name="Cocoa ECO" sheetId="11" r:id="rId5"/>
    <sheet name="Rubber FIN" sheetId="8" r:id="rId6"/>
    <sheet name="Rubber ECO" sheetId="12" r:id="rId7"/>
    <sheet name="Refor gazetted FIN" sheetId="4" r:id="rId8"/>
    <sheet name="Refor gazetted ECO" sheetId="13" r:id="rId9"/>
    <sheet name="Refort smallholders FIN" sheetId="5" r:id="rId10"/>
    <sheet name="Refort smallholders ECO" sheetId="14" r:id="rId11"/>
    <sheet name="Ben- Hectares" sheetId="7" r:id="rId12"/>
    <sheet name="Aggr" sheetId="15" r:id="rId13"/>
    <sheet name="Sensitivity" sheetId="17" r:id="rId14"/>
    <sheet name="Summary" sheetId="18" r:id="rId15"/>
    <sheet name="CO2" sheetId="16" r:id="rId16"/>
  </sheets>
  <definedNames>
    <definedName name="CF_inputs">'Prices &amp; assums'!$B$119</definedName>
    <definedName name="CF_labor">'Prices &amp; assums'!$B$120</definedName>
    <definedName name="CF_seedling">'Prices &amp; assums'!$B$121</definedName>
    <definedName name="CF_vat">'Prices &amp; assums'!$B$122</definedName>
    <definedName name="disc_rate_econ">'Prices &amp; assums'!$C$115</definedName>
    <definedName name="disc_rate_fin">'Prices &amp; assums'!$C$114</definedName>
    <definedName name="eco_discount_rate">#REF!</definedName>
    <definedName name="fin_disc_rate">#REF!</definedName>
    <definedName name="scf">'Prices &amp; assums'!$B$118</definedName>
    <definedName name="usd">'Prices &amp; assums'!$C$111</definedName>
  </definedNames>
  <calcPr calcId="162913"/>
</workbook>
</file>

<file path=xl/calcChain.xml><?xml version="1.0" encoding="utf-8"?>
<calcChain xmlns="http://schemas.openxmlformats.org/spreadsheetml/2006/main">
  <c r="G44" i="17" l="1"/>
  <c r="C9" i="16" l="1"/>
  <c r="D9" i="16" s="1"/>
  <c r="E9" i="16" s="1"/>
  <c r="F9" i="16" s="1"/>
  <c r="G9" i="16" s="1"/>
  <c r="H9" i="16" s="1"/>
  <c r="I9" i="16" s="1"/>
  <c r="J9" i="16" s="1"/>
  <c r="K9" i="16" s="1"/>
  <c r="L9" i="16" s="1"/>
  <c r="M9" i="16" s="1"/>
  <c r="N9" i="16" s="1"/>
  <c r="O9" i="16" s="1"/>
  <c r="P9" i="16" s="1"/>
  <c r="Q9" i="16" s="1"/>
  <c r="R9" i="16" s="1"/>
  <c r="S9" i="16" s="1"/>
  <c r="T9" i="16" s="1"/>
  <c r="U9" i="16" s="1"/>
  <c r="V9" i="16" s="1"/>
  <c r="W9" i="16" s="1"/>
  <c r="X9" i="16" s="1"/>
  <c r="Y9" i="16" s="1"/>
  <c r="Z9" i="16" s="1"/>
  <c r="AA9" i="16" s="1"/>
  <c r="AB9" i="16" s="1"/>
  <c r="AC9" i="16" s="1"/>
  <c r="M8" i="16"/>
  <c r="N8" i="16" s="1"/>
  <c r="O8" i="16" s="1"/>
  <c r="P8" i="16" s="1"/>
  <c r="Q8" i="16" s="1"/>
  <c r="R8" i="16" s="1"/>
  <c r="S8" i="16" s="1"/>
  <c r="T8" i="16" s="1"/>
  <c r="U8" i="16" s="1"/>
  <c r="V8" i="16" s="1"/>
  <c r="W8" i="16" s="1"/>
  <c r="X8" i="16" s="1"/>
  <c r="Y8" i="16" s="1"/>
  <c r="Z8" i="16" s="1"/>
  <c r="AA8" i="16" s="1"/>
  <c r="AB8" i="16" s="1"/>
  <c r="AC8" i="16" s="1"/>
  <c r="C8" i="16"/>
  <c r="D8" i="16" s="1"/>
  <c r="E8" i="16" s="1"/>
  <c r="F8" i="16" s="1"/>
  <c r="G8" i="16" s="1"/>
  <c r="H8" i="16" s="1"/>
  <c r="I8" i="16" s="1"/>
  <c r="J8" i="16" s="1"/>
  <c r="K8" i="16" s="1"/>
  <c r="L8" i="16" s="1"/>
  <c r="D7" i="16"/>
  <c r="E7" i="16" s="1"/>
  <c r="F7" i="16" s="1"/>
  <c r="G7" i="16" s="1"/>
  <c r="H7" i="16" s="1"/>
  <c r="I7" i="16" s="1"/>
  <c r="J7" i="16" s="1"/>
  <c r="K7" i="16" s="1"/>
  <c r="L7" i="16" s="1"/>
  <c r="M7" i="16" s="1"/>
  <c r="N7" i="16" s="1"/>
  <c r="O7" i="16" s="1"/>
  <c r="P7" i="16" s="1"/>
  <c r="Q7" i="16" s="1"/>
  <c r="R7" i="16" s="1"/>
  <c r="S7" i="16" s="1"/>
  <c r="T7" i="16" s="1"/>
  <c r="U7" i="16" s="1"/>
  <c r="V7" i="16" s="1"/>
  <c r="W7" i="16" s="1"/>
  <c r="X7" i="16" s="1"/>
  <c r="Y7" i="16" s="1"/>
  <c r="Z7" i="16" s="1"/>
  <c r="AA7" i="16" s="1"/>
  <c r="AB7" i="16" s="1"/>
  <c r="AC7" i="16" s="1"/>
  <c r="C7" i="16"/>
  <c r="C6" i="16"/>
  <c r="D6" i="16" s="1"/>
  <c r="E6" i="16" s="1"/>
  <c r="F6" i="16" s="1"/>
  <c r="G6" i="16" s="1"/>
  <c r="H6" i="16" s="1"/>
  <c r="I6" i="16" s="1"/>
  <c r="J6" i="16" s="1"/>
  <c r="K6" i="16" s="1"/>
  <c r="L6" i="16" s="1"/>
  <c r="M6" i="16" s="1"/>
  <c r="N6" i="16" s="1"/>
  <c r="O6" i="16" s="1"/>
  <c r="P6" i="16" s="1"/>
  <c r="Q6" i="16" s="1"/>
  <c r="R6" i="16" s="1"/>
  <c r="S6" i="16" s="1"/>
  <c r="T6" i="16" s="1"/>
  <c r="U6" i="16" s="1"/>
  <c r="V6" i="16" s="1"/>
  <c r="W6" i="16" s="1"/>
  <c r="X6" i="16" s="1"/>
  <c r="Y6" i="16" s="1"/>
  <c r="Z6" i="16" s="1"/>
  <c r="AA6" i="16" s="1"/>
  <c r="AB6" i="16" s="1"/>
  <c r="AC6" i="16" s="1"/>
  <c r="F5" i="16"/>
  <c r="G5" i="16" s="1"/>
  <c r="H5" i="16" s="1"/>
  <c r="I5" i="16" s="1"/>
  <c r="J5" i="16" s="1"/>
  <c r="K5" i="16" s="1"/>
  <c r="L5" i="16" s="1"/>
  <c r="M5" i="16" s="1"/>
  <c r="N5" i="16" s="1"/>
  <c r="O5" i="16" s="1"/>
  <c r="P5" i="16" s="1"/>
  <c r="Q5" i="16" s="1"/>
  <c r="R5" i="16" s="1"/>
  <c r="S5" i="16" s="1"/>
  <c r="T5" i="16" s="1"/>
  <c r="U5" i="16" s="1"/>
  <c r="V5" i="16" s="1"/>
  <c r="W5" i="16" s="1"/>
  <c r="X5" i="16" s="1"/>
  <c r="Y5" i="16" s="1"/>
  <c r="Z5" i="16" s="1"/>
  <c r="AA5" i="16" s="1"/>
  <c r="AB5" i="16" s="1"/>
  <c r="AC5" i="16" s="1"/>
  <c r="C5" i="16"/>
  <c r="D5" i="16" s="1"/>
  <c r="E5" i="16" s="1"/>
  <c r="U4" i="16"/>
  <c r="V4" i="16" s="1"/>
  <c r="W4" i="16" s="1"/>
  <c r="X4" i="16" s="1"/>
  <c r="Y4" i="16" s="1"/>
  <c r="Z4" i="16" s="1"/>
  <c r="AA4" i="16" s="1"/>
  <c r="AB4" i="16" s="1"/>
  <c r="AC4" i="16" s="1"/>
  <c r="E4" i="16"/>
  <c r="F4" i="16" s="1"/>
  <c r="G4" i="16" s="1"/>
  <c r="H4" i="16" s="1"/>
  <c r="I4" i="16" s="1"/>
  <c r="J4" i="16" s="1"/>
  <c r="K4" i="16" s="1"/>
  <c r="L4" i="16" s="1"/>
  <c r="M4" i="16" s="1"/>
  <c r="N4" i="16" s="1"/>
  <c r="O4" i="16" s="1"/>
  <c r="P4" i="16" s="1"/>
  <c r="Q4" i="16" s="1"/>
  <c r="R4" i="16" s="1"/>
  <c r="S4" i="16" s="1"/>
  <c r="T4" i="16" s="1"/>
  <c r="C4" i="16"/>
  <c r="D4" i="16" s="1"/>
  <c r="D2" i="16"/>
  <c r="C2" i="16"/>
  <c r="C52" i="18"/>
  <c r="B52" i="18"/>
  <c r="C51" i="18"/>
  <c r="B51" i="18"/>
  <c r="C50" i="18"/>
  <c r="B50" i="18"/>
  <c r="C49" i="18"/>
  <c r="B49" i="18"/>
  <c r="C48" i="18"/>
  <c r="B48" i="18"/>
  <c r="C47" i="18"/>
  <c r="B47" i="18"/>
  <c r="F75" i="17"/>
  <c r="D75" i="17"/>
  <c r="F74" i="17"/>
  <c r="D74" i="17"/>
  <c r="F73" i="17"/>
  <c r="D73" i="17"/>
  <c r="F72" i="17"/>
  <c r="D72" i="17"/>
  <c r="F71" i="17"/>
  <c r="E42" i="18" s="1"/>
  <c r="D71" i="17"/>
  <c r="F70" i="17"/>
  <c r="E41" i="18" s="1"/>
  <c r="D70" i="17"/>
  <c r="F69" i="17"/>
  <c r="E40" i="18" s="1"/>
  <c r="D69" i="17"/>
  <c r="F68" i="17"/>
  <c r="E39" i="18" s="1"/>
  <c r="D68" i="17"/>
  <c r="F67" i="17"/>
  <c r="E38" i="18" s="1"/>
  <c r="D67" i="17"/>
  <c r="A62" i="17"/>
  <c r="A61" i="17"/>
  <c r="A60" i="17"/>
  <c r="B55" i="17"/>
  <c r="B54" i="17"/>
  <c r="B53" i="17"/>
  <c r="B52" i="17"/>
  <c r="B46" i="17"/>
  <c r="B45" i="17"/>
  <c r="B44" i="17"/>
  <c r="F37" i="17"/>
  <c r="D37" i="17"/>
  <c r="C42" i="18" s="1"/>
  <c r="F36" i="17"/>
  <c r="D36" i="17"/>
  <c r="C41" i="18" s="1"/>
  <c r="F35" i="17"/>
  <c r="D35" i="17"/>
  <c r="C40" i="18" s="1"/>
  <c r="F34" i="17"/>
  <c r="D34" i="17"/>
  <c r="C39" i="18" s="1"/>
  <c r="F33" i="17"/>
  <c r="D33" i="17"/>
  <c r="C38" i="18" s="1"/>
  <c r="F32" i="17"/>
  <c r="D32" i="17"/>
  <c r="C37" i="18" s="1"/>
  <c r="F31" i="17"/>
  <c r="D31" i="17"/>
  <c r="C36" i="18" s="1"/>
  <c r="F30" i="17"/>
  <c r="D30" i="17"/>
  <c r="C35" i="18" s="1"/>
  <c r="F29" i="17"/>
  <c r="D29" i="17"/>
  <c r="C34" i="18" s="1"/>
  <c r="A24" i="17"/>
  <c r="A23" i="17"/>
  <c r="A22" i="17"/>
  <c r="B17" i="17"/>
  <c r="B16" i="17"/>
  <c r="B15" i="17"/>
  <c r="B14" i="17"/>
  <c r="B8" i="17"/>
  <c r="B7" i="17"/>
  <c r="B6" i="17"/>
  <c r="AD41" i="15"/>
  <c r="N41" i="15"/>
  <c r="AD40" i="15"/>
  <c r="AC40" i="15"/>
  <c r="AC41" i="15" s="1"/>
  <c r="AB40" i="15"/>
  <c r="AB41" i="15" s="1"/>
  <c r="AA40" i="15"/>
  <c r="AA41" i="15" s="1"/>
  <c r="Z40" i="15"/>
  <c r="Z41" i="15" s="1"/>
  <c r="Y40" i="15"/>
  <c r="Y41" i="15" s="1"/>
  <c r="X40" i="15"/>
  <c r="X41" i="15" s="1"/>
  <c r="W40" i="15"/>
  <c r="W41" i="15" s="1"/>
  <c r="AA51" i="17" s="1"/>
  <c r="V40" i="15"/>
  <c r="V41" i="15" s="1"/>
  <c r="U40" i="15"/>
  <c r="U41" i="15" s="1"/>
  <c r="T40" i="15"/>
  <c r="T41" i="15" s="1"/>
  <c r="S40" i="15"/>
  <c r="S41" i="15" s="1"/>
  <c r="R40" i="15"/>
  <c r="R41" i="15" s="1"/>
  <c r="Q40" i="15"/>
  <c r="Q41" i="15" s="1"/>
  <c r="P40" i="15"/>
  <c r="P41" i="15" s="1"/>
  <c r="O40" i="15"/>
  <c r="O41" i="15" s="1"/>
  <c r="N40" i="15"/>
  <c r="M40" i="15"/>
  <c r="M41" i="15" s="1"/>
  <c r="L40" i="15"/>
  <c r="L41" i="15" s="1"/>
  <c r="K40" i="15"/>
  <c r="K41" i="15" s="1"/>
  <c r="J40" i="15"/>
  <c r="J41" i="15" s="1"/>
  <c r="I40" i="15"/>
  <c r="I41" i="15" s="1"/>
  <c r="H40" i="15"/>
  <c r="H41" i="15" s="1"/>
  <c r="G39" i="15"/>
  <c r="G41" i="15" s="1"/>
  <c r="K51" i="17" s="1"/>
  <c r="F39" i="15"/>
  <c r="F41" i="15" s="1"/>
  <c r="E39" i="15"/>
  <c r="E41" i="15" s="1"/>
  <c r="D39" i="15"/>
  <c r="D41" i="15" s="1"/>
  <c r="C39" i="15"/>
  <c r="C41" i="15" s="1"/>
  <c r="D35" i="15"/>
  <c r="C35" i="15"/>
  <c r="B13" i="15"/>
  <c r="B9" i="15"/>
  <c r="B24" i="7"/>
  <c r="B22" i="7"/>
  <c r="B23" i="7" s="1"/>
  <c r="B16" i="7"/>
  <c r="B15" i="7"/>
  <c r="C6" i="7"/>
  <c r="B6" i="7"/>
  <c r="B8" i="15" s="1"/>
  <c r="D5" i="7"/>
  <c r="B17" i="15" s="1"/>
  <c r="C5" i="7"/>
  <c r="B12" i="15" s="1"/>
  <c r="C4" i="7"/>
  <c r="B11" i="15" s="1"/>
  <c r="B4" i="7"/>
  <c r="B6" i="15" s="1"/>
  <c r="D3" i="7"/>
  <c r="B15" i="15" s="1"/>
  <c r="C3" i="7"/>
  <c r="B10" i="15" s="1"/>
  <c r="C2" i="7"/>
  <c r="C7" i="7" s="1"/>
  <c r="B2" i="7"/>
  <c r="A137" i="14"/>
  <c r="A136" i="14"/>
  <c r="A135" i="14"/>
  <c r="A134" i="14"/>
  <c r="A133" i="14"/>
  <c r="A132" i="14"/>
  <c r="A131" i="14"/>
  <c r="A126" i="14"/>
  <c r="A124" i="14"/>
  <c r="A123" i="14"/>
  <c r="A122" i="14"/>
  <c r="A121" i="14"/>
  <c r="A120" i="14"/>
  <c r="A118" i="14"/>
  <c r="A117" i="14"/>
  <c r="A116" i="14"/>
  <c r="A115" i="14"/>
  <c r="A114" i="14"/>
  <c r="A113" i="14"/>
  <c r="A112" i="14"/>
  <c r="A111" i="14"/>
  <c r="A110" i="14"/>
  <c r="A109" i="14"/>
  <c r="A108" i="14"/>
  <c r="A107" i="14"/>
  <c r="A106" i="14"/>
  <c r="A105" i="14"/>
  <c r="A104" i="14"/>
  <c r="A103" i="14"/>
  <c r="A102" i="14"/>
  <c r="A101" i="14"/>
  <c r="A93" i="14"/>
  <c r="A91" i="14"/>
  <c r="A90" i="14"/>
  <c r="A89" i="14"/>
  <c r="A88" i="14"/>
  <c r="A87" i="14"/>
  <c r="A86" i="14"/>
  <c r="A85" i="14"/>
  <c r="A83" i="14"/>
  <c r="A82" i="14"/>
  <c r="A81" i="14"/>
  <c r="A80" i="14"/>
  <c r="A79" i="14"/>
  <c r="A78" i="14"/>
  <c r="A77" i="14"/>
  <c r="A76" i="14"/>
  <c r="A75" i="14"/>
  <c r="Z71" i="14"/>
  <c r="Y71" i="14"/>
  <c r="X71" i="14"/>
  <c r="W71" i="14"/>
  <c r="V71" i="14"/>
  <c r="U71" i="14"/>
  <c r="T71" i="14"/>
  <c r="S71" i="14"/>
  <c r="R71" i="14"/>
  <c r="Q71" i="14"/>
  <c r="P71" i="14"/>
  <c r="O71" i="14"/>
  <c r="N71" i="14"/>
  <c r="M71" i="14"/>
  <c r="L71" i="14"/>
  <c r="K71" i="14"/>
  <c r="J71" i="14"/>
  <c r="I71" i="14"/>
  <c r="H71" i="14"/>
  <c r="G71" i="14"/>
  <c r="F71" i="14"/>
  <c r="D71" i="14"/>
  <c r="C71" i="14"/>
  <c r="Z70" i="14"/>
  <c r="Y70" i="14"/>
  <c r="X70" i="14"/>
  <c r="W70" i="14"/>
  <c r="V70" i="14"/>
  <c r="U70" i="14"/>
  <c r="T70" i="14"/>
  <c r="S70" i="14"/>
  <c r="R70" i="14"/>
  <c r="Q70" i="14"/>
  <c r="P70" i="14"/>
  <c r="O70" i="14"/>
  <c r="N70" i="14"/>
  <c r="M70" i="14"/>
  <c r="L70" i="14"/>
  <c r="K70" i="14"/>
  <c r="J70" i="14"/>
  <c r="I70" i="14"/>
  <c r="H70" i="14"/>
  <c r="G70" i="14"/>
  <c r="F70" i="14"/>
  <c r="E70" i="14"/>
  <c r="D70" i="14"/>
  <c r="C70" i="14"/>
  <c r="Y69" i="14"/>
  <c r="X69" i="14"/>
  <c r="W69" i="14"/>
  <c r="V69" i="14"/>
  <c r="U69" i="14"/>
  <c r="T69" i="14"/>
  <c r="S69" i="14"/>
  <c r="R69" i="14"/>
  <c r="Q69" i="14"/>
  <c r="P69" i="14"/>
  <c r="O69" i="14"/>
  <c r="N69" i="14"/>
  <c r="M69" i="14"/>
  <c r="L69" i="14"/>
  <c r="K69" i="14"/>
  <c r="J69" i="14"/>
  <c r="I69" i="14"/>
  <c r="H69" i="14"/>
  <c r="G69" i="14"/>
  <c r="F69" i="14"/>
  <c r="E69" i="14"/>
  <c r="D69" i="14"/>
  <c r="C69" i="14"/>
  <c r="Z68" i="14"/>
  <c r="Y68" i="14"/>
  <c r="X68" i="14"/>
  <c r="W68" i="14"/>
  <c r="V68" i="14"/>
  <c r="U68" i="14"/>
  <c r="T68" i="14"/>
  <c r="S68" i="14"/>
  <c r="Q68" i="14"/>
  <c r="P68" i="14"/>
  <c r="O68" i="14"/>
  <c r="N68" i="14"/>
  <c r="M68" i="14"/>
  <c r="L68" i="14"/>
  <c r="K68" i="14"/>
  <c r="J68" i="14"/>
  <c r="I68" i="14"/>
  <c r="H68" i="14"/>
  <c r="G68" i="14"/>
  <c r="F68" i="14"/>
  <c r="E68" i="14"/>
  <c r="D68" i="14"/>
  <c r="C68" i="14"/>
  <c r="Z67" i="14"/>
  <c r="Y67" i="14"/>
  <c r="X67" i="14"/>
  <c r="W67" i="14"/>
  <c r="V67" i="14"/>
  <c r="U67" i="14"/>
  <c r="T67" i="14"/>
  <c r="S67" i="14"/>
  <c r="R67" i="14"/>
  <c r="Q67" i="14"/>
  <c r="P67" i="14"/>
  <c r="O67" i="14"/>
  <c r="N67" i="14"/>
  <c r="M67" i="14"/>
  <c r="K67" i="14"/>
  <c r="J67" i="14"/>
  <c r="I67" i="14"/>
  <c r="H67" i="14"/>
  <c r="G67" i="14"/>
  <c r="F67" i="14"/>
  <c r="E67" i="14"/>
  <c r="D67" i="14"/>
  <c r="C67" i="14"/>
  <c r="Z66" i="14"/>
  <c r="Y66" i="14"/>
  <c r="X66" i="14"/>
  <c r="W66" i="14"/>
  <c r="V66" i="14"/>
  <c r="U66" i="14"/>
  <c r="T66" i="14"/>
  <c r="S66" i="14"/>
  <c r="R66" i="14"/>
  <c r="Q66" i="14"/>
  <c r="P66" i="14"/>
  <c r="O66" i="14"/>
  <c r="N66" i="14"/>
  <c r="M66" i="14"/>
  <c r="L66" i="14"/>
  <c r="K66" i="14"/>
  <c r="J66" i="14"/>
  <c r="I66" i="14"/>
  <c r="G66" i="14"/>
  <c r="F66" i="14"/>
  <c r="E66" i="14"/>
  <c r="D66" i="14"/>
  <c r="C66" i="14"/>
  <c r="Y65" i="14"/>
  <c r="X65" i="14"/>
  <c r="W65" i="14"/>
  <c r="V65" i="14"/>
  <c r="U65" i="14"/>
  <c r="T65" i="14"/>
  <c r="S65" i="14"/>
  <c r="Q65" i="14"/>
  <c r="P65" i="14"/>
  <c r="O65" i="14"/>
  <c r="N65" i="14"/>
  <c r="M65" i="14"/>
  <c r="K65" i="14"/>
  <c r="J65" i="14"/>
  <c r="I65" i="14"/>
  <c r="G65" i="14"/>
  <c r="F65" i="14"/>
  <c r="E65" i="14"/>
  <c r="D65" i="14"/>
  <c r="C65" i="14"/>
  <c r="Z64" i="14"/>
  <c r="Y64" i="14"/>
  <c r="X64" i="14"/>
  <c r="W64" i="14"/>
  <c r="V64" i="14"/>
  <c r="U64" i="14"/>
  <c r="T64" i="14"/>
  <c r="S64" i="14"/>
  <c r="R64" i="14"/>
  <c r="Q64" i="14"/>
  <c r="P64" i="14"/>
  <c r="O64" i="14"/>
  <c r="N64" i="14"/>
  <c r="M64" i="14"/>
  <c r="L64" i="14"/>
  <c r="K64" i="14"/>
  <c r="J64" i="14"/>
  <c r="I64" i="14"/>
  <c r="H64" i="14"/>
  <c r="G64" i="14"/>
  <c r="F64" i="14"/>
  <c r="E64" i="14"/>
  <c r="D64" i="14"/>
  <c r="C64" i="14"/>
  <c r="Y63" i="14"/>
  <c r="X63" i="14"/>
  <c r="W63" i="14"/>
  <c r="V63" i="14"/>
  <c r="U63" i="14"/>
  <c r="T63" i="14"/>
  <c r="S63" i="14"/>
  <c r="Q63" i="14"/>
  <c r="P63" i="14"/>
  <c r="O63" i="14"/>
  <c r="N63" i="14"/>
  <c r="M63" i="14"/>
  <c r="K63" i="14"/>
  <c r="J63" i="14"/>
  <c r="I63" i="14"/>
  <c r="G63" i="14"/>
  <c r="F63" i="14"/>
  <c r="E63" i="14"/>
  <c r="D63" i="14"/>
  <c r="C63" i="14"/>
  <c r="Z60" i="14"/>
  <c r="Y60" i="14"/>
  <c r="X60" i="14"/>
  <c r="W60" i="14"/>
  <c r="V60" i="14"/>
  <c r="U60" i="14"/>
  <c r="T60" i="14"/>
  <c r="S60" i="14"/>
  <c r="R60" i="14"/>
  <c r="Q60" i="14"/>
  <c r="P60" i="14"/>
  <c r="O60" i="14"/>
  <c r="N60" i="14"/>
  <c r="M60" i="14"/>
  <c r="L60" i="14"/>
  <c r="K60" i="14"/>
  <c r="J60" i="14"/>
  <c r="I60" i="14"/>
  <c r="H60" i="14"/>
  <c r="G60" i="14"/>
  <c r="F60" i="14"/>
  <c r="E60" i="14"/>
  <c r="D60" i="14"/>
  <c r="C60" i="14"/>
  <c r="B60" i="14"/>
  <c r="A60" i="14"/>
  <c r="A129" i="14" s="1"/>
  <c r="Z59" i="14"/>
  <c r="Y59" i="14"/>
  <c r="X59" i="14"/>
  <c r="W59" i="14"/>
  <c r="V59" i="14"/>
  <c r="U59" i="14"/>
  <c r="T59" i="14"/>
  <c r="S59" i="14"/>
  <c r="R59" i="14"/>
  <c r="Q59" i="14"/>
  <c r="P59" i="14"/>
  <c r="O59" i="14"/>
  <c r="N59" i="14"/>
  <c r="M59" i="14"/>
  <c r="K59" i="14"/>
  <c r="J59" i="14"/>
  <c r="I59" i="14"/>
  <c r="H59" i="14"/>
  <c r="G59" i="14"/>
  <c r="F59" i="14"/>
  <c r="E59" i="14"/>
  <c r="D59" i="14"/>
  <c r="C59" i="14"/>
  <c r="B59" i="14"/>
  <c r="A59" i="14"/>
  <c r="A128" i="14" s="1"/>
  <c r="Z58" i="14"/>
  <c r="Y58" i="14"/>
  <c r="X58" i="14"/>
  <c r="W58" i="14"/>
  <c r="V58" i="14"/>
  <c r="U58" i="14"/>
  <c r="T58" i="14"/>
  <c r="S58" i="14"/>
  <c r="R58" i="14"/>
  <c r="Q58" i="14"/>
  <c r="P58" i="14"/>
  <c r="O58" i="14"/>
  <c r="N58" i="14"/>
  <c r="M58" i="14"/>
  <c r="L58" i="14"/>
  <c r="K58" i="14"/>
  <c r="J58" i="14"/>
  <c r="I58" i="14"/>
  <c r="G58" i="14"/>
  <c r="F58" i="14"/>
  <c r="E58" i="14"/>
  <c r="D58" i="14"/>
  <c r="C58" i="14"/>
  <c r="B58" i="14"/>
  <c r="A58" i="14"/>
  <c r="A127" i="14" s="1"/>
  <c r="Z55" i="14"/>
  <c r="Y55" i="14"/>
  <c r="X55" i="14"/>
  <c r="W55" i="14"/>
  <c r="V55" i="14"/>
  <c r="U55" i="14"/>
  <c r="T55" i="14"/>
  <c r="S55" i="14"/>
  <c r="R55" i="14"/>
  <c r="Q55" i="14"/>
  <c r="P55" i="14"/>
  <c r="O55" i="14"/>
  <c r="N55" i="14"/>
  <c r="M55" i="14"/>
  <c r="L55" i="14"/>
  <c r="K55" i="14"/>
  <c r="J55" i="14"/>
  <c r="I55" i="14"/>
  <c r="H55" i="14"/>
  <c r="G55" i="14"/>
  <c r="F55" i="14"/>
  <c r="E55" i="14"/>
  <c r="D55" i="14"/>
  <c r="C55" i="14"/>
  <c r="Z54" i="14"/>
  <c r="Y54" i="14"/>
  <c r="X54" i="14"/>
  <c r="W54" i="14"/>
  <c r="V54" i="14"/>
  <c r="U54" i="14"/>
  <c r="T54" i="14"/>
  <c r="S54" i="14"/>
  <c r="R54" i="14"/>
  <c r="Q54" i="14"/>
  <c r="P54" i="14"/>
  <c r="O54" i="14"/>
  <c r="N54" i="14"/>
  <c r="M54" i="14"/>
  <c r="L54" i="14"/>
  <c r="K54" i="14"/>
  <c r="J54" i="14"/>
  <c r="I54" i="14"/>
  <c r="H54" i="14"/>
  <c r="G54" i="14"/>
  <c r="F54" i="14"/>
  <c r="E54" i="14"/>
  <c r="D54" i="14"/>
  <c r="C54" i="14"/>
  <c r="Z53" i="14"/>
  <c r="Y53" i="14"/>
  <c r="X53" i="14"/>
  <c r="W53" i="14"/>
  <c r="V53" i="14"/>
  <c r="U53" i="14"/>
  <c r="T53" i="14"/>
  <c r="S53" i="14"/>
  <c r="R53" i="14"/>
  <c r="Q53" i="14"/>
  <c r="P53" i="14"/>
  <c r="O53" i="14"/>
  <c r="N53" i="14"/>
  <c r="M53" i="14"/>
  <c r="K53" i="14"/>
  <c r="J53" i="14"/>
  <c r="I53" i="14"/>
  <c r="H53" i="14"/>
  <c r="G53" i="14"/>
  <c r="F53" i="14"/>
  <c r="E53" i="14"/>
  <c r="D53" i="14"/>
  <c r="C53" i="14"/>
  <c r="Z52" i="14"/>
  <c r="Y52" i="14"/>
  <c r="X52" i="14"/>
  <c r="W52" i="14"/>
  <c r="V52" i="14"/>
  <c r="U52" i="14"/>
  <c r="T52" i="14"/>
  <c r="S52" i="14"/>
  <c r="R52" i="14"/>
  <c r="Q52" i="14"/>
  <c r="P52" i="14"/>
  <c r="O52" i="14"/>
  <c r="N52" i="14"/>
  <c r="M52" i="14"/>
  <c r="L52" i="14"/>
  <c r="K52" i="14"/>
  <c r="J52" i="14"/>
  <c r="I52" i="14"/>
  <c r="G52" i="14"/>
  <c r="F52" i="14"/>
  <c r="E52" i="14"/>
  <c r="D52" i="14"/>
  <c r="C52" i="14"/>
  <c r="D48" i="14"/>
  <c r="C48" i="14"/>
  <c r="D47" i="14"/>
  <c r="C47" i="14"/>
  <c r="D46" i="14"/>
  <c r="C46" i="14"/>
  <c r="D45" i="14"/>
  <c r="C45" i="14"/>
  <c r="D44" i="14"/>
  <c r="C44" i="14"/>
  <c r="C41" i="14"/>
  <c r="C40" i="14"/>
  <c r="D39" i="14"/>
  <c r="C39" i="14"/>
  <c r="D38" i="14"/>
  <c r="C38" i="14"/>
  <c r="D37" i="14"/>
  <c r="C37" i="14"/>
  <c r="C36" i="14"/>
  <c r="C35" i="14"/>
  <c r="D34" i="14"/>
  <c r="C34" i="14"/>
  <c r="D33" i="14"/>
  <c r="C33" i="14"/>
  <c r="G30" i="14"/>
  <c r="F30" i="14"/>
  <c r="E30" i="14"/>
  <c r="D30" i="14"/>
  <c r="C30" i="14"/>
  <c r="A30" i="14"/>
  <c r="A99" i="14" s="1"/>
  <c r="Z29" i="14"/>
  <c r="Y29" i="14"/>
  <c r="X29" i="14"/>
  <c r="W29" i="14"/>
  <c r="V29" i="14"/>
  <c r="U29" i="14"/>
  <c r="T29" i="14"/>
  <c r="S29" i="14"/>
  <c r="R29" i="14"/>
  <c r="Q29" i="14"/>
  <c r="P29" i="14"/>
  <c r="O29" i="14"/>
  <c r="N29" i="14"/>
  <c r="M29" i="14"/>
  <c r="L29" i="14"/>
  <c r="K29" i="14"/>
  <c r="J29" i="14"/>
  <c r="I29" i="14"/>
  <c r="H29" i="14"/>
  <c r="G29" i="14"/>
  <c r="F29" i="14"/>
  <c r="C29" i="14"/>
  <c r="A29" i="14"/>
  <c r="A98" i="14" s="1"/>
  <c r="C28" i="14"/>
  <c r="A28" i="14"/>
  <c r="A97" i="14" s="1"/>
  <c r="E27" i="14"/>
  <c r="A27" i="14"/>
  <c r="A96" i="14" s="1"/>
  <c r="E26" i="14"/>
  <c r="C26" i="14"/>
  <c r="A26" i="14"/>
  <c r="A95" i="14" s="1"/>
  <c r="E25" i="14"/>
  <c r="C25" i="14"/>
  <c r="A25" i="14"/>
  <c r="A94" i="14" s="1"/>
  <c r="C19" i="14"/>
  <c r="C18" i="14"/>
  <c r="C17" i="14"/>
  <c r="D13" i="14"/>
  <c r="D12" i="14"/>
  <c r="C10" i="14"/>
  <c r="C9" i="14"/>
  <c r="B174" i="5"/>
  <c r="B173" i="5"/>
  <c r="B165" i="5"/>
  <c r="B166" i="5" s="1"/>
  <c r="Y137" i="5"/>
  <c r="U137" i="5"/>
  <c r="Q137" i="5"/>
  <c r="M137" i="5"/>
  <c r="I137" i="5"/>
  <c r="B137" i="5"/>
  <c r="X137" i="5" s="1"/>
  <c r="A137" i="5"/>
  <c r="A136" i="5"/>
  <c r="A135" i="5"/>
  <c r="S134" i="5"/>
  <c r="C134" i="5"/>
  <c r="A134" i="5"/>
  <c r="A133" i="5"/>
  <c r="K132" i="5"/>
  <c r="A132" i="5"/>
  <c r="A131" i="5"/>
  <c r="R127" i="5"/>
  <c r="B127" i="5"/>
  <c r="A126" i="5"/>
  <c r="Q124" i="5"/>
  <c r="A124" i="5"/>
  <c r="A123" i="5"/>
  <c r="Y122" i="5"/>
  <c r="I122" i="5"/>
  <c r="A122" i="5"/>
  <c r="A121" i="5"/>
  <c r="A120" i="5"/>
  <c r="A118" i="5"/>
  <c r="A117" i="5"/>
  <c r="A116" i="5"/>
  <c r="A115" i="5"/>
  <c r="A114" i="5"/>
  <c r="A113" i="5"/>
  <c r="A112" i="5"/>
  <c r="X111" i="5"/>
  <c r="W111" i="5"/>
  <c r="T111" i="5"/>
  <c r="S111" i="5"/>
  <c r="P111" i="5"/>
  <c r="O111" i="5"/>
  <c r="L111" i="5"/>
  <c r="K111" i="5"/>
  <c r="H111" i="5"/>
  <c r="G111" i="5"/>
  <c r="C111" i="5"/>
  <c r="B111" i="5"/>
  <c r="Z111" i="5" s="1"/>
  <c r="A111" i="5"/>
  <c r="Y110" i="5"/>
  <c r="V110" i="5"/>
  <c r="U110" i="5"/>
  <c r="Q110" i="5"/>
  <c r="N110" i="5"/>
  <c r="M110" i="5"/>
  <c r="I110" i="5"/>
  <c r="F110" i="5"/>
  <c r="E110" i="5"/>
  <c r="B110" i="5"/>
  <c r="A110" i="5"/>
  <c r="X109" i="5"/>
  <c r="W109" i="5"/>
  <c r="T109" i="5"/>
  <c r="S109" i="5"/>
  <c r="P109" i="5"/>
  <c r="O109" i="5"/>
  <c r="L109" i="5"/>
  <c r="K109" i="5"/>
  <c r="H109" i="5"/>
  <c r="G109" i="5"/>
  <c r="C109" i="5"/>
  <c r="B109" i="5"/>
  <c r="Z109" i="5" s="1"/>
  <c r="A109" i="5"/>
  <c r="Y108" i="5"/>
  <c r="V108" i="5"/>
  <c r="U108" i="5"/>
  <c r="Q108" i="5"/>
  <c r="N108" i="5"/>
  <c r="M108" i="5"/>
  <c r="I108" i="5"/>
  <c r="F108" i="5"/>
  <c r="E108" i="5"/>
  <c r="B108" i="5"/>
  <c r="A108" i="5"/>
  <c r="X107" i="5"/>
  <c r="W107" i="5"/>
  <c r="T107" i="5"/>
  <c r="S107" i="5"/>
  <c r="P107" i="5"/>
  <c r="O107" i="5"/>
  <c r="L107" i="5"/>
  <c r="K107" i="5"/>
  <c r="H107" i="5"/>
  <c r="G107" i="5"/>
  <c r="D107" i="5"/>
  <c r="C107" i="5"/>
  <c r="B107" i="5"/>
  <c r="Z107" i="5" s="1"/>
  <c r="A107" i="5"/>
  <c r="Y106" i="5"/>
  <c r="R106" i="5"/>
  <c r="M106" i="5"/>
  <c r="H106" i="5"/>
  <c r="D106" i="5"/>
  <c r="B106" i="5"/>
  <c r="Z106" i="5" s="1"/>
  <c r="A106" i="5"/>
  <c r="V105" i="5"/>
  <c r="F105" i="5"/>
  <c r="B105" i="5"/>
  <c r="N105" i="5" s="1"/>
  <c r="A105" i="5"/>
  <c r="X104" i="5"/>
  <c r="T104" i="5"/>
  <c r="P104" i="5"/>
  <c r="L104" i="5"/>
  <c r="H104" i="5"/>
  <c r="D104" i="5"/>
  <c r="B104" i="5"/>
  <c r="W104" i="5" s="1"/>
  <c r="A104" i="5"/>
  <c r="V103" i="5"/>
  <c r="F103" i="5"/>
  <c r="B103" i="5"/>
  <c r="N103" i="5" s="1"/>
  <c r="A103" i="5"/>
  <c r="X102" i="5"/>
  <c r="T102" i="5"/>
  <c r="P102" i="5"/>
  <c r="L102" i="5"/>
  <c r="H102" i="5"/>
  <c r="D102" i="5"/>
  <c r="B102" i="5"/>
  <c r="W102" i="5" s="1"/>
  <c r="A102" i="5"/>
  <c r="A101" i="5"/>
  <c r="G99" i="5"/>
  <c r="A98" i="5"/>
  <c r="A96" i="5"/>
  <c r="O95" i="5"/>
  <c r="A94" i="5"/>
  <c r="A93" i="5"/>
  <c r="A91" i="5"/>
  <c r="A90" i="5"/>
  <c r="A89" i="5"/>
  <c r="A88" i="5"/>
  <c r="A87" i="5"/>
  <c r="A86" i="5"/>
  <c r="A85" i="5"/>
  <c r="A83" i="5"/>
  <c r="A82" i="5"/>
  <c r="A81" i="5"/>
  <c r="A80" i="5"/>
  <c r="A79" i="5"/>
  <c r="A78" i="5"/>
  <c r="A77" i="5"/>
  <c r="A76" i="5"/>
  <c r="A75" i="5"/>
  <c r="E71" i="5"/>
  <c r="Z63" i="5"/>
  <c r="Z63" i="14" s="1"/>
  <c r="R63" i="5"/>
  <c r="R63" i="14" s="1"/>
  <c r="L63" i="5"/>
  <c r="L63" i="14" s="1"/>
  <c r="H63" i="5"/>
  <c r="H63" i="14" s="1"/>
  <c r="B60" i="5"/>
  <c r="A60" i="5"/>
  <c r="A129" i="5" s="1"/>
  <c r="B59" i="5"/>
  <c r="A59" i="5"/>
  <c r="A128" i="5" s="1"/>
  <c r="B58" i="5"/>
  <c r="A58" i="5"/>
  <c r="A127" i="5" s="1"/>
  <c r="C49" i="5"/>
  <c r="C49" i="14" s="1"/>
  <c r="C42" i="5"/>
  <c r="C42" i="14" s="1"/>
  <c r="D41" i="5"/>
  <c r="D41" i="14" s="1"/>
  <c r="D40" i="5"/>
  <c r="D36" i="5"/>
  <c r="D36" i="14" s="1"/>
  <c r="D35" i="5"/>
  <c r="D35" i="14" s="1"/>
  <c r="Q30" i="5"/>
  <c r="O30" i="5"/>
  <c r="O30" i="14" s="1"/>
  <c r="M30" i="5"/>
  <c r="L30" i="5"/>
  <c r="L30" i="14" s="1"/>
  <c r="K30" i="5"/>
  <c r="K30" i="14" s="1"/>
  <c r="J30" i="5"/>
  <c r="J30" i="14" s="1"/>
  <c r="I30" i="5"/>
  <c r="H30" i="5"/>
  <c r="H30" i="14" s="1"/>
  <c r="A30" i="5"/>
  <c r="A99" i="5" s="1"/>
  <c r="D29" i="5"/>
  <c r="A29" i="5"/>
  <c r="E28" i="5"/>
  <c r="E28" i="14" s="1"/>
  <c r="D28" i="5"/>
  <c r="D28" i="14" s="1"/>
  <c r="A28" i="5"/>
  <c r="A97" i="5" s="1"/>
  <c r="C27" i="5"/>
  <c r="C27" i="14" s="1"/>
  <c r="A27" i="5"/>
  <c r="D26" i="5"/>
  <c r="D26" i="14" s="1"/>
  <c r="A26" i="5"/>
  <c r="A95" i="5" s="1"/>
  <c r="D25" i="5"/>
  <c r="D25" i="14" s="1"/>
  <c r="A25" i="5"/>
  <c r="C20" i="5"/>
  <c r="C20" i="14" s="1"/>
  <c r="C14" i="5"/>
  <c r="C13" i="5"/>
  <c r="C13" i="14" s="1"/>
  <c r="C12" i="5"/>
  <c r="C12" i="14" s="1"/>
  <c r="C11" i="5"/>
  <c r="D10" i="5"/>
  <c r="D10" i="14" s="1"/>
  <c r="D9" i="5"/>
  <c r="D9" i="14" s="1"/>
  <c r="C8" i="5"/>
  <c r="C7" i="5"/>
  <c r="C7" i="14" s="1"/>
  <c r="A95" i="13"/>
  <c r="A94" i="13"/>
  <c r="A93" i="13"/>
  <c r="A92" i="13"/>
  <c r="A91" i="13"/>
  <c r="A86" i="13"/>
  <c r="A84" i="13"/>
  <c r="A83" i="13"/>
  <c r="A82" i="13"/>
  <c r="A81" i="13"/>
  <c r="A80" i="13"/>
  <c r="A78" i="13"/>
  <c r="A77" i="13"/>
  <c r="A76" i="13"/>
  <c r="A75" i="13"/>
  <c r="A74" i="13"/>
  <c r="A73" i="13"/>
  <c r="A72" i="13"/>
  <c r="A70" i="13"/>
  <c r="A69" i="13"/>
  <c r="A68" i="13"/>
  <c r="A67" i="13"/>
  <c r="A66" i="13"/>
  <c r="A65" i="13"/>
  <c r="A64" i="13"/>
  <c r="A62" i="13"/>
  <c r="A61" i="13"/>
  <c r="A60" i="13"/>
  <c r="A59" i="13"/>
  <c r="A58" i="13"/>
  <c r="A57" i="13"/>
  <c r="A55" i="13"/>
  <c r="A54" i="13"/>
  <c r="R48" i="13"/>
  <c r="R47" i="13"/>
  <c r="L47" i="13"/>
  <c r="H46" i="13"/>
  <c r="Z45" i="13"/>
  <c r="R45" i="13"/>
  <c r="L45" i="13"/>
  <c r="H44" i="13"/>
  <c r="B41" i="13"/>
  <c r="A41" i="13"/>
  <c r="A89" i="13" s="1"/>
  <c r="AA40" i="13"/>
  <c r="Z40" i="13"/>
  <c r="Y40" i="13"/>
  <c r="X40" i="13"/>
  <c r="W40" i="13"/>
  <c r="V40" i="13"/>
  <c r="U40" i="13"/>
  <c r="T40" i="13"/>
  <c r="S40" i="13"/>
  <c r="R40" i="13"/>
  <c r="Q40" i="13"/>
  <c r="P40" i="13"/>
  <c r="O40" i="13"/>
  <c r="N40" i="13"/>
  <c r="M40" i="13"/>
  <c r="K40" i="13"/>
  <c r="J40" i="13"/>
  <c r="I40" i="13"/>
  <c r="H40" i="13"/>
  <c r="G40" i="13"/>
  <c r="F40" i="13"/>
  <c r="E40" i="13"/>
  <c r="D40" i="13"/>
  <c r="C40" i="13"/>
  <c r="B40" i="13"/>
  <c r="A40" i="13"/>
  <c r="A88" i="13" s="1"/>
  <c r="AA39" i="13"/>
  <c r="Z39" i="13"/>
  <c r="Y39" i="13"/>
  <c r="X39" i="13"/>
  <c r="W39" i="13"/>
  <c r="V39" i="13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G39" i="13"/>
  <c r="F39" i="13"/>
  <c r="E39" i="13"/>
  <c r="D39" i="13"/>
  <c r="C39" i="13"/>
  <c r="B39" i="13"/>
  <c r="A39" i="13"/>
  <c r="A87" i="13" s="1"/>
  <c r="AA36" i="13"/>
  <c r="Z36" i="13"/>
  <c r="Y36" i="13"/>
  <c r="X36" i="13"/>
  <c r="W36" i="13"/>
  <c r="V36" i="13"/>
  <c r="U36" i="13"/>
  <c r="T36" i="13"/>
  <c r="S36" i="13"/>
  <c r="R36" i="13"/>
  <c r="Q36" i="13"/>
  <c r="P36" i="13"/>
  <c r="O36" i="13"/>
  <c r="N36" i="13"/>
  <c r="M36" i="13"/>
  <c r="L36" i="13"/>
  <c r="K36" i="13"/>
  <c r="J36" i="13"/>
  <c r="I36" i="13"/>
  <c r="H36" i="13"/>
  <c r="G36" i="13"/>
  <c r="F36" i="13"/>
  <c r="E36" i="13"/>
  <c r="D36" i="13"/>
  <c r="C36" i="13"/>
  <c r="AA35" i="13"/>
  <c r="Z35" i="13"/>
  <c r="Y35" i="13"/>
  <c r="X35" i="13"/>
  <c r="W35" i="13"/>
  <c r="V35" i="13"/>
  <c r="U35" i="13"/>
  <c r="T35" i="13"/>
  <c r="S35" i="13"/>
  <c r="R35" i="13"/>
  <c r="Q35" i="13"/>
  <c r="P35" i="13"/>
  <c r="O35" i="13"/>
  <c r="N35" i="13"/>
  <c r="M35" i="13"/>
  <c r="L35" i="13"/>
  <c r="K35" i="13"/>
  <c r="J35" i="13"/>
  <c r="I35" i="13"/>
  <c r="H35" i="13"/>
  <c r="G35" i="13"/>
  <c r="F35" i="13"/>
  <c r="E35" i="13"/>
  <c r="D35" i="13"/>
  <c r="C35" i="13"/>
  <c r="AA34" i="13"/>
  <c r="Z34" i="13"/>
  <c r="Y34" i="13"/>
  <c r="X34" i="13"/>
  <c r="W34" i="13"/>
  <c r="V34" i="13"/>
  <c r="U34" i="13"/>
  <c r="T34" i="13"/>
  <c r="S34" i="13"/>
  <c r="R34" i="13"/>
  <c r="Q34" i="13"/>
  <c r="P34" i="13"/>
  <c r="O34" i="13"/>
  <c r="N34" i="13"/>
  <c r="M34" i="13"/>
  <c r="K34" i="13"/>
  <c r="J34" i="13"/>
  <c r="I34" i="13"/>
  <c r="H34" i="13"/>
  <c r="G34" i="13"/>
  <c r="F34" i="13"/>
  <c r="E34" i="13"/>
  <c r="D34" i="13"/>
  <c r="C34" i="13"/>
  <c r="AA33" i="13"/>
  <c r="Z33" i="13"/>
  <c r="Y33" i="13"/>
  <c r="X33" i="13"/>
  <c r="W33" i="13"/>
  <c r="V33" i="13"/>
  <c r="U33" i="13"/>
  <c r="T33" i="13"/>
  <c r="S33" i="13"/>
  <c r="R33" i="13"/>
  <c r="Q33" i="13"/>
  <c r="P33" i="13"/>
  <c r="O33" i="13"/>
  <c r="N33" i="13"/>
  <c r="M33" i="13"/>
  <c r="L33" i="13"/>
  <c r="K33" i="13"/>
  <c r="J33" i="13"/>
  <c r="I33" i="13"/>
  <c r="G33" i="13"/>
  <c r="F33" i="13"/>
  <c r="E33" i="13"/>
  <c r="D33" i="13"/>
  <c r="C33" i="13"/>
  <c r="L30" i="13"/>
  <c r="G30" i="13"/>
  <c r="F30" i="13"/>
  <c r="E30" i="13"/>
  <c r="D30" i="13"/>
  <c r="C30" i="13"/>
  <c r="AA29" i="13"/>
  <c r="Z29" i="13"/>
  <c r="Y29" i="13"/>
  <c r="X29" i="13"/>
  <c r="W29" i="13"/>
  <c r="V29" i="13"/>
  <c r="U29" i="13"/>
  <c r="T29" i="13"/>
  <c r="S29" i="13"/>
  <c r="R29" i="13"/>
  <c r="Q29" i="13"/>
  <c r="P29" i="13"/>
  <c r="O29" i="13"/>
  <c r="N29" i="13"/>
  <c r="M29" i="13"/>
  <c r="L29" i="13"/>
  <c r="K29" i="13"/>
  <c r="J29" i="13"/>
  <c r="I29" i="13"/>
  <c r="H29" i="13"/>
  <c r="G29" i="13"/>
  <c r="F29" i="13"/>
  <c r="C29" i="13"/>
  <c r="C28" i="13"/>
  <c r="E27" i="13"/>
  <c r="C26" i="13"/>
  <c r="E25" i="13"/>
  <c r="C25" i="13"/>
  <c r="C19" i="13"/>
  <c r="C18" i="13"/>
  <c r="C17" i="13"/>
  <c r="C10" i="13"/>
  <c r="C9" i="13"/>
  <c r="C7" i="13"/>
  <c r="B95" i="4"/>
  <c r="A95" i="4"/>
  <c r="T94" i="4"/>
  <c r="P94" i="4"/>
  <c r="L94" i="4"/>
  <c r="H94" i="4"/>
  <c r="D94" i="4"/>
  <c r="B94" i="4"/>
  <c r="B134" i="5" s="1"/>
  <c r="W134" i="5" s="1"/>
  <c r="A94" i="4"/>
  <c r="J93" i="4"/>
  <c r="B93" i="4"/>
  <c r="N93" i="4" s="1"/>
  <c r="A93" i="4"/>
  <c r="T92" i="4"/>
  <c r="P92" i="4"/>
  <c r="L92" i="4"/>
  <c r="D92" i="4"/>
  <c r="B92" i="4"/>
  <c r="B132" i="5" s="1"/>
  <c r="O132" i="5" s="1"/>
  <c r="A92" i="4"/>
  <c r="A91" i="4"/>
  <c r="A90" i="4"/>
  <c r="V88" i="4"/>
  <c r="N88" i="4"/>
  <c r="J88" i="4"/>
  <c r="F88" i="4"/>
  <c r="B88" i="4"/>
  <c r="T87" i="4"/>
  <c r="P87" i="4"/>
  <c r="L87" i="4"/>
  <c r="D87" i="4"/>
  <c r="B87" i="4"/>
  <c r="S87" i="4" s="1"/>
  <c r="A86" i="4"/>
  <c r="A85" i="4"/>
  <c r="T84" i="4"/>
  <c r="P84" i="4"/>
  <c r="L84" i="4"/>
  <c r="H84" i="4"/>
  <c r="D84" i="4"/>
  <c r="B84" i="4"/>
  <c r="B124" i="5" s="1"/>
  <c r="U124" i="5" s="1"/>
  <c r="A84" i="4"/>
  <c r="R83" i="4"/>
  <c r="B83" i="4"/>
  <c r="A83" i="4"/>
  <c r="T82" i="4"/>
  <c r="P82" i="4"/>
  <c r="H82" i="4"/>
  <c r="D82" i="4"/>
  <c r="B82" i="4"/>
  <c r="B122" i="5" s="1"/>
  <c r="M122" i="5" s="1"/>
  <c r="A82" i="4"/>
  <c r="J81" i="4"/>
  <c r="B81" i="4"/>
  <c r="N81" i="4" s="1"/>
  <c r="A81" i="4"/>
  <c r="A80" i="4"/>
  <c r="M78" i="4"/>
  <c r="I78" i="4"/>
  <c r="G78" i="4"/>
  <c r="E78" i="4"/>
  <c r="C78" i="4"/>
  <c r="B78" i="4"/>
  <c r="B99" i="5" s="1"/>
  <c r="O99" i="5" s="1"/>
  <c r="A78" i="4"/>
  <c r="U77" i="4"/>
  <c r="S77" i="4"/>
  <c r="Q77" i="4"/>
  <c r="O77" i="4"/>
  <c r="M77" i="4"/>
  <c r="K77" i="4"/>
  <c r="I77" i="4"/>
  <c r="G77" i="4"/>
  <c r="C77" i="4"/>
  <c r="B77" i="4"/>
  <c r="V77" i="4" s="1"/>
  <c r="A77" i="4"/>
  <c r="U76" i="4"/>
  <c r="S76" i="4"/>
  <c r="Q76" i="4"/>
  <c r="O76" i="4"/>
  <c r="M76" i="4"/>
  <c r="K76" i="4"/>
  <c r="I76" i="4"/>
  <c r="G76" i="4"/>
  <c r="C76" i="4"/>
  <c r="B76" i="4"/>
  <c r="B97" i="5" s="1"/>
  <c r="A76" i="4"/>
  <c r="A75" i="4"/>
  <c r="U74" i="4"/>
  <c r="S74" i="4"/>
  <c r="Q74" i="4"/>
  <c r="O74" i="4"/>
  <c r="M74" i="4"/>
  <c r="K74" i="4"/>
  <c r="I74" i="4"/>
  <c r="G74" i="4"/>
  <c r="C74" i="4"/>
  <c r="B74" i="4"/>
  <c r="B95" i="5" s="1"/>
  <c r="S95" i="5" s="1"/>
  <c r="A74" i="4"/>
  <c r="U73" i="4"/>
  <c r="S73" i="4"/>
  <c r="Q73" i="4"/>
  <c r="O73" i="4"/>
  <c r="M73" i="4"/>
  <c r="K73" i="4"/>
  <c r="I73" i="4"/>
  <c r="G73" i="4"/>
  <c r="E73" i="4"/>
  <c r="C73" i="4"/>
  <c r="B73" i="4"/>
  <c r="V73" i="4" s="1"/>
  <c r="A73" i="4"/>
  <c r="A72" i="4"/>
  <c r="J70" i="4"/>
  <c r="B70" i="4"/>
  <c r="N70" i="4" s="1"/>
  <c r="A70" i="4"/>
  <c r="J69" i="4"/>
  <c r="B69" i="4"/>
  <c r="T69" i="4" s="1"/>
  <c r="A69" i="4"/>
  <c r="A68" i="4"/>
  <c r="J67" i="4"/>
  <c r="B67" i="4"/>
  <c r="R67" i="4" s="1"/>
  <c r="A67" i="4"/>
  <c r="J66" i="4"/>
  <c r="B66" i="4"/>
  <c r="R66" i="4" s="1"/>
  <c r="A66" i="4"/>
  <c r="J65" i="4"/>
  <c r="B65" i="4"/>
  <c r="R65" i="4" s="1"/>
  <c r="A65" i="4"/>
  <c r="A64" i="4"/>
  <c r="U62" i="4"/>
  <c r="S62" i="4"/>
  <c r="Q62" i="4"/>
  <c r="O62" i="4"/>
  <c r="M62" i="4"/>
  <c r="L62" i="4"/>
  <c r="K62" i="4"/>
  <c r="I62" i="4"/>
  <c r="H62" i="4"/>
  <c r="G62" i="4"/>
  <c r="E62" i="4"/>
  <c r="C62" i="4"/>
  <c r="B62" i="4"/>
  <c r="V62" i="4" s="1"/>
  <c r="A62" i="4"/>
  <c r="A61" i="4"/>
  <c r="A60" i="4"/>
  <c r="A59" i="4"/>
  <c r="A58" i="4"/>
  <c r="A57" i="4"/>
  <c r="A55" i="4"/>
  <c r="A54" i="4"/>
  <c r="H47" i="4"/>
  <c r="H45" i="4"/>
  <c r="L44" i="4" s="1"/>
  <c r="Z44" i="4"/>
  <c r="Z44" i="13" s="1"/>
  <c r="R44" i="4"/>
  <c r="H44" i="4"/>
  <c r="B41" i="4"/>
  <c r="A41" i="4"/>
  <c r="A89" i="4" s="1"/>
  <c r="B40" i="4"/>
  <c r="A40" i="4"/>
  <c r="A88" i="4" s="1"/>
  <c r="B39" i="4"/>
  <c r="A39" i="4"/>
  <c r="A87" i="4" s="1"/>
  <c r="Z30" i="4"/>
  <c r="Z30" i="13" s="1"/>
  <c r="V30" i="4"/>
  <c r="R30" i="4"/>
  <c r="P30" i="4"/>
  <c r="U30" i="4" s="1"/>
  <c r="U30" i="13" s="1"/>
  <c r="N30" i="4"/>
  <c r="L30" i="4"/>
  <c r="Q30" i="4" s="1"/>
  <c r="Q30" i="13" s="1"/>
  <c r="K30" i="4"/>
  <c r="K30" i="13" s="1"/>
  <c r="J30" i="4"/>
  <c r="I30" i="4"/>
  <c r="I30" i="13" s="1"/>
  <c r="H30" i="4"/>
  <c r="M30" i="4" s="1"/>
  <c r="M30" i="13" s="1"/>
  <c r="D29" i="4"/>
  <c r="D28" i="4"/>
  <c r="C27" i="4"/>
  <c r="D26" i="4"/>
  <c r="D25" i="4"/>
  <c r="D25" i="13" s="1"/>
  <c r="C20" i="4"/>
  <c r="C14" i="4"/>
  <c r="C13" i="4"/>
  <c r="C13" i="13" s="1"/>
  <c r="C12" i="4"/>
  <c r="C12" i="13" s="1"/>
  <c r="C11" i="4"/>
  <c r="D10" i="4"/>
  <c r="D10" i="13" s="1"/>
  <c r="D9" i="4"/>
  <c r="D9" i="13" s="1"/>
  <c r="C8" i="4"/>
  <c r="D8" i="4" s="1"/>
  <c r="D8" i="13" s="1"/>
  <c r="D7" i="4"/>
  <c r="D7" i="13" s="1"/>
  <c r="A92" i="12"/>
  <c r="A91" i="12"/>
  <c r="A89" i="12"/>
  <c r="A88" i="12"/>
  <c r="A87" i="12"/>
  <c r="A86" i="12"/>
  <c r="A85" i="12"/>
  <c r="A84" i="12"/>
  <c r="A83" i="12"/>
  <c r="A82" i="12"/>
  <c r="A81" i="12"/>
  <c r="A80" i="12"/>
  <c r="A79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C38" i="12"/>
  <c r="V28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F26" i="12"/>
  <c r="E26" i="12"/>
  <c r="D26" i="12"/>
  <c r="C26" i="12"/>
  <c r="C25" i="12"/>
  <c r="B8" i="12"/>
  <c r="B7" i="12"/>
  <c r="B5" i="12"/>
  <c r="B4" i="12"/>
  <c r="G92" i="8"/>
  <c r="E92" i="8"/>
  <c r="C92" i="8"/>
  <c r="B92" i="8"/>
  <c r="A92" i="8"/>
  <c r="A91" i="8"/>
  <c r="A89" i="8"/>
  <c r="A88" i="8"/>
  <c r="A87" i="8"/>
  <c r="A86" i="8"/>
  <c r="A85" i="8"/>
  <c r="A84" i="8"/>
  <c r="A83" i="8"/>
  <c r="A82" i="8"/>
  <c r="A81" i="8"/>
  <c r="A80" i="8"/>
  <c r="A79" i="8"/>
  <c r="B77" i="8"/>
  <c r="A77" i="8"/>
  <c r="B76" i="8"/>
  <c r="A76" i="8"/>
  <c r="B75" i="8"/>
  <c r="A75" i="8"/>
  <c r="B74" i="8"/>
  <c r="A74" i="8"/>
  <c r="B73" i="8"/>
  <c r="A73" i="8"/>
  <c r="B72" i="8"/>
  <c r="A72" i="8"/>
  <c r="U71" i="8"/>
  <c r="S71" i="8"/>
  <c r="Q71" i="8"/>
  <c r="O71" i="8"/>
  <c r="M71" i="8"/>
  <c r="K71" i="8"/>
  <c r="I71" i="8"/>
  <c r="G71" i="8"/>
  <c r="E71" i="8"/>
  <c r="C71" i="8"/>
  <c r="B71" i="8"/>
  <c r="T71" i="8" s="1"/>
  <c r="A71" i="8"/>
  <c r="A70" i="8"/>
  <c r="U69" i="8"/>
  <c r="S69" i="8"/>
  <c r="Q69" i="8"/>
  <c r="O69" i="8"/>
  <c r="M69" i="8"/>
  <c r="K69" i="8"/>
  <c r="I69" i="8"/>
  <c r="G69" i="8"/>
  <c r="E69" i="8"/>
  <c r="C69" i="8"/>
  <c r="B69" i="8"/>
  <c r="T69" i="8" s="1"/>
  <c r="A69" i="8"/>
  <c r="C68" i="8"/>
  <c r="B68" i="8"/>
  <c r="A68" i="8"/>
  <c r="U67" i="8"/>
  <c r="S67" i="8"/>
  <c r="Q67" i="8"/>
  <c r="O67" i="8"/>
  <c r="M67" i="8"/>
  <c r="K67" i="8"/>
  <c r="I67" i="8"/>
  <c r="G67" i="8"/>
  <c r="B67" i="8"/>
  <c r="T67" i="8" s="1"/>
  <c r="A67" i="8"/>
  <c r="U66" i="8"/>
  <c r="S66" i="8"/>
  <c r="Q66" i="8"/>
  <c r="P66" i="8"/>
  <c r="O66" i="8"/>
  <c r="M66" i="8"/>
  <c r="L66" i="8"/>
  <c r="K66" i="8"/>
  <c r="I66" i="8"/>
  <c r="H66" i="8"/>
  <c r="G66" i="8"/>
  <c r="E66" i="8"/>
  <c r="D66" i="8"/>
  <c r="B66" i="8"/>
  <c r="A66" i="8"/>
  <c r="U65" i="8"/>
  <c r="S65" i="8"/>
  <c r="Q65" i="8"/>
  <c r="O65" i="8"/>
  <c r="M65" i="8"/>
  <c r="K65" i="8"/>
  <c r="I65" i="8"/>
  <c r="G65" i="8"/>
  <c r="E65" i="8"/>
  <c r="B65" i="8"/>
  <c r="T65" i="8" s="1"/>
  <c r="A65" i="8"/>
  <c r="B64" i="8"/>
  <c r="A64" i="8"/>
  <c r="U63" i="8"/>
  <c r="S63" i="8"/>
  <c r="Q63" i="8"/>
  <c r="O63" i="8"/>
  <c r="M63" i="8"/>
  <c r="K63" i="8"/>
  <c r="I63" i="8"/>
  <c r="G63" i="8"/>
  <c r="E63" i="8"/>
  <c r="B63" i="8"/>
  <c r="T63" i="8" s="1"/>
  <c r="A63" i="8"/>
  <c r="U62" i="8"/>
  <c r="T62" i="8"/>
  <c r="S62" i="8"/>
  <c r="Q62" i="8"/>
  <c r="P62" i="8"/>
  <c r="O62" i="8"/>
  <c r="M62" i="8"/>
  <c r="L62" i="8"/>
  <c r="K62" i="8"/>
  <c r="I62" i="8"/>
  <c r="H62" i="8"/>
  <c r="G62" i="8"/>
  <c r="E62" i="8"/>
  <c r="D62" i="8"/>
  <c r="B62" i="8"/>
  <c r="A62" i="8"/>
  <c r="U61" i="8"/>
  <c r="S61" i="8"/>
  <c r="Q61" i="8"/>
  <c r="O61" i="8"/>
  <c r="M61" i="8"/>
  <c r="K61" i="8"/>
  <c r="I61" i="8"/>
  <c r="G61" i="8"/>
  <c r="E61" i="8"/>
  <c r="B61" i="8"/>
  <c r="T61" i="8" s="1"/>
  <c r="A61" i="8"/>
  <c r="A60" i="8"/>
  <c r="U59" i="8"/>
  <c r="S59" i="8"/>
  <c r="Q59" i="8"/>
  <c r="O59" i="8"/>
  <c r="M59" i="8"/>
  <c r="K59" i="8"/>
  <c r="I59" i="8"/>
  <c r="G59" i="8"/>
  <c r="E59" i="8"/>
  <c r="B59" i="8"/>
  <c r="T59" i="8" s="1"/>
  <c r="A59" i="8"/>
  <c r="U58" i="8"/>
  <c r="T58" i="8"/>
  <c r="S58" i="8"/>
  <c r="Q58" i="8"/>
  <c r="P58" i="8"/>
  <c r="O58" i="8"/>
  <c r="M58" i="8"/>
  <c r="L58" i="8"/>
  <c r="K58" i="8"/>
  <c r="I58" i="8"/>
  <c r="H58" i="8"/>
  <c r="G58" i="8"/>
  <c r="E58" i="8"/>
  <c r="D58" i="8"/>
  <c r="B58" i="8"/>
  <c r="V58" i="8" s="1"/>
  <c r="A58" i="8"/>
  <c r="U57" i="8"/>
  <c r="S57" i="8"/>
  <c r="Q57" i="8"/>
  <c r="O57" i="8"/>
  <c r="M57" i="8"/>
  <c r="K57" i="8"/>
  <c r="I57" i="8"/>
  <c r="G57" i="8"/>
  <c r="E57" i="8"/>
  <c r="B57" i="8"/>
  <c r="T57" i="8" s="1"/>
  <c r="A57" i="8"/>
  <c r="U56" i="8"/>
  <c r="T56" i="8"/>
  <c r="S56" i="8"/>
  <c r="Q56" i="8"/>
  <c r="P56" i="8"/>
  <c r="O56" i="8"/>
  <c r="M56" i="8"/>
  <c r="L56" i="8"/>
  <c r="K56" i="8"/>
  <c r="I56" i="8"/>
  <c r="H56" i="8"/>
  <c r="G56" i="8"/>
  <c r="E56" i="8"/>
  <c r="D56" i="8"/>
  <c r="B56" i="8"/>
  <c r="V56" i="8" s="1"/>
  <c r="A56" i="8"/>
  <c r="U46" i="8"/>
  <c r="U46" i="12" s="1"/>
  <c r="R46" i="8"/>
  <c r="R46" i="12" s="1"/>
  <c r="Q46" i="8"/>
  <c r="Q46" i="12" s="1"/>
  <c r="P46" i="8"/>
  <c r="P46" i="12" s="1"/>
  <c r="O46" i="8"/>
  <c r="O46" i="12" s="1"/>
  <c r="U45" i="8"/>
  <c r="U45" i="12" s="1"/>
  <c r="R45" i="8"/>
  <c r="R45" i="12" s="1"/>
  <c r="Q45" i="8"/>
  <c r="P45" i="8"/>
  <c r="P45" i="12" s="1"/>
  <c r="O45" i="8"/>
  <c r="U44" i="8"/>
  <c r="U44" i="12" s="1"/>
  <c r="R44" i="8"/>
  <c r="R44" i="12" s="1"/>
  <c r="Q44" i="8"/>
  <c r="P44" i="8"/>
  <c r="P44" i="12" s="1"/>
  <c r="O44" i="8"/>
  <c r="U43" i="8"/>
  <c r="U43" i="12" s="1"/>
  <c r="R43" i="8"/>
  <c r="R43" i="12" s="1"/>
  <c r="Q43" i="8"/>
  <c r="P43" i="8"/>
  <c r="P43" i="12" s="1"/>
  <c r="O43" i="8"/>
  <c r="H30" i="8"/>
  <c r="H30" i="12" s="1"/>
  <c r="G30" i="8"/>
  <c r="F30" i="8"/>
  <c r="F30" i="12" s="1"/>
  <c r="E30" i="8"/>
  <c r="D30" i="8"/>
  <c r="D30" i="12" s="1"/>
  <c r="C30" i="8"/>
  <c r="H29" i="8"/>
  <c r="H29" i="12" s="1"/>
  <c r="G29" i="8"/>
  <c r="F29" i="8"/>
  <c r="F29" i="12" s="1"/>
  <c r="E29" i="8"/>
  <c r="D29" i="8"/>
  <c r="D29" i="12" s="1"/>
  <c r="C29" i="8"/>
  <c r="D25" i="8"/>
  <c r="F24" i="8"/>
  <c r="F24" i="12" s="1"/>
  <c r="E24" i="8"/>
  <c r="D24" i="8"/>
  <c r="D24" i="12" s="1"/>
  <c r="C24" i="8"/>
  <c r="C18" i="8"/>
  <c r="C14" i="8"/>
  <c r="C13" i="8"/>
  <c r="B8" i="8"/>
  <c r="C22" i="8" s="1"/>
  <c r="B7" i="8"/>
  <c r="C21" i="8" s="1"/>
  <c r="B5" i="8"/>
  <c r="B4" i="8"/>
  <c r="A211" i="11"/>
  <c r="A205" i="11"/>
  <c r="A204" i="11"/>
  <c r="A203" i="11"/>
  <c r="A202" i="11"/>
  <c r="A199" i="11"/>
  <c r="A198" i="11"/>
  <c r="A174" i="11"/>
  <c r="V173" i="11"/>
  <c r="U173" i="11"/>
  <c r="T173" i="11"/>
  <c r="S173" i="11"/>
  <c r="R173" i="11"/>
  <c r="Q173" i="11"/>
  <c r="P173" i="11"/>
  <c r="O173" i="11"/>
  <c r="N173" i="11"/>
  <c r="M173" i="11"/>
  <c r="L173" i="11"/>
  <c r="K173" i="11"/>
  <c r="J173" i="11"/>
  <c r="I173" i="11"/>
  <c r="H173" i="11"/>
  <c r="G173" i="11"/>
  <c r="F173" i="11"/>
  <c r="E173" i="11"/>
  <c r="D173" i="11"/>
  <c r="C173" i="11"/>
  <c r="B173" i="11"/>
  <c r="B170" i="11"/>
  <c r="A170" i="11"/>
  <c r="B169" i="11"/>
  <c r="A169" i="11"/>
  <c r="B168" i="11"/>
  <c r="A168" i="11"/>
  <c r="B167" i="11"/>
  <c r="A167" i="11"/>
  <c r="B166" i="11"/>
  <c r="A166" i="11"/>
  <c r="B165" i="11"/>
  <c r="A165" i="11"/>
  <c r="B164" i="11"/>
  <c r="A164" i="11"/>
  <c r="A163" i="11"/>
  <c r="C161" i="11"/>
  <c r="C158" i="11"/>
  <c r="B158" i="11"/>
  <c r="A158" i="11"/>
  <c r="A196" i="11" s="1"/>
  <c r="E157" i="11"/>
  <c r="D157" i="11"/>
  <c r="C157" i="11"/>
  <c r="B157" i="11"/>
  <c r="A157" i="11"/>
  <c r="A195" i="11" s="1"/>
  <c r="B156" i="11"/>
  <c r="A156" i="11"/>
  <c r="A194" i="11" s="1"/>
  <c r="B155" i="11"/>
  <c r="A155" i="11"/>
  <c r="A193" i="11" s="1"/>
  <c r="B154" i="11"/>
  <c r="A154" i="11"/>
  <c r="A192" i="11" s="1"/>
  <c r="B153" i="11"/>
  <c r="A153" i="11"/>
  <c r="A191" i="11" s="1"/>
  <c r="A152" i="11"/>
  <c r="A190" i="11" s="1"/>
  <c r="B150" i="11"/>
  <c r="A150" i="11"/>
  <c r="A188" i="11" s="1"/>
  <c r="B149" i="11"/>
  <c r="A149" i="11"/>
  <c r="A187" i="11" s="1"/>
  <c r="B148" i="11"/>
  <c r="A148" i="11"/>
  <c r="A186" i="11" s="1"/>
  <c r="B147" i="11"/>
  <c r="A147" i="11"/>
  <c r="A185" i="11" s="1"/>
  <c r="C146" i="11"/>
  <c r="B146" i="11"/>
  <c r="A146" i="11"/>
  <c r="A184" i="11" s="1"/>
  <c r="D145" i="11"/>
  <c r="C145" i="11"/>
  <c r="B145" i="11"/>
  <c r="A145" i="11"/>
  <c r="A183" i="11" s="1"/>
  <c r="B143" i="11"/>
  <c r="A143" i="11"/>
  <c r="A181" i="11" s="1"/>
  <c r="B142" i="11"/>
  <c r="A142" i="11"/>
  <c r="A180" i="11" s="1"/>
  <c r="B141" i="11"/>
  <c r="A141" i="11"/>
  <c r="A179" i="11" s="1"/>
  <c r="B140" i="11"/>
  <c r="A140" i="11"/>
  <c r="A178" i="11" s="1"/>
  <c r="B138" i="11"/>
  <c r="A138" i="11"/>
  <c r="A176" i="11" s="1"/>
  <c r="B137" i="11"/>
  <c r="A137" i="11"/>
  <c r="A175" i="11" s="1"/>
  <c r="A103" i="11"/>
  <c r="A102" i="11"/>
  <c r="A101" i="11"/>
  <c r="A100" i="11"/>
  <c r="A98" i="11"/>
  <c r="A97" i="11"/>
  <c r="A95" i="11"/>
  <c r="A94" i="11"/>
  <c r="A93" i="11"/>
  <c r="A92" i="11"/>
  <c r="A91" i="11"/>
  <c r="A90" i="11"/>
  <c r="A89" i="11"/>
  <c r="A88" i="11"/>
  <c r="A87" i="11"/>
  <c r="A86" i="11"/>
  <c r="A85" i="11"/>
  <c r="A83" i="11"/>
  <c r="A82" i="11"/>
  <c r="H76" i="11"/>
  <c r="G76" i="11"/>
  <c r="F76" i="11"/>
  <c r="E76" i="11"/>
  <c r="D76" i="11"/>
  <c r="C76" i="11"/>
  <c r="C75" i="11"/>
  <c r="G74" i="11"/>
  <c r="F74" i="11"/>
  <c r="E74" i="11"/>
  <c r="D74" i="11"/>
  <c r="C74" i="11"/>
  <c r="F73" i="11"/>
  <c r="E73" i="11"/>
  <c r="D73" i="11"/>
  <c r="C73" i="11"/>
  <c r="E72" i="11"/>
  <c r="D72" i="11"/>
  <c r="C72" i="11"/>
  <c r="V68" i="11"/>
  <c r="U68" i="11"/>
  <c r="T68" i="11"/>
  <c r="S68" i="11"/>
  <c r="R68" i="11"/>
  <c r="Q68" i="11"/>
  <c r="P68" i="11"/>
  <c r="O68" i="11"/>
  <c r="N68" i="11"/>
  <c r="M68" i="11"/>
  <c r="L68" i="11"/>
  <c r="K68" i="11"/>
  <c r="J68" i="11"/>
  <c r="I68" i="11"/>
  <c r="H68" i="11"/>
  <c r="G68" i="11"/>
  <c r="F68" i="11"/>
  <c r="E68" i="11"/>
  <c r="D68" i="11"/>
  <c r="C68" i="11"/>
  <c r="C65" i="11"/>
  <c r="C63" i="11"/>
  <c r="V77" i="11" s="1"/>
  <c r="C62" i="11"/>
  <c r="C61" i="11"/>
  <c r="P57" i="11"/>
  <c r="I57" i="11"/>
  <c r="V53" i="11"/>
  <c r="U53" i="11"/>
  <c r="T53" i="11"/>
  <c r="S53" i="11"/>
  <c r="R53" i="11"/>
  <c r="Q53" i="11"/>
  <c r="P53" i="11"/>
  <c r="O53" i="11"/>
  <c r="N53" i="11"/>
  <c r="M53" i="11"/>
  <c r="L53" i="11"/>
  <c r="K53" i="11"/>
  <c r="J53" i="11"/>
  <c r="I53" i="11"/>
  <c r="H53" i="11"/>
  <c r="G53" i="11"/>
  <c r="F53" i="11"/>
  <c r="E53" i="11"/>
  <c r="D53" i="11"/>
  <c r="C53" i="11"/>
  <c r="D52" i="11"/>
  <c r="C52" i="11"/>
  <c r="D50" i="11"/>
  <c r="D47" i="11"/>
  <c r="C47" i="11"/>
  <c r="E45" i="11"/>
  <c r="D45" i="11"/>
  <c r="C45" i="11"/>
  <c r="C44" i="11"/>
  <c r="A31" i="11"/>
  <c r="A30" i="11"/>
  <c r="A28" i="11"/>
  <c r="A27" i="11"/>
  <c r="A25" i="11"/>
  <c r="A24" i="11"/>
  <c r="A23" i="11"/>
  <c r="A22" i="11"/>
  <c r="A21" i="11"/>
  <c r="A81" i="11" s="1"/>
  <c r="C17" i="11"/>
  <c r="C8" i="11"/>
  <c r="A241" i="1"/>
  <c r="A235" i="1"/>
  <c r="A234" i="1"/>
  <c r="A233" i="1"/>
  <c r="A232" i="1"/>
  <c r="A229" i="1"/>
  <c r="A228" i="1"/>
  <c r="B212" i="1"/>
  <c r="T212" i="1" s="1"/>
  <c r="B207" i="1"/>
  <c r="U207" i="1" s="1"/>
  <c r="A204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C203" i="1"/>
  <c r="B203" i="1"/>
  <c r="U200" i="1"/>
  <c r="U170" i="11" s="1"/>
  <c r="T200" i="1"/>
  <c r="T170" i="11" s="1"/>
  <c r="S200" i="1"/>
  <c r="S170" i="11" s="1"/>
  <c r="R200" i="1"/>
  <c r="R170" i="11" s="1"/>
  <c r="Q200" i="1"/>
  <c r="Q170" i="11" s="1"/>
  <c r="P200" i="1"/>
  <c r="P170" i="11" s="1"/>
  <c r="O200" i="1"/>
  <c r="O170" i="11" s="1"/>
  <c r="N200" i="1"/>
  <c r="N170" i="11" s="1"/>
  <c r="M200" i="1"/>
  <c r="M170" i="11" s="1"/>
  <c r="L200" i="1"/>
  <c r="L170" i="11" s="1"/>
  <c r="K200" i="1"/>
  <c r="K170" i="11" s="1"/>
  <c r="J200" i="1"/>
  <c r="J170" i="11" s="1"/>
  <c r="I200" i="1"/>
  <c r="I170" i="11" s="1"/>
  <c r="H200" i="1"/>
  <c r="H170" i="11" s="1"/>
  <c r="G200" i="1"/>
  <c r="G170" i="11" s="1"/>
  <c r="F200" i="1"/>
  <c r="F170" i="11" s="1"/>
  <c r="E200" i="1"/>
  <c r="E170" i="11" s="1"/>
  <c r="D200" i="1"/>
  <c r="D170" i="11" s="1"/>
  <c r="C200" i="1"/>
  <c r="C170" i="11" s="1"/>
  <c r="B200" i="1"/>
  <c r="A200" i="1"/>
  <c r="H199" i="1"/>
  <c r="H169" i="11" s="1"/>
  <c r="G199" i="1"/>
  <c r="G169" i="11" s="1"/>
  <c r="F199" i="1"/>
  <c r="F169" i="11" s="1"/>
  <c r="E199" i="1"/>
  <c r="E169" i="11" s="1"/>
  <c r="D199" i="1"/>
  <c r="D169" i="11" s="1"/>
  <c r="C199" i="1"/>
  <c r="C169" i="11" s="1"/>
  <c r="B199" i="1"/>
  <c r="A199" i="1"/>
  <c r="C198" i="1"/>
  <c r="C168" i="11" s="1"/>
  <c r="B198" i="1"/>
  <c r="A198" i="1"/>
  <c r="G197" i="1"/>
  <c r="G167" i="11" s="1"/>
  <c r="F197" i="1"/>
  <c r="F167" i="11" s="1"/>
  <c r="E197" i="1"/>
  <c r="E167" i="11" s="1"/>
  <c r="D197" i="1"/>
  <c r="D167" i="11" s="1"/>
  <c r="C197" i="1"/>
  <c r="C167" i="11" s="1"/>
  <c r="B197" i="1"/>
  <c r="A197" i="1"/>
  <c r="F196" i="1"/>
  <c r="F166" i="11" s="1"/>
  <c r="E196" i="1"/>
  <c r="E166" i="11" s="1"/>
  <c r="D196" i="1"/>
  <c r="D166" i="11" s="1"/>
  <c r="C196" i="1"/>
  <c r="C166" i="11" s="1"/>
  <c r="B196" i="1"/>
  <c r="A196" i="1"/>
  <c r="E195" i="1"/>
  <c r="E165" i="11" s="1"/>
  <c r="D195" i="1"/>
  <c r="D165" i="11" s="1"/>
  <c r="C195" i="1"/>
  <c r="C165" i="11" s="1"/>
  <c r="B195" i="1"/>
  <c r="A195" i="1"/>
  <c r="B194" i="1"/>
  <c r="A194" i="1"/>
  <c r="A193" i="1"/>
  <c r="E191" i="1"/>
  <c r="E161" i="11" s="1"/>
  <c r="D191" i="1"/>
  <c r="D161" i="11" s="1"/>
  <c r="D188" i="1"/>
  <c r="D158" i="11" s="1"/>
  <c r="B188" i="1"/>
  <c r="A188" i="1"/>
  <c r="A226" i="1" s="1"/>
  <c r="V187" i="1"/>
  <c r="V157" i="11" s="1"/>
  <c r="U187" i="1"/>
  <c r="U157" i="11" s="1"/>
  <c r="T187" i="1"/>
  <c r="T157" i="11" s="1"/>
  <c r="S187" i="1"/>
  <c r="S157" i="11" s="1"/>
  <c r="R187" i="1"/>
  <c r="R157" i="11" s="1"/>
  <c r="Q187" i="1"/>
  <c r="Q157" i="11" s="1"/>
  <c r="P187" i="1"/>
  <c r="P157" i="11" s="1"/>
  <c r="O187" i="1"/>
  <c r="O157" i="11" s="1"/>
  <c r="N187" i="1"/>
  <c r="N157" i="11" s="1"/>
  <c r="M187" i="1"/>
  <c r="M157" i="11" s="1"/>
  <c r="L187" i="1"/>
  <c r="L157" i="11" s="1"/>
  <c r="K187" i="1"/>
  <c r="K157" i="11" s="1"/>
  <c r="J187" i="1"/>
  <c r="J157" i="11" s="1"/>
  <c r="I187" i="1"/>
  <c r="I157" i="11" s="1"/>
  <c r="H187" i="1"/>
  <c r="H157" i="11" s="1"/>
  <c r="G187" i="1"/>
  <c r="G157" i="11" s="1"/>
  <c r="F187" i="1"/>
  <c r="F157" i="11" s="1"/>
  <c r="B187" i="1"/>
  <c r="A187" i="1"/>
  <c r="A225" i="1" s="1"/>
  <c r="V186" i="1"/>
  <c r="V156" i="11" s="1"/>
  <c r="U186" i="1"/>
  <c r="U156" i="11" s="1"/>
  <c r="T186" i="1"/>
  <c r="T156" i="11" s="1"/>
  <c r="S186" i="1"/>
  <c r="S156" i="11" s="1"/>
  <c r="R186" i="1"/>
  <c r="R156" i="11" s="1"/>
  <c r="Q186" i="1"/>
  <c r="Q156" i="11" s="1"/>
  <c r="P186" i="1"/>
  <c r="P156" i="11" s="1"/>
  <c r="O186" i="1"/>
  <c r="O156" i="11" s="1"/>
  <c r="N186" i="1"/>
  <c r="N156" i="11" s="1"/>
  <c r="M186" i="1"/>
  <c r="M156" i="11" s="1"/>
  <c r="L186" i="1"/>
  <c r="L156" i="11" s="1"/>
  <c r="K186" i="1"/>
  <c r="K156" i="11" s="1"/>
  <c r="J186" i="1"/>
  <c r="J156" i="11" s="1"/>
  <c r="I186" i="1"/>
  <c r="I156" i="11" s="1"/>
  <c r="H186" i="1"/>
  <c r="H156" i="11" s="1"/>
  <c r="G186" i="1"/>
  <c r="G156" i="11" s="1"/>
  <c r="F186" i="1"/>
  <c r="F156" i="11" s="1"/>
  <c r="E186" i="1"/>
  <c r="E156" i="11" s="1"/>
  <c r="D186" i="1"/>
  <c r="D156" i="11" s="1"/>
  <c r="C186" i="1"/>
  <c r="C156" i="11" s="1"/>
  <c r="B186" i="1"/>
  <c r="A186" i="1"/>
  <c r="A224" i="1" s="1"/>
  <c r="V185" i="1"/>
  <c r="V155" i="11" s="1"/>
  <c r="U185" i="1"/>
  <c r="U155" i="11" s="1"/>
  <c r="T185" i="1"/>
  <c r="T155" i="11" s="1"/>
  <c r="S185" i="1"/>
  <c r="S155" i="11" s="1"/>
  <c r="R185" i="1"/>
  <c r="R155" i="11" s="1"/>
  <c r="Q185" i="1"/>
  <c r="Q155" i="11" s="1"/>
  <c r="P185" i="1"/>
  <c r="P155" i="11" s="1"/>
  <c r="O185" i="1"/>
  <c r="O155" i="11" s="1"/>
  <c r="N185" i="1"/>
  <c r="N155" i="11" s="1"/>
  <c r="M185" i="1"/>
  <c r="M155" i="11" s="1"/>
  <c r="L185" i="1"/>
  <c r="L155" i="11" s="1"/>
  <c r="K185" i="1"/>
  <c r="K155" i="11" s="1"/>
  <c r="J185" i="1"/>
  <c r="J155" i="11" s="1"/>
  <c r="I185" i="1"/>
  <c r="I155" i="11" s="1"/>
  <c r="H185" i="1"/>
  <c r="H155" i="11" s="1"/>
  <c r="G185" i="1"/>
  <c r="G155" i="11" s="1"/>
  <c r="F185" i="1"/>
  <c r="F155" i="11" s="1"/>
  <c r="E185" i="1"/>
  <c r="E155" i="11" s="1"/>
  <c r="D185" i="1"/>
  <c r="D155" i="11" s="1"/>
  <c r="C185" i="1"/>
  <c r="C155" i="11" s="1"/>
  <c r="B185" i="1"/>
  <c r="A185" i="1"/>
  <c r="A223" i="1" s="1"/>
  <c r="V184" i="1"/>
  <c r="V154" i="11" s="1"/>
  <c r="U184" i="1"/>
  <c r="U154" i="11" s="1"/>
  <c r="T184" i="1"/>
  <c r="T154" i="11" s="1"/>
  <c r="S184" i="1"/>
  <c r="S154" i="11" s="1"/>
  <c r="R184" i="1"/>
  <c r="R154" i="11" s="1"/>
  <c r="Q184" i="1"/>
  <c r="Q154" i="11" s="1"/>
  <c r="P184" i="1"/>
  <c r="P154" i="11" s="1"/>
  <c r="O184" i="1"/>
  <c r="O154" i="11" s="1"/>
  <c r="N184" i="1"/>
  <c r="N154" i="11" s="1"/>
  <c r="M184" i="1"/>
  <c r="M154" i="11" s="1"/>
  <c r="L184" i="1"/>
  <c r="L154" i="11" s="1"/>
  <c r="K184" i="1"/>
  <c r="K154" i="11" s="1"/>
  <c r="J184" i="1"/>
  <c r="J154" i="11" s="1"/>
  <c r="I184" i="1"/>
  <c r="I154" i="11" s="1"/>
  <c r="H184" i="1"/>
  <c r="H154" i="11" s="1"/>
  <c r="G184" i="1"/>
  <c r="G154" i="11" s="1"/>
  <c r="F184" i="1"/>
  <c r="F154" i="11" s="1"/>
  <c r="E184" i="1"/>
  <c r="E154" i="11" s="1"/>
  <c r="D184" i="1"/>
  <c r="D154" i="11" s="1"/>
  <c r="C184" i="1"/>
  <c r="C154" i="11" s="1"/>
  <c r="B184" i="1"/>
  <c r="A184" i="1"/>
  <c r="A222" i="1" s="1"/>
  <c r="V183" i="1"/>
  <c r="V153" i="11" s="1"/>
  <c r="U183" i="1"/>
  <c r="U153" i="11" s="1"/>
  <c r="T183" i="1"/>
  <c r="T153" i="11" s="1"/>
  <c r="S183" i="1"/>
  <c r="S153" i="11" s="1"/>
  <c r="R183" i="1"/>
  <c r="R153" i="11" s="1"/>
  <c r="Q183" i="1"/>
  <c r="Q153" i="11" s="1"/>
  <c r="P183" i="1"/>
  <c r="P153" i="11" s="1"/>
  <c r="O183" i="1"/>
  <c r="O153" i="11" s="1"/>
  <c r="N183" i="1"/>
  <c r="N153" i="11" s="1"/>
  <c r="M183" i="1"/>
  <c r="M153" i="11" s="1"/>
  <c r="L183" i="1"/>
  <c r="L153" i="11" s="1"/>
  <c r="K183" i="1"/>
  <c r="K153" i="11" s="1"/>
  <c r="J183" i="1"/>
  <c r="J153" i="11" s="1"/>
  <c r="I183" i="1"/>
  <c r="I153" i="11" s="1"/>
  <c r="H183" i="1"/>
  <c r="H153" i="11" s="1"/>
  <c r="G183" i="1"/>
  <c r="G153" i="11" s="1"/>
  <c r="F183" i="1"/>
  <c r="F153" i="11" s="1"/>
  <c r="B183" i="1"/>
  <c r="A183" i="1"/>
  <c r="A221" i="1" s="1"/>
  <c r="A182" i="1"/>
  <c r="A220" i="1" s="1"/>
  <c r="V180" i="1"/>
  <c r="V150" i="11" s="1"/>
  <c r="U180" i="1"/>
  <c r="U150" i="11" s="1"/>
  <c r="T180" i="1"/>
  <c r="T150" i="11" s="1"/>
  <c r="S180" i="1"/>
  <c r="S150" i="11" s="1"/>
  <c r="R180" i="1"/>
  <c r="R150" i="11" s="1"/>
  <c r="Q180" i="1"/>
  <c r="Q150" i="11" s="1"/>
  <c r="O180" i="1"/>
  <c r="O150" i="11" s="1"/>
  <c r="N180" i="1"/>
  <c r="N150" i="11" s="1"/>
  <c r="M180" i="1"/>
  <c r="M150" i="11" s="1"/>
  <c r="L180" i="1"/>
  <c r="L150" i="11" s="1"/>
  <c r="K180" i="1"/>
  <c r="K150" i="11" s="1"/>
  <c r="J180" i="1"/>
  <c r="J150" i="11" s="1"/>
  <c r="H180" i="1"/>
  <c r="H150" i="11" s="1"/>
  <c r="G180" i="1"/>
  <c r="G150" i="11" s="1"/>
  <c r="F180" i="1"/>
  <c r="F150" i="11" s="1"/>
  <c r="E180" i="1"/>
  <c r="E150" i="11" s="1"/>
  <c r="D180" i="1"/>
  <c r="D150" i="11" s="1"/>
  <c r="C180" i="1"/>
  <c r="C150" i="11" s="1"/>
  <c r="B180" i="1"/>
  <c r="A180" i="1"/>
  <c r="A218" i="1" s="1"/>
  <c r="B179" i="1"/>
  <c r="A179" i="1"/>
  <c r="A217" i="1" s="1"/>
  <c r="B178" i="1"/>
  <c r="A178" i="1"/>
  <c r="A216" i="1" s="1"/>
  <c r="B177" i="1"/>
  <c r="A177" i="1"/>
  <c r="A215" i="1" s="1"/>
  <c r="E176" i="1"/>
  <c r="E146" i="11" s="1"/>
  <c r="D176" i="1"/>
  <c r="D146" i="11" s="1"/>
  <c r="B176" i="1"/>
  <c r="A176" i="1"/>
  <c r="A214" i="1" s="1"/>
  <c r="V175" i="1"/>
  <c r="V145" i="11" s="1"/>
  <c r="U175" i="1"/>
  <c r="U145" i="11" s="1"/>
  <c r="T175" i="1"/>
  <c r="T145" i="11" s="1"/>
  <c r="S175" i="1"/>
  <c r="S145" i="11" s="1"/>
  <c r="R175" i="1"/>
  <c r="R145" i="11" s="1"/>
  <c r="Q175" i="1"/>
  <c r="Q145" i="11" s="1"/>
  <c r="P175" i="1"/>
  <c r="P145" i="11" s="1"/>
  <c r="O175" i="1"/>
  <c r="O145" i="11" s="1"/>
  <c r="N175" i="1"/>
  <c r="N145" i="11" s="1"/>
  <c r="M175" i="1"/>
  <c r="M145" i="11" s="1"/>
  <c r="L175" i="1"/>
  <c r="L145" i="11" s="1"/>
  <c r="K175" i="1"/>
  <c r="K145" i="11" s="1"/>
  <c r="J175" i="1"/>
  <c r="J145" i="11" s="1"/>
  <c r="I175" i="1"/>
  <c r="I145" i="11" s="1"/>
  <c r="H175" i="1"/>
  <c r="H145" i="11" s="1"/>
  <c r="G175" i="1"/>
  <c r="G145" i="11" s="1"/>
  <c r="F175" i="1"/>
  <c r="F145" i="11" s="1"/>
  <c r="B175" i="1"/>
  <c r="A175" i="1"/>
  <c r="A213" i="1" s="1"/>
  <c r="V174" i="1"/>
  <c r="V144" i="11" s="1"/>
  <c r="U174" i="1"/>
  <c r="U144" i="11" s="1"/>
  <c r="T174" i="1"/>
  <c r="T144" i="11" s="1"/>
  <c r="S174" i="1"/>
  <c r="S144" i="11" s="1"/>
  <c r="R174" i="1"/>
  <c r="R144" i="11" s="1"/>
  <c r="Q174" i="1"/>
  <c r="Q144" i="11" s="1"/>
  <c r="P174" i="1"/>
  <c r="P144" i="11" s="1"/>
  <c r="O174" i="1"/>
  <c r="O144" i="11" s="1"/>
  <c r="N174" i="1"/>
  <c r="N144" i="11" s="1"/>
  <c r="M174" i="1"/>
  <c r="M144" i="11" s="1"/>
  <c r="L174" i="1"/>
  <c r="L144" i="11" s="1"/>
  <c r="K174" i="1"/>
  <c r="K144" i="11" s="1"/>
  <c r="J174" i="1"/>
  <c r="J144" i="11" s="1"/>
  <c r="I174" i="1"/>
  <c r="I144" i="11" s="1"/>
  <c r="H174" i="1"/>
  <c r="H144" i="11" s="1"/>
  <c r="G174" i="1"/>
  <c r="G144" i="11" s="1"/>
  <c r="C174" i="1"/>
  <c r="C144" i="11" s="1"/>
  <c r="D173" i="1"/>
  <c r="D143" i="11" s="1"/>
  <c r="C173" i="1"/>
  <c r="C143" i="11" s="1"/>
  <c r="B173" i="1"/>
  <c r="A173" i="1"/>
  <c r="A211" i="1" s="1"/>
  <c r="V172" i="1"/>
  <c r="V142" i="11" s="1"/>
  <c r="U172" i="1"/>
  <c r="U142" i="11" s="1"/>
  <c r="T172" i="1"/>
  <c r="T142" i="11" s="1"/>
  <c r="S172" i="1"/>
  <c r="S142" i="11" s="1"/>
  <c r="R172" i="1"/>
  <c r="R142" i="11" s="1"/>
  <c r="Q172" i="1"/>
  <c r="Q142" i="11" s="1"/>
  <c r="P172" i="1"/>
  <c r="P142" i="11" s="1"/>
  <c r="O172" i="1"/>
  <c r="O142" i="11" s="1"/>
  <c r="N172" i="1"/>
  <c r="N142" i="11" s="1"/>
  <c r="M172" i="1"/>
  <c r="M142" i="11" s="1"/>
  <c r="L172" i="1"/>
  <c r="L142" i="11" s="1"/>
  <c r="K172" i="1"/>
  <c r="K142" i="11" s="1"/>
  <c r="J172" i="1"/>
  <c r="J142" i="11" s="1"/>
  <c r="I172" i="1"/>
  <c r="I142" i="11" s="1"/>
  <c r="H172" i="1"/>
  <c r="H142" i="11" s="1"/>
  <c r="G172" i="1"/>
  <c r="G142" i="11" s="1"/>
  <c r="F172" i="1"/>
  <c r="F142" i="11" s="1"/>
  <c r="B172" i="1"/>
  <c r="A172" i="1"/>
  <c r="A210" i="1" s="1"/>
  <c r="V171" i="1"/>
  <c r="V141" i="11" s="1"/>
  <c r="U171" i="1"/>
  <c r="U141" i="11" s="1"/>
  <c r="T171" i="1"/>
  <c r="T141" i="11" s="1"/>
  <c r="S171" i="1"/>
  <c r="S141" i="11" s="1"/>
  <c r="R171" i="1"/>
  <c r="R141" i="11" s="1"/>
  <c r="Q171" i="1"/>
  <c r="Q141" i="11" s="1"/>
  <c r="P171" i="1"/>
  <c r="P141" i="11" s="1"/>
  <c r="O171" i="1"/>
  <c r="O141" i="11" s="1"/>
  <c r="N171" i="1"/>
  <c r="N141" i="11" s="1"/>
  <c r="M171" i="1"/>
  <c r="M141" i="11" s="1"/>
  <c r="L171" i="1"/>
  <c r="L141" i="11" s="1"/>
  <c r="K171" i="1"/>
  <c r="K141" i="11" s="1"/>
  <c r="J171" i="1"/>
  <c r="J141" i="11" s="1"/>
  <c r="I171" i="1"/>
  <c r="I141" i="11" s="1"/>
  <c r="H171" i="1"/>
  <c r="H141" i="11" s="1"/>
  <c r="G171" i="1"/>
  <c r="G141" i="11" s="1"/>
  <c r="F171" i="1"/>
  <c r="F141" i="11" s="1"/>
  <c r="B171" i="1"/>
  <c r="A171" i="1"/>
  <c r="A209" i="1" s="1"/>
  <c r="V170" i="1"/>
  <c r="V140" i="11" s="1"/>
  <c r="U170" i="1"/>
  <c r="U140" i="11" s="1"/>
  <c r="T170" i="1"/>
  <c r="T140" i="11" s="1"/>
  <c r="S170" i="1"/>
  <c r="S140" i="11" s="1"/>
  <c r="R170" i="1"/>
  <c r="R140" i="11" s="1"/>
  <c r="Q170" i="1"/>
  <c r="Q140" i="11" s="1"/>
  <c r="P170" i="1"/>
  <c r="P140" i="11" s="1"/>
  <c r="O170" i="1"/>
  <c r="O140" i="11" s="1"/>
  <c r="N170" i="1"/>
  <c r="N140" i="11" s="1"/>
  <c r="M170" i="1"/>
  <c r="M140" i="11" s="1"/>
  <c r="L170" i="1"/>
  <c r="L140" i="11" s="1"/>
  <c r="K170" i="1"/>
  <c r="K140" i="11" s="1"/>
  <c r="J170" i="1"/>
  <c r="J140" i="11" s="1"/>
  <c r="I170" i="1"/>
  <c r="I140" i="11" s="1"/>
  <c r="H170" i="1"/>
  <c r="H140" i="11" s="1"/>
  <c r="G170" i="1"/>
  <c r="G140" i="11" s="1"/>
  <c r="F170" i="1"/>
  <c r="F140" i="11" s="1"/>
  <c r="D170" i="1"/>
  <c r="D140" i="11" s="1"/>
  <c r="C170" i="1"/>
  <c r="C140" i="11" s="1"/>
  <c r="B170" i="1"/>
  <c r="A170" i="1"/>
  <c r="A208" i="1" s="1"/>
  <c r="V168" i="1"/>
  <c r="V138" i="11" s="1"/>
  <c r="U168" i="1"/>
  <c r="U138" i="11" s="1"/>
  <c r="T168" i="1"/>
  <c r="T138" i="11" s="1"/>
  <c r="S168" i="1"/>
  <c r="S138" i="11" s="1"/>
  <c r="R168" i="1"/>
  <c r="R138" i="11" s="1"/>
  <c r="Q168" i="1"/>
  <c r="Q138" i="11" s="1"/>
  <c r="P168" i="1"/>
  <c r="P138" i="11" s="1"/>
  <c r="O168" i="1"/>
  <c r="O138" i="11" s="1"/>
  <c r="N168" i="1"/>
  <c r="N138" i="11" s="1"/>
  <c r="M168" i="1"/>
  <c r="M138" i="11" s="1"/>
  <c r="L168" i="1"/>
  <c r="L138" i="11" s="1"/>
  <c r="K168" i="1"/>
  <c r="K138" i="11" s="1"/>
  <c r="J168" i="1"/>
  <c r="J138" i="11" s="1"/>
  <c r="I168" i="1"/>
  <c r="I138" i="11" s="1"/>
  <c r="H168" i="1"/>
  <c r="H138" i="11" s="1"/>
  <c r="G168" i="1"/>
  <c r="G138" i="11" s="1"/>
  <c r="F168" i="1"/>
  <c r="F138" i="11" s="1"/>
  <c r="E168" i="1"/>
  <c r="E138" i="11" s="1"/>
  <c r="D168" i="1"/>
  <c r="D138" i="11" s="1"/>
  <c r="C168" i="1"/>
  <c r="C138" i="11" s="1"/>
  <c r="B168" i="1"/>
  <c r="A168" i="1"/>
  <c r="A206" i="1" s="1"/>
  <c r="V167" i="1"/>
  <c r="V137" i="11" s="1"/>
  <c r="U167" i="1"/>
  <c r="U137" i="11" s="1"/>
  <c r="T167" i="1"/>
  <c r="T137" i="11" s="1"/>
  <c r="S167" i="1"/>
  <c r="S137" i="11" s="1"/>
  <c r="R167" i="1"/>
  <c r="R137" i="11" s="1"/>
  <c r="Q167" i="1"/>
  <c r="Q137" i="11" s="1"/>
  <c r="P167" i="1"/>
  <c r="P137" i="11" s="1"/>
  <c r="O167" i="1"/>
  <c r="O137" i="11" s="1"/>
  <c r="N167" i="1"/>
  <c r="N137" i="11" s="1"/>
  <c r="M167" i="1"/>
  <c r="M137" i="11" s="1"/>
  <c r="L167" i="1"/>
  <c r="L137" i="11" s="1"/>
  <c r="K167" i="1"/>
  <c r="K137" i="11" s="1"/>
  <c r="J167" i="1"/>
  <c r="J137" i="11" s="1"/>
  <c r="I167" i="1"/>
  <c r="I137" i="11" s="1"/>
  <c r="H167" i="1"/>
  <c r="H137" i="11" s="1"/>
  <c r="G167" i="1"/>
  <c r="G137" i="11" s="1"/>
  <c r="F167" i="1"/>
  <c r="F137" i="11" s="1"/>
  <c r="E167" i="1"/>
  <c r="E137" i="11" s="1"/>
  <c r="D167" i="1"/>
  <c r="D137" i="11" s="1"/>
  <c r="C167" i="1"/>
  <c r="C137" i="11" s="1"/>
  <c r="B167" i="1"/>
  <c r="A167" i="1"/>
  <c r="A205" i="1" s="1"/>
  <c r="B148" i="1" a="1"/>
  <c r="B148" i="1" s="1"/>
  <c r="B147" i="1" a="1"/>
  <c r="B147" i="1" s="1"/>
  <c r="B142" i="1" a="1"/>
  <c r="B142" i="1"/>
  <c r="B141" i="1" a="1"/>
  <c r="B141" i="1"/>
  <c r="B131" i="1" a="1"/>
  <c r="B131" i="1" s="1"/>
  <c r="B130" i="1" a="1"/>
  <c r="B130" i="1" s="1"/>
  <c r="B112" i="1"/>
  <c r="B235" i="1" s="1"/>
  <c r="B111" i="1"/>
  <c r="B234" i="1" s="1"/>
  <c r="B109" i="1"/>
  <c r="A103" i="1"/>
  <c r="A102" i="1"/>
  <c r="A101" i="1"/>
  <c r="A100" i="1"/>
  <c r="A98" i="1"/>
  <c r="A97" i="1"/>
  <c r="U95" i="1"/>
  <c r="S95" i="1"/>
  <c r="Q95" i="1"/>
  <c r="O95" i="1"/>
  <c r="M95" i="1"/>
  <c r="K95" i="1"/>
  <c r="G95" i="1"/>
  <c r="E95" i="1"/>
  <c r="D95" i="1"/>
  <c r="C95" i="1"/>
  <c r="B95" i="1"/>
  <c r="B218" i="1" s="1"/>
  <c r="A95" i="1"/>
  <c r="B94" i="1"/>
  <c r="B217" i="1" s="1"/>
  <c r="A94" i="1"/>
  <c r="A93" i="1"/>
  <c r="A92" i="1"/>
  <c r="U91" i="1"/>
  <c r="S91" i="1"/>
  <c r="Q91" i="1"/>
  <c r="O91" i="1"/>
  <c r="M91" i="1"/>
  <c r="K91" i="1"/>
  <c r="I91" i="1"/>
  <c r="G91" i="1"/>
  <c r="E91" i="1"/>
  <c r="D91" i="1"/>
  <c r="C91" i="1"/>
  <c r="B91" i="1"/>
  <c r="B214" i="1" s="1"/>
  <c r="A91" i="1"/>
  <c r="U90" i="1"/>
  <c r="S90" i="1"/>
  <c r="Q90" i="1"/>
  <c r="O90" i="1"/>
  <c r="M90" i="1"/>
  <c r="K90" i="1"/>
  <c r="I90" i="1"/>
  <c r="G90" i="1"/>
  <c r="C90" i="1"/>
  <c r="B90" i="1"/>
  <c r="B213" i="1" s="1"/>
  <c r="A90" i="1"/>
  <c r="U89" i="1"/>
  <c r="S89" i="1"/>
  <c r="Q89" i="1"/>
  <c r="O89" i="1"/>
  <c r="M89" i="1"/>
  <c r="K89" i="1"/>
  <c r="I89" i="1"/>
  <c r="G89" i="1"/>
  <c r="C89" i="1"/>
  <c r="B89" i="1"/>
  <c r="V89" i="1" s="1"/>
  <c r="A89" i="1"/>
  <c r="C88" i="1"/>
  <c r="B88" i="1"/>
  <c r="B211" i="1" s="1"/>
  <c r="A88" i="1"/>
  <c r="U87" i="1"/>
  <c r="S87" i="1"/>
  <c r="Q87" i="1"/>
  <c r="O87" i="1"/>
  <c r="M87" i="1"/>
  <c r="L87" i="1"/>
  <c r="K87" i="1"/>
  <c r="I87" i="1"/>
  <c r="H87" i="1"/>
  <c r="G87" i="1"/>
  <c r="B87" i="1"/>
  <c r="B210" i="1" s="1"/>
  <c r="A87" i="1"/>
  <c r="A86" i="1"/>
  <c r="U85" i="1"/>
  <c r="T85" i="1"/>
  <c r="S85" i="1"/>
  <c r="Q85" i="1"/>
  <c r="P85" i="1"/>
  <c r="O85" i="1"/>
  <c r="M85" i="1"/>
  <c r="L85" i="1"/>
  <c r="K85" i="1"/>
  <c r="I85" i="1"/>
  <c r="H85" i="1"/>
  <c r="G85" i="1"/>
  <c r="D85" i="1"/>
  <c r="C85" i="1"/>
  <c r="B85" i="1"/>
  <c r="B208" i="1" s="1"/>
  <c r="A85" i="1"/>
  <c r="U84" i="1"/>
  <c r="S84" i="1"/>
  <c r="Q84" i="1"/>
  <c r="O84" i="1"/>
  <c r="M84" i="1"/>
  <c r="K84" i="1"/>
  <c r="I84" i="1"/>
  <c r="G84" i="1"/>
  <c r="B84" i="1"/>
  <c r="T84" i="1" s="1"/>
  <c r="T83" i="1"/>
  <c r="P83" i="1"/>
  <c r="L83" i="1"/>
  <c r="H83" i="1"/>
  <c r="D83" i="1"/>
  <c r="B83" i="1"/>
  <c r="B206" i="1" s="1"/>
  <c r="A83" i="1"/>
  <c r="B82" i="1"/>
  <c r="B205" i="1" s="1"/>
  <c r="A82" i="1"/>
  <c r="V77" i="1"/>
  <c r="V200" i="1" s="1"/>
  <c r="V170" i="11" s="1"/>
  <c r="V76" i="1"/>
  <c r="T76" i="1"/>
  <c r="R76" i="1"/>
  <c r="P76" i="1"/>
  <c r="O76" i="1"/>
  <c r="N76" i="1"/>
  <c r="U76" i="1" s="1"/>
  <c r="M76" i="1"/>
  <c r="L76" i="1"/>
  <c r="K76" i="1"/>
  <c r="J76" i="1"/>
  <c r="Q76" i="1" s="1"/>
  <c r="I76" i="1"/>
  <c r="R75" i="1"/>
  <c r="Q75" i="1"/>
  <c r="P75" i="1"/>
  <c r="O75" i="1"/>
  <c r="N75" i="1"/>
  <c r="M75" i="1"/>
  <c r="L75" i="1"/>
  <c r="K75" i="1"/>
  <c r="J75" i="1"/>
  <c r="D75" i="1"/>
  <c r="F72" i="1"/>
  <c r="C71" i="1"/>
  <c r="E65" i="1"/>
  <c r="E65" i="11" s="1"/>
  <c r="D65" i="1"/>
  <c r="D65" i="11" s="1"/>
  <c r="C64" i="1"/>
  <c r="C64" i="11" s="1"/>
  <c r="D60" i="1"/>
  <c r="D64" i="1" s="1"/>
  <c r="C60" i="1"/>
  <c r="P57" i="1"/>
  <c r="P180" i="1" s="1"/>
  <c r="P150" i="11" s="1"/>
  <c r="I57" i="1"/>
  <c r="I180" i="1" s="1"/>
  <c r="I150" i="11" s="1"/>
  <c r="E52" i="1"/>
  <c r="E90" i="1" s="1"/>
  <c r="F50" i="1"/>
  <c r="E50" i="1"/>
  <c r="E88" i="1" s="1"/>
  <c r="C49" i="1"/>
  <c r="C87" i="1" s="1"/>
  <c r="C48" i="1"/>
  <c r="E47" i="1"/>
  <c r="B31" i="1"/>
  <c r="A31" i="1"/>
  <c r="A30" i="1"/>
  <c r="A28" i="1"/>
  <c r="A27" i="1"/>
  <c r="B25" i="1"/>
  <c r="A25" i="1"/>
  <c r="A24" i="1"/>
  <c r="A23" i="1"/>
  <c r="B22" i="1"/>
  <c r="A22" i="1"/>
  <c r="A21" i="1"/>
  <c r="A81" i="1" s="1"/>
  <c r="E17" i="1"/>
  <c r="E17" i="11" s="1"/>
  <c r="D17" i="1"/>
  <c r="D17" i="11" s="1"/>
  <c r="D14" i="1"/>
  <c r="D14" i="11" s="1"/>
  <c r="C14" i="1"/>
  <c r="C14" i="11" s="1"/>
  <c r="D11" i="1"/>
  <c r="D11" i="11" s="1"/>
  <c r="C11" i="1"/>
  <c r="C11" i="11" s="1"/>
  <c r="D10" i="1"/>
  <c r="D10" i="11" s="1"/>
  <c r="C10" i="1"/>
  <c r="C10" i="11" s="1"/>
  <c r="D9" i="1"/>
  <c r="D9" i="11" s="1"/>
  <c r="C9" i="1"/>
  <c r="C9" i="11" s="1"/>
  <c r="D8" i="1"/>
  <c r="D8" i="11" s="1"/>
  <c r="A124" i="10"/>
  <c r="A122" i="10"/>
  <c r="A121" i="10"/>
  <c r="A120" i="10"/>
  <c r="A119" i="10"/>
  <c r="A117" i="10"/>
  <c r="A116" i="10"/>
  <c r="A115" i="10"/>
  <c r="A114" i="10"/>
  <c r="A113" i="10"/>
  <c r="A112" i="10"/>
  <c r="A111" i="10"/>
  <c r="B110" i="10"/>
  <c r="S110" i="10" s="1"/>
  <c r="A110" i="10"/>
  <c r="A109" i="10"/>
  <c r="A107" i="10"/>
  <c r="A106" i="10"/>
  <c r="A105" i="10"/>
  <c r="A104" i="10"/>
  <c r="A103" i="10"/>
  <c r="A102" i="10"/>
  <c r="A101" i="10"/>
  <c r="A100" i="10"/>
  <c r="A99" i="10"/>
  <c r="A98" i="10"/>
  <c r="A97" i="10"/>
  <c r="A96" i="10"/>
  <c r="A95" i="10"/>
  <c r="A94" i="10"/>
  <c r="A93" i="10"/>
  <c r="A92" i="10"/>
  <c r="A91" i="10"/>
  <c r="A90" i="10"/>
  <c r="A89" i="10"/>
  <c r="A88" i="10"/>
  <c r="A87" i="10"/>
  <c r="C83" i="10"/>
  <c r="E81" i="10"/>
  <c r="D81" i="10"/>
  <c r="C81" i="10"/>
  <c r="D80" i="10"/>
  <c r="C80" i="10"/>
  <c r="C70" i="10"/>
  <c r="C66" i="10"/>
  <c r="D65" i="10"/>
  <c r="C65" i="10"/>
  <c r="C60" i="10"/>
  <c r="C59" i="10"/>
  <c r="C58" i="10"/>
  <c r="C57" i="10"/>
  <c r="V55" i="10"/>
  <c r="U55" i="10"/>
  <c r="T55" i="10"/>
  <c r="S55" i="10"/>
  <c r="R55" i="10"/>
  <c r="Q55" i="10"/>
  <c r="P55" i="10"/>
  <c r="O55" i="10"/>
  <c r="N55" i="10"/>
  <c r="M55" i="10"/>
  <c r="L55" i="10"/>
  <c r="K55" i="10"/>
  <c r="J55" i="10"/>
  <c r="I55" i="10"/>
  <c r="H55" i="10"/>
  <c r="G55" i="10"/>
  <c r="F55" i="10"/>
  <c r="E55" i="10"/>
  <c r="D55" i="10"/>
  <c r="C55" i="10"/>
  <c r="C54" i="10"/>
  <c r="E53" i="10"/>
  <c r="E52" i="10"/>
  <c r="C51" i="10"/>
  <c r="E48" i="10"/>
  <c r="D48" i="10"/>
  <c r="C48" i="10"/>
  <c r="E47" i="10"/>
  <c r="D47" i="10"/>
  <c r="C47" i="10"/>
  <c r="A33" i="10"/>
  <c r="A32" i="10"/>
  <c r="A30" i="10"/>
  <c r="A29" i="10"/>
  <c r="A27" i="10"/>
  <c r="A26" i="10"/>
  <c r="A25" i="10"/>
  <c r="A24" i="10"/>
  <c r="A23" i="10"/>
  <c r="A22" i="10"/>
  <c r="C18" i="10"/>
  <c r="C8" i="10"/>
  <c r="A123" i="6"/>
  <c r="A122" i="6"/>
  <c r="A121" i="6"/>
  <c r="A120" i="6"/>
  <c r="A119" i="6"/>
  <c r="A117" i="6"/>
  <c r="A116" i="6"/>
  <c r="A115" i="6"/>
  <c r="A114" i="6"/>
  <c r="A113" i="6"/>
  <c r="A112" i="6"/>
  <c r="A111" i="6"/>
  <c r="A110" i="6"/>
  <c r="A109" i="6"/>
  <c r="A107" i="6"/>
  <c r="A106" i="6"/>
  <c r="B105" i="6"/>
  <c r="A105" i="6"/>
  <c r="A104" i="6"/>
  <c r="B103" i="6"/>
  <c r="A103" i="6"/>
  <c r="A102" i="6"/>
  <c r="A101" i="6"/>
  <c r="A100" i="6"/>
  <c r="A99" i="6"/>
  <c r="A98" i="6"/>
  <c r="A97" i="6"/>
  <c r="U96" i="6"/>
  <c r="S96" i="6"/>
  <c r="Q96" i="6"/>
  <c r="O96" i="6"/>
  <c r="M96" i="6"/>
  <c r="K96" i="6"/>
  <c r="I96" i="6"/>
  <c r="G96" i="6"/>
  <c r="E96" i="6"/>
  <c r="C96" i="6"/>
  <c r="B96" i="6"/>
  <c r="V96" i="6" s="1"/>
  <c r="A96" i="6"/>
  <c r="C95" i="6"/>
  <c r="B95" i="6"/>
  <c r="A95" i="6"/>
  <c r="E94" i="6"/>
  <c r="B94" i="6"/>
  <c r="A94" i="6"/>
  <c r="A93" i="6"/>
  <c r="U92" i="6"/>
  <c r="S92" i="6"/>
  <c r="Q92" i="6"/>
  <c r="O92" i="6"/>
  <c r="M92" i="6"/>
  <c r="K92" i="6"/>
  <c r="I92" i="6"/>
  <c r="G92" i="6"/>
  <c r="C92" i="6"/>
  <c r="B92" i="6"/>
  <c r="V92" i="6" s="1"/>
  <c r="A92" i="6"/>
  <c r="A91" i="6"/>
  <c r="B90" i="6"/>
  <c r="A90" i="6"/>
  <c r="U89" i="6"/>
  <c r="S89" i="6"/>
  <c r="Q89" i="6"/>
  <c r="O89" i="6"/>
  <c r="M89" i="6"/>
  <c r="K89" i="6"/>
  <c r="I89" i="6"/>
  <c r="G89" i="6"/>
  <c r="E89" i="6"/>
  <c r="C89" i="6"/>
  <c r="B89" i="6"/>
  <c r="T89" i="6" s="1"/>
  <c r="A89" i="6"/>
  <c r="U88" i="6"/>
  <c r="S88" i="6"/>
  <c r="Q88" i="6"/>
  <c r="O88" i="6"/>
  <c r="M88" i="6"/>
  <c r="K88" i="6"/>
  <c r="I88" i="6"/>
  <c r="G88" i="6"/>
  <c r="E88" i="6"/>
  <c r="C88" i="6"/>
  <c r="B88" i="6"/>
  <c r="V88" i="6" s="1"/>
  <c r="A88" i="6"/>
  <c r="A87" i="6"/>
  <c r="D83" i="6"/>
  <c r="D83" i="10" s="1"/>
  <c r="C79" i="6"/>
  <c r="C79" i="10" s="1"/>
  <c r="C76" i="6"/>
  <c r="C76" i="10" s="1"/>
  <c r="D75" i="6"/>
  <c r="D75" i="10" s="1"/>
  <c r="C75" i="6"/>
  <c r="C75" i="10" s="1"/>
  <c r="D74" i="6"/>
  <c r="D74" i="10" s="1"/>
  <c r="C74" i="6"/>
  <c r="C74" i="10" s="1"/>
  <c r="D73" i="6"/>
  <c r="D73" i="10" s="1"/>
  <c r="C73" i="6"/>
  <c r="C73" i="10" s="1"/>
  <c r="D72" i="6"/>
  <c r="D72" i="10" s="1"/>
  <c r="C72" i="6"/>
  <c r="C72" i="10" s="1"/>
  <c r="C71" i="6"/>
  <c r="C71" i="10" s="1"/>
  <c r="E70" i="6"/>
  <c r="F70" i="6" s="1"/>
  <c r="D70" i="6"/>
  <c r="D70" i="10" s="1"/>
  <c r="C69" i="6"/>
  <c r="C69" i="10" s="1"/>
  <c r="E66" i="6"/>
  <c r="E66" i="10" s="1"/>
  <c r="D66" i="6"/>
  <c r="D66" i="10" s="1"/>
  <c r="F65" i="6"/>
  <c r="F65" i="10" s="1"/>
  <c r="E65" i="6"/>
  <c r="E65" i="10" s="1"/>
  <c r="C64" i="6"/>
  <c r="C64" i="10" s="1"/>
  <c r="C63" i="6"/>
  <c r="C63" i="10" s="1"/>
  <c r="C62" i="6"/>
  <c r="C62" i="10" s="1"/>
  <c r="C61" i="6"/>
  <c r="C61" i="10" s="1"/>
  <c r="D60" i="6"/>
  <c r="D60" i="10" s="1"/>
  <c r="E59" i="6"/>
  <c r="E59" i="10" s="1"/>
  <c r="D59" i="6"/>
  <c r="D59" i="10" s="1"/>
  <c r="D58" i="6"/>
  <c r="D58" i="10" s="1"/>
  <c r="E57" i="6"/>
  <c r="E57" i="10" s="1"/>
  <c r="D57" i="6"/>
  <c r="D57" i="10" s="1"/>
  <c r="D56" i="6"/>
  <c r="D56" i="10" s="1"/>
  <c r="C56" i="6"/>
  <c r="C56" i="10" s="1"/>
  <c r="H54" i="6"/>
  <c r="H54" i="10" s="1"/>
  <c r="G54" i="6"/>
  <c r="G54" i="10" s="1"/>
  <c r="F54" i="6"/>
  <c r="F54" i="10" s="1"/>
  <c r="E54" i="6"/>
  <c r="E54" i="10" s="1"/>
  <c r="D54" i="6"/>
  <c r="D54" i="10" s="1"/>
  <c r="G53" i="6"/>
  <c r="G53" i="10" s="1"/>
  <c r="F53" i="6"/>
  <c r="F53" i="10" s="1"/>
  <c r="F52" i="6"/>
  <c r="F52" i="10" s="1"/>
  <c r="C52" i="6"/>
  <c r="C52" i="10" s="1"/>
  <c r="D51" i="6"/>
  <c r="D51" i="10" s="1"/>
  <c r="C50" i="6"/>
  <c r="C50" i="10" s="1"/>
  <c r="C49" i="6"/>
  <c r="C49" i="10" s="1"/>
  <c r="A33" i="6"/>
  <c r="A32" i="6"/>
  <c r="A30" i="6"/>
  <c r="A29" i="6"/>
  <c r="B27" i="6"/>
  <c r="A27" i="6"/>
  <c r="B26" i="6"/>
  <c r="A26" i="6"/>
  <c r="B25" i="6"/>
  <c r="A25" i="6"/>
  <c r="B24" i="6"/>
  <c r="A24" i="6"/>
  <c r="B23" i="6"/>
  <c r="A23" i="6"/>
  <c r="A22" i="6"/>
  <c r="V18" i="6"/>
  <c r="V18" i="10" s="1"/>
  <c r="U18" i="6"/>
  <c r="U18" i="10" s="1"/>
  <c r="T18" i="6"/>
  <c r="T18" i="10" s="1"/>
  <c r="S18" i="6"/>
  <c r="S15" i="6" s="1"/>
  <c r="S15" i="10" s="1"/>
  <c r="R18" i="6"/>
  <c r="R18" i="10" s="1"/>
  <c r="Q18" i="6"/>
  <c r="Q18" i="10" s="1"/>
  <c r="P18" i="6"/>
  <c r="P18" i="10" s="1"/>
  <c r="O18" i="6"/>
  <c r="O15" i="6" s="1"/>
  <c r="O15" i="10" s="1"/>
  <c r="N18" i="6"/>
  <c r="N18" i="10" s="1"/>
  <c r="M18" i="6"/>
  <c r="M18" i="10" s="1"/>
  <c r="L18" i="6"/>
  <c r="L18" i="10" s="1"/>
  <c r="K18" i="6"/>
  <c r="K15" i="6" s="1"/>
  <c r="K15" i="10" s="1"/>
  <c r="J18" i="6"/>
  <c r="J18" i="10" s="1"/>
  <c r="I18" i="6"/>
  <c r="I18" i="10" s="1"/>
  <c r="H18" i="6"/>
  <c r="H18" i="10" s="1"/>
  <c r="G18" i="6"/>
  <c r="G15" i="6" s="1"/>
  <c r="G15" i="10" s="1"/>
  <c r="F18" i="6"/>
  <c r="F18" i="10" s="1"/>
  <c r="E18" i="6"/>
  <c r="E18" i="10" s="1"/>
  <c r="D18" i="6"/>
  <c r="D18" i="10" s="1"/>
  <c r="V15" i="6"/>
  <c r="V15" i="10" s="1"/>
  <c r="T15" i="6"/>
  <c r="T15" i="10" s="1"/>
  <c r="R15" i="6"/>
  <c r="R15" i="10" s="1"/>
  <c r="P15" i="6"/>
  <c r="P15" i="10" s="1"/>
  <c r="N15" i="6"/>
  <c r="N15" i="10" s="1"/>
  <c r="L15" i="6"/>
  <c r="L15" i="10" s="1"/>
  <c r="J15" i="6"/>
  <c r="J15" i="10" s="1"/>
  <c r="H15" i="6"/>
  <c r="H15" i="10" s="1"/>
  <c r="F15" i="6"/>
  <c r="F15" i="10" s="1"/>
  <c r="D15" i="6"/>
  <c r="D15" i="10" s="1"/>
  <c r="C15" i="6"/>
  <c r="C15" i="10" s="1"/>
  <c r="V12" i="6"/>
  <c r="V12" i="10" s="1"/>
  <c r="T12" i="6"/>
  <c r="T12" i="10" s="1"/>
  <c r="R12" i="6"/>
  <c r="R12" i="10" s="1"/>
  <c r="P12" i="6"/>
  <c r="P12" i="10" s="1"/>
  <c r="N12" i="6"/>
  <c r="N12" i="10" s="1"/>
  <c r="L12" i="6"/>
  <c r="L12" i="10" s="1"/>
  <c r="J12" i="6"/>
  <c r="J12" i="10" s="1"/>
  <c r="H12" i="6"/>
  <c r="H12" i="10" s="1"/>
  <c r="F12" i="6"/>
  <c r="F12" i="10" s="1"/>
  <c r="D12" i="6"/>
  <c r="D12" i="10" s="1"/>
  <c r="C12" i="6"/>
  <c r="C12" i="10" s="1"/>
  <c r="V11" i="6"/>
  <c r="V11" i="10" s="1"/>
  <c r="T11" i="6"/>
  <c r="T11" i="10" s="1"/>
  <c r="R11" i="6"/>
  <c r="R11" i="10" s="1"/>
  <c r="P11" i="6"/>
  <c r="P11" i="10" s="1"/>
  <c r="N11" i="6"/>
  <c r="N11" i="10" s="1"/>
  <c r="L11" i="6"/>
  <c r="L11" i="10" s="1"/>
  <c r="J11" i="6"/>
  <c r="J11" i="10" s="1"/>
  <c r="H11" i="6"/>
  <c r="H11" i="10" s="1"/>
  <c r="F11" i="6"/>
  <c r="F11" i="10" s="1"/>
  <c r="D11" i="6"/>
  <c r="D11" i="10" s="1"/>
  <c r="C11" i="6"/>
  <c r="C11" i="10" s="1"/>
  <c r="V10" i="6"/>
  <c r="V10" i="10" s="1"/>
  <c r="T10" i="6"/>
  <c r="T10" i="10" s="1"/>
  <c r="R10" i="6"/>
  <c r="R10" i="10" s="1"/>
  <c r="P10" i="6"/>
  <c r="P10" i="10" s="1"/>
  <c r="N10" i="6"/>
  <c r="N10" i="10" s="1"/>
  <c r="L10" i="6"/>
  <c r="L10" i="10" s="1"/>
  <c r="J10" i="6"/>
  <c r="J10" i="10" s="1"/>
  <c r="H10" i="6"/>
  <c r="H10" i="10" s="1"/>
  <c r="F10" i="6"/>
  <c r="F10" i="10" s="1"/>
  <c r="D10" i="6"/>
  <c r="D10" i="10" s="1"/>
  <c r="C10" i="6"/>
  <c r="C10" i="10" s="1"/>
  <c r="V9" i="6"/>
  <c r="V9" i="10" s="1"/>
  <c r="T9" i="6"/>
  <c r="T9" i="10" s="1"/>
  <c r="R9" i="6"/>
  <c r="R9" i="10" s="1"/>
  <c r="P9" i="6"/>
  <c r="P9" i="10" s="1"/>
  <c r="N9" i="6"/>
  <c r="N9" i="10" s="1"/>
  <c r="L9" i="6"/>
  <c r="L9" i="10" s="1"/>
  <c r="J9" i="6"/>
  <c r="J9" i="10" s="1"/>
  <c r="H9" i="6"/>
  <c r="H9" i="10" s="1"/>
  <c r="F9" i="6"/>
  <c r="F9" i="10" s="1"/>
  <c r="D9" i="6"/>
  <c r="D9" i="10" s="1"/>
  <c r="C9" i="6"/>
  <c r="C9" i="10" s="1"/>
  <c r="D8" i="6"/>
  <c r="D8" i="10" s="1"/>
  <c r="B125" i="2"/>
  <c r="B122" i="2"/>
  <c r="B120" i="2"/>
  <c r="C115" i="2"/>
  <c r="C114" i="2"/>
  <c r="D107" i="2"/>
  <c r="B124" i="10" s="1"/>
  <c r="C107" i="2"/>
  <c r="B123" i="6" s="1"/>
  <c r="D106" i="2"/>
  <c r="B137" i="14" s="1"/>
  <c r="C105" i="2"/>
  <c r="B136" i="5" s="1"/>
  <c r="D104" i="2"/>
  <c r="D103" i="2"/>
  <c r="D102" i="2"/>
  <c r="B94" i="13" s="1"/>
  <c r="D101" i="2"/>
  <c r="B93" i="13" s="1"/>
  <c r="D100" i="2"/>
  <c r="B92" i="13" s="1"/>
  <c r="D99" i="2"/>
  <c r="D98" i="2"/>
  <c r="B92" i="12" s="1"/>
  <c r="D97" i="2"/>
  <c r="B110" i="11" s="1"/>
  <c r="C97" i="2"/>
  <c r="B110" i="1" s="1"/>
  <c r="D96" i="2"/>
  <c r="B120" i="10" s="1"/>
  <c r="C96" i="2"/>
  <c r="B93" i="8" s="1"/>
  <c r="D95" i="2"/>
  <c r="B202" i="11" s="1"/>
  <c r="C95" i="2"/>
  <c r="B232" i="1" s="1"/>
  <c r="D94" i="2"/>
  <c r="C90" i="2"/>
  <c r="C87" i="2"/>
  <c r="D87" i="2" s="1"/>
  <c r="B112" i="10" s="1"/>
  <c r="C86" i="2"/>
  <c r="D86" i="2" s="1"/>
  <c r="B111" i="10" s="1"/>
  <c r="C85" i="2"/>
  <c r="B80" i="8" s="1"/>
  <c r="C84" i="2"/>
  <c r="B110" i="6" s="1"/>
  <c r="D83" i="2"/>
  <c r="B101" i="11" s="1"/>
  <c r="C83" i="2"/>
  <c r="B101" i="1" s="1"/>
  <c r="D82" i="2"/>
  <c r="B99" i="11" s="1"/>
  <c r="C82" i="2"/>
  <c r="B99" i="1" s="1"/>
  <c r="D81" i="2"/>
  <c r="B98" i="11" s="1"/>
  <c r="C81" i="2"/>
  <c r="B98" i="1" s="1"/>
  <c r="D80" i="2"/>
  <c r="B100" i="11" s="1"/>
  <c r="C80" i="2"/>
  <c r="B100" i="1" s="1"/>
  <c r="D77" i="2"/>
  <c r="C77" i="2"/>
  <c r="D76" i="2"/>
  <c r="B89" i="13" s="1"/>
  <c r="C76" i="2"/>
  <c r="B89" i="4" s="1"/>
  <c r="D75" i="2"/>
  <c r="B88" i="13" s="1"/>
  <c r="D74" i="2"/>
  <c r="B87" i="13" s="1"/>
  <c r="D71" i="2"/>
  <c r="B57" i="13" s="1"/>
  <c r="C71" i="2"/>
  <c r="B57" i="4" s="1"/>
  <c r="D67" i="2"/>
  <c r="B81" i="12" s="1"/>
  <c r="C67" i="2"/>
  <c r="B81" i="8" s="1"/>
  <c r="D66" i="2"/>
  <c r="B114" i="14" s="1"/>
  <c r="C66" i="2"/>
  <c r="B114" i="5" s="1"/>
  <c r="D65" i="2"/>
  <c r="B113" i="14" s="1"/>
  <c r="C65" i="2"/>
  <c r="B113" i="5" s="1"/>
  <c r="D64" i="2"/>
  <c r="B59" i="13" s="1"/>
  <c r="C64" i="2"/>
  <c r="B59" i="4" s="1"/>
  <c r="D63" i="2"/>
  <c r="B58" i="13" s="1"/>
  <c r="C63" i="2"/>
  <c r="B58" i="4" s="1"/>
  <c r="D62" i="2"/>
  <c r="B56" i="13" s="1"/>
  <c r="C62" i="2"/>
  <c r="B56" i="4" s="1"/>
  <c r="D61" i="2"/>
  <c r="B55" i="13" s="1"/>
  <c r="C61" i="2"/>
  <c r="B55" i="4" s="1"/>
  <c r="D60" i="2"/>
  <c r="C60" i="2"/>
  <c r="B117" i="5" s="1"/>
  <c r="D59" i="2"/>
  <c r="C59" i="2"/>
  <c r="D58" i="2"/>
  <c r="C58" i="2"/>
  <c r="B84" i="8" s="1"/>
  <c r="D57" i="2"/>
  <c r="C57" i="2"/>
  <c r="D56" i="2"/>
  <c r="C56" i="2"/>
  <c r="B114" i="6" s="1"/>
  <c r="D55" i="2"/>
  <c r="C55" i="2"/>
  <c r="B115" i="5" s="1"/>
  <c r="D54" i="2"/>
  <c r="B89" i="12" s="1"/>
  <c r="C54" i="2"/>
  <c r="B89" i="8" s="1"/>
  <c r="D53" i="2"/>
  <c r="B88" i="12" s="1"/>
  <c r="C53" i="2"/>
  <c r="B88" i="8" s="1"/>
  <c r="D52" i="2"/>
  <c r="B87" i="12" s="1"/>
  <c r="C52" i="2"/>
  <c r="B87" i="8" s="1"/>
  <c r="D51" i="2"/>
  <c r="B86" i="12" s="1"/>
  <c r="C51" i="2"/>
  <c r="B86" i="8" s="1"/>
  <c r="D50" i="2"/>
  <c r="C50" i="2"/>
  <c r="B117" i="6" s="1"/>
  <c r="D49" i="2"/>
  <c r="B85" i="12" s="1"/>
  <c r="C49" i="2"/>
  <c r="B85" i="8" s="1"/>
  <c r="D48" i="2"/>
  <c r="B103" i="11" s="1"/>
  <c r="C48" i="2"/>
  <c r="B103" i="1" s="1"/>
  <c r="D43" i="2"/>
  <c r="D42" i="2"/>
  <c r="B84" i="13" s="1"/>
  <c r="D41" i="2"/>
  <c r="B83" i="13" s="1"/>
  <c r="D40" i="2"/>
  <c r="B82" i="13" s="1"/>
  <c r="D39" i="2"/>
  <c r="B81" i="13" s="1"/>
  <c r="D38" i="2"/>
  <c r="B78" i="13" s="1"/>
  <c r="D37" i="2"/>
  <c r="B76" i="13" s="1"/>
  <c r="D36" i="2"/>
  <c r="D35" i="2"/>
  <c r="D34" i="2"/>
  <c r="B67" i="13" s="1"/>
  <c r="D33" i="2"/>
  <c r="B65" i="13" s="1"/>
  <c r="D32" i="2"/>
  <c r="B62" i="13" s="1"/>
  <c r="D31" i="2"/>
  <c r="B61" i="13" s="1"/>
  <c r="C31" i="2"/>
  <c r="B61" i="4" s="1"/>
  <c r="D30" i="2"/>
  <c r="B60" i="13" s="1"/>
  <c r="C30" i="2"/>
  <c r="B60" i="4" s="1"/>
  <c r="D27" i="2"/>
  <c r="D26" i="2"/>
  <c r="D25" i="2"/>
  <c r="B102" i="14" s="1"/>
  <c r="D21" i="2"/>
  <c r="B72" i="12" s="1"/>
  <c r="D20" i="2"/>
  <c r="B95" i="11" s="1"/>
  <c r="D19" i="2"/>
  <c r="B25" i="10" s="1"/>
  <c r="D18" i="2"/>
  <c r="B77" i="12" s="1"/>
  <c r="C17" i="2"/>
  <c r="C16" i="2"/>
  <c r="C15" i="2"/>
  <c r="D15" i="2" s="1"/>
  <c r="D14" i="2"/>
  <c r="B77" i="13" s="1"/>
  <c r="D13" i="2"/>
  <c r="D12" i="2"/>
  <c r="B63" i="12" s="1"/>
  <c r="D11" i="2"/>
  <c r="D10" i="2"/>
  <c r="D9" i="2"/>
  <c r="C8" i="2"/>
  <c r="B93" i="6" s="1"/>
  <c r="D7" i="2"/>
  <c r="D6" i="2"/>
  <c r="B69" i="12" s="1"/>
  <c r="D5" i="2"/>
  <c r="B23" i="10" s="1"/>
  <c r="D4" i="2"/>
  <c r="D3" i="2"/>
  <c r="B26" i="10" s="1"/>
  <c r="C26" i="10" l="1"/>
  <c r="P26" i="10"/>
  <c r="H26" i="10"/>
  <c r="V26" i="10"/>
  <c r="N26" i="10"/>
  <c r="F26" i="10"/>
  <c r="T26" i="10"/>
  <c r="L26" i="10"/>
  <c r="D26" i="10"/>
  <c r="R26" i="10"/>
  <c r="J26" i="10"/>
  <c r="C25" i="10"/>
  <c r="P25" i="10"/>
  <c r="H25" i="10"/>
  <c r="V25" i="10"/>
  <c r="N25" i="10"/>
  <c r="F25" i="10"/>
  <c r="T25" i="10"/>
  <c r="L25" i="10"/>
  <c r="D25" i="10"/>
  <c r="R25" i="10"/>
  <c r="J25" i="10"/>
  <c r="D111" i="10"/>
  <c r="C111" i="10"/>
  <c r="S112" i="10"/>
  <c r="O112" i="10"/>
  <c r="K112" i="10"/>
  <c r="G112" i="10"/>
  <c r="C112" i="10"/>
  <c r="V112" i="10"/>
  <c r="R112" i="10"/>
  <c r="N112" i="10"/>
  <c r="J112" i="10"/>
  <c r="F112" i="10"/>
  <c r="U112" i="10"/>
  <c r="Q112" i="10"/>
  <c r="M112" i="10"/>
  <c r="I112" i="10"/>
  <c r="T112" i="10"/>
  <c r="P112" i="10"/>
  <c r="L112" i="10"/>
  <c r="H112" i="10"/>
  <c r="C117" i="6"/>
  <c r="D114" i="6"/>
  <c r="C114" i="6"/>
  <c r="U110" i="6"/>
  <c r="Q110" i="6"/>
  <c r="M110" i="6"/>
  <c r="I110" i="6"/>
  <c r="T110" i="6"/>
  <c r="P110" i="6"/>
  <c r="L110" i="6"/>
  <c r="H110" i="6"/>
  <c r="S110" i="6"/>
  <c r="O110" i="6"/>
  <c r="K110" i="6"/>
  <c r="G110" i="6"/>
  <c r="C110" i="6"/>
  <c r="V110" i="6"/>
  <c r="R110" i="6"/>
  <c r="N110" i="6"/>
  <c r="J110" i="6"/>
  <c r="F110" i="6"/>
  <c r="F70" i="10"/>
  <c r="F111" i="10" s="1"/>
  <c r="F49" i="6"/>
  <c r="F49" i="10" s="1"/>
  <c r="G70" i="6"/>
  <c r="C93" i="6"/>
  <c r="F93" i="6"/>
  <c r="E93" i="6"/>
  <c r="C23" i="10"/>
  <c r="D23" i="10"/>
  <c r="D123" i="6"/>
  <c r="C123" i="6"/>
  <c r="S69" i="12"/>
  <c r="O69" i="12"/>
  <c r="K69" i="12"/>
  <c r="G69" i="12"/>
  <c r="C69" i="12"/>
  <c r="V69" i="12"/>
  <c r="R69" i="12"/>
  <c r="N69" i="12"/>
  <c r="J69" i="12"/>
  <c r="F69" i="12"/>
  <c r="U69" i="12"/>
  <c r="Q69" i="12"/>
  <c r="M69" i="12"/>
  <c r="I69" i="12"/>
  <c r="E69" i="12"/>
  <c r="L69" i="12"/>
  <c r="H69" i="12"/>
  <c r="T69" i="12"/>
  <c r="D69" i="12"/>
  <c r="P69" i="12"/>
  <c r="B67" i="12"/>
  <c r="B182" i="11"/>
  <c r="B89" i="11"/>
  <c r="B92" i="1"/>
  <c r="B23" i="1"/>
  <c r="Z102" i="14"/>
  <c r="V102" i="14"/>
  <c r="R102" i="14"/>
  <c r="N102" i="14"/>
  <c r="J102" i="14"/>
  <c r="F102" i="14"/>
  <c r="Y102" i="14"/>
  <c r="U102" i="14"/>
  <c r="Q102" i="14"/>
  <c r="M102" i="14"/>
  <c r="I102" i="14"/>
  <c r="E102" i="14"/>
  <c r="X102" i="14"/>
  <c r="T102" i="14"/>
  <c r="P102" i="14"/>
  <c r="L102" i="14"/>
  <c r="H102" i="14"/>
  <c r="D102" i="14"/>
  <c r="K102" i="14"/>
  <c r="W102" i="14"/>
  <c r="G102" i="14"/>
  <c r="S102" i="14"/>
  <c r="C102" i="14"/>
  <c r="O102" i="14"/>
  <c r="B86" i="14"/>
  <c r="X65" i="13"/>
  <c r="T65" i="13"/>
  <c r="P65" i="13"/>
  <c r="L65" i="13"/>
  <c r="H65" i="13"/>
  <c r="D65" i="13"/>
  <c r="W65" i="13"/>
  <c r="S65" i="13"/>
  <c r="O65" i="13"/>
  <c r="K65" i="13"/>
  <c r="G65" i="13"/>
  <c r="C65" i="13"/>
  <c r="Z65" i="13"/>
  <c r="V65" i="13"/>
  <c r="R65" i="13"/>
  <c r="N65" i="13"/>
  <c r="J65" i="13"/>
  <c r="F65" i="13"/>
  <c r="U65" i="13"/>
  <c r="E65" i="13"/>
  <c r="Q65" i="13"/>
  <c r="M65" i="13"/>
  <c r="I65" i="13"/>
  <c r="Y65" i="13"/>
  <c r="B123" i="14"/>
  <c r="Z83" i="13"/>
  <c r="V83" i="13"/>
  <c r="R83" i="13"/>
  <c r="N83" i="13"/>
  <c r="J83" i="13"/>
  <c r="F83" i="13"/>
  <c r="Y83" i="13"/>
  <c r="U83" i="13"/>
  <c r="Q83" i="13"/>
  <c r="M83" i="13"/>
  <c r="I83" i="13"/>
  <c r="E83" i="13"/>
  <c r="X83" i="13"/>
  <c r="T83" i="13"/>
  <c r="P83" i="13"/>
  <c r="L83" i="13"/>
  <c r="H83" i="13"/>
  <c r="D83" i="13"/>
  <c r="W83" i="13"/>
  <c r="G83" i="13"/>
  <c r="S83" i="13"/>
  <c r="C83" i="13"/>
  <c r="O83" i="13"/>
  <c r="K83" i="13"/>
  <c r="B118" i="14"/>
  <c r="B28" i="11"/>
  <c r="B30" i="10"/>
  <c r="B117" i="10"/>
  <c r="R89" i="12"/>
  <c r="J89" i="12"/>
  <c r="F89" i="12"/>
  <c r="U89" i="12"/>
  <c r="Q89" i="12"/>
  <c r="M89" i="12"/>
  <c r="E89" i="12"/>
  <c r="P89" i="12"/>
  <c r="L89" i="12"/>
  <c r="H89" i="12"/>
  <c r="D89" i="12"/>
  <c r="G89" i="12"/>
  <c r="C89" i="12"/>
  <c r="O89" i="12"/>
  <c r="K89" i="12"/>
  <c r="B84" i="12"/>
  <c r="B115" i="10"/>
  <c r="B117" i="14"/>
  <c r="B116" i="10"/>
  <c r="B80" i="14"/>
  <c r="Y59" i="13"/>
  <c r="U59" i="13"/>
  <c r="Q59" i="13"/>
  <c r="M59" i="13"/>
  <c r="I59" i="13"/>
  <c r="E59" i="13"/>
  <c r="X59" i="13"/>
  <c r="T59" i="13"/>
  <c r="P59" i="13"/>
  <c r="L59" i="13"/>
  <c r="H59" i="13"/>
  <c r="W59" i="13"/>
  <c r="S59" i="13"/>
  <c r="O59" i="13"/>
  <c r="K59" i="13"/>
  <c r="G59" i="13"/>
  <c r="N59" i="13"/>
  <c r="Z59" i="13"/>
  <c r="J59" i="13"/>
  <c r="V59" i="13"/>
  <c r="F59" i="13"/>
  <c r="R59" i="13"/>
  <c r="W114" i="14"/>
  <c r="S114" i="14"/>
  <c r="O114" i="14"/>
  <c r="K114" i="14"/>
  <c r="G114" i="14"/>
  <c r="C114" i="14"/>
  <c r="Z114" i="14"/>
  <c r="V114" i="14"/>
  <c r="R114" i="14"/>
  <c r="N114" i="14"/>
  <c r="J114" i="14"/>
  <c r="F114" i="14"/>
  <c r="Y114" i="14"/>
  <c r="U114" i="14"/>
  <c r="Q114" i="14"/>
  <c r="M114" i="14"/>
  <c r="I114" i="14"/>
  <c r="E114" i="14"/>
  <c r="P114" i="14"/>
  <c r="L114" i="14"/>
  <c r="X114" i="14"/>
  <c r="H114" i="14"/>
  <c r="T114" i="14"/>
  <c r="D114" i="14"/>
  <c r="Y57" i="13"/>
  <c r="U57" i="13"/>
  <c r="Q57" i="13"/>
  <c r="M57" i="13"/>
  <c r="I57" i="13"/>
  <c r="E57" i="13"/>
  <c r="X57" i="13"/>
  <c r="T57" i="13"/>
  <c r="P57" i="13"/>
  <c r="L57" i="13"/>
  <c r="H57" i="13"/>
  <c r="D57" i="13"/>
  <c r="W57" i="13"/>
  <c r="S57" i="13"/>
  <c r="O57" i="13"/>
  <c r="K57" i="13"/>
  <c r="G57" i="13"/>
  <c r="C57" i="13"/>
  <c r="Z57" i="13"/>
  <c r="J57" i="13"/>
  <c r="B78" i="14"/>
  <c r="V57" i="13"/>
  <c r="F57" i="13"/>
  <c r="R57" i="13"/>
  <c r="N57" i="13"/>
  <c r="B129" i="14"/>
  <c r="Y89" i="13"/>
  <c r="U89" i="13"/>
  <c r="Q89" i="13"/>
  <c r="M89" i="13"/>
  <c r="I89" i="13"/>
  <c r="E89" i="13"/>
  <c r="X89" i="13"/>
  <c r="T89" i="13"/>
  <c r="P89" i="13"/>
  <c r="L89" i="13"/>
  <c r="H89" i="13"/>
  <c r="D89" i="13"/>
  <c r="W89" i="13"/>
  <c r="S89" i="13"/>
  <c r="O89" i="13"/>
  <c r="K89" i="13"/>
  <c r="G89" i="13"/>
  <c r="C89" i="13"/>
  <c r="Z89" i="13"/>
  <c r="J89" i="13"/>
  <c r="V89" i="13"/>
  <c r="F89" i="13"/>
  <c r="R89" i="13"/>
  <c r="N89" i="13"/>
  <c r="B193" i="11"/>
  <c r="S100" i="11"/>
  <c r="O100" i="11"/>
  <c r="K100" i="11"/>
  <c r="G100" i="11"/>
  <c r="C100" i="11"/>
  <c r="V100" i="11"/>
  <c r="R100" i="11"/>
  <c r="N100" i="11"/>
  <c r="J100" i="11"/>
  <c r="F100" i="11"/>
  <c r="U100" i="11"/>
  <c r="Q100" i="11"/>
  <c r="M100" i="11"/>
  <c r="I100" i="11"/>
  <c r="E100" i="11"/>
  <c r="T100" i="11"/>
  <c r="P100" i="11"/>
  <c r="L100" i="11"/>
  <c r="H100" i="11"/>
  <c r="D100" i="11"/>
  <c r="B192" i="11"/>
  <c r="U99" i="11"/>
  <c r="Q99" i="11"/>
  <c r="M99" i="11"/>
  <c r="I99" i="11"/>
  <c r="E99" i="11"/>
  <c r="T99" i="11"/>
  <c r="P99" i="11"/>
  <c r="L99" i="11"/>
  <c r="H99" i="11"/>
  <c r="D99" i="11"/>
  <c r="S99" i="11"/>
  <c r="O99" i="11"/>
  <c r="K99" i="11"/>
  <c r="G99" i="11"/>
  <c r="C99" i="11"/>
  <c r="V99" i="11"/>
  <c r="R99" i="11"/>
  <c r="N99" i="11"/>
  <c r="J99" i="11"/>
  <c r="F99" i="11"/>
  <c r="U80" i="8"/>
  <c r="Q80" i="8"/>
  <c r="M80" i="8"/>
  <c r="I80" i="8"/>
  <c r="E80" i="8"/>
  <c r="T80" i="8"/>
  <c r="P80" i="8"/>
  <c r="L80" i="8"/>
  <c r="H80" i="8"/>
  <c r="S80" i="8"/>
  <c r="O80" i="8"/>
  <c r="K80" i="8"/>
  <c r="G80" i="8"/>
  <c r="V80" i="8"/>
  <c r="F80" i="8"/>
  <c r="R80" i="8"/>
  <c r="N80" i="8"/>
  <c r="J80" i="8"/>
  <c r="B31" i="11"/>
  <c r="B109" i="11"/>
  <c r="B121" i="10"/>
  <c r="C120" i="10"/>
  <c r="B93" i="12"/>
  <c r="B111" i="11"/>
  <c r="B95" i="13"/>
  <c r="B112" i="11"/>
  <c r="Z137" i="14"/>
  <c r="V137" i="14"/>
  <c r="R137" i="14"/>
  <c r="N137" i="14"/>
  <c r="J137" i="14"/>
  <c r="F137" i="14"/>
  <c r="Y137" i="14"/>
  <c r="U137" i="14"/>
  <c r="Q137" i="14"/>
  <c r="M137" i="14"/>
  <c r="I137" i="14"/>
  <c r="X137" i="14"/>
  <c r="T137" i="14"/>
  <c r="P137" i="14"/>
  <c r="L137" i="14"/>
  <c r="H137" i="14"/>
  <c r="D137" i="14"/>
  <c r="K137" i="14"/>
  <c r="W137" i="14"/>
  <c r="G137" i="14"/>
  <c r="S137" i="14"/>
  <c r="C137" i="14"/>
  <c r="O137" i="14"/>
  <c r="C75" i="17"/>
  <c r="C74" i="17"/>
  <c r="C73" i="17"/>
  <c r="C72" i="17"/>
  <c r="C71" i="17"/>
  <c r="D42" i="18" s="1"/>
  <c r="C70" i="17"/>
  <c r="D41" i="18" s="1"/>
  <c r="C69" i="17"/>
  <c r="D40" i="18" s="1"/>
  <c r="C68" i="17"/>
  <c r="D39" i="18" s="1"/>
  <c r="C67" i="17"/>
  <c r="D38" i="18" s="1"/>
  <c r="E75" i="17"/>
  <c r="E71" i="17"/>
  <c r="E67" i="17"/>
  <c r="E72" i="17"/>
  <c r="E68" i="17"/>
  <c r="E73" i="17"/>
  <c r="E69" i="17"/>
  <c r="E74" i="17"/>
  <c r="E70" i="17"/>
  <c r="C37" i="17"/>
  <c r="B42" i="18" s="1"/>
  <c r="C36" i="17"/>
  <c r="B41" i="18" s="1"/>
  <c r="C35" i="17"/>
  <c r="B40" i="18" s="1"/>
  <c r="C34" i="17"/>
  <c r="B39" i="18" s="1"/>
  <c r="C33" i="17"/>
  <c r="B38" i="18" s="1"/>
  <c r="C32" i="17"/>
  <c r="B37" i="18" s="1"/>
  <c r="C31" i="17"/>
  <c r="B36" i="18" s="1"/>
  <c r="C30" i="17"/>
  <c r="B35" i="18" s="1"/>
  <c r="C29" i="17"/>
  <c r="B34" i="18" s="1"/>
  <c r="E35" i="17"/>
  <c r="E31" i="17"/>
  <c r="E36" i="17"/>
  <c r="E32" i="17"/>
  <c r="E37" i="17"/>
  <c r="E33" i="17"/>
  <c r="E29" i="17"/>
  <c r="E34" i="17"/>
  <c r="E30" i="17"/>
  <c r="D24" i="6"/>
  <c r="H24" i="6"/>
  <c r="L24" i="6"/>
  <c r="P24" i="6"/>
  <c r="T24" i="6"/>
  <c r="F25" i="6"/>
  <c r="J25" i="6"/>
  <c r="N25" i="6"/>
  <c r="R25" i="6"/>
  <c r="V25" i="6"/>
  <c r="D26" i="6"/>
  <c r="H26" i="6"/>
  <c r="L26" i="6"/>
  <c r="P26" i="6"/>
  <c r="T26" i="6"/>
  <c r="F27" i="6"/>
  <c r="J27" i="6"/>
  <c r="N27" i="6"/>
  <c r="R27" i="6"/>
  <c r="V27" i="6"/>
  <c r="D79" i="6"/>
  <c r="F80" i="6"/>
  <c r="C90" i="6"/>
  <c r="G94" i="6"/>
  <c r="E95" i="6"/>
  <c r="B112" i="6"/>
  <c r="B116" i="6"/>
  <c r="K18" i="10"/>
  <c r="S18" i="10"/>
  <c r="B24" i="10"/>
  <c r="B27" i="10"/>
  <c r="D64" i="11"/>
  <c r="E64" i="1"/>
  <c r="E64" i="11" s="1"/>
  <c r="B70" i="13"/>
  <c r="B62" i="12"/>
  <c r="B87" i="11"/>
  <c r="B94" i="10"/>
  <c r="B81" i="14"/>
  <c r="W60" i="13"/>
  <c r="S60" i="13"/>
  <c r="O60" i="13"/>
  <c r="K60" i="13"/>
  <c r="G60" i="13"/>
  <c r="C60" i="13"/>
  <c r="Z60" i="13"/>
  <c r="V60" i="13"/>
  <c r="R60" i="13"/>
  <c r="N60" i="13"/>
  <c r="J60" i="13"/>
  <c r="F60" i="13"/>
  <c r="Y60" i="13"/>
  <c r="U60" i="13"/>
  <c r="Q60" i="13"/>
  <c r="M60" i="13"/>
  <c r="I60" i="13"/>
  <c r="E60" i="13"/>
  <c r="P60" i="13"/>
  <c r="L60" i="13"/>
  <c r="X60" i="13"/>
  <c r="H60" i="13"/>
  <c r="T60" i="13"/>
  <c r="D60" i="13"/>
  <c r="B97" i="14"/>
  <c r="Y76" i="13"/>
  <c r="U76" i="13"/>
  <c r="Q76" i="13"/>
  <c r="M76" i="13"/>
  <c r="I76" i="13"/>
  <c r="X76" i="13"/>
  <c r="T76" i="13"/>
  <c r="P76" i="13"/>
  <c r="L76" i="13"/>
  <c r="H76" i="13"/>
  <c r="W76" i="13"/>
  <c r="S76" i="13"/>
  <c r="O76" i="13"/>
  <c r="K76" i="13"/>
  <c r="G76" i="13"/>
  <c r="C76" i="13"/>
  <c r="N76" i="13"/>
  <c r="Z76" i="13"/>
  <c r="J76" i="13"/>
  <c r="V76" i="13"/>
  <c r="F76" i="13"/>
  <c r="R76" i="13"/>
  <c r="B196" i="11"/>
  <c r="E103" i="11"/>
  <c r="D103" i="11"/>
  <c r="C103" i="11"/>
  <c r="R87" i="12"/>
  <c r="J87" i="12"/>
  <c r="F87" i="12"/>
  <c r="U87" i="12"/>
  <c r="M87" i="12"/>
  <c r="E87" i="12"/>
  <c r="P87" i="12"/>
  <c r="L87" i="12"/>
  <c r="H87" i="12"/>
  <c r="D87" i="12"/>
  <c r="G87" i="12"/>
  <c r="C87" i="12"/>
  <c r="K87" i="12"/>
  <c r="B116" i="14"/>
  <c r="B83" i="12"/>
  <c r="B114" i="10"/>
  <c r="B77" i="14"/>
  <c r="W56" i="13"/>
  <c r="S56" i="13"/>
  <c r="O56" i="13"/>
  <c r="K56" i="13"/>
  <c r="G56" i="13"/>
  <c r="Z56" i="13"/>
  <c r="V56" i="13"/>
  <c r="R56" i="13"/>
  <c r="N56" i="13"/>
  <c r="J56" i="13"/>
  <c r="F56" i="13"/>
  <c r="Y56" i="13"/>
  <c r="U56" i="13"/>
  <c r="Q56" i="13"/>
  <c r="M56" i="13"/>
  <c r="I56" i="13"/>
  <c r="E56" i="13"/>
  <c r="X56" i="13"/>
  <c r="H56" i="13"/>
  <c r="T56" i="13"/>
  <c r="D56" i="13"/>
  <c r="P56" i="13"/>
  <c r="L56" i="13"/>
  <c r="B110" i="14"/>
  <c r="B106" i="14"/>
  <c r="B104" i="14"/>
  <c r="B109" i="14"/>
  <c r="B107" i="14"/>
  <c r="B105" i="14"/>
  <c r="B103" i="14"/>
  <c r="B61" i="12"/>
  <c r="B76" i="12"/>
  <c r="B68" i="12"/>
  <c r="B74" i="12"/>
  <c r="B90" i="11"/>
  <c r="B96" i="10"/>
  <c r="B59" i="12"/>
  <c r="B85" i="11"/>
  <c r="B92" i="10"/>
  <c r="B66" i="13"/>
  <c r="B56" i="12"/>
  <c r="B82" i="11"/>
  <c r="B88" i="10"/>
  <c r="B98" i="14"/>
  <c r="W77" i="13"/>
  <c r="S77" i="13"/>
  <c r="O77" i="13"/>
  <c r="K77" i="13"/>
  <c r="G77" i="13"/>
  <c r="C77" i="13"/>
  <c r="Z77" i="13"/>
  <c r="V77" i="13"/>
  <c r="R77" i="13"/>
  <c r="N77" i="13"/>
  <c r="J77" i="13"/>
  <c r="F77" i="13"/>
  <c r="Y77" i="13"/>
  <c r="U77" i="13"/>
  <c r="Q77" i="13"/>
  <c r="M77" i="13"/>
  <c r="I77" i="13"/>
  <c r="P77" i="13"/>
  <c r="L77" i="13"/>
  <c r="X77" i="13"/>
  <c r="H77" i="13"/>
  <c r="T77" i="13"/>
  <c r="D16" i="2"/>
  <c r="B75" i="12"/>
  <c r="B103" i="10"/>
  <c r="B111" i="14"/>
  <c r="B73" i="12"/>
  <c r="B94" i="11"/>
  <c r="B25" i="11"/>
  <c r="B105" i="10"/>
  <c r="B82" i="5"/>
  <c r="T61" i="4"/>
  <c r="P61" i="4"/>
  <c r="L61" i="4"/>
  <c r="H61" i="4"/>
  <c r="D61" i="4"/>
  <c r="V61" i="4"/>
  <c r="R61" i="4"/>
  <c r="N61" i="4"/>
  <c r="J61" i="4"/>
  <c r="F61" i="4"/>
  <c r="U61" i="4"/>
  <c r="M61" i="4"/>
  <c r="E61" i="4"/>
  <c r="S61" i="4"/>
  <c r="K61" i="4"/>
  <c r="C61" i="4"/>
  <c r="Q61" i="4"/>
  <c r="I61" i="4"/>
  <c r="O61" i="4"/>
  <c r="G61" i="4"/>
  <c r="B88" i="14"/>
  <c r="X67" i="13"/>
  <c r="T67" i="13"/>
  <c r="P67" i="13"/>
  <c r="L67" i="13"/>
  <c r="H67" i="13"/>
  <c r="D67" i="13"/>
  <c r="W67" i="13"/>
  <c r="S67" i="13"/>
  <c r="O67" i="13"/>
  <c r="K67" i="13"/>
  <c r="G67" i="13"/>
  <c r="C67" i="13"/>
  <c r="Z67" i="13"/>
  <c r="V67" i="13"/>
  <c r="R67" i="13"/>
  <c r="N67" i="13"/>
  <c r="J67" i="13"/>
  <c r="F67" i="13"/>
  <c r="M67" i="13"/>
  <c r="Y67" i="13"/>
  <c r="I67" i="13"/>
  <c r="U67" i="13"/>
  <c r="E67" i="13"/>
  <c r="Q67" i="13"/>
  <c r="U78" i="13"/>
  <c r="Q78" i="13"/>
  <c r="M78" i="13"/>
  <c r="I78" i="13"/>
  <c r="E78" i="13"/>
  <c r="L78" i="13"/>
  <c r="D78" i="13"/>
  <c r="K78" i="13"/>
  <c r="G78" i="13"/>
  <c r="C78" i="13"/>
  <c r="B99" i="14"/>
  <c r="Z78" i="13"/>
  <c r="F78" i="13"/>
  <c r="B124" i="14"/>
  <c r="X84" i="13"/>
  <c r="T84" i="13"/>
  <c r="P84" i="13"/>
  <c r="L84" i="13"/>
  <c r="H84" i="13"/>
  <c r="D84" i="13"/>
  <c r="W84" i="13"/>
  <c r="S84" i="13"/>
  <c r="O84" i="13"/>
  <c r="K84" i="13"/>
  <c r="G84" i="13"/>
  <c r="C84" i="13"/>
  <c r="Z84" i="13"/>
  <c r="V84" i="13"/>
  <c r="R84" i="13"/>
  <c r="N84" i="13"/>
  <c r="J84" i="13"/>
  <c r="F84" i="13"/>
  <c r="M84" i="13"/>
  <c r="Y84" i="13"/>
  <c r="I84" i="13"/>
  <c r="U84" i="13"/>
  <c r="E84" i="13"/>
  <c r="Q84" i="13"/>
  <c r="C85" i="8"/>
  <c r="D85" i="8"/>
  <c r="U86" i="8"/>
  <c r="Q86" i="8"/>
  <c r="M86" i="8"/>
  <c r="E86" i="8"/>
  <c r="P86" i="8"/>
  <c r="L86" i="8"/>
  <c r="H86" i="8"/>
  <c r="D86" i="8"/>
  <c r="O86" i="8"/>
  <c r="K86" i="8"/>
  <c r="G86" i="8"/>
  <c r="C86" i="8"/>
  <c r="J86" i="8"/>
  <c r="F86" i="8"/>
  <c r="R86" i="8"/>
  <c r="U88" i="8"/>
  <c r="Q88" i="8"/>
  <c r="M88" i="8"/>
  <c r="E88" i="8"/>
  <c r="P88" i="8"/>
  <c r="L88" i="8"/>
  <c r="H88" i="8"/>
  <c r="D88" i="8"/>
  <c r="O88" i="8"/>
  <c r="K88" i="8"/>
  <c r="G88" i="8"/>
  <c r="C88" i="8"/>
  <c r="F88" i="8"/>
  <c r="R88" i="8"/>
  <c r="J88" i="8"/>
  <c r="W115" i="5"/>
  <c r="S115" i="5"/>
  <c r="O115" i="5"/>
  <c r="K115" i="5"/>
  <c r="G115" i="5"/>
  <c r="C115" i="5"/>
  <c r="Z115" i="5"/>
  <c r="V115" i="5"/>
  <c r="R115" i="5"/>
  <c r="N115" i="5"/>
  <c r="J115" i="5"/>
  <c r="F115" i="5"/>
  <c r="Y115" i="5"/>
  <c r="U115" i="5"/>
  <c r="Q115" i="5"/>
  <c r="M115" i="5"/>
  <c r="I115" i="5"/>
  <c r="E115" i="5"/>
  <c r="L115" i="5"/>
  <c r="X115" i="5"/>
  <c r="H115" i="5"/>
  <c r="T115" i="5"/>
  <c r="D115" i="5"/>
  <c r="P115" i="5"/>
  <c r="B82" i="8"/>
  <c r="B102" i="1"/>
  <c r="B76" i="5"/>
  <c r="S55" i="4"/>
  <c r="O55" i="4"/>
  <c r="K55" i="4"/>
  <c r="G55" i="4"/>
  <c r="C55" i="4"/>
  <c r="U55" i="4"/>
  <c r="Q55" i="4"/>
  <c r="M55" i="4"/>
  <c r="I55" i="4"/>
  <c r="E55" i="4"/>
  <c r="P55" i="4"/>
  <c r="H55" i="4"/>
  <c r="V55" i="4"/>
  <c r="N55" i="4"/>
  <c r="F55" i="4"/>
  <c r="T55" i="4"/>
  <c r="L55" i="4"/>
  <c r="D55" i="4"/>
  <c r="R55" i="4"/>
  <c r="J55" i="4"/>
  <c r="V58" i="4"/>
  <c r="R58" i="4"/>
  <c r="N58" i="4"/>
  <c r="J58" i="4"/>
  <c r="F58" i="4"/>
  <c r="B79" i="5"/>
  <c r="T58" i="4"/>
  <c r="P58" i="4"/>
  <c r="L58" i="4"/>
  <c r="H58" i="4"/>
  <c r="D58" i="4"/>
  <c r="O58" i="4"/>
  <c r="G58" i="4"/>
  <c r="U58" i="4"/>
  <c r="M58" i="4"/>
  <c r="E58" i="4"/>
  <c r="S58" i="4"/>
  <c r="K58" i="4"/>
  <c r="C58" i="4"/>
  <c r="Q58" i="4"/>
  <c r="I58" i="4"/>
  <c r="W113" i="5"/>
  <c r="S113" i="5"/>
  <c r="O113" i="5"/>
  <c r="K113" i="5"/>
  <c r="G113" i="5"/>
  <c r="C113" i="5"/>
  <c r="Z113" i="5"/>
  <c r="V113" i="5"/>
  <c r="R113" i="5"/>
  <c r="N113" i="5"/>
  <c r="J113" i="5"/>
  <c r="F113" i="5"/>
  <c r="Y113" i="5"/>
  <c r="U113" i="5"/>
  <c r="Q113" i="5"/>
  <c r="M113" i="5"/>
  <c r="I113" i="5"/>
  <c r="E113" i="5"/>
  <c r="X113" i="5"/>
  <c r="H113" i="5"/>
  <c r="T113" i="5"/>
  <c r="D113" i="5"/>
  <c r="P113" i="5"/>
  <c r="L113" i="5"/>
  <c r="S81" i="8"/>
  <c r="O81" i="8"/>
  <c r="K81" i="8"/>
  <c r="G81" i="8"/>
  <c r="C81" i="8"/>
  <c r="V81" i="8"/>
  <c r="R81" i="8"/>
  <c r="N81" i="8"/>
  <c r="J81" i="8"/>
  <c r="F81" i="8"/>
  <c r="U81" i="8"/>
  <c r="Q81" i="8"/>
  <c r="M81" i="8"/>
  <c r="I81" i="8"/>
  <c r="E81" i="8"/>
  <c r="L81" i="8"/>
  <c r="H81" i="8"/>
  <c r="T81" i="8"/>
  <c r="D81" i="8"/>
  <c r="P81" i="8"/>
  <c r="B127" i="14"/>
  <c r="Y87" i="13"/>
  <c r="U87" i="13"/>
  <c r="Q87" i="13"/>
  <c r="M87" i="13"/>
  <c r="I87" i="13"/>
  <c r="E87" i="13"/>
  <c r="X87" i="13"/>
  <c r="T87" i="13"/>
  <c r="P87" i="13"/>
  <c r="L87" i="13"/>
  <c r="D87" i="13"/>
  <c r="W87" i="13"/>
  <c r="S87" i="13"/>
  <c r="O87" i="13"/>
  <c r="K87" i="13"/>
  <c r="G87" i="13"/>
  <c r="C87" i="13"/>
  <c r="N87" i="13"/>
  <c r="Z87" i="13"/>
  <c r="J87" i="13"/>
  <c r="V87" i="13"/>
  <c r="F87" i="13"/>
  <c r="R87" i="13"/>
  <c r="B221" i="1"/>
  <c r="S98" i="1"/>
  <c r="O98" i="1"/>
  <c r="K98" i="1"/>
  <c r="G98" i="1"/>
  <c r="C98" i="1"/>
  <c r="V98" i="1"/>
  <c r="R98" i="1"/>
  <c r="N98" i="1"/>
  <c r="J98" i="1"/>
  <c r="F98" i="1"/>
  <c r="U98" i="1"/>
  <c r="Q98" i="1"/>
  <c r="M98" i="1"/>
  <c r="I98" i="1"/>
  <c r="T98" i="1"/>
  <c r="P98" i="1"/>
  <c r="L98" i="1"/>
  <c r="H98" i="1"/>
  <c r="D98" i="1"/>
  <c r="B224" i="1"/>
  <c r="V101" i="1"/>
  <c r="R101" i="1"/>
  <c r="N101" i="1"/>
  <c r="J101" i="1"/>
  <c r="F101" i="1"/>
  <c r="U101" i="1"/>
  <c r="Q101" i="1"/>
  <c r="M101" i="1"/>
  <c r="I101" i="1"/>
  <c r="E101" i="1"/>
  <c r="T101" i="1"/>
  <c r="P101" i="1"/>
  <c r="L101" i="1"/>
  <c r="H101" i="1"/>
  <c r="D101" i="1"/>
  <c r="S101" i="1"/>
  <c r="O101" i="1"/>
  <c r="K101" i="1"/>
  <c r="G101" i="1"/>
  <c r="C101" i="1"/>
  <c r="D85" i="2"/>
  <c r="B80" i="12" s="1"/>
  <c r="B233" i="1"/>
  <c r="O110" i="1"/>
  <c r="K110" i="1"/>
  <c r="C110" i="1"/>
  <c r="R110" i="1"/>
  <c r="N110" i="1"/>
  <c r="J110" i="1"/>
  <c r="Q110" i="1"/>
  <c r="M110" i="1"/>
  <c r="P110" i="1"/>
  <c r="L110" i="1"/>
  <c r="D110" i="1"/>
  <c r="B132" i="14"/>
  <c r="Z92" i="13"/>
  <c r="V92" i="13"/>
  <c r="R92" i="13"/>
  <c r="N92" i="13"/>
  <c r="J92" i="13"/>
  <c r="F92" i="13"/>
  <c r="Y92" i="13"/>
  <c r="U92" i="13"/>
  <c r="Q92" i="13"/>
  <c r="M92" i="13"/>
  <c r="I92" i="13"/>
  <c r="E92" i="13"/>
  <c r="X92" i="13"/>
  <c r="T92" i="13"/>
  <c r="P92" i="13"/>
  <c r="L92" i="13"/>
  <c r="D92" i="13"/>
  <c r="W92" i="13"/>
  <c r="G92" i="13"/>
  <c r="S92" i="13"/>
  <c r="C92" i="13"/>
  <c r="O92" i="13"/>
  <c r="K92" i="13"/>
  <c r="E8" i="6"/>
  <c r="E9" i="6"/>
  <c r="E9" i="10" s="1"/>
  <c r="I9" i="6"/>
  <c r="I9" i="10" s="1"/>
  <c r="M9" i="6"/>
  <c r="M9" i="10" s="1"/>
  <c r="Q9" i="6"/>
  <c r="Q9" i="10" s="1"/>
  <c r="U9" i="6"/>
  <c r="U9" i="10" s="1"/>
  <c r="E10" i="6"/>
  <c r="E10" i="10" s="1"/>
  <c r="E25" i="10" s="1"/>
  <c r="I10" i="6"/>
  <c r="I10" i="10" s="1"/>
  <c r="I25" i="10" s="1"/>
  <c r="M10" i="6"/>
  <c r="M10" i="10" s="1"/>
  <c r="M25" i="10" s="1"/>
  <c r="Q10" i="6"/>
  <c r="Q10" i="10" s="1"/>
  <c r="Q25" i="10" s="1"/>
  <c r="U10" i="6"/>
  <c r="U10" i="10" s="1"/>
  <c r="U25" i="10" s="1"/>
  <c r="E11" i="6"/>
  <c r="E11" i="10" s="1"/>
  <c r="E26" i="10" s="1"/>
  <c r="I11" i="6"/>
  <c r="I11" i="10" s="1"/>
  <c r="I26" i="10" s="1"/>
  <c r="M11" i="6"/>
  <c r="M11" i="10" s="1"/>
  <c r="M26" i="10" s="1"/>
  <c r="Q11" i="6"/>
  <c r="Q11" i="10" s="1"/>
  <c r="Q26" i="10" s="1"/>
  <c r="U11" i="6"/>
  <c r="U11" i="10" s="1"/>
  <c r="U26" i="10" s="1"/>
  <c r="E12" i="6"/>
  <c r="E12" i="10" s="1"/>
  <c r="I12" i="6"/>
  <c r="I12" i="10" s="1"/>
  <c r="M12" i="6"/>
  <c r="M12" i="10" s="1"/>
  <c r="Q12" i="6"/>
  <c r="Q12" i="10" s="1"/>
  <c r="U12" i="6"/>
  <c r="U12" i="10" s="1"/>
  <c r="E15" i="6"/>
  <c r="E15" i="10" s="1"/>
  <c r="I15" i="6"/>
  <c r="I15" i="10" s="1"/>
  <c r="M15" i="6"/>
  <c r="M15" i="10" s="1"/>
  <c r="Q15" i="6"/>
  <c r="Q15" i="10" s="1"/>
  <c r="U15" i="6"/>
  <c r="U15" i="10" s="1"/>
  <c r="C23" i="6"/>
  <c r="E24" i="6"/>
  <c r="I24" i="6"/>
  <c r="M24" i="6"/>
  <c r="Q24" i="6"/>
  <c r="U24" i="6"/>
  <c r="C25" i="6"/>
  <c r="E26" i="6"/>
  <c r="I26" i="6"/>
  <c r="M26" i="6"/>
  <c r="Q26" i="6"/>
  <c r="U26" i="6"/>
  <c r="C27" i="6"/>
  <c r="E58" i="6"/>
  <c r="F59" i="6"/>
  <c r="F66" i="6"/>
  <c r="E72" i="6"/>
  <c r="E73" i="6"/>
  <c r="E74" i="6"/>
  <c r="E75" i="6"/>
  <c r="E79" i="6"/>
  <c r="G80" i="6"/>
  <c r="D88" i="6"/>
  <c r="H88" i="6"/>
  <c r="L88" i="6"/>
  <c r="P88" i="6"/>
  <c r="T88" i="6"/>
  <c r="F89" i="6"/>
  <c r="J89" i="6"/>
  <c r="N89" i="6"/>
  <c r="R89" i="6"/>
  <c r="V89" i="6"/>
  <c r="B91" i="6"/>
  <c r="D92" i="6"/>
  <c r="H92" i="6"/>
  <c r="L92" i="6"/>
  <c r="P92" i="6"/>
  <c r="T92" i="6"/>
  <c r="F95" i="6"/>
  <c r="D96" i="6"/>
  <c r="H96" i="6"/>
  <c r="L96" i="6"/>
  <c r="P96" i="6"/>
  <c r="T96" i="6"/>
  <c r="B97" i="6"/>
  <c r="B107" i="6"/>
  <c r="B120" i="6"/>
  <c r="B33" i="10"/>
  <c r="Q76" i="11"/>
  <c r="Q199" i="1"/>
  <c r="Q169" i="11" s="1"/>
  <c r="U76" i="11"/>
  <c r="U199" i="1"/>
  <c r="U169" i="11" s="1"/>
  <c r="B57" i="12"/>
  <c r="B83" i="11"/>
  <c r="B89" i="10"/>
  <c r="B93" i="1"/>
  <c r="B24" i="1"/>
  <c r="B69" i="13"/>
  <c r="B58" i="12"/>
  <c r="B177" i="11"/>
  <c r="B84" i="11"/>
  <c r="B90" i="10"/>
  <c r="B108" i="14"/>
  <c r="B73" i="13"/>
  <c r="B66" i="12"/>
  <c r="D85" i="12"/>
  <c r="C85" i="12"/>
  <c r="P88" i="12"/>
  <c r="L88" i="12"/>
  <c r="H88" i="12"/>
  <c r="D88" i="12"/>
  <c r="K88" i="12"/>
  <c r="G88" i="12"/>
  <c r="C88" i="12"/>
  <c r="R88" i="12"/>
  <c r="J88" i="12"/>
  <c r="F88" i="12"/>
  <c r="M88" i="12"/>
  <c r="U88" i="12"/>
  <c r="E88" i="12"/>
  <c r="B115" i="14"/>
  <c r="B113" i="10"/>
  <c r="B76" i="14"/>
  <c r="X55" i="13"/>
  <c r="T55" i="13"/>
  <c r="P55" i="13"/>
  <c r="L55" i="13"/>
  <c r="H55" i="13"/>
  <c r="D55" i="13"/>
  <c r="W55" i="13"/>
  <c r="S55" i="13"/>
  <c r="O55" i="13"/>
  <c r="K55" i="13"/>
  <c r="G55" i="13"/>
  <c r="C55" i="13"/>
  <c r="Z55" i="13"/>
  <c r="V55" i="13"/>
  <c r="R55" i="13"/>
  <c r="N55" i="13"/>
  <c r="J55" i="13"/>
  <c r="F55" i="13"/>
  <c r="Q55" i="13"/>
  <c r="M55" i="13"/>
  <c r="Y55" i="13"/>
  <c r="I55" i="13"/>
  <c r="U55" i="13"/>
  <c r="E55" i="13"/>
  <c r="Y113" i="14"/>
  <c r="U113" i="14"/>
  <c r="Q113" i="14"/>
  <c r="M113" i="14"/>
  <c r="I113" i="14"/>
  <c r="E113" i="14"/>
  <c r="X113" i="14"/>
  <c r="T113" i="14"/>
  <c r="P113" i="14"/>
  <c r="L113" i="14"/>
  <c r="H113" i="14"/>
  <c r="D113" i="14"/>
  <c r="W113" i="14"/>
  <c r="S113" i="14"/>
  <c r="O113" i="14"/>
  <c r="K113" i="14"/>
  <c r="G113" i="14"/>
  <c r="C113" i="14"/>
  <c r="N113" i="14"/>
  <c r="Z113" i="14"/>
  <c r="J113" i="14"/>
  <c r="V113" i="14"/>
  <c r="F113" i="14"/>
  <c r="R113" i="14"/>
  <c r="V81" i="12"/>
  <c r="R81" i="12"/>
  <c r="N81" i="12"/>
  <c r="J81" i="12"/>
  <c r="F81" i="12"/>
  <c r="U81" i="12"/>
  <c r="Q81" i="12"/>
  <c r="M81" i="12"/>
  <c r="I81" i="12"/>
  <c r="E81" i="12"/>
  <c r="T81" i="12"/>
  <c r="P81" i="12"/>
  <c r="L81" i="12"/>
  <c r="H81" i="12"/>
  <c r="D81" i="12"/>
  <c r="G81" i="12"/>
  <c r="S81" i="12"/>
  <c r="C81" i="12"/>
  <c r="O81" i="12"/>
  <c r="K81" i="12"/>
  <c r="B128" i="14"/>
  <c r="W88" i="13"/>
  <c r="S88" i="13"/>
  <c r="O88" i="13"/>
  <c r="K88" i="13"/>
  <c r="G88" i="13"/>
  <c r="C88" i="13"/>
  <c r="Z88" i="13"/>
  <c r="V88" i="13"/>
  <c r="R88" i="13"/>
  <c r="N88" i="13"/>
  <c r="J88" i="13"/>
  <c r="F88" i="13"/>
  <c r="Y88" i="13"/>
  <c r="U88" i="13"/>
  <c r="Q88" i="13"/>
  <c r="M88" i="13"/>
  <c r="I88" i="13"/>
  <c r="E88" i="13"/>
  <c r="T88" i="13"/>
  <c r="D88" i="13"/>
  <c r="P88" i="13"/>
  <c r="H88" i="13"/>
  <c r="X88" i="13"/>
  <c r="B191" i="11"/>
  <c r="V98" i="11"/>
  <c r="R98" i="11"/>
  <c r="N98" i="11"/>
  <c r="J98" i="11"/>
  <c r="F98" i="11"/>
  <c r="U98" i="11"/>
  <c r="Q98" i="11"/>
  <c r="M98" i="11"/>
  <c r="I98" i="11"/>
  <c r="T98" i="11"/>
  <c r="P98" i="11"/>
  <c r="L98" i="11"/>
  <c r="H98" i="11"/>
  <c r="S98" i="11"/>
  <c r="O98" i="11"/>
  <c r="K98" i="11"/>
  <c r="G98" i="11"/>
  <c r="B194" i="11"/>
  <c r="U101" i="11"/>
  <c r="Q101" i="11"/>
  <c r="M101" i="11"/>
  <c r="I101" i="11"/>
  <c r="E101" i="11"/>
  <c r="T101" i="11"/>
  <c r="P101" i="11"/>
  <c r="L101" i="11"/>
  <c r="H101" i="11"/>
  <c r="D101" i="11"/>
  <c r="S101" i="11"/>
  <c r="O101" i="11"/>
  <c r="K101" i="11"/>
  <c r="G101" i="11"/>
  <c r="C101" i="11"/>
  <c r="V101" i="11"/>
  <c r="R101" i="11"/>
  <c r="N101" i="11"/>
  <c r="J101" i="11"/>
  <c r="F101" i="11"/>
  <c r="B229" i="1"/>
  <c r="B106" i="1"/>
  <c r="B203" i="11"/>
  <c r="C110" i="11"/>
  <c r="B133" i="14"/>
  <c r="X93" i="13"/>
  <c r="T93" i="13"/>
  <c r="P93" i="13"/>
  <c r="H93" i="13"/>
  <c r="D93" i="13"/>
  <c r="W93" i="13"/>
  <c r="S93" i="13"/>
  <c r="O93" i="13"/>
  <c r="K93" i="13"/>
  <c r="G93" i="13"/>
  <c r="C93" i="13"/>
  <c r="Z93" i="13"/>
  <c r="V93" i="13"/>
  <c r="R93" i="13"/>
  <c r="N93" i="13"/>
  <c r="J93" i="13"/>
  <c r="F93" i="13"/>
  <c r="M93" i="13"/>
  <c r="Y93" i="13"/>
  <c r="I93" i="13"/>
  <c r="U93" i="13"/>
  <c r="E93" i="13"/>
  <c r="Q93" i="13"/>
  <c r="Z136" i="5"/>
  <c r="V136" i="5"/>
  <c r="R136" i="5"/>
  <c r="N136" i="5"/>
  <c r="J136" i="5"/>
  <c r="F136" i="5"/>
  <c r="Y136" i="5"/>
  <c r="U136" i="5"/>
  <c r="Q136" i="5"/>
  <c r="M136" i="5"/>
  <c r="I136" i="5"/>
  <c r="E136" i="5"/>
  <c r="X136" i="5"/>
  <c r="T136" i="5"/>
  <c r="P136" i="5"/>
  <c r="L136" i="5"/>
  <c r="H136" i="5"/>
  <c r="D136" i="5"/>
  <c r="W136" i="5"/>
  <c r="G136" i="5"/>
  <c r="S136" i="5"/>
  <c r="C136" i="5"/>
  <c r="O136" i="5"/>
  <c r="K136" i="5"/>
  <c r="D124" i="10"/>
  <c r="C124" i="10"/>
  <c r="D23" i="6"/>
  <c r="F24" i="6"/>
  <c r="J24" i="6"/>
  <c r="N24" i="6"/>
  <c r="R24" i="6"/>
  <c r="V24" i="6"/>
  <c r="D25" i="6"/>
  <c r="H25" i="6"/>
  <c r="L25" i="6"/>
  <c r="P25" i="6"/>
  <c r="T25" i="6"/>
  <c r="F26" i="6"/>
  <c r="J26" i="6"/>
  <c r="N26" i="6"/>
  <c r="R26" i="6"/>
  <c r="V26" i="6"/>
  <c r="D27" i="6"/>
  <c r="H27" i="6"/>
  <c r="L27" i="6"/>
  <c r="P27" i="6"/>
  <c r="T27" i="6"/>
  <c r="B33" i="6"/>
  <c r="H80" i="6"/>
  <c r="G95" i="6"/>
  <c r="C103" i="6"/>
  <c r="C105" i="6"/>
  <c r="B111" i="6"/>
  <c r="B113" i="6"/>
  <c r="B115" i="6"/>
  <c r="G18" i="10"/>
  <c r="O18" i="10"/>
  <c r="E70" i="10"/>
  <c r="E111" i="10" s="1"/>
  <c r="B71" i="12"/>
  <c r="B91" i="11"/>
  <c r="B68" i="4"/>
  <c r="B60" i="8"/>
  <c r="B86" i="1"/>
  <c r="B188" i="11"/>
  <c r="U95" i="11"/>
  <c r="Q95" i="11"/>
  <c r="M95" i="11"/>
  <c r="I95" i="11"/>
  <c r="E95" i="11"/>
  <c r="T95" i="11"/>
  <c r="P95" i="11"/>
  <c r="L95" i="11"/>
  <c r="H95" i="11"/>
  <c r="D95" i="11"/>
  <c r="S95" i="11"/>
  <c r="O95" i="11"/>
  <c r="K95" i="11"/>
  <c r="G95" i="11"/>
  <c r="C95" i="11"/>
  <c r="V95" i="11"/>
  <c r="R95" i="11"/>
  <c r="N95" i="11"/>
  <c r="J95" i="11"/>
  <c r="F95" i="11"/>
  <c r="B82" i="14"/>
  <c r="Y61" i="13"/>
  <c r="U61" i="13"/>
  <c r="Q61" i="13"/>
  <c r="M61" i="13"/>
  <c r="I61" i="13"/>
  <c r="E61" i="13"/>
  <c r="X61" i="13"/>
  <c r="T61" i="13"/>
  <c r="P61" i="13"/>
  <c r="L61" i="13"/>
  <c r="H61" i="13"/>
  <c r="D61" i="13"/>
  <c r="W61" i="13"/>
  <c r="S61" i="13"/>
  <c r="O61" i="13"/>
  <c r="K61" i="13"/>
  <c r="G61" i="13"/>
  <c r="C61" i="13"/>
  <c r="R61" i="13"/>
  <c r="N61" i="13"/>
  <c r="Z61" i="13"/>
  <c r="J61" i="13"/>
  <c r="V61" i="13"/>
  <c r="F61" i="13"/>
  <c r="B121" i="14"/>
  <c r="Z81" i="13"/>
  <c r="V81" i="13"/>
  <c r="R81" i="13"/>
  <c r="N81" i="13"/>
  <c r="J81" i="13"/>
  <c r="F81" i="13"/>
  <c r="Y81" i="13"/>
  <c r="U81" i="13"/>
  <c r="Q81" i="13"/>
  <c r="M81" i="13"/>
  <c r="I81" i="13"/>
  <c r="E81" i="13"/>
  <c r="X81" i="13"/>
  <c r="T81" i="13"/>
  <c r="P81" i="13"/>
  <c r="L81" i="13"/>
  <c r="D81" i="13"/>
  <c r="O81" i="13"/>
  <c r="K81" i="13"/>
  <c r="W81" i="13"/>
  <c r="G81" i="13"/>
  <c r="C81" i="13"/>
  <c r="S81" i="13"/>
  <c r="P86" i="12"/>
  <c r="L86" i="12"/>
  <c r="H86" i="12"/>
  <c r="D86" i="12"/>
  <c r="K86" i="12"/>
  <c r="G86" i="12"/>
  <c r="C86" i="12"/>
  <c r="R86" i="12"/>
  <c r="J86" i="12"/>
  <c r="F86" i="12"/>
  <c r="M86" i="12"/>
  <c r="U86" i="12"/>
  <c r="E86" i="12"/>
  <c r="B82" i="12"/>
  <c r="B102" i="11"/>
  <c r="B79" i="14"/>
  <c r="W58" i="13"/>
  <c r="S58" i="13"/>
  <c r="O58" i="13"/>
  <c r="K58" i="13"/>
  <c r="G58" i="13"/>
  <c r="C58" i="13"/>
  <c r="Z58" i="13"/>
  <c r="V58" i="13"/>
  <c r="R58" i="13"/>
  <c r="N58" i="13"/>
  <c r="J58" i="13"/>
  <c r="F58" i="13"/>
  <c r="Y58" i="13"/>
  <c r="U58" i="13"/>
  <c r="Q58" i="13"/>
  <c r="M58" i="13"/>
  <c r="I58" i="13"/>
  <c r="E58" i="13"/>
  <c r="L58" i="13"/>
  <c r="X58" i="13"/>
  <c r="H58" i="13"/>
  <c r="T58" i="13"/>
  <c r="D58" i="13"/>
  <c r="P58" i="13"/>
  <c r="B64" i="12"/>
  <c r="B22" i="11"/>
  <c r="B88" i="11"/>
  <c r="B95" i="10"/>
  <c r="D8" i="2"/>
  <c r="S63" i="12"/>
  <c r="O63" i="12"/>
  <c r="K63" i="12"/>
  <c r="G63" i="12"/>
  <c r="V63" i="12"/>
  <c r="R63" i="12"/>
  <c r="N63" i="12"/>
  <c r="J63" i="12"/>
  <c r="F63" i="12"/>
  <c r="U63" i="12"/>
  <c r="Q63" i="12"/>
  <c r="M63" i="12"/>
  <c r="I63" i="12"/>
  <c r="E63" i="12"/>
  <c r="H63" i="12"/>
  <c r="T63" i="12"/>
  <c r="D63" i="12"/>
  <c r="P63" i="12"/>
  <c r="L63" i="12"/>
  <c r="D17" i="2"/>
  <c r="H72" i="12"/>
  <c r="D72" i="12"/>
  <c r="F72" i="12"/>
  <c r="V60" i="4"/>
  <c r="R60" i="4"/>
  <c r="N60" i="4"/>
  <c r="J60" i="4"/>
  <c r="F60" i="4"/>
  <c r="B81" i="5"/>
  <c r="T60" i="4"/>
  <c r="P60" i="4"/>
  <c r="L60" i="4"/>
  <c r="H60" i="4"/>
  <c r="D60" i="4"/>
  <c r="S60" i="4"/>
  <c r="K60" i="4"/>
  <c r="C60" i="4"/>
  <c r="Q60" i="4"/>
  <c r="I60" i="4"/>
  <c r="O60" i="4"/>
  <c r="G60" i="4"/>
  <c r="U60" i="4"/>
  <c r="M60" i="4"/>
  <c r="E60" i="4"/>
  <c r="B83" i="14"/>
  <c r="W62" i="13"/>
  <c r="S62" i="13"/>
  <c r="O62" i="13"/>
  <c r="K62" i="13"/>
  <c r="G62" i="13"/>
  <c r="Z62" i="13"/>
  <c r="V62" i="13"/>
  <c r="R62" i="13"/>
  <c r="N62" i="13"/>
  <c r="J62" i="13"/>
  <c r="F62" i="13"/>
  <c r="Y62" i="13"/>
  <c r="U62" i="13"/>
  <c r="Q62" i="13"/>
  <c r="M62" i="13"/>
  <c r="I62" i="13"/>
  <c r="E62" i="13"/>
  <c r="T62" i="13"/>
  <c r="P62" i="13"/>
  <c r="L62" i="13"/>
  <c r="H62" i="13"/>
  <c r="X62" i="13"/>
  <c r="B65" i="12"/>
  <c r="B74" i="13"/>
  <c r="B122" i="14"/>
  <c r="X82" i="13"/>
  <c r="T82" i="13"/>
  <c r="P82" i="13"/>
  <c r="H82" i="13"/>
  <c r="D82" i="13"/>
  <c r="W82" i="13"/>
  <c r="S82" i="13"/>
  <c r="O82" i="13"/>
  <c r="K82" i="13"/>
  <c r="G82" i="13"/>
  <c r="C82" i="13"/>
  <c r="Z82" i="13"/>
  <c r="V82" i="13"/>
  <c r="R82" i="13"/>
  <c r="N82" i="13"/>
  <c r="J82" i="13"/>
  <c r="F82" i="13"/>
  <c r="U82" i="13"/>
  <c r="E82" i="13"/>
  <c r="Q82" i="13"/>
  <c r="M82" i="13"/>
  <c r="Y82" i="13"/>
  <c r="I82" i="13"/>
  <c r="B226" i="1"/>
  <c r="E103" i="1"/>
  <c r="D103" i="1"/>
  <c r="C103" i="1"/>
  <c r="B118" i="5"/>
  <c r="B28" i="1"/>
  <c r="O87" i="8"/>
  <c r="K87" i="8"/>
  <c r="G87" i="8"/>
  <c r="C87" i="8"/>
  <c r="R87" i="8"/>
  <c r="J87" i="8"/>
  <c r="F87" i="8"/>
  <c r="U87" i="8"/>
  <c r="Q87" i="8"/>
  <c r="M87" i="8"/>
  <c r="E87" i="8"/>
  <c r="P87" i="8"/>
  <c r="L87" i="8"/>
  <c r="H87" i="8"/>
  <c r="D87" i="8"/>
  <c r="O89" i="8"/>
  <c r="K89" i="8"/>
  <c r="G89" i="8"/>
  <c r="C89" i="8"/>
  <c r="R89" i="8"/>
  <c r="J89" i="8"/>
  <c r="F89" i="8"/>
  <c r="U89" i="8"/>
  <c r="Q89" i="8"/>
  <c r="M89" i="8"/>
  <c r="E89" i="8"/>
  <c r="L89" i="8"/>
  <c r="H89" i="8"/>
  <c r="D89" i="8"/>
  <c r="P89" i="8"/>
  <c r="B116" i="5"/>
  <c r="B83" i="8"/>
  <c r="W117" i="5"/>
  <c r="S117" i="5"/>
  <c r="O117" i="5"/>
  <c r="K117" i="5"/>
  <c r="G117" i="5"/>
  <c r="C117" i="5"/>
  <c r="Z117" i="5"/>
  <c r="V117" i="5"/>
  <c r="R117" i="5"/>
  <c r="N117" i="5"/>
  <c r="J117" i="5"/>
  <c r="F117" i="5"/>
  <c r="Y117" i="5"/>
  <c r="U117" i="5"/>
  <c r="Q117" i="5"/>
  <c r="M117" i="5"/>
  <c r="I117" i="5"/>
  <c r="E117" i="5"/>
  <c r="P117" i="5"/>
  <c r="L117" i="5"/>
  <c r="X117" i="5"/>
  <c r="H117" i="5"/>
  <c r="T117" i="5"/>
  <c r="D117" i="5"/>
  <c r="V56" i="4"/>
  <c r="R56" i="4"/>
  <c r="N56" i="4"/>
  <c r="J56" i="4"/>
  <c r="F56" i="4"/>
  <c r="B77" i="5"/>
  <c r="T56" i="4"/>
  <c r="P56" i="4"/>
  <c r="L56" i="4"/>
  <c r="H56" i="4"/>
  <c r="D56" i="4"/>
  <c r="S56" i="4"/>
  <c r="K56" i="4"/>
  <c r="C56" i="4"/>
  <c r="Q56" i="4"/>
  <c r="I56" i="4"/>
  <c r="O56" i="4"/>
  <c r="G56" i="4"/>
  <c r="E56" i="4"/>
  <c r="U56" i="4"/>
  <c r="M56" i="4"/>
  <c r="B80" i="5"/>
  <c r="T59" i="4"/>
  <c r="P59" i="4"/>
  <c r="L59" i="4"/>
  <c r="H59" i="4"/>
  <c r="V59" i="4"/>
  <c r="R59" i="4"/>
  <c r="N59" i="4"/>
  <c r="J59" i="4"/>
  <c r="F59" i="4"/>
  <c r="Q59" i="4"/>
  <c r="I59" i="4"/>
  <c r="O59" i="4"/>
  <c r="G59" i="4"/>
  <c r="U59" i="4"/>
  <c r="M59" i="4"/>
  <c r="E59" i="4"/>
  <c r="S59" i="4"/>
  <c r="K59" i="4"/>
  <c r="C59" i="4"/>
  <c r="Y114" i="5"/>
  <c r="U114" i="5"/>
  <c r="Q114" i="5"/>
  <c r="M114" i="5"/>
  <c r="I114" i="5"/>
  <c r="E114" i="5"/>
  <c r="X114" i="5"/>
  <c r="T114" i="5"/>
  <c r="P114" i="5"/>
  <c r="L114" i="5"/>
  <c r="H114" i="5"/>
  <c r="D114" i="5"/>
  <c r="W114" i="5"/>
  <c r="S114" i="5"/>
  <c r="O114" i="5"/>
  <c r="K114" i="5"/>
  <c r="G114" i="5"/>
  <c r="C114" i="5"/>
  <c r="Z114" i="5"/>
  <c r="J114" i="5"/>
  <c r="V114" i="5"/>
  <c r="F114" i="5"/>
  <c r="R114" i="5"/>
  <c r="N114" i="5"/>
  <c r="B78" i="5"/>
  <c r="T57" i="4"/>
  <c r="P57" i="4"/>
  <c r="L57" i="4"/>
  <c r="H57" i="4"/>
  <c r="D57" i="4"/>
  <c r="V57" i="4"/>
  <c r="R57" i="4"/>
  <c r="N57" i="4"/>
  <c r="J57" i="4"/>
  <c r="F57" i="4"/>
  <c r="U57" i="4"/>
  <c r="M57" i="4"/>
  <c r="E57" i="4"/>
  <c r="S57" i="4"/>
  <c r="K57" i="4"/>
  <c r="C57" i="4"/>
  <c r="Q57" i="4"/>
  <c r="I57" i="4"/>
  <c r="G57" i="4"/>
  <c r="O57" i="4"/>
  <c r="S89" i="4"/>
  <c r="O89" i="4"/>
  <c r="K89" i="4"/>
  <c r="G89" i="4"/>
  <c r="C89" i="4"/>
  <c r="V89" i="4"/>
  <c r="R89" i="4"/>
  <c r="N89" i="4"/>
  <c r="J89" i="4"/>
  <c r="F89" i="4"/>
  <c r="B129" i="5"/>
  <c r="U89" i="4"/>
  <c r="Q89" i="4"/>
  <c r="M89" i="4"/>
  <c r="I89" i="4"/>
  <c r="E89" i="4"/>
  <c r="T89" i="4"/>
  <c r="D89" i="4"/>
  <c r="P89" i="4"/>
  <c r="L89" i="4"/>
  <c r="H89" i="4"/>
  <c r="B223" i="1"/>
  <c r="T100" i="1"/>
  <c r="P100" i="1"/>
  <c r="L100" i="1"/>
  <c r="H100" i="1"/>
  <c r="D100" i="1"/>
  <c r="S100" i="1"/>
  <c r="O100" i="1"/>
  <c r="K100" i="1"/>
  <c r="G100" i="1"/>
  <c r="C100" i="1"/>
  <c r="V100" i="1"/>
  <c r="R100" i="1"/>
  <c r="N100" i="1"/>
  <c r="J100" i="1"/>
  <c r="F100" i="1"/>
  <c r="U100" i="1"/>
  <c r="Q100" i="1"/>
  <c r="M100" i="1"/>
  <c r="I100" i="1"/>
  <c r="E100" i="1"/>
  <c r="B222" i="1"/>
  <c r="V99" i="1"/>
  <c r="R99" i="1"/>
  <c r="N99" i="1"/>
  <c r="J99" i="1"/>
  <c r="F99" i="1"/>
  <c r="U99" i="1"/>
  <c r="Q99" i="1"/>
  <c r="M99" i="1"/>
  <c r="I99" i="1"/>
  <c r="E99" i="1"/>
  <c r="T99" i="1"/>
  <c r="P99" i="1"/>
  <c r="L99" i="1"/>
  <c r="H99" i="1"/>
  <c r="D99" i="1"/>
  <c r="S99" i="1"/>
  <c r="O99" i="1"/>
  <c r="K99" i="1"/>
  <c r="G99" i="1"/>
  <c r="C99" i="1"/>
  <c r="D90" i="2"/>
  <c r="G92" i="12"/>
  <c r="C92" i="12"/>
  <c r="F92" i="12"/>
  <c r="E92" i="12"/>
  <c r="H92" i="12"/>
  <c r="D92" i="12"/>
  <c r="B134" i="14"/>
  <c r="Z94" i="13"/>
  <c r="V94" i="13"/>
  <c r="N94" i="13"/>
  <c r="J94" i="13"/>
  <c r="F94" i="13"/>
  <c r="Y94" i="13"/>
  <c r="U94" i="13"/>
  <c r="Q94" i="13"/>
  <c r="M94" i="13"/>
  <c r="I94" i="13"/>
  <c r="E94" i="13"/>
  <c r="X94" i="13"/>
  <c r="T94" i="13"/>
  <c r="P94" i="13"/>
  <c r="L94" i="13"/>
  <c r="H94" i="13"/>
  <c r="D94" i="13"/>
  <c r="O94" i="13"/>
  <c r="K94" i="13"/>
  <c r="W94" i="13"/>
  <c r="G94" i="13"/>
  <c r="S94" i="13"/>
  <c r="C94" i="13"/>
  <c r="D105" i="2"/>
  <c r="B136" i="14" s="1"/>
  <c r="G9" i="6"/>
  <c r="G9" i="10" s="1"/>
  <c r="K9" i="6"/>
  <c r="K9" i="10" s="1"/>
  <c r="O9" i="6"/>
  <c r="O9" i="10" s="1"/>
  <c r="S9" i="6"/>
  <c r="S9" i="10" s="1"/>
  <c r="G10" i="6"/>
  <c r="G10" i="10" s="1"/>
  <c r="G25" i="10" s="1"/>
  <c r="K10" i="6"/>
  <c r="K10" i="10" s="1"/>
  <c r="K25" i="10" s="1"/>
  <c r="O10" i="6"/>
  <c r="O10" i="10" s="1"/>
  <c r="O25" i="10" s="1"/>
  <c r="S10" i="6"/>
  <c r="S10" i="10" s="1"/>
  <c r="S25" i="10" s="1"/>
  <c r="G11" i="6"/>
  <c r="G11" i="10" s="1"/>
  <c r="G26" i="10" s="1"/>
  <c r="K11" i="6"/>
  <c r="K11" i="10" s="1"/>
  <c r="K26" i="10" s="1"/>
  <c r="O11" i="6"/>
  <c r="O11" i="10" s="1"/>
  <c r="O26" i="10" s="1"/>
  <c r="S11" i="6"/>
  <c r="S11" i="10" s="1"/>
  <c r="S26" i="10" s="1"/>
  <c r="G12" i="6"/>
  <c r="G12" i="10" s="1"/>
  <c r="K12" i="6"/>
  <c r="K12" i="10" s="1"/>
  <c r="O12" i="6"/>
  <c r="O12" i="10" s="1"/>
  <c r="S12" i="6"/>
  <c r="S12" i="10" s="1"/>
  <c r="E23" i="6"/>
  <c r="C24" i="6"/>
  <c r="G24" i="6"/>
  <c r="O24" i="6"/>
  <c r="E25" i="6"/>
  <c r="I25" i="6"/>
  <c r="M25" i="6"/>
  <c r="Q25" i="6"/>
  <c r="C26" i="6"/>
  <c r="G26" i="6"/>
  <c r="O26" i="6"/>
  <c r="E27" i="6"/>
  <c r="I27" i="6"/>
  <c r="M27" i="6"/>
  <c r="Q27" i="6"/>
  <c r="B30" i="6"/>
  <c r="E51" i="6"/>
  <c r="G52" i="6"/>
  <c r="C53" i="6"/>
  <c r="H53" i="6"/>
  <c r="I54" i="6"/>
  <c r="E56" i="6"/>
  <c r="F57" i="6"/>
  <c r="E60" i="6"/>
  <c r="G65" i="6"/>
  <c r="D69" i="6"/>
  <c r="E80" i="6"/>
  <c r="I80" i="6"/>
  <c r="E83" i="6"/>
  <c r="E123" i="6" s="1"/>
  <c r="F88" i="6"/>
  <c r="J88" i="6"/>
  <c r="N88" i="6"/>
  <c r="R88" i="6"/>
  <c r="D89" i="6"/>
  <c r="H89" i="6"/>
  <c r="L89" i="6"/>
  <c r="P89" i="6"/>
  <c r="F90" i="6"/>
  <c r="F92" i="6"/>
  <c r="J92" i="6"/>
  <c r="N92" i="6"/>
  <c r="R92" i="6"/>
  <c r="F94" i="6"/>
  <c r="D95" i="6"/>
  <c r="H95" i="6"/>
  <c r="F96" i="6"/>
  <c r="J96" i="6"/>
  <c r="N96" i="6"/>
  <c r="R96" i="6"/>
  <c r="H110" i="10"/>
  <c r="L110" i="10"/>
  <c r="P110" i="10"/>
  <c r="T110" i="10"/>
  <c r="D22" i="1"/>
  <c r="D31" i="1"/>
  <c r="D34" i="1" s="1"/>
  <c r="D48" i="1"/>
  <c r="E71" i="1"/>
  <c r="J75" i="11"/>
  <c r="J110" i="11" s="1"/>
  <c r="J198" i="1"/>
  <c r="J168" i="11" s="1"/>
  <c r="N75" i="11"/>
  <c r="N110" i="11" s="1"/>
  <c r="N198" i="1"/>
  <c r="N168" i="11" s="1"/>
  <c r="R75" i="11"/>
  <c r="R110" i="11" s="1"/>
  <c r="R198" i="1"/>
  <c r="R168" i="11" s="1"/>
  <c r="L76" i="11"/>
  <c r="L199" i="1"/>
  <c r="L169" i="11" s="1"/>
  <c r="P76" i="11"/>
  <c r="P199" i="1"/>
  <c r="P169" i="11" s="1"/>
  <c r="T76" i="11"/>
  <c r="T199" i="1"/>
  <c r="T169" i="11" s="1"/>
  <c r="D82" i="1"/>
  <c r="H82" i="1"/>
  <c r="L82" i="1"/>
  <c r="P82" i="1"/>
  <c r="T82" i="1"/>
  <c r="V206" i="1"/>
  <c r="R206" i="1"/>
  <c r="N206" i="1"/>
  <c r="J206" i="1"/>
  <c r="F206" i="1"/>
  <c r="U206" i="1"/>
  <c r="Q206" i="1"/>
  <c r="M206" i="1"/>
  <c r="I206" i="1"/>
  <c r="E206" i="1"/>
  <c r="T206" i="1"/>
  <c r="P206" i="1"/>
  <c r="L206" i="1"/>
  <c r="H206" i="1"/>
  <c r="D206" i="1"/>
  <c r="S206" i="1"/>
  <c r="O206" i="1"/>
  <c r="K206" i="1"/>
  <c r="G206" i="1"/>
  <c r="C206" i="1"/>
  <c r="F83" i="1"/>
  <c r="J83" i="1"/>
  <c r="N83" i="1"/>
  <c r="R83" i="1"/>
  <c r="V83" i="1"/>
  <c r="C111" i="1"/>
  <c r="G111" i="1"/>
  <c r="K111" i="1"/>
  <c r="O111" i="1"/>
  <c r="T235" i="1"/>
  <c r="P235" i="1"/>
  <c r="L235" i="1"/>
  <c r="H235" i="1"/>
  <c r="D235" i="1"/>
  <c r="S235" i="1"/>
  <c r="O235" i="1"/>
  <c r="K235" i="1"/>
  <c r="G235" i="1"/>
  <c r="C235" i="1"/>
  <c r="V235" i="1"/>
  <c r="R235" i="1"/>
  <c r="N235" i="1"/>
  <c r="J235" i="1"/>
  <c r="F235" i="1"/>
  <c r="U235" i="1"/>
  <c r="Q235" i="1"/>
  <c r="M235" i="1"/>
  <c r="I235" i="1"/>
  <c r="E235" i="1"/>
  <c r="F112" i="1"/>
  <c r="J112" i="1"/>
  <c r="N112" i="1"/>
  <c r="R112" i="1"/>
  <c r="V112" i="1"/>
  <c r="I110" i="10"/>
  <c r="M110" i="10"/>
  <c r="Q110" i="10"/>
  <c r="U110" i="10"/>
  <c r="C25" i="1"/>
  <c r="E31" i="1"/>
  <c r="E34" i="1" s="1"/>
  <c r="E50" i="11"/>
  <c r="E173" i="1"/>
  <c r="E143" i="11" s="1"/>
  <c r="C60" i="11"/>
  <c r="C98" i="11" s="1"/>
  <c r="C183" i="1"/>
  <c r="C153" i="11" s="1"/>
  <c r="F65" i="1"/>
  <c r="K198" i="1"/>
  <c r="K168" i="11" s="1"/>
  <c r="K75" i="11"/>
  <c r="K110" i="11" s="1"/>
  <c r="O198" i="1"/>
  <c r="O168" i="11" s="1"/>
  <c r="O75" i="11"/>
  <c r="O110" i="11" s="1"/>
  <c r="S75" i="1"/>
  <c r="I76" i="11"/>
  <c r="I199" i="1"/>
  <c r="I169" i="11" s="1"/>
  <c r="M76" i="11"/>
  <c r="M199" i="1"/>
  <c r="M169" i="11" s="1"/>
  <c r="E82" i="1"/>
  <c r="I82" i="1"/>
  <c r="M82" i="1"/>
  <c r="Q82" i="1"/>
  <c r="U82" i="1"/>
  <c r="C83" i="1"/>
  <c r="G83" i="1"/>
  <c r="K83" i="1"/>
  <c r="O83" i="1"/>
  <c r="S83" i="1"/>
  <c r="F84" i="1"/>
  <c r="J84" i="1"/>
  <c r="N84" i="1"/>
  <c r="R84" i="1"/>
  <c r="V84" i="1"/>
  <c r="P87" i="1"/>
  <c r="T87" i="1"/>
  <c r="E211" i="1"/>
  <c r="D211" i="1"/>
  <c r="C211" i="1"/>
  <c r="F88" i="1"/>
  <c r="H89" i="1"/>
  <c r="L89" i="1"/>
  <c r="P89" i="1"/>
  <c r="T89" i="1"/>
  <c r="V213" i="1"/>
  <c r="R213" i="1"/>
  <c r="N213" i="1"/>
  <c r="J213" i="1"/>
  <c r="F213" i="1"/>
  <c r="U213" i="1"/>
  <c r="Q213" i="1"/>
  <c r="M213" i="1"/>
  <c r="I213" i="1"/>
  <c r="T213" i="1"/>
  <c r="P213" i="1"/>
  <c r="L213" i="1"/>
  <c r="H213" i="1"/>
  <c r="D213" i="1"/>
  <c r="S213" i="1"/>
  <c r="O213" i="1"/>
  <c r="K213" i="1"/>
  <c r="G213" i="1"/>
  <c r="C213" i="1"/>
  <c r="F90" i="1"/>
  <c r="J90" i="1"/>
  <c r="N90" i="1"/>
  <c r="R90" i="1"/>
  <c r="V90" i="1"/>
  <c r="H91" i="1"/>
  <c r="L91" i="1"/>
  <c r="P91" i="1"/>
  <c r="T91" i="1"/>
  <c r="H95" i="1"/>
  <c r="L95" i="1"/>
  <c r="P95" i="1"/>
  <c r="T95" i="1"/>
  <c r="D111" i="1"/>
  <c r="H111" i="1"/>
  <c r="L111" i="1"/>
  <c r="P111" i="1"/>
  <c r="T111" i="1"/>
  <c r="C112" i="1"/>
  <c r="G112" i="1"/>
  <c r="K112" i="1"/>
  <c r="O112" i="1"/>
  <c r="S112" i="1"/>
  <c r="F110" i="10"/>
  <c r="J110" i="10"/>
  <c r="N110" i="10"/>
  <c r="R110" i="10"/>
  <c r="V110" i="10"/>
  <c r="D25" i="1"/>
  <c r="E170" i="1"/>
  <c r="E140" i="11" s="1"/>
  <c r="E47" i="11"/>
  <c r="C49" i="11"/>
  <c r="C172" i="1"/>
  <c r="F50" i="11"/>
  <c r="F173" i="1"/>
  <c r="F143" i="11" s="1"/>
  <c r="E52" i="11"/>
  <c r="E175" i="1"/>
  <c r="E145" i="11" s="1"/>
  <c r="D183" i="1"/>
  <c r="D153" i="11" s="1"/>
  <c r="D60" i="11"/>
  <c r="D98" i="11" s="1"/>
  <c r="C194" i="1"/>
  <c r="C232" i="1" s="1"/>
  <c r="C71" i="11"/>
  <c r="F72" i="11"/>
  <c r="F195" i="1"/>
  <c r="F165" i="11" s="1"/>
  <c r="D198" i="1"/>
  <c r="D168" i="11" s="1"/>
  <c r="D75" i="11"/>
  <c r="D110" i="11" s="1"/>
  <c r="L198" i="1"/>
  <c r="L168" i="11" s="1"/>
  <c r="L75" i="11"/>
  <c r="L110" i="11" s="1"/>
  <c r="P198" i="1"/>
  <c r="P168" i="11" s="1"/>
  <c r="P75" i="11"/>
  <c r="P110" i="11" s="1"/>
  <c r="J76" i="11"/>
  <c r="J199" i="1"/>
  <c r="J169" i="11" s="1"/>
  <c r="N76" i="11"/>
  <c r="N199" i="1"/>
  <c r="N169" i="11" s="1"/>
  <c r="R76" i="11"/>
  <c r="R199" i="1"/>
  <c r="R169" i="11" s="1"/>
  <c r="V76" i="11"/>
  <c r="V199" i="1"/>
  <c r="V169" i="11" s="1"/>
  <c r="T205" i="1"/>
  <c r="P205" i="1"/>
  <c r="L205" i="1"/>
  <c r="H205" i="1"/>
  <c r="D205" i="1"/>
  <c r="S205" i="1"/>
  <c r="O205" i="1"/>
  <c r="K205" i="1"/>
  <c r="G205" i="1"/>
  <c r="C205" i="1"/>
  <c r="V205" i="1"/>
  <c r="R205" i="1"/>
  <c r="N205" i="1"/>
  <c r="J205" i="1"/>
  <c r="F205" i="1"/>
  <c r="U205" i="1"/>
  <c r="Q205" i="1"/>
  <c r="M205" i="1"/>
  <c r="I205" i="1"/>
  <c r="E205" i="1"/>
  <c r="F82" i="1"/>
  <c r="J82" i="1"/>
  <c r="N82" i="1"/>
  <c r="R82" i="1"/>
  <c r="V82" i="1"/>
  <c r="E85" i="1"/>
  <c r="I95" i="1"/>
  <c r="C109" i="1"/>
  <c r="C118" i="1" s="1"/>
  <c r="E111" i="1"/>
  <c r="I111" i="1"/>
  <c r="M111" i="1"/>
  <c r="Q111" i="1"/>
  <c r="U111" i="1"/>
  <c r="D112" i="1"/>
  <c r="H112" i="1"/>
  <c r="L112" i="1"/>
  <c r="P112" i="1"/>
  <c r="T112" i="1"/>
  <c r="C110" i="10"/>
  <c r="G110" i="10"/>
  <c r="K110" i="10"/>
  <c r="O110" i="10"/>
  <c r="E8" i="1"/>
  <c r="E22" i="1" s="1"/>
  <c r="E9" i="1"/>
  <c r="E10" i="1"/>
  <c r="E10" i="11" s="1"/>
  <c r="E11" i="1"/>
  <c r="E11" i="11" s="1"/>
  <c r="E14" i="1"/>
  <c r="E14" i="11" s="1"/>
  <c r="F17" i="1"/>
  <c r="C22" i="1"/>
  <c r="C31" i="1"/>
  <c r="C34" i="1" s="1"/>
  <c r="C46" i="1"/>
  <c r="C48" i="11"/>
  <c r="C171" i="1"/>
  <c r="C141" i="11" s="1"/>
  <c r="G50" i="1"/>
  <c r="D51" i="1"/>
  <c r="C54" i="1"/>
  <c r="E60" i="1"/>
  <c r="D71" i="1"/>
  <c r="G72" i="1"/>
  <c r="G73" i="1"/>
  <c r="H74" i="1"/>
  <c r="E75" i="1"/>
  <c r="E110" i="1" s="1"/>
  <c r="M75" i="11"/>
  <c r="M110" i="11" s="1"/>
  <c r="M198" i="1"/>
  <c r="M168" i="11" s="1"/>
  <c r="Q75" i="11"/>
  <c r="Q110" i="11" s="1"/>
  <c r="Q198" i="1"/>
  <c r="Q168" i="11" s="1"/>
  <c r="K76" i="11"/>
  <c r="K199" i="1"/>
  <c r="K169" i="11" s="1"/>
  <c r="O76" i="11"/>
  <c r="O199" i="1"/>
  <c r="O169" i="11" s="1"/>
  <c r="S76" i="1"/>
  <c r="S111" i="1" s="1"/>
  <c r="C82" i="1"/>
  <c r="G82" i="1"/>
  <c r="K82" i="1"/>
  <c r="O82" i="1"/>
  <c r="S82" i="1"/>
  <c r="E83" i="1"/>
  <c r="I83" i="1"/>
  <c r="M83" i="1"/>
  <c r="Q83" i="1"/>
  <c r="U83" i="1"/>
  <c r="H84" i="1"/>
  <c r="L84" i="1"/>
  <c r="P84" i="1"/>
  <c r="S208" i="1"/>
  <c r="O208" i="1"/>
  <c r="K208" i="1"/>
  <c r="G208" i="1"/>
  <c r="C208" i="1"/>
  <c r="V208" i="1"/>
  <c r="R208" i="1"/>
  <c r="N208" i="1"/>
  <c r="J208" i="1"/>
  <c r="F208" i="1"/>
  <c r="U208" i="1"/>
  <c r="Q208" i="1"/>
  <c r="M208" i="1"/>
  <c r="I208" i="1"/>
  <c r="E208" i="1"/>
  <c r="T208" i="1"/>
  <c r="P208" i="1"/>
  <c r="L208" i="1"/>
  <c r="H208" i="1"/>
  <c r="D208" i="1"/>
  <c r="F85" i="1"/>
  <c r="J85" i="1"/>
  <c r="N85" i="1"/>
  <c r="R85" i="1"/>
  <c r="V85" i="1"/>
  <c r="S210" i="1"/>
  <c r="O210" i="1"/>
  <c r="K210" i="1"/>
  <c r="G210" i="1"/>
  <c r="C210" i="1"/>
  <c r="V210" i="1"/>
  <c r="R210" i="1"/>
  <c r="N210" i="1"/>
  <c r="J210" i="1"/>
  <c r="F210" i="1"/>
  <c r="U210" i="1"/>
  <c r="Q210" i="1"/>
  <c r="M210" i="1"/>
  <c r="I210" i="1"/>
  <c r="T210" i="1"/>
  <c r="P210" i="1"/>
  <c r="L210" i="1"/>
  <c r="H210" i="1"/>
  <c r="F87" i="1"/>
  <c r="J87" i="1"/>
  <c r="N87" i="1"/>
  <c r="R87" i="1"/>
  <c r="V87" i="1"/>
  <c r="D88" i="1"/>
  <c r="J89" i="1"/>
  <c r="N89" i="1"/>
  <c r="R89" i="1"/>
  <c r="D90" i="1"/>
  <c r="H90" i="1"/>
  <c r="L90" i="1"/>
  <c r="P90" i="1"/>
  <c r="T90" i="1"/>
  <c r="D214" i="1"/>
  <c r="C214" i="1"/>
  <c r="E214" i="1"/>
  <c r="F91" i="1"/>
  <c r="J91" i="1"/>
  <c r="N91" i="1"/>
  <c r="R91" i="1"/>
  <c r="V91" i="1"/>
  <c r="T218" i="1"/>
  <c r="P218" i="1"/>
  <c r="L218" i="1"/>
  <c r="H218" i="1"/>
  <c r="D218" i="1"/>
  <c r="S218" i="1"/>
  <c r="O218" i="1"/>
  <c r="K218" i="1"/>
  <c r="G218" i="1"/>
  <c r="C218" i="1"/>
  <c r="V218" i="1"/>
  <c r="R218" i="1"/>
  <c r="N218" i="1"/>
  <c r="J218" i="1"/>
  <c r="F218" i="1"/>
  <c r="U218" i="1"/>
  <c r="Q218" i="1"/>
  <c r="M218" i="1"/>
  <c r="I218" i="1"/>
  <c r="E218" i="1"/>
  <c r="F95" i="1"/>
  <c r="J95" i="1"/>
  <c r="N95" i="1"/>
  <c r="R95" i="1"/>
  <c r="V95" i="1"/>
  <c r="V234" i="1"/>
  <c r="R234" i="1"/>
  <c r="N234" i="1"/>
  <c r="J234" i="1"/>
  <c r="F234" i="1"/>
  <c r="U234" i="1"/>
  <c r="Q234" i="1"/>
  <c r="M234" i="1"/>
  <c r="I234" i="1"/>
  <c r="E234" i="1"/>
  <c r="T234" i="1"/>
  <c r="P234" i="1"/>
  <c r="L234" i="1"/>
  <c r="H234" i="1"/>
  <c r="D234" i="1"/>
  <c r="O234" i="1"/>
  <c r="K234" i="1"/>
  <c r="G234" i="1"/>
  <c r="C234" i="1"/>
  <c r="F111" i="1"/>
  <c r="J111" i="1"/>
  <c r="N111" i="1"/>
  <c r="R111" i="1"/>
  <c r="V111" i="1"/>
  <c r="E112" i="1"/>
  <c r="I112" i="1"/>
  <c r="M112" i="1"/>
  <c r="Q112" i="1"/>
  <c r="U112" i="1"/>
  <c r="F207" i="1"/>
  <c r="J207" i="1"/>
  <c r="N207" i="1"/>
  <c r="R207" i="1"/>
  <c r="V207" i="1"/>
  <c r="I212" i="1"/>
  <c r="M212" i="1"/>
  <c r="Q212" i="1"/>
  <c r="U212" i="1"/>
  <c r="C64" i="8"/>
  <c r="C21" i="12"/>
  <c r="D21" i="8"/>
  <c r="G207" i="1"/>
  <c r="K207" i="1"/>
  <c r="O207" i="1"/>
  <c r="S207" i="1"/>
  <c r="J212" i="1"/>
  <c r="N212" i="1"/>
  <c r="R212" i="1"/>
  <c r="V212" i="1"/>
  <c r="F176" i="1"/>
  <c r="E188" i="1"/>
  <c r="F191" i="1"/>
  <c r="H207" i="1"/>
  <c r="L207" i="1"/>
  <c r="P207" i="1"/>
  <c r="T207" i="1"/>
  <c r="C212" i="1"/>
  <c r="G212" i="1"/>
  <c r="K212" i="1"/>
  <c r="O212" i="1"/>
  <c r="S212" i="1"/>
  <c r="I207" i="1"/>
  <c r="M207" i="1"/>
  <c r="Q207" i="1"/>
  <c r="H212" i="1"/>
  <c r="L212" i="1"/>
  <c r="P212" i="1"/>
  <c r="C13" i="12"/>
  <c r="C56" i="8"/>
  <c r="C24" i="12"/>
  <c r="C67" i="8"/>
  <c r="E25" i="8"/>
  <c r="D25" i="12"/>
  <c r="E72" i="8"/>
  <c r="E29" i="12"/>
  <c r="E72" i="12" s="1"/>
  <c r="C37" i="8"/>
  <c r="C80" i="8" s="1"/>
  <c r="O43" i="12"/>
  <c r="O86" i="12" s="1"/>
  <c r="T43" i="8"/>
  <c r="T43" i="12" s="1"/>
  <c r="T86" i="12" s="1"/>
  <c r="Q45" i="12"/>
  <c r="Q88" i="12" s="1"/>
  <c r="V45" i="8"/>
  <c r="V45" i="12" s="1"/>
  <c r="V88" i="12" s="1"/>
  <c r="C14" i="12"/>
  <c r="C57" i="8"/>
  <c r="C18" i="12"/>
  <c r="C61" i="8"/>
  <c r="E73" i="8"/>
  <c r="E30" i="12"/>
  <c r="Q44" i="12"/>
  <c r="Q87" i="12" s="1"/>
  <c r="V44" i="8"/>
  <c r="V44" i="12" s="1"/>
  <c r="V87" i="12" s="1"/>
  <c r="U51" i="8"/>
  <c r="Q51" i="8"/>
  <c r="M51" i="8"/>
  <c r="I51" i="8"/>
  <c r="E51" i="8"/>
  <c r="T51" i="8"/>
  <c r="P51" i="8"/>
  <c r="P93" i="8" s="1"/>
  <c r="L51" i="8"/>
  <c r="H51" i="8"/>
  <c r="D51" i="8"/>
  <c r="S51" i="8"/>
  <c r="O51" i="8"/>
  <c r="K51" i="8"/>
  <c r="G51" i="8"/>
  <c r="C51" i="8"/>
  <c r="V51" i="8"/>
  <c r="R51" i="8"/>
  <c r="N51" i="8"/>
  <c r="J51" i="8"/>
  <c r="F51" i="8"/>
  <c r="E24" i="12"/>
  <c r="E67" i="8"/>
  <c r="C29" i="12"/>
  <c r="C72" i="12" s="1"/>
  <c r="C72" i="8"/>
  <c r="G29" i="12"/>
  <c r="G72" i="12" s="1"/>
  <c r="G72" i="8"/>
  <c r="Q43" i="12"/>
  <c r="Q86" i="12" s="1"/>
  <c r="V43" i="8"/>
  <c r="V43" i="12" s="1"/>
  <c r="V86" i="12" s="1"/>
  <c r="O45" i="12"/>
  <c r="O88" i="12" s="1"/>
  <c r="T45" i="8"/>
  <c r="T45" i="12" s="1"/>
  <c r="T88" i="12" s="1"/>
  <c r="C22" i="12"/>
  <c r="C65" i="8"/>
  <c r="C23" i="8"/>
  <c r="D22" i="8"/>
  <c r="D22" i="12" s="1"/>
  <c r="C30" i="12"/>
  <c r="C73" i="8"/>
  <c r="G30" i="12"/>
  <c r="G73" i="8"/>
  <c r="O44" i="12"/>
  <c r="O87" i="12" s="1"/>
  <c r="T44" i="8"/>
  <c r="T44" i="12" s="1"/>
  <c r="T87" i="12" s="1"/>
  <c r="T46" i="8"/>
  <c r="T46" i="12" s="1"/>
  <c r="T89" i="12" s="1"/>
  <c r="F57" i="8"/>
  <c r="J57" i="8"/>
  <c r="N57" i="8"/>
  <c r="R57" i="8"/>
  <c r="V57" i="8"/>
  <c r="F59" i="8"/>
  <c r="J59" i="8"/>
  <c r="N59" i="8"/>
  <c r="R59" i="8"/>
  <c r="V59" i="8"/>
  <c r="F61" i="8"/>
  <c r="J61" i="8"/>
  <c r="N61" i="8"/>
  <c r="R61" i="8"/>
  <c r="V61" i="8"/>
  <c r="F63" i="8"/>
  <c r="J63" i="8"/>
  <c r="N63" i="8"/>
  <c r="R63" i="8"/>
  <c r="V63" i="8"/>
  <c r="F65" i="8"/>
  <c r="J65" i="8"/>
  <c r="N65" i="8"/>
  <c r="R65" i="8"/>
  <c r="V65" i="8"/>
  <c r="V46" i="8"/>
  <c r="V46" i="12" s="1"/>
  <c r="V89" i="12" s="1"/>
  <c r="F56" i="8"/>
  <c r="J56" i="8"/>
  <c r="N56" i="8"/>
  <c r="R56" i="8"/>
  <c r="D57" i="8"/>
  <c r="H57" i="8"/>
  <c r="L57" i="8"/>
  <c r="P57" i="8"/>
  <c r="F58" i="8"/>
  <c r="J58" i="8"/>
  <c r="N58" i="8"/>
  <c r="R58" i="8"/>
  <c r="D59" i="8"/>
  <c r="H59" i="8"/>
  <c r="L59" i="8"/>
  <c r="P59" i="8"/>
  <c r="D61" i="8"/>
  <c r="H61" i="8"/>
  <c r="L61" i="8"/>
  <c r="P61" i="8"/>
  <c r="B70" i="8"/>
  <c r="F62" i="8"/>
  <c r="J62" i="8"/>
  <c r="N62" i="8"/>
  <c r="R62" i="8"/>
  <c r="V62" i="8"/>
  <c r="D63" i="8"/>
  <c r="H63" i="8"/>
  <c r="L63" i="8"/>
  <c r="P63" i="8"/>
  <c r="D65" i="8"/>
  <c r="H65" i="8"/>
  <c r="L65" i="8"/>
  <c r="P65" i="8"/>
  <c r="V66" i="8"/>
  <c r="T66" i="8"/>
  <c r="F66" i="8"/>
  <c r="J66" i="8"/>
  <c r="N66" i="8"/>
  <c r="R66" i="8"/>
  <c r="B88" i="5"/>
  <c r="E2" i="16"/>
  <c r="E35" i="15"/>
  <c r="V30" i="13"/>
  <c r="V78" i="13" s="1"/>
  <c r="AA30" i="4"/>
  <c r="AA30" i="13" s="1"/>
  <c r="H33" i="4"/>
  <c r="H47" i="13"/>
  <c r="H92" i="13" s="1"/>
  <c r="H92" i="4"/>
  <c r="Z97" i="5"/>
  <c r="V97" i="5"/>
  <c r="R97" i="5"/>
  <c r="N97" i="5"/>
  <c r="J97" i="5"/>
  <c r="F97" i="5"/>
  <c r="Y97" i="5"/>
  <c r="U97" i="5"/>
  <c r="Q97" i="5"/>
  <c r="M97" i="5"/>
  <c r="I97" i="5"/>
  <c r="E97" i="5"/>
  <c r="X97" i="5"/>
  <c r="T97" i="5"/>
  <c r="P97" i="5"/>
  <c r="L97" i="5"/>
  <c r="H97" i="5"/>
  <c r="D97" i="5"/>
  <c r="W97" i="5"/>
  <c r="G97" i="5"/>
  <c r="S97" i="5"/>
  <c r="C97" i="5"/>
  <c r="O97" i="5"/>
  <c r="B123" i="5"/>
  <c r="U83" i="4"/>
  <c r="Q83" i="4"/>
  <c r="M83" i="4"/>
  <c r="I83" i="4"/>
  <c r="E83" i="4"/>
  <c r="T83" i="4"/>
  <c r="P83" i="4"/>
  <c r="L83" i="4"/>
  <c r="H83" i="4"/>
  <c r="D83" i="4"/>
  <c r="S83" i="4"/>
  <c r="O83" i="4"/>
  <c r="K83" i="4"/>
  <c r="G83" i="4"/>
  <c r="C83" i="4"/>
  <c r="N83" i="4"/>
  <c r="J83" i="4"/>
  <c r="V83" i="4"/>
  <c r="F83" i="4"/>
  <c r="D27" i="4"/>
  <c r="D27" i="13" s="1"/>
  <c r="C27" i="13"/>
  <c r="N30" i="13"/>
  <c r="N78" i="13" s="1"/>
  <c r="S30" i="4"/>
  <c r="R44" i="13"/>
  <c r="R46" i="4"/>
  <c r="B135" i="5"/>
  <c r="Y95" i="4"/>
  <c r="Y97" i="4" s="1"/>
  <c r="U95" i="4"/>
  <c r="Q95" i="4"/>
  <c r="M95" i="4"/>
  <c r="I95" i="4"/>
  <c r="E95" i="4"/>
  <c r="X95" i="4"/>
  <c r="X97" i="4" s="1"/>
  <c r="T95" i="4"/>
  <c r="P95" i="4"/>
  <c r="L95" i="4"/>
  <c r="H95" i="4"/>
  <c r="D95" i="4"/>
  <c r="W95" i="4"/>
  <c r="W97" i="4" s="1"/>
  <c r="S95" i="4"/>
  <c r="O95" i="4"/>
  <c r="K95" i="4"/>
  <c r="G95" i="4"/>
  <c r="C95" i="4"/>
  <c r="N95" i="4"/>
  <c r="J95" i="4"/>
  <c r="V95" i="4"/>
  <c r="F95" i="4"/>
  <c r="C8" i="14"/>
  <c r="D8" i="5"/>
  <c r="D8" i="14" s="1"/>
  <c r="Q30" i="14"/>
  <c r="V30" i="5"/>
  <c r="V30" i="14" s="1"/>
  <c r="C11" i="13"/>
  <c r="C59" i="13" s="1"/>
  <c r="D11" i="4"/>
  <c r="D11" i="13" s="1"/>
  <c r="D59" i="13" s="1"/>
  <c r="C20" i="13"/>
  <c r="C21" i="4"/>
  <c r="S65" i="4"/>
  <c r="O65" i="4"/>
  <c r="K65" i="4"/>
  <c r="G65" i="4"/>
  <c r="C65" i="4"/>
  <c r="U65" i="4"/>
  <c r="Q65" i="4"/>
  <c r="M65" i="4"/>
  <c r="I65" i="4"/>
  <c r="E65" i="4"/>
  <c r="P65" i="4"/>
  <c r="H65" i="4"/>
  <c r="V65" i="4"/>
  <c r="N65" i="4"/>
  <c r="F65" i="4"/>
  <c r="B86" i="5"/>
  <c r="T65" i="4"/>
  <c r="L65" i="4"/>
  <c r="D65" i="4"/>
  <c r="U66" i="4"/>
  <c r="Q66" i="4"/>
  <c r="M66" i="4"/>
  <c r="I66" i="4"/>
  <c r="E66" i="4"/>
  <c r="B87" i="5"/>
  <c r="S66" i="4"/>
  <c r="O66" i="4"/>
  <c r="K66" i="4"/>
  <c r="G66" i="4"/>
  <c r="C66" i="4"/>
  <c r="P66" i="4"/>
  <c r="H66" i="4"/>
  <c r="V66" i="4"/>
  <c r="N66" i="4"/>
  <c r="F66" i="4"/>
  <c r="T66" i="4"/>
  <c r="L66" i="4"/>
  <c r="D66" i="4"/>
  <c r="S67" i="4"/>
  <c r="O67" i="4"/>
  <c r="K67" i="4"/>
  <c r="G67" i="4"/>
  <c r="C67" i="4"/>
  <c r="U67" i="4"/>
  <c r="Q67" i="4"/>
  <c r="M67" i="4"/>
  <c r="I67" i="4"/>
  <c r="E67" i="4"/>
  <c r="P67" i="4"/>
  <c r="H67" i="4"/>
  <c r="V67" i="4"/>
  <c r="N67" i="4"/>
  <c r="F67" i="4"/>
  <c r="T67" i="4"/>
  <c r="L67" i="4"/>
  <c r="D67" i="4"/>
  <c r="B75" i="4"/>
  <c r="S69" i="4"/>
  <c r="O69" i="4"/>
  <c r="K69" i="4"/>
  <c r="G69" i="4"/>
  <c r="C69" i="4"/>
  <c r="V69" i="4"/>
  <c r="R69" i="4"/>
  <c r="U69" i="4"/>
  <c r="Q69" i="4"/>
  <c r="M69" i="4"/>
  <c r="I69" i="4"/>
  <c r="E69" i="4"/>
  <c r="B90" i="5"/>
  <c r="P69" i="4"/>
  <c r="H69" i="4"/>
  <c r="N69" i="4"/>
  <c r="F69" i="4"/>
  <c r="L69" i="4"/>
  <c r="D69" i="4"/>
  <c r="R95" i="4"/>
  <c r="K97" i="5"/>
  <c r="F67" i="8"/>
  <c r="J67" i="8"/>
  <c r="N67" i="8"/>
  <c r="R67" i="8"/>
  <c r="V67" i="8"/>
  <c r="D68" i="8"/>
  <c r="F69" i="8"/>
  <c r="J69" i="8"/>
  <c r="N69" i="8"/>
  <c r="R69" i="8"/>
  <c r="V69" i="8"/>
  <c r="F71" i="8"/>
  <c r="J71" i="8"/>
  <c r="N71" i="8"/>
  <c r="R71" i="8"/>
  <c r="V71" i="8"/>
  <c r="D72" i="8"/>
  <c r="H72" i="8"/>
  <c r="F73" i="8"/>
  <c r="F92" i="8"/>
  <c r="D76" i="4"/>
  <c r="E28" i="4"/>
  <c r="J30" i="13"/>
  <c r="J78" i="13" s="1"/>
  <c r="O30" i="4"/>
  <c r="Q78" i="4"/>
  <c r="B128" i="5"/>
  <c r="U88" i="4"/>
  <c r="Q88" i="4"/>
  <c r="M88" i="4"/>
  <c r="I88" i="4"/>
  <c r="E88" i="4"/>
  <c r="T88" i="4"/>
  <c r="P88" i="4"/>
  <c r="H88" i="4"/>
  <c r="D88" i="4"/>
  <c r="S88" i="4"/>
  <c r="O88" i="4"/>
  <c r="K88" i="4"/>
  <c r="G88" i="4"/>
  <c r="C88" i="4"/>
  <c r="R88" i="4"/>
  <c r="D28" i="13"/>
  <c r="D76" i="13" s="1"/>
  <c r="P30" i="13"/>
  <c r="P78" i="13" s="1"/>
  <c r="H45" i="13"/>
  <c r="D40" i="14"/>
  <c r="D109" i="5"/>
  <c r="E71" i="14"/>
  <c r="E137" i="14" s="1"/>
  <c r="D42" i="5"/>
  <c r="E137" i="5"/>
  <c r="D49" i="5"/>
  <c r="D49" i="14" s="1"/>
  <c r="C95" i="5"/>
  <c r="K99" i="5"/>
  <c r="J103" i="5"/>
  <c r="Z103" i="5"/>
  <c r="J105" i="5"/>
  <c r="Z105" i="5"/>
  <c r="D29" i="13"/>
  <c r="D77" i="13" s="1"/>
  <c r="E29" i="4"/>
  <c r="R30" i="13"/>
  <c r="R78" i="13" s="1"/>
  <c r="W30" i="4"/>
  <c r="L44" i="13"/>
  <c r="L46" i="4"/>
  <c r="U70" i="4"/>
  <c r="Q70" i="4"/>
  <c r="M70" i="4"/>
  <c r="I70" i="4"/>
  <c r="E70" i="4"/>
  <c r="B91" i="5"/>
  <c r="T70" i="4"/>
  <c r="P70" i="4"/>
  <c r="L70" i="4"/>
  <c r="H70" i="4"/>
  <c r="D70" i="4"/>
  <c r="S70" i="4"/>
  <c r="O70" i="4"/>
  <c r="K70" i="4"/>
  <c r="G70" i="4"/>
  <c r="R70" i="4"/>
  <c r="Z95" i="5"/>
  <c r="V95" i="5"/>
  <c r="R95" i="5"/>
  <c r="N95" i="5"/>
  <c r="J95" i="5"/>
  <c r="F95" i="5"/>
  <c r="Y95" i="5"/>
  <c r="U95" i="5"/>
  <c r="Q95" i="5"/>
  <c r="M95" i="5"/>
  <c r="I95" i="5"/>
  <c r="E95" i="5"/>
  <c r="X95" i="5"/>
  <c r="T95" i="5"/>
  <c r="P95" i="5"/>
  <c r="L95" i="5"/>
  <c r="H95" i="5"/>
  <c r="D95" i="5"/>
  <c r="U78" i="4"/>
  <c r="B121" i="5"/>
  <c r="U81" i="4"/>
  <c r="Q81" i="4"/>
  <c r="M81" i="4"/>
  <c r="I81" i="4"/>
  <c r="E81" i="4"/>
  <c r="T81" i="4"/>
  <c r="P81" i="4"/>
  <c r="L81" i="4"/>
  <c r="H81" i="4"/>
  <c r="D81" i="4"/>
  <c r="S81" i="4"/>
  <c r="O81" i="4"/>
  <c r="K81" i="4"/>
  <c r="G81" i="4"/>
  <c r="C81" i="4"/>
  <c r="R81" i="4"/>
  <c r="B133" i="5"/>
  <c r="U93" i="4"/>
  <c r="Q93" i="4"/>
  <c r="M93" i="4"/>
  <c r="I93" i="4"/>
  <c r="E93" i="4"/>
  <c r="T93" i="4"/>
  <c r="T97" i="4" s="1"/>
  <c r="P93" i="4"/>
  <c r="H93" i="4"/>
  <c r="D93" i="4"/>
  <c r="D97" i="4" s="1"/>
  <c r="S93" i="4"/>
  <c r="O93" i="4"/>
  <c r="K93" i="4"/>
  <c r="G93" i="4"/>
  <c r="C93" i="4"/>
  <c r="R93" i="4"/>
  <c r="C14" i="14"/>
  <c r="D14" i="5"/>
  <c r="D14" i="14" s="1"/>
  <c r="I30" i="14"/>
  <c r="N30" i="5"/>
  <c r="M30" i="14"/>
  <c r="R30" i="5"/>
  <c r="G95" i="5"/>
  <c r="W95" i="5"/>
  <c r="D67" i="8"/>
  <c r="H67" i="8"/>
  <c r="L67" i="8"/>
  <c r="P67" i="8"/>
  <c r="D69" i="8"/>
  <c r="H69" i="8"/>
  <c r="L69" i="8"/>
  <c r="P69" i="8"/>
  <c r="D71" i="8"/>
  <c r="H71" i="8"/>
  <c r="L71" i="8"/>
  <c r="P71" i="8"/>
  <c r="F72" i="8"/>
  <c r="D73" i="8"/>
  <c r="H73" i="8"/>
  <c r="D92" i="8"/>
  <c r="H92" i="8"/>
  <c r="C14" i="13"/>
  <c r="C62" i="13" s="1"/>
  <c r="D14" i="4"/>
  <c r="D74" i="4"/>
  <c r="E26" i="4"/>
  <c r="D26" i="13"/>
  <c r="F70" i="4"/>
  <c r="V70" i="4"/>
  <c r="V99" i="5"/>
  <c r="R99" i="5"/>
  <c r="N99" i="5"/>
  <c r="J99" i="5"/>
  <c r="F99" i="5"/>
  <c r="Q99" i="5"/>
  <c r="M99" i="5"/>
  <c r="I99" i="5"/>
  <c r="E99" i="5"/>
  <c r="L99" i="5"/>
  <c r="H99" i="5"/>
  <c r="D99" i="5"/>
  <c r="F81" i="4"/>
  <c r="V81" i="4"/>
  <c r="P97" i="4"/>
  <c r="F93" i="4"/>
  <c r="V93" i="4"/>
  <c r="C8" i="13"/>
  <c r="C56" i="13" s="1"/>
  <c r="H30" i="13"/>
  <c r="H78" i="13" s="1"/>
  <c r="C11" i="14"/>
  <c r="D11" i="5"/>
  <c r="D11" i="14" s="1"/>
  <c r="D29" i="14"/>
  <c r="E29" i="5"/>
  <c r="E29" i="14" s="1"/>
  <c r="H65" i="5"/>
  <c r="K95" i="5"/>
  <c r="C99" i="5"/>
  <c r="Y103" i="5"/>
  <c r="U103" i="5"/>
  <c r="Q103" i="5"/>
  <c r="M103" i="5"/>
  <c r="I103" i="5"/>
  <c r="E103" i="5"/>
  <c r="X103" i="5"/>
  <c r="T103" i="5"/>
  <c r="P103" i="5"/>
  <c r="L103" i="5"/>
  <c r="H103" i="5"/>
  <c r="D103" i="5"/>
  <c r="W103" i="5"/>
  <c r="S103" i="5"/>
  <c r="O103" i="5"/>
  <c r="K103" i="5"/>
  <c r="G103" i="5"/>
  <c r="C103" i="5"/>
  <c r="R103" i="5"/>
  <c r="Y105" i="5"/>
  <c r="U105" i="5"/>
  <c r="Q105" i="5"/>
  <c r="M105" i="5"/>
  <c r="I105" i="5"/>
  <c r="E105" i="5"/>
  <c r="X105" i="5"/>
  <c r="T105" i="5"/>
  <c r="P105" i="5"/>
  <c r="L105" i="5"/>
  <c r="H105" i="5"/>
  <c r="D105" i="5"/>
  <c r="W105" i="5"/>
  <c r="S105" i="5"/>
  <c r="O105" i="5"/>
  <c r="K105" i="5"/>
  <c r="G105" i="5"/>
  <c r="C105" i="5"/>
  <c r="R105" i="5"/>
  <c r="Y127" i="5"/>
  <c r="U127" i="5"/>
  <c r="Q127" i="5"/>
  <c r="M127" i="5"/>
  <c r="I127" i="5"/>
  <c r="E127" i="5"/>
  <c r="X127" i="5"/>
  <c r="T127" i="5"/>
  <c r="P127" i="5"/>
  <c r="L127" i="5"/>
  <c r="D127" i="5"/>
  <c r="W127" i="5"/>
  <c r="S127" i="5"/>
  <c r="O127" i="5"/>
  <c r="K127" i="5"/>
  <c r="G127" i="5"/>
  <c r="C127" i="5"/>
  <c r="N127" i="5"/>
  <c r="Z127" i="5"/>
  <c r="J127" i="5"/>
  <c r="V127" i="5"/>
  <c r="F127" i="5"/>
  <c r="P62" i="4"/>
  <c r="T62" i="4"/>
  <c r="D73" i="4"/>
  <c r="H73" i="4"/>
  <c r="L73" i="4"/>
  <c r="P73" i="4"/>
  <c r="T73" i="4"/>
  <c r="F74" i="4"/>
  <c r="J74" i="4"/>
  <c r="N74" i="4"/>
  <c r="R74" i="4"/>
  <c r="V74" i="4"/>
  <c r="F76" i="4"/>
  <c r="J76" i="4"/>
  <c r="N76" i="4"/>
  <c r="R76" i="4"/>
  <c r="V76" i="4"/>
  <c r="D77" i="4"/>
  <c r="H77" i="4"/>
  <c r="L77" i="4"/>
  <c r="P77" i="4"/>
  <c r="T77" i="4"/>
  <c r="F78" i="4"/>
  <c r="J78" i="4"/>
  <c r="N78" i="4"/>
  <c r="R78" i="4"/>
  <c r="V78" i="4"/>
  <c r="Z78" i="4"/>
  <c r="Z96" i="4" s="1"/>
  <c r="E82" i="4"/>
  <c r="I82" i="4"/>
  <c r="M82" i="4"/>
  <c r="Q82" i="4"/>
  <c r="U82" i="4"/>
  <c r="E84" i="4"/>
  <c r="I84" i="4"/>
  <c r="M84" i="4"/>
  <c r="Q84" i="4"/>
  <c r="U84" i="4"/>
  <c r="E87" i="4"/>
  <c r="I87" i="4"/>
  <c r="M87" i="4"/>
  <c r="Q87" i="4"/>
  <c r="U87" i="4"/>
  <c r="E92" i="4"/>
  <c r="I92" i="4"/>
  <c r="M92" i="4"/>
  <c r="M97" i="4" s="1"/>
  <c r="Q92" i="4"/>
  <c r="U92" i="4"/>
  <c r="E94" i="4"/>
  <c r="I94" i="4"/>
  <c r="M94" i="4"/>
  <c r="Q94" i="4"/>
  <c r="U94" i="4"/>
  <c r="L65" i="5"/>
  <c r="B83" i="5"/>
  <c r="B94" i="5"/>
  <c r="B98" i="5"/>
  <c r="E102" i="5"/>
  <c r="I102" i="5"/>
  <c r="M102" i="5"/>
  <c r="Q102" i="5"/>
  <c r="U102" i="5"/>
  <c r="Y102" i="5"/>
  <c r="E104" i="5"/>
  <c r="I104" i="5"/>
  <c r="M104" i="5"/>
  <c r="Q104" i="5"/>
  <c r="U104" i="5"/>
  <c r="Y104" i="5"/>
  <c r="E106" i="5"/>
  <c r="I106" i="5"/>
  <c r="N106" i="5"/>
  <c r="S106" i="5"/>
  <c r="X108" i="5"/>
  <c r="T108" i="5"/>
  <c r="P108" i="5"/>
  <c r="L108" i="5"/>
  <c r="H108" i="5"/>
  <c r="D108" i="5"/>
  <c r="W108" i="5"/>
  <c r="S108" i="5"/>
  <c r="O108" i="5"/>
  <c r="K108" i="5"/>
  <c r="G108" i="5"/>
  <c r="C108" i="5"/>
  <c r="J108" i="5"/>
  <c r="R108" i="5"/>
  <c r="Z108" i="5"/>
  <c r="X110" i="5"/>
  <c r="T110" i="5"/>
  <c r="P110" i="5"/>
  <c r="L110" i="5"/>
  <c r="H110" i="5"/>
  <c r="D110" i="5"/>
  <c r="W110" i="5"/>
  <c r="S110" i="5"/>
  <c r="O110" i="5"/>
  <c r="K110" i="5"/>
  <c r="G110" i="5"/>
  <c r="C110" i="5"/>
  <c r="J110" i="5"/>
  <c r="R110" i="5"/>
  <c r="Z110" i="5"/>
  <c r="E124" i="5"/>
  <c r="G134" i="5"/>
  <c r="K78" i="4"/>
  <c r="X122" i="5"/>
  <c r="T122" i="5"/>
  <c r="P122" i="5"/>
  <c r="H122" i="5"/>
  <c r="D122" i="5"/>
  <c r="W122" i="5"/>
  <c r="S122" i="5"/>
  <c r="O122" i="5"/>
  <c r="K122" i="5"/>
  <c r="G122" i="5"/>
  <c r="C122" i="5"/>
  <c r="Z122" i="5"/>
  <c r="V122" i="5"/>
  <c r="R122" i="5"/>
  <c r="N122" i="5"/>
  <c r="J122" i="5"/>
  <c r="F122" i="5"/>
  <c r="F82" i="4"/>
  <c r="J82" i="4"/>
  <c r="N82" i="4"/>
  <c r="R82" i="4"/>
  <c r="V82" i="4"/>
  <c r="X124" i="5"/>
  <c r="T124" i="5"/>
  <c r="P124" i="5"/>
  <c r="L124" i="5"/>
  <c r="H124" i="5"/>
  <c r="D124" i="5"/>
  <c r="W124" i="5"/>
  <c r="S124" i="5"/>
  <c r="O124" i="5"/>
  <c r="K124" i="5"/>
  <c r="G124" i="5"/>
  <c r="C124" i="5"/>
  <c r="Z124" i="5"/>
  <c r="V124" i="5"/>
  <c r="R124" i="5"/>
  <c r="N124" i="5"/>
  <c r="J124" i="5"/>
  <c r="F124" i="5"/>
  <c r="F84" i="4"/>
  <c r="J84" i="4"/>
  <c r="N84" i="4"/>
  <c r="R84" i="4"/>
  <c r="V84" i="4"/>
  <c r="F87" i="4"/>
  <c r="J87" i="4"/>
  <c r="N87" i="4"/>
  <c r="R87" i="4"/>
  <c r="V87" i="4"/>
  <c r="Z132" i="5"/>
  <c r="V132" i="5"/>
  <c r="R132" i="5"/>
  <c r="N132" i="5"/>
  <c r="J132" i="5"/>
  <c r="F132" i="5"/>
  <c r="Y132" i="5"/>
  <c r="U132" i="5"/>
  <c r="Q132" i="5"/>
  <c r="M132" i="5"/>
  <c r="I132" i="5"/>
  <c r="E132" i="5"/>
  <c r="X132" i="5"/>
  <c r="T132" i="5"/>
  <c r="P132" i="5"/>
  <c r="L132" i="5"/>
  <c r="D132" i="5"/>
  <c r="F92" i="4"/>
  <c r="J92" i="4"/>
  <c r="N92" i="4"/>
  <c r="N97" i="4" s="1"/>
  <c r="R92" i="4"/>
  <c r="V92" i="4"/>
  <c r="Z134" i="5"/>
  <c r="V134" i="5"/>
  <c r="N134" i="5"/>
  <c r="J134" i="5"/>
  <c r="F134" i="5"/>
  <c r="Y134" i="5"/>
  <c r="U134" i="5"/>
  <c r="Q134" i="5"/>
  <c r="M134" i="5"/>
  <c r="I134" i="5"/>
  <c r="E134" i="5"/>
  <c r="X134" i="5"/>
  <c r="T134" i="5"/>
  <c r="P134" i="5"/>
  <c r="L134" i="5"/>
  <c r="H134" i="5"/>
  <c r="D134" i="5"/>
  <c r="F94" i="4"/>
  <c r="J94" i="4"/>
  <c r="N94" i="4"/>
  <c r="V94" i="4"/>
  <c r="R65" i="5"/>
  <c r="F102" i="5"/>
  <c r="J102" i="5"/>
  <c r="N102" i="5"/>
  <c r="R102" i="5"/>
  <c r="V102" i="5"/>
  <c r="Z102" i="5"/>
  <c r="F104" i="5"/>
  <c r="J104" i="5"/>
  <c r="N104" i="5"/>
  <c r="R104" i="5"/>
  <c r="V104" i="5"/>
  <c r="Z104" i="5"/>
  <c r="X106" i="5"/>
  <c r="T106" i="5"/>
  <c r="P106" i="5"/>
  <c r="L106" i="5"/>
  <c r="W106" i="5"/>
  <c r="F106" i="5"/>
  <c r="J106" i="5"/>
  <c r="O106" i="5"/>
  <c r="U106" i="5"/>
  <c r="Q122" i="5"/>
  <c r="I124" i="5"/>
  <c r="Y124" i="5"/>
  <c r="C132" i="5"/>
  <c r="S132" i="5"/>
  <c r="K134" i="5"/>
  <c r="Z46" i="4"/>
  <c r="F62" i="4"/>
  <c r="J62" i="4"/>
  <c r="N62" i="4"/>
  <c r="R62" i="4"/>
  <c r="F73" i="4"/>
  <c r="J73" i="4"/>
  <c r="N73" i="4"/>
  <c r="R73" i="4"/>
  <c r="H74" i="4"/>
  <c r="L74" i="4"/>
  <c r="P74" i="4"/>
  <c r="T74" i="4"/>
  <c r="H76" i="4"/>
  <c r="L76" i="4"/>
  <c r="P76" i="4"/>
  <c r="T76" i="4"/>
  <c r="F77" i="4"/>
  <c r="J77" i="4"/>
  <c r="N77" i="4"/>
  <c r="R77" i="4"/>
  <c r="D78" i="4"/>
  <c r="H78" i="4"/>
  <c r="L78" i="4"/>
  <c r="P78" i="4"/>
  <c r="C82" i="4"/>
  <c r="G82" i="4"/>
  <c r="K82" i="4"/>
  <c r="O82" i="4"/>
  <c r="S82" i="4"/>
  <c r="C84" i="4"/>
  <c r="G84" i="4"/>
  <c r="K84" i="4"/>
  <c r="O84" i="4"/>
  <c r="S84" i="4"/>
  <c r="C87" i="4"/>
  <c r="G87" i="4"/>
  <c r="K87" i="4"/>
  <c r="O87" i="4"/>
  <c r="C92" i="4"/>
  <c r="G92" i="4"/>
  <c r="G97" i="4" s="1"/>
  <c r="K92" i="4"/>
  <c r="O92" i="4"/>
  <c r="O97" i="4" s="1"/>
  <c r="S92" i="4"/>
  <c r="C94" i="4"/>
  <c r="G94" i="4"/>
  <c r="K94" i="4"/>
  <c r="O94" i="4"/>
  <c r="S94" i="4"/>
  <c r="D7" i="5"/>
  <c r="D7" i="14" s="1"/>
  <c r="C21" i="5"/>
  <c r="D27" i="5"/>
  <c r="D27" i="14" s="1"/>
  <c r="P30" i="5"/>
  <c r="T30" i="5"/>
  <c r="Z65" i="5"/>
  <c r="C102" i="5"/>
  <c r="G102" i="5"/>
  <c r="K102" i="5"/>
  <c r="O102" i="5"/>
  <c r="S102" i="5"/>
  <c r="C104" i="5"/>
  <c r="G104" i="5"/>
  <c r="K104" i="5"/>
  <c r="O104" i="5"/>
  <c r="S104" i="5"/>
  <c r="C106" i="5"/>
  <c r="G106" i="5"/>
  <c r="K106" i="5"/>
  <c r="Q106" i="5"/>
  <c r="V106" i="5"/>
  <c r="E122" i="5"/>
  <c r="U122" i="5"/>
  <c r="M124" i="5"/>
  <c r="G132" i="5"/>
  <c r="W132" i="5"/>
  <c r="O134" i="5"/>
  <c r="F137" i="5"/>
  <c r="J137" i="5"/>
  <c r="N137" i="5"/>
  <c r="R137" i="5"/>
  <c r="V137" i="5"/>
  <c r="Z137" i="5"/>
  <c r="E107" i="5"/>
  <c r="I107" i="5"/>
  <c r="M107" i="5"/>
  <c r="Q107" i="5"/>
  <c r="U107" i="5"/>
  <c r="Y107" i="5"/>
  <c r="E109" i="5"/>
  <c r="I109" i="5"/>
  <c r="M109" i="5"/>
  <c r="Q109" i="5"/>
  <c r="U109" i="5"/>
  <c r="Y109" i="5"/>
  <c r="E111" i="5"/>
  <c r="I111" i="5"/>
  <c r="M111" i="5"/>
  <c r="Q111" i="5"/>
  <c r="U111" i="5"/>
  <c r="Y111" i="5"/>
  <c r="C137" i="5"/>
  <c r="G137" i="5"/>
  <c r="K137" i="5"/>
  <c r="O137" i="5"/>
  <c r="S137" i="5"/>
  <c r="W137" i="5"/>
  <c r="F107" i="5"/>
  <c r="J107" i="5"/>
  <c r="N107" i="5"/>
  <c r="R107" i="5"/>
  <c r="V107" i="5"/>
  <c r="F109" i="5"/>
  <c r="J109" i="5"/>
  <c r="N109" i="5"/>
  <c r="R109" i="5"/>
  <c r="V109" i="5"/>
  <c r="F111" i="5"/>
  <c r="J111" i="5"/>
  <c r="N111" i="5"/>
  <c r="R111" i="5"/>
  <c r="V111" i="5"/>
  <c r="D137" i="5"/>
  <c r="H137" i="5"/>
  <c r="L137" i="5"/>
  <c r="P137" i="5"/>
  <c r="T137" i="5"/>
  <c r="J51" i="17"/>
  <c r="J13" i="17"/>
  <c r="N51" i="17"/>
  <c r="N13" i="17"/>
  <c r="V51" i="17"/>
  <c r="V13" i="17"/>
  <c r="Z13" i="17"/>
  <c r="Z51" i="17"/>
  <c r="AD51" i="17"/>
  <c r="AD13" i="17"/>
  <c r="B4" i="15"/>
  <c r="D6" i="7"/>
  <c r="B18" i="15" s="1"/>
  <c r="D4" i="7"/>
  <c r="B16" i="15" s="1"/>
  <c r="D2" i="7"/>
  <c r="R51" i="17"/>
  <c r="R13" i="17"/>
  <c r="E6" i="7"/>
  <c r="B23" i="15" s="1"/>
  <c r="E4" i="7"/>
  <c r="B21" i="15" s="1"/>
  <c r="E2" i="7"/>
  <c r="E5" i="7"/>
  <c r="B22" i="15" s="1"/>
  <c r="E3" i="7"/>
  <c r="B20" i="15" s="1"/>
  <c r="AH51" i="17"/>
  <c r="AH13" i="17"/>
  <c r="B5" i="7"/>
  <c r="B7" i="15" s="1"/>
  <c r="B3" i="7"/>
  <c r="B5" i="15" s="1"/>
  <c r="I51" i="17"/>
  <c r="I62" i="17" s="1"/>
  <c r="I13" i="17"/>
  <c r="M51" i="17"/>
  <c r="M13" i="17"/>
  <c r="Q51" i="17"/>
  <c r="Q13" i="17"/>
  <c r="U51" i="17"/>
  <c r="U13" i="17"/>
  <c r="Y51" i="17"/>
  <c r="Y13" i="17"/>
  <c r="AC51" i="17"/>
  <c r="AC13" i="17"/>
  <c r="AG51" i="17"/>
  <c r="AG13" i="17"/>
  <c r="B25" i="7"/>
  <c r="B26" i="7"/>
  <c r="G51" i="17"/>
  <c r="G13" i="17"/>
  <c r="O51" i="17"/>
  <c r="O13" i="17"/>
  <c r="S51" i="17"/>
  <c r="S13" i="17"/>
  <c r="W51" i="17"/>
  <c r="W13" i="17"/>
  <c r="AE51" i="17"/>
  <c r="AE13" i="17"/>
  <c r="K13" i="17"/>
  <c r="H51" i="17"/>
  <c r="H13" i="17"/>
  <c r="L51" i="17"/>
  <c r="L13" i="17"/>
  <c r="P51" i="17"/>
  <c r="P13" i="17"/>
  <c r="T13" i="17"/>
  <c r="T51" i="17"/>
  <c r="X51" i="17"/>
  <c r="X13" i="17"/>
  <c r="AB51" i="17"/>
  <c r="AB13" i="17"/>
  <c r="AF51" i="17"/>
  <c r="AF13" i="17"/>
  <c r="AA13" i="17"/>
  <c r="AF52" i="17" l="1"/>
  <c r="AF54" i="17"/>
  <c r="AF53" i="17"/>
  <c r="AF15" i="17"/>
  <c r="AF14" i="17"/>
  <c r="AF17" i="17"/>
  <c r="AF55" i="17"/>
  <c r="AF16" i="17"/>
  <c r="X52" i="17"/>
  <c r="X54" i="17"/>
  <c r="X53" i="17"/>
  <c r="X55" i="17"/>
  <c r="X15" i="17"/>
  <c r="X14" i="17"/>
  <c r="X17" i="17"/>
  <c r="X16" i="17"/>
  <c r="P52" i="17"/>
  <c r="P54" i="17"/>
  <c r="P53" i="17"/>
  <c r="P15" i="17"/>
  <c r="P55" i="17"/>
  <c r="P14" i="17"/>
  <c r="P17" i="17"/>
  <c r="P16" i="17"/>
  <c r="H52" i="17"/>
  <c r="H54" i="17"/>
  <c r="H53" i="17"/>
  <c r="H23" i="17"/>
  <c r="H24" i="17"/>
  <c r="H15" i="17"/>
  <c r="H14" i="17"/>
  <c r="H55" i="17"/>
  <c r="H17" i="17"/>
  <c r="H16" i="17"/>
  <c r="G62" i="17"/>
  <c r="G60" i="17"/>
  <c r="G61" i="17"/>
  <c r="B14" i="15"/>
  <c r="D7" i="7"/>
  <c r="B7" i="7"/>
  <c r="N54" i="17"/>
  <c r="N52" i="17"/>
  <c r="N55" i="17"/>
  <c r="N53" i="17"/>
  <c r="N17" i="17"/>
  <c r="N16" i="17"/>
  <c r="N15" i="17"/>
  <c r="N14" i="17"/>
  <c r="T30" i="14"/>
  <c r="Y30" i="5"/>
  <c r="K97" i="4"/>
  <c r="X83" i="5"/>
  <c r="T83" i="5"/>
  <c r="P83" i="5"/>
  <c r="L83" i="5"/>
  <c r="H83" i="5"/>
  <c r="D83" i="5"/>
  <c r="W83" i="5"/>
  <c r="S83" i="5"/>
  <c r="O83" i="5"/>
  <c r="K83" i="5"/>
  <c r="G83" i="5"/>
  <c r="C83" i="5"/>
  <c r="Z83" i="5"/>
  <c r="V83" i="5"/>
  <c r="R83" i="5"/>
  <c r="N83" i="5"/>
  <c r="J83" i="5"/>
  <c r="F83" i="5"/>
  <c r="M83" i="5"/>
  <c r="Y83" i="5"/>
  <c r="I83" i="5"/>
  <c r="U83" i="5"/>
  <c r="E83" i="5"/>
  <c r="Q83" i="5"/>
  <c r="Q97" i="4"/>
  <c r="T99" i="5"/>
  <c r="R30" i="14"/>
  <c r="W30" i="5"/>
  <c r="Z121" i="5"/>
  <c r="V121" i="5"/>
  <c r="R121" i="5"/>
  <c r="N121" i="5"/>
  <c r="J121" i="5"/>
  <c r="F121" i="5"/>
  <c r="Y121" i="5"/>
  <c r="U121" i="5"/>
  <c r="Q121" i="5"/>
  <c r="M121" i="5"/>
  <c r="I121" i="5"/>
  <c r="E121" i="5"/>
  <c r="X121" i="5"/>
  <c r="T121" i="5"/>
  <c r="P121" i="5"/>
  <c r="L121" i="5"/>
  <c r="D121" i="5"/>
  <c r="O121" i="5"/>
  <c r="K121" i="5"/>
  <c r="W121" i="5"/>
  <c r="G121" i="5"/>
  <c r="S121" i="5"/>
  <c r="C121" i="5"/>
  <c r="O30" i="13"/>
  <c r="O78" i="13" s="1"/>
  <c r="O78" i="4"/>
  <c r="T30" i="4"/>
  <c r="Y90" i="5"/>
  <c r="U90" i="5"/>
  <c r="Q90" i="5"/>
  <c r="M90" i="5"/>
  <c r="I90" i="5"/>
  <c r="E90" i="5"/>
  <c r="X90" i="5"/>
  <c r="T90" i="5"/>
  <c r="P90" i="5"/>
  <c r="L90" i="5"/>
  <c r="H90" i="5"/>
  <c r="D90" i="5"/>
  <c r="W90" i="5"/>
  <c r="S90" i="5"/>
  <c r="O90" i="5"/>
  <c r="K90" i="5"/>
  <c r="G90" i="5"/>
  <c r="C90" i="5"/>
  <c r="R90" i="5"/>
  <c r="N90" i="5"/>
  <c r="Z90" i="5"/>
  <c r="J90" i="5"/>
  <c r="V90" i="5"/>
  <c r="F90" i="5"/>
  <c r="Z123" i="5"/>
  <c r="V123" i="5"/>
  <c r="R123" i="5"/>
  <c r="N123" i="5"/>
  <c r="J123" i="5"/>
  <c r="F123" i="5"/>
  <c r="Y123" i="5"/>
  <c r="U123" i="5"/>
  <c r="Q123" i="5"/>
  <c r="M123" i="5"/>
  <c r="I123" i="5"/>
  <c r="E123" i="5"/>
  <c r="X123" i="5"/>
  <c r="T123" i="5"/>
  <c r="P123" i="5"/>
  <c r="L123" i="5"/>
  <c r="H123" i="5"/>
  <c r="D123" i="5"/>
  <c r="W123" i="5"/>
  <c r="G123" i="5"/>
  <c r="S123" i="5"/>
  <c r="C123" i="5"/>
  <c r="O123" i="5"/>
  <c r="K123" i="5"/>
  <c r="H97" i="4"/>
  <c r="V70" i="8"/>
  <c r="R70" i="8"/>
  <c r="N70" i="8"/>
  <c r="J70" i="8"/>
  <c r="F70" i="8"/>
  <c r="T70" i="8"/>
  <c r="P70" i="8"/>
  <c r="L70" i="8"/>
  <c r="H70" i="8"/>
  <c r="U70" i="8"/>
  <c r="M70" i="8"/>
  <c r="E70" i="8"/>
  <c r="S70" i="8"/>
  <c r="K70" i="8"/>
  <c r="C70" i="8"/>
  <c r="Q70" i="8"/>
  <c r="I70" i="8"/>
  <c r="O70" i="8"/>
  <c r="G70" i="8"/>
  <c r="C23" i="12"/>
  <c r="C66" i="8"/>
  <c r="N51" i="12"/>
  <c r="N34" i="8"/>
  <c r="N33" i="8"/>
  <c r="N32" i="8"/>
  <c r="N31" i="8"/>
  <c r="G51" i="12"/>
  <c r="G33" i="8"/>
  <c r="G31" i="8"/>
  <c r="G34" i="8"/>
  <c r="G32" i="8"/>
  <c r="D34" i="8"/>
  <c r="D33" i="8"/>
  <c r="D32" i="8"/>
  <c r="D31" i="8"/>
  <c r="D51" i="12"/>
  <c r="T51" i="12"/>
  <c r="T34" i="8"/>
  <c r="T33" i="8"/>
  <c r="T32" i="8"/>
  <c r="T31" i="8"/>
  <c r="Q51" i="12"/>
  <c r="Q33" i="8"/>
  <c r="Q31" i="8"/>
  <c r="Q34" i="8"/>
  <c r="Q32" i="8"/>
  <c r="F146" i="11"/>
  <c r="G176" i="1"/>
  <c r="F214" i="1"/>
  <c r="G196" i="1"/>
  <c r="G166" i="11" s="1"/>
  <c r="G73" i="11"/>
  <c r="C54" i="11"/>
  <c r="C56" i="1"/>
  <c r="C55" i="1"/>
  <c r="C55" i="11" s="1"/>
  <c r="F211" i="1"/>
  <c r="D48" i="11"/>
  <c r="D171" i="1"/>
  <c r="D141" i="11" s="1"/>
  <c r="D49" i="1"/>
  <c r="E48" i="1"/>
  <c r="E80" i="10"/>
  <c r="F81" i="6"/>
  <c r="F57" i="10"/>
  <c r="G57" i="6"/>
  <c r="C53" i="10"/>
  <c r="C94" i="6"/>
  <c r="D93" i="8"/>
  <c r="D100" i="8" s="1"/>
  <c r="Q93" i="8"/>
  <c r="N93" i="8"/>
  <c r="G93" i="8"/>
  <c r="G100" i="8" s="1"/>
  <c r="B199" i="11"/>
  <c r="B106" i="11"/>
  <c r="Z78" i="5"/>
  <c r="V78" i="5"/>
  <c r="R78" i="5"/>
  <c r="N78" i="5"/>
  <c r="J78" i="5"/>
  <c r="F78" i="5"/>
  <c r="Y78" i="5"/>
  <c r="U78" i="5"/>
  <c r="Q78" i="5"/>
  <c r="M78" i="5"/>
  <c r="I78" i="5"/>
  <c r="E78" i="5"/>
  <c r="X78" i="5"/>
  <c r="T78" i="5"/>
  <c r="P78" i="5"/>
  <c r="L78" i="5"/>
  <c r="H78" i="5"/>
  <c r="D78" i="5"/>
  <c r="W78" i="5"/>
  <c r="G78" i="5"/>
  <c r="S78" i="5"/>
  <c r="C78" i="5"/>
  <c r="O78" i="5"/>
  <c r="K78" i="5"/>
  <c r="D59" i="4"/>
  <c r="Y116" i="5"/>
  <c r="U116" i="5"/>
  <c r="Q116" i="5"/>
  <c r="M116" i="5"/>
  <c r="I116" i="5"/>
  <c r="E116" i="5"/>
  <c r="X116" i="5"/>
  <c r="T116" i="5"/>
  <c r="P116" i="5"/>
  <c r="L116" i="5"/>
  <c r="H116" i="5"/>
  <c r="D116" i="5"/>
  <c r="W116" i="5"/>
  <c r="S116" i="5"/>
  <c r="O116" i="5"/>
  <c r="K116" i="5"/>
  <c r="G116" i="5"/>
  <c r="C116" i="5"/>
  <c r="N116" i="5"/>
  <c r="Z116" i="5"/>
  <c r="J116" i="5"/>
  <c r="V116" i="5"/>
  <c r="F116" i="5"/>
  <c r="R116" i="5"/>
  <c r="Z122" i="14"/>
  <c r="V122" i="14"/>
  <c r="R122" i="14"/>
  <c r="N122" i="14"/>
  <c r="J122" i="14"/>
  <c r="F122" i="14"/>
  <c r="Y122" i="14"/>
  <c r="U122" i="14"/>
  <c r="Q122" i="14"/>
  <c r="M122" i="14"/>
  <c r="I122" i="14"/>
  <c r="E122" i="14"/>
  <c r="X122" i="14"/>
  <c r="T122" i="14"/>
  <c r="P122" i="14"/>
  <c r="H122" i="14"/>
  <c r="D122" i="14"/>
  <c r="O122" i="14"/>
  <c r="K122" i="14"/>
  <c r="W122" i="14"/>
  <c r="G122" i="14"/>
  <c r="S122" i="14"/>
  <c r="C122" i="14"/>
  <c r="B181" i="11"/>
  <c r="C88" i="11"/>
  <c r="F88" i="11"/>
  <c r="E88" i="11"/>
  <c r="D88" i="11"/>
  <c r="B195" i="11"/>
  <c r="S102" i="11"/>
  <c r="O102" i="11"/>
  <c r="K102" i="11"/>
  <c r="G102" i="11"/>
  <c r="C102" i="11"/>
  <c r="V102" i="11"/>
  <c r="R102" i="11"/>
  <c r="N102" i="11"/>
  <c r="J102" i="11"/>
  <c r="F102" i="11"/>
  <c r="U102" i="11"/>
  <c r="Q102" i="11"/>
  <c r="M102" i="11"/>
  <c r="I102" i="11"/>
  <c r="E102" i="11"/>
  <c r="T102" i="11"/>
  <c r="P102" i="11"/>
  <c r="L102" i="11"/>
  <c r="H102" i="11"/>
  <c r="D102" i="11"/>
  <c r="V188" i="11"/>
  <c r="R188" i="11"/>
  <c r="N188" i="11"/>
  <c r="J188" i="11"/>
  <c r="F188" i="11"/>
  <c r="U188" i="11"/>
  <c r="Q188" i="11"/>
  <c r="M188" i="11"/>
  <c r="I188" i="11"/>
  <c r="E188" i="11"/>
  <c r="T188" i="11"/>
  <c r="P188" i="11"/>
  <c r="L188" i="11"/>
  <c r="H188" i="11"/>
  <c r="D188" i="11"/>
  <c r="S188" i="11"/>
  <c r="O188" i="11"/>
  <c r="K188" i="11"/>
  <c r="G188" i="11"/>
  <c r="C188" i="11"/>
  <c r="B184" i="11"/>
  <c r="U91" i="11"/>
  <c r="Q91" i="11"/>
  <c r="M91" i="11"/>
  <c r="I91" i="11"/>
  <c r="E91" i="11"/>
  <c r="T91" i="11"/>
  <c r="P91" i="11"/>
  <c r="L91" i="11"/>
  <c r="H91" i="11"/>
  <c r="D91" i="11"/>
  <c r="S91" i="11"/>
  <c r="O91" i="11"/>
  <c r="K91" i="11"/>
  <c r="G91" i="11"/>
  <c r="C91" i="11"/>
  <c r="V91" i="11"/>
  <c r="R91" i="11"/>
  <c r="N91" i="11"/>
  <c r="J91" i="11"/>
  <c r="F91" i="11"/>
  <c r="S33" i="6"/>
  <c r="O33" i="6"/>
  <c r="K33" i="6"/>
  <c r="G33" i="6"/>
  <c r="C33" i="6"/>
  <c r="V33" i="6"/>
  <c r="R33" i="6"/>
  <c r="N33" i="6"/>
  <c r="J33" i="6"/>
  <c r="F33" i="6"/>
  <c r="U33" i="6"/>
  <c r="Q33" i="6"/>
  <c r="M33" i="6"/>
  <c r="I33" i="6"/>
  <c r="E33" i="6"/>
  <c r="T33" i="6"/>
  <c r="P33" i="6"/>
  <c r="L33" i="6"/>
  <c r="H33" i="6"/>
  <c r="D33" i="6"/>
  <c r="U106" i="1"/>
  <c r="Q106" i="1"/>
  <c r="M106" i="1"/>
  <c r="I106" i="1"/>
  <c r="E106" i="1"/>
  <c r="T106" i="1"/>
  <c r="P106" i="1"/>
  <c r="L106" i="1"/>
  <c r="H106" i="1"/>
  <c r="D106" i="1"/>
  <c r="S106" i="1"/>
  <c r="O106" i="1"/>
  <c r="K106" i="1"/>
  <c r="G106" i="1"/>
  <c r="C106" i="1"/>
  <c r="V106" i="1"/>
  <c r="R106" i="1"/>
  <c r="N106" i="1"/>
  <c r="J106" i="1"/>
  <c r="F106" i="1"/>
  <c r="Y128" i="14"/>
  <c r="U128" i="14"/>
  <c r="Q128" i="14"/>
  <c r="M128" i="14"/>
  <c r="I128" i="14"/>
  <c r="E128" i="14"/>
  <c r="X128" i="14"/>
  <c r="T128" i="14"/>
  <c r="P128" i="14"/>
  <c r="H128" i="14"/>
  <c r="D128" i="14"/>
  <c r="W128" i="14"/>
  <c r="S128" i="14"/>
  <c r="O128" i="14"/>
  <c r="K128" i="14"/>
  <c r="G128" i="14"/>
  <c r="C128" i="14"/>
  <c r="R128" i="14"/>
  <c r="N128" i="14"/>
  <c r="Z128" i="14"/>
  <c r="J128" i="14"/>
  <c r="V128" i="14"/>
  <c r="F128" i="14"/>
  <c r="U66" i="12"/>
  <c r="Q66" i="12"/>
  <c r="M66" i="12"/>
  <c r="I66" i="12"/>
  <c r="E66" i="12"/>
  <c r="T66" i="12"/>
  <c r="P66" i="12"/>
  <c r="L66" i="12"/>
  <c r="H66" i="12"/>
  <c r="D66" i="12"/>
  <c r="S66" i="12"/>
  <c r="O66" i="12"/>
  <c r="K66" i="12"/>
  <c r="G66" i="12"/>
  <c r="C66" i="12"/>
  <c r="J66" i="12"/>
  <c r="V66" i="12"/>
  <c r="F66" i="12"/>
  <c r="R66" i="12"/>
  <c r="N66" i="12"/>
  <c r="S84" i="11"/>
  <c r="O84" i="11"/>
  <c r="K84" i="11"/>
  <c r="G84" i="11"/>
  <c r="V84" i="11"/>
  <c r="R84" i="11"/>
  <c r="N84" i="11"/>
  <c r="J84" i="11"/>
  <c r="F84" i="11"/>
  <c r="U84" i="11"/>
  <c r="Q84" i="11"/>
  <c r="M84" i="11"/>
  <c r="I84" i="11"/>
  <c r="T84" i="11"/>
  <c r="P84" i="11"/>
  <c r="L84" i="11"/>
  <c r="H84" i="11"/>
  <c r="C24" i="1"/>
  <c r="E24" i="1"/>
  <c r="D24" i="1"/>
  <c r="S57" i="12"/>
  <c r="O57" i="12"/>
  <c r="K57" i="12"/>
  <c r="G57" i="12"/>
  <c r="C57" i="12"/>
  <c r="V57" i="12"/>
  <c r="R57" i="12"/>
  <c r="N57" i="12"/>
  <c r="J57" i="12"/>
  <c r="F57" i="12"/>
  <c r="U57" i="12"/>
  <c r="Q57" i="12"/>
  <c r="M57" i="12"/>
  <c r="I57" i="12"/>
  <c r="E57" i="12"/>
  <c r="T57" i="12"/>
  <c r="D57" i="12"/>
  <c r="L57" i="12"/>
  <c r="P57" i="12"/>
  <c r="H57" i="12"/>
  <c r="E75" i="10"/>
  <c r="F75" i="6"/>
  <c r="F66" i="10"/>
  <c r="G66" i="6"/>
  <c r="O27" i="6"/>
  <c r="G25" i="6"/>
  <c r="T80" i="12"/>
  <c r="P80" i="12"/>
  <c r="L80" i="12"/>
  <c r="H80" i="12"/>
  <c r="S80" i="12"/>
  <c r="O80" i="12"/>
  <c r="K80" i="12"/>
  <c r="G80" i="12"/>
  <c r="V80" i="12"/>
  <c r="R80" i="12"/>
  <c r="N80" i="12"/>
  <c r="J80" i="12"/>
  <c r="F80" i="12"/>
  <c r="Q80" i="12"/>
  <c r="M80" i="12"/>
  <c r="I80" i="12"/>
  <c r="U80" i="12"/>
  <c r="E80" i="12"/>
  <c r="V88" i="8"/>
  <c r="Z124" i="14"/>
  <c r="V124" i="14"/>
  <c r="R124" i="14"/>
  <c r="N124" i="14"/>
  <c r="J124" i="14"/>
  <c r="F124" i="14"/>
  <c r="Y124" i="14"/>
  <c r="U124" i="14"/>
  <c r="Q124" i="14"/>
  <c r="M124" i="14"/>
  <c r="I124" i="14"/>
  <c r="E124" i="14"/>
  <c r="X124" i="14"/>
  <c r="T124" i="14"/>
  <c r="P124" i="14"/>
  <c r="L124" i="14"/>
  <c r="H124" i="14"/>
  <c r="D124" i="14"/>
  <c r="W124" i="14"/>
  <c r="G124" i="14"/>
  <c r="S124" i="14"/>
  <c r="C124" i="14"/>
  <c r="O124" i="14"/>
  <c r="K124" i="14"/>
  <c r="B107" i="10"/>
  <c r="C105" i="10"/>
  <c r="X111" i="14"/>
  <c r="T111" i="14"/>
  <c r="P111" i="14"/>
  <c r="L111" i="14"/>
  <c r="H111" i="14"/>
  <c r="W111" i="14"/>
  <c r="S111" i="14"/>
  <c r="O111" i="14"/>
  <c r="K111" i="14"/>
  <c r="G111" i="14"/>
  <c r="C111" i="14"/>
  <c r="Z111" i="14"/>
  <c r="V111" i="14"/>
  <c r="R111" i="14"/>
  <c r="N111" i="14"/>
  <c r="J111" i="14"/>
  <c r="F111" i="14"/>
  <c r="Q111" i="14"/>
  <c r="M111" i="14"/>
  <c r="Y111" i="14"/>
  <c r="I111" i="14"/>
  <c r="U111" i="14"/>
  <c r="E111" i="14"/>
  <c r="W98" i="14"/>
  <c r="S98" i="14"/>
  <c r="O98" i="14"/>
  <c r="K98" i="14"/>
  <c r="G98" i="14"/>
  <c r="C98" i="14"/>
  <c r="Z98" i="14"/>
  <c r="V98" i="14"/>
  <c r="R98" i="14"/>
  <c r="N98" i="14"/>
  <c r="J98" i="14"/>
  <c r="F98" i="14"/>
  <c r="Y98" i="14"/>
  <c r="U98" i="14"/>
  <c r="Q98" i="14"/>
  <c r="M98" i="14"/>
  <c r="I98" i="14"/>
  <c r="E98" i="14"/>
  <c r="X98" i="14"/>
  <c r="H98" i="14"/>
  <c r="T98" i="14"/>
  <c r="D98" i="14"/>
  <c r="P98" i="14"/>
  <c r="L98" i="14"/>
  <c r="B87" i="14"/>
  <c r="Z66" i="13"/>
  <c r="V66" i="13"/>
  <c r="R66" i="13"/>
  <c r="N66" i="13"/>
  <c r="J66" i="13"/>
  <c r="F66" i="13"/>
  <c r="Y66" i="13"/>
  <c r="U66" i="13"/>
  <c r="Q66" i="13"/>
  <c r="M66" i="13"/>
  <c r="I66" i="13"/>
  <c r="E66" i="13"/>
  <c r="X66" i="13"/>
  <c r="T66" i="13"/>
  <c r="P66" i="13"/>
  <c r="L66" i="13"/>
  <c r="H66" i="13"/>
  <c r="D66" i="13"/>
  <c r="W66" i="13"/>
  <c r="G66" i="13"/>
  <c r="S66" i="13"/>
  <c r="C66" i="13"/>
  <c r="O66" i="13"/>
  <c r="K66" i="13"/>
  <c r="B97" i="10"/>
  <c r="T96" i="10"/>
  <c r="P96" i="10"/>
  <c r="L96" i="10"/>
  <c r="H96" i="10"/>
  <c r="D96" i="10"/>
  <c r="S96" i="10"/>
  <c r="O96" i="10"/>
  <c r="K96" i="10"/>
  <c r="G96" i="10"/>
  <c r="C96" i="10"/>
  <c r="V96" i="10"/>
  <c r="R96" i="10"/>
  <c r="N96" i="10"/>
  <c r="J96" i="10"/>
  <c r="F96" i="10"/>
  <c r="U96" i="10"/>
  <c r="Q96" i="10"/>
  <c r="M96" i="10"/>
  <c r="I96" i="10"/>
  <c r="E96" i="10"/>
  <c r="X107" i="14"/>
  <c r="T107" i="14"/>
  <c r="P107" i="14"/>
  <c r="L107" i="14"/>
  <c r="H107" i="14"/>
  <c r="D107" i="14"/>
  <c r="W107" i="14"/>
  <c r="S107" i="14"/>
  <c r="O107" i="14"/>
  <c r="K107" i="14"/>
  <c r="G107" i="14"/>
  <c r="C107" i="14"/>
  <c r="Z107" i="14"/>
  <c r="V107" i="14"/>
  <c r="R107" i="14"/>
  <c r="N107" i="14"/>
  <c r="J107" i="14"/>
  <c r="F107" i="14"/>
  <c r="Q107" i="14"/>
  <c r="M107" i="14"/>
  <c r="Y107" i="14"/>
  <c r="I107" i="14"/>
  <c r="U107" i="14"/>
  <c r="E107" i="14"/>
  <c r="Z110" i="14"/>
  <c r="V110" i="14"/>
  <c r="R110" i="14"/>
  <c r="N110" i="14"/>
  <c r="J110" i="14"/>
  <c r="F110" i="14"/>
  <c r="Y110" i="14"/>
  <c r="U110" i="14"/>
  <c r="Q110" i="14"/>
  <c r="M110" i="14"/>
  <c r="I110" i="14"/>
  <c r="E110" i="14"/>
  <c r="X110" i="14"/>
  <c r="T110" i="14"/>
  <c r="P110" i="14"/>
  <c r="L110" i="14"/>
  <c r="H110" i="14"/>
  <c r="D110" i="14"/>
  <c r="K110" i="14"/>
  <c r="W110" i="14"/>
  <c r="G110" i="14"/>
  <c r="S110" i="14"/>
  <c r="C110" i="14"/>
  <c r="O110" i="14"/>
  <c r="W116" i="14"/>
  <c r="S116" i="14"/>
  <c r="O116" i="14"/>
  <c r="K116" i="14"/>
  <c r="G116" i="14"/>
  <c r="C116" i="14"/>
  <c r="Z116" i="14"/>
  <c r="V116" i="14"/>
  <c r="R116" i="14"/>
  <c r="N116" i="14"/>
  <c r="J116" i="14"/>
  <c r="F116" i="14"/>
  <c r="Y116" i="14"/>
  <c r="U116" i="14"/>
  <c r="Q116" i="14"/>
  <c r="M116" i="14"/>
  <c r="I116" i="14"/>
  <c r="E116" i="14"/>
  <c r="T116" i="14"/>
  <c r="D116" i="14"/>
  <c r="P116" i="14"/>
  <c r="L116" i="14"/>
  <c r="H116" i="14"/>
  <c r="X116" i="14"/>
  <c r="G94" i="10"/>
  <c r="C94" i="10"/>
  <c r="F94" i="10"/>
  <c r="E94" i="10"/>
  <c r="E116" i="6"/>
  <c r="D116" i="6"/>
  <c r="C116" i="6"/>
  <c r="F116" i="6"/>
  <c r="D79" i="10"/>
  <c r="D120" i="10" s="1"/>
  <c r="D64" i="6"/>
  <c r="D63" i="6"/>
  <c r="D63" i="10" s="1"/>
  <c r="D62" i="6"/>
  <c r="D61" i="6"/>
  <c r="D61" i="10" s="1"/>
  <c r="D76" i="6"/>
  <c r="B204" i="11"/>
  <c r="U111" i="11"/>
  <c r="Q111" i="11"/>
  <c r="M111" i="11"/>
  <c r="I111" i="11"/>
  <c r="E111" i="11"/>
  <c r="T111" i="11"/>
  <c r="P111" i="11"/>
  <c r="L111" i="11"/>
  <c r="H111" i="11"/>
  <c r="D111" i="11"/>
  <c r="O111" i="11"/>
  <c r="K111" i="11"/>
  <c r="G111" i="11"/>
  <c r="C111" i="11"/>
  <c r="V111" i="11"/>
  <c r="R111" i="11"/>
  <c r="N111" i="11"/>
  <c r="J111" i="11"/>
  <c r="F111" i="11"/>
  <c r="B122" i="10"/>
  <c r="D121" i="10"/>
  <c r="C121" i="10"/>
  <c r="E121" i="10"/>
  <c r="E31" i="11"/>
  <c r="E34" i="11" s="1"/>
  <c r="D31" i="11"/>
  <c r="D34" i="11" s="1"/>
  <c r="C31" i="11"/>
  <c r="C34" i="11" s="1"/>
  <c r="Y78" i="14"/>
  <c r="U78" i="14"/>
  <c r="Q78" i="14"/>
  <c r="M78" i="14"/>
  <c r="I78" i="14"/>
  <c r="E78" i="14"/>
  <c r="X78" i="14"/>
  <c r="T78" i="14"/>
  <c r="P78" i="14"/>
  <c r="L78" i="14"/>
  <c r="H78" i="14"/>
  <c r="D78" i="14"/>
  <c r="W78" i="14"/>
  <c r="S78" i="14"/>
  <c r="O78" i="14"/>
  <c r="K78" i="14"/>
  <c r="G78" i="14"/>
  <c r="C78" i="14"/>
  <c r="N78" i="14"/>
  <c r="Z78" i="14"/>
  <c r="J78" i="14"/>
  <c r="V78" i="14"/>
  <c r="F78" i="14"/>
  <c r="R78" i="14"/>
  <c r="D115" i="10"/>
  <c r="C115" i="10"/>
  <c r="E28" i="11"/>
  <c r="D28" i="11"/>
  <c r="C28" i="11"/>
  <c r="E23" i="1"/>
  <c r="E32" i="1" s="1"/>
  <c r="D23" i="1"/>
  <c r="C23" i="1"/>
  <c r="S67" i="12"/>
  <c r="O67" i="12"/>
  <c r="K67" i="12"/>
  <c r="G67" i="12"/>
  <c r="C67" i="12"/>
  <c r="V67" i="12"/>
  <c r="R67" i="12"/>
  <c r="N67" i="12"/>
  <c r="J67" i="12"/>
  <c r="F67" i="12"/>
  <c r="U67" i="12"/>
  <c r="Q67" i="12"/>
  <c r="M67" i="12"/>
  <c r="I67" i="12"/>
  <c r="E67" i="12"/>
  <c r="P67" i="12"/>
  <c r="L67" i="12"/>
  <c r="H67" i="12"/>
  <c r="T67" i="12"/>
  <c r="D67" i="12"/>
  <c r="U27" i="6"/>
  <c r="G70" i="10"/>
  <c r="G111" i="10" s="1"/>
  <c r="G49" i="6"/>
  <c r="H70" i="6"/>
  <c r="H62" i="17"/>
  <c r="H61" i="17"/>
  <c r="W53" i="17"/>
  <c r="W55" i="17"/>
  <c r="W52" i="17"/>
  <c r="W54" i="17"/>
  <c r="W16" i="17"/>
  <c r="W15" i="17"/>
  <c r="W14" i="17"/>
  <c r="W17" i="17"/>
  <c r="O53" i="17"/>
  <c r="O55" i="17"/>
  <c r="O52" i="17"/>
  <c r="O54" i="17"/>
  <c r="O16" i="17"/>
  <c r="O15" i="17"/>
  <c r="O14" i="17"/>
  <c r="O17" i="17"/>
  <c r="G5" i="7"/>
  <c r="B32" i="15" s="1"/>
  <c r="G3" i="7"/>
  <c r="B30" i="15" s="1"/>
  <c r="G6" i="7"/>
  <c r="B33" i="15" s="1"/>
  <c r="G4" i="7"/>
  <c r="B31" i="15" s="1"/>
  <c r="G2" i="7"/>
  <c r="AC55" i="17"/>
  <c r="AC53" i="17"/>
  <c r="AC52" i="17"/>
  <c r="AC54" i="17"/>
  <c r="AC14" i="17"/>
  <c r="AC17" i="17"/>
  <c r="AC16" i="17"/>
  <c r="AC15" i="17"/>
  <c r="U55" i="17"/>
  <c r="U53" i="17"/>
  <c r="U52" i="17"/>
  <c r="U14" i="17"/>
  <c r="U54" i="17"/>
  <c r="U17" i="17"/>
  <c r="U16" i="17"/>
  <c r="U15" i="17"/>
  <c r="M55" i="17"/>
  <c r="M53" i="17"/>
  <c r="M52" i="17"/>
  <c r="M14" i="17"/>
  <c r="M17" i="17"/>
  <c r="M54" i="17"/>
  <c r="M16" i="17"/>
  <c r="M15" i="17"/>
  <c r="Z54" i="17"/>
  <c r="Z52" i="17"/>
  <c r="Z53" i="17"/>
  <c r="Z55" i="17"/>
  <c r="Z17" i="17"/>
  <c r="Z16" i="17"/>
  <c r="Z15" i="17"/>
  <c r="Z14" i="17"/>
  <c r="P30" i="14"/>
  <c r="U30" i="5"/>
  <c r="L65" i="14"/>
  <c r="L67" i="5"/>
  <c r="E26" i="13"/>
  <c r="E74" i="4"/>
  <c r="L46" i="13"/>
  <c r="L48" i="4"/>
  <c r="E77" i="4"/>
  <c r="E29" i="13"/>
  <c r="E77" i="13" s="1"/>
  <c r="V75" i="4"/>
  <c r="R75" i="4"/>
  <c r="N75" i="4"/>
  <c r="J75" i="4"/>
  <c r="F75" i="4"/>
  <c r="U75" i="4"/>
  <c r="Q75" i="4"/>
  <c r="M75" i="4"/>
  <c r="I75" i="4"/>
  <c r="E75" i="4"/>
  <c r="B96" i="5"/>
  <c r="T75" i="4"/>
  <c r="P75" i="4"/>
  <c r="L75" i="4"/>
  <c r="H75" i="4"/>
  <c r="D75" i="4"/>
  <c r="G75" i="4"/>
  <c r="S75" i="4"/>
  <c r="C75" i="4"/>
  <c r="O75" i="4"/>
  <c r="K75" i="4"/>
  <c r="W87" i="5"/>
  <c r="S87" i="5"/>
  <c r="O87" i="5"/>
  <c r="K87" i="5"/>
  <c r="G87" i="5"/>
  <c r="C87" i="5"/>
  <c r="Z87" i="5"/>
  <c r="V87" i="5"/>
  <c r="R87" i="5"/>
  <c r="N87" i="5"/>
  <c r="J87" i="5"/>
  <c r="F87" i="5"/>
  <c r="Y87" i="5"/>
  <c r="U87" i="5"/>
  <c r="Q87" i="5"/>
  <c r="M87" i="5"/>
  <c r="I87" i="5"/>
  <c r="E87" i="5"/>
  <c r="L87" i="5"/>
  <c r="X87" i="5"/>
  <c r="H87" i="5"/>
  <c r="T87" i="5"/>
  <c r="D87" i="5"/>
  <c r="P87" i="5"/>
  <c r="X135" i="5"/>
  <c r="T135" i="5"/>
  <c r="P135" i="5"/>
  <c r="L135" i="5"/>
  <c r="H135" i="5"/>
  <c r="D135" i="5"/>
  <c r="W135" i="5"/>
  <c r="S135" i="5"/>
  <c r="O135" i="5"/>
  <c r="K135" i="5"/>
  <c r="G135" i="5"/>
  <c r="C135" i="5"/>
  <c r="V135" i="5"/>
  <c r="R135" i="5"/>
  <c r="N135" i="5"/>
  <c r="J135" i="5"/>
  <c r="F135" i="5"/>
  <c r="U135" i="5"/>
  <c r="E135" i="5"/>
  <c r="Q135" i="5"/>
  <c r="M135" i="5"/>
  <c r="Y135" i="5"/>
  <c r="I135" i="5"/>
  <c r="S30" i="13"/>
  <c r="S78" i="13" s="1"/>
  <c r="S78" i="4"/>
  <c r="X30" i="4"/>
  <c r="R51" i="12"/>
  <c r="R34" i="8"/>
  <c r="R33" i="8"/>
  <c r="R32" i="8"/>
  <c r="R31" i="8"/>
  <c r="K51" i="12"/>
  <c r="K34" i="8"/>
  <c r="K32" i="8"/>
  <c r="K33" i="8"/>
  <c r="K31" i="8"/>
  <c r="H51" i="12"/>
  <c r="H34" i="8"/>
  <c r="H33" i="8"/>
  <c r="H32" i="8"/>
  <c r="H31" i="8"/>
  <c r="E51" i="12"/>
  <c r="E34" i="8"/>
  <c r="E32" i="8"/>
  <c r="E33" i="8"/>
  <c r="E31" i="8"/>
  <c r="U51" i="12"/>
  <c r="U34" i="8"/>
  <c r="U32" i="8"/>
  <c r="U33" i="8"/>
  <c r="U31" i="8"/>
  <c r="S76" i="11"/>
  <c r="S111" i="11" s="1"/>
  <c r="S199" i="1"/>
  <c r="G72" i="11"/>
  <c r="G195" i="1"/>
  <c r="G165" i="11" s="1"/>
  <c r="I74" i="1"/>
  <c r="H73" i="1"/>
  <c r="H72" i="1"/>
  <c r="D51" i="11"/>
  <c r="D174" i="1"/>
  <c r="D89" i="1"/>
  <c r="C46" i="11"/>
  <c r="C84" i="11" s="1"/>
  <c r="C84" i="1"/>
  <c r="E25" i="1"/>
  <c r="E213" i="1"/>
  <c r="S198" i="1"/>
  <c r="S168" i="11" s="1"/>
  <c r="S75" i="11"/>
  <c r="S110" i="11" s="1"/>
  <c r="T75" i="1"/>
  <c r="D71" i="6"/>
  <c r="D69" i="10"/>
  <c r="D110" i="10" s="1"/>
  <c r="E69" i="6"/>
  <c r="D49" i="6"/>
  <c r="E56" i="10"/>
  <c r="F56" i="6"/>
  <c r="G52" i="10"/>
  <c r="H52" i="6"/>
  <c r="K26" i="6"/>
  <c r="K24" i="6"/>
  <c r="T93" i="8"/>
  <c r="E93" i="8"/>
  <c r="E100" i="8" s="1"/>
  <c r="U93" i="8"/>
  <c r="R93" i="8"/>
  <c r="K93" i="8"/>
  <c r="S222" i="1"/>
  <c r="O222" i="1"/>
  <c r="K222" i="1"/>
  <c r="G222" i="1"/>
  <c r="C222" i="1"/>
  <c r="V222" i="1"/>
  <c r="R222" i="1"/>
  <c r="N222" i="1"/>
  <c r="J222" i="1"/>
  <c r="F222" i="1"/>
  <c r="U222" i="1"/>
  <c r="Q222" i="1"/>
  <c r="M222" i="1"/>
  <c r="I222" i="1"/>
  <c r="E222" i="1"/>
  <c r="T222" i="1"/>
  <c r="P222" i="1"/>
  <c r="L222" i="1"/>
  <c r="H222" i="1"/>
  <c r="D222" i="1"/>
  <c r="Y129" i="5"/>
  <c r="U129" i="5"/>
  <c r="Q129" i="5"/>
  <c r="M129" i="5"/>
  <c r="I129" i="5"/>
  <c r="E129" i="5"/>
  <c r="X129" i="5"/>
  <c r="T129" i="5"/>
  <c r="P129" i="5"/>
  <c r="L129" i="5"/>
  <c r="H129" i="5"/>
  <c r="D129" i="5"/>
  <c r="W129" i="5"/>
  <c r="S129" i="5"/>
  <c r="O129" i="5"/>
  <c r="K129" i="5"/>
  <c r="G129" i="5"/>
  <c r="C129" i="5"/>
  <c r="Z129" i="5"/>
  <c r="J129" i="5"/>
  <c r="V129" i="5"/>
  <c r="F129" i="5"/>
  <c r="R129" i="5"/>
  <c r="N129" i="5"/>
  <c r="Z80" i="5"/>
  <c r="V80" i="5"/>
  <c r="R80" i="5"/>
  <c r="N80" i="5"/>
  <c r="J80" i="5"/>
  <c r="F80" i="5"/>
  <c r="Y80" i="5"/>
  <c r="U80" i="5"/>
  <c r="Q80" i="5"/>
  <c r="M80" i="5"/>
  <c r="I80" i="5"/>
  <c r="E80" i="5"/>
  <c r="X80" i="5"/>
  <c r="T80" i="5"/>
  <c r="P80" i="5"/>
  <c r="L80" i="5"/>
  <c r="H80" i="5"/>
  <c r="D80" i="5"/>
  <c r="O80" i="5"/>
  <c r="K80" i="5"/>
  <c r="W80" i="5"/>
  <c r="G80" i="5"/>
  <c r="S80" i="5"/>
  <c r="C80" i="5"/>
  <c r="X77" i="5"/>
  <c r="T77" i="5"/>
  <c r="P77" i="5"/>
  <c r="L77" i="5"/>
  <c r="H77" i="5"/>
  <c r="D77" i="5"/>
  <c r="W77" i="5"/>
  <c r="S77" i="5"/>
  <c r="O77" i="5"/>
  <c r="K77" i="5"/>
  <c r="G77" i="5"/>
  <c r="C77" i="5"/>
  <c r="Z77" i="5"/>
  <c r="V77" i="5"/>
  <c r="R77" i="5"/>
  <c r="N77" i="5"/>
  <c r="J77" i="5"/>
  <c r="F77" i="5"/>
  <c r="U77" i="5"/>
  <c r="E77" i="5"/>
  <c r="Q77" i="5"/>
  <c r="M77" i="5"/>
  <c r="Y77" i="5"/>
  <c r="I77" i="5"/>
  <c r="E28" i="1"/>
  <c r="D28" i="1"/>
  <c r="C28" i="1"/>
  <c r="C32" i="1" s="1"/>
  <c r="B95" i="14"/>
  <c r="Y74" i="13"/>
  <c r="U74" i="13"/>
  <c r="Q74" i="13"/>
  <c r="M74" i="13"/>
  <c r="I74" i="13"/>
  <c r="E74" i="13"/>
  <c r="X74" i="13"/>
  <c r="T74" i="13"/>
  <c r="P74" i="13"/>
  <c r="L74" i="13"/>
  <c r="H74" i="13"/>
  <c r="D74" i="13"/>
  <c r="W74" i="13"/>
  <c r="S74" i="13"/>
  <c r="O74" i="13"/>
  <c r="K74" i="13"/>
  <c r="G74" i="13"/>
  <c r="C74" i="13"/>
  <c r="Z74" i="13"/>
  <c r="J74" i="13"/>
  <c r="V74" i="13"/>
  <c r="F74" i="13"/>
  <c r="R74" i="13"/>
  <c r="N74" i="13"/>
  <c r="B24" i="11"/>
  <c r="B93" i="11"/>
  <c r="D22" i="11"/>
  <c r="C22" i="11"/>
  <c r="T82" i="12"/>
  <c r="P82" i="12"/>
  <c r="L82" i="12"/>
  <c r="H82" i="12"/>
  <c r="S82" i="12"/>
  <c r="O82" i="12"/>
  <c r="K82" i="12"/>
  <c r="G82" i="12"/>
  <c r="V82" i="12"/>
  <c r="R82" i="12"/>
  <c r="N82" i="12"/>
  <c r="J82" i="12"/>
  <c r="F82" i="12"/>
  <c r="Q82" i="12"/>
  <c r="M82" i="12"/>
  <c r="I82" i="12"/>
  <c r="U82" i="12"/>
  <c r="B209" i="1"/>
  <c r="T86" i="1"/>
  <c r="P86" i="1"/>
  <c r="L86" i="1"/>
  <c r="H86" i="1"/>
  <c r="D86" i="1"/>
  <c r="S86" i="1"/>
  <c r="O86" i="1"/>
  <c r="K86" i="1"/>
  <c r="G86" i="1"/>
  <c r="C86" i="1"/>
  <c r="V86" i="1"/>
  <c r="R86" i="1"/>
  <c r="N86" i="1"/>
  <c r="J86" i="1"/>
  <c r="F86" i="1"/>
  <c r="U86" i="1"/>
  <c r="Q86" i="1"/>
  <c r="M86" i="1"/>
  <c r="I86" i="1"/>
  <c r="E86" i="1"/>
  <c r="S71" i="12"/>
  <c r="O71" i="12"/>
  <c r="K71" i="12"/>
  <c r="G71" i="12"/>
  <c r="C71" i="12"/>
  <c r="V71" i="12"/>
  <c r="R71" i="12"/>
  <c r="N71" i="12"/>
  <c r="J71" i="12"/>
  <c r="F71" i="12"/>
  <c r="U71" i="12"/>
  <c r="Q71" i="12"/>
  <c r="M71" i="12"/>
  <c r="I71" i="12"/>
  <c r="E71" i="12"/>
  <c r="H71" i="12"/>
  <c r="T71" i="12"/>
  <c r="D71" i="12"/>
  <c r="P71" i="12"/>
  <c r="L71" i="12"/>
  <c r="C115" i="6"/>
  <c r="E115" i="6"/>
  <c r="D115" i="6"/>
  <c r="D229" i="1"/>
  <c r="C229" i="1"/>
  <c r="F229" i="1"/>
  <c r="E229" i="1"/>
  <c r="Y76" i="14"/>
  <c r="U76" i="14"/>
  <c r="Q76" i="14"/>
  <c r="M76" i="14"/>
  <c r="I76" i="14"/>
  <c r="E76" i="14"/>
  <c r="X76" i="14"/>
  <c r="T76" i="14"/>
  <c r="P76" i="14"/>
  <c r="L76" i="14"/>
  <c r="H76" i="14"/>
  <c r="D76" i="14"/>
  <c r="W76" i="14"/>
  <c r="S76" i="14"/>
  <c r="O76" i="14"/>
  <c r="K76" i="14"/>
  <c r="G76" i="14"/>
  <c r="C76" i="14"/>
  <c r="Z76" i="14"/>
  <c r="J76" i="14"/>
  <c r="V76" i="14"/>
  <c r="F76" i="14"/>
  <c r="R76" i="14"/>
  <c r="N76" i="14"/>
  <c r="B94" i="14"/>
  <c r="W73" i="13"/>
  <c r="S73" i="13"/>
  <c r="O73" i="13"/>
  <c r="K73" i="13"/>
  <c r="G73" i="13"/>
  <c r="C73" i="13"/>
  <c r="Z73" i="13"/>
  <c r="V73" i="13"/>
  <c r="R73" i="13"/>
  <c r="N73" i="13"/>
  <c r="J73" i="13"/>
  <c r="F73" i="13"/>
  <c r="Y73" i="13"/>
  <c r="U73" i="13"/>
  <c r="Q73" i="13"/>
  <c r="M73" i="13"/>
  <c r="I73" i="13"/>
  <c r="E73" i="13"/>
  <c r="X73" i="13"/>
  <c r="H73" i="13"/>
  <c r="T73" i="13"/>
  <c r="D73" i="13"/>
  <c r="P73" i="13"/>
  <c r="L73" i="13"/>
  <c r="S177" i="11"/>
  <c r="O177" i="11"/>
  <c r="K177" i="11"/>
  <c r="G177" i="11"/>
  <c r="V177" i="11"/>
  <c r="R177" i="11"/>
  <c r="N177" i="11"/>
  <c r="J177" i="11"/>
  <c r="F177" i="11"/>
  <c r="U177" i="11"/>
  <c r="Q177" i="11"/>
  <c r="M177" i="11"/>
  <c r="I177" i="11"/>
  <c r="T177" i="11"/>
  <c r="P177" i="11"/>
  <c r="L177" i="11"/>
  <c r="H177" i="11"/>
  <c r="B216" i="1"/>
  <c r="C93" i="1"/>
  <c r="B121" i="6"/>
  <c r="D120" i="6"/>
  <c r="C120" i="6"/>
  <c r="E120" i="6"/>
  <c r="B98" i="6"/>
  <c r="D97" i="6"/>
  <c r="C97" i="6"/>
  <c r="F97" i="6"/>
  <c r="E97" i="6"/>
  <c r="E74" i="10"/>
  <c r="E115" i="10" s="1"/>
  <c r="F74" i="6"/>
  <c r="F115" i="6" s="1"/>
  <c r="F59" i="10"/>
  <c r="G59" i="6"/>
  <c r="K27" i="6"/>
  <c r="S25" i="6"/>
  <c r="F8" i="6"/>
  <c r="E8" i="10"/>
  <c r="E23" i="10" s="1"/>
  <c r="S224" i="1"/>
  <c r="O224" i="1"/>
  <c r="K224" i="1"/>
  <c r="G224" i="1"/>
  <c r="C224" i="1"/>
  <c r="V224" i="1"/>
  <c r="R224" i="1"/>
  <c r="N224" i="1"/>
  <c r="J224" i="1"/>
  <c r="F224" i="1"/>
  <c r="U224" i="1"/>
  <c r="Q224" i="1"/>
  <c r="M224" i="1"/>
  <c r="I224" i="1"/>
  <c r="E224" i="1"/>
  <c r="T224" i="1"/>
  <c r="P224" i="1"/>
  <c r="L224" i="1"/>
  <c r="H224" i="1"/>
  <c r="D224" i="1"/>
  <c r="Z76" i="5"/>
  <c r="V76" i="5"/>
  <c r="R76" i="5"/>
  <c r="N76" i="5"/>
  <c r="J76" i="5"/>
  <c r="F76" i="5"/>
  <c r="Y76" i="5"/>
  <c r="U76" i="5"/>
  <c r="Q76" i="5"/>
  <c r="M76" i="5"/>
  <c r="I76" i="5"/>
  <c r="E76" i="5"/>
  <c r="E141" i="5" s="1"/>
  <c r="X76" i="5"/>
  <c r="T76" i="5"/>
  <c r="P76" i="5"/>
  <c r="L76" i="5"/>
  <c r="H76" i="5"/>
  <c r="D76" i="5"/>
  <c r="O76" i="5"/>
  <c r="K76" i="5"/>
  <c r="W76" i="5"/>
  <c r="G76" i="5"/>
  <c r="C76" i="5"/>
  <c r="S76" i="5"/>
  <c r="D25" i="11"/>
  <c r="C25" i="11"/>
  <c r="E25" i="11"/>
  <c r="C103" i="10"/>
  <c r="T88" i="10"/>
  <c r="P88" i="10"/>
  <c r="L88" i="10"/>
  <c r="H88" i="10"/>
  <c r="D88" i="10"/>
  <c r="V88" i="10"/>
  <c r="R88" i="10"/>
  <c r="N88" i="10"/>
  <c r="J88" i="10"/>
  <c r="F88" i="10"/>
  <c r="U88" i="10"/>
  <c r="Q88" i="10"/>
  <c r="M88" i="10"/>
  <c r="I88" i="10"/>
  <c r="E88" i="10"/>
  <c r="K88" i="10"/>
  <c r="G88" i="10"/>
  <c r="S88" i="10"/>
  <c r="C88" i="10"/>
  <c r="O88" i="10"/>
  <c r="T92" i="10"/>
  <c r="T128" i="10" s="1"/>
  <c r="P92" i="10"/>
  <c r="P128" i="10" s="1"/>
  <c r="L92" i="10"/>
  <c r="L128" i="10" s="1"/>
  <c r="H92" i="10"/>
  <c r="H128" i="10" s="1"/>
  <c r="D92" i="10"/>
  <c r="S92" i="10"/>
  <c r="S128" i="10" s="1"/>
  <c r="O92" i="10"/>
  <c r="O128" i="10" s="1"/>
  <c r="K92" i="10"/>
  <c r="K128" i="10" s="1"/>
  <c r="G92" i="10"/>
  <c r="G128" i="10" s="1"/>
  <c r="C92" i="10"/>
  <c r="C128" i="10" s="1"/>
  <c r="V92" i="10"/>
  <c r="V128" i="10" s="1"/>
  <c r="R92" i="10"/>
  <c r="R128" i="10" s="1"/>
  <c r="N92" i="10"/>
  <c r="N128" i="10" s="1"/>
  <c r="J92" i="10"/>
  <c r="J128" i="10" s="1"/>
  <c r="F92" i="10"/>
  <c r="F128" i="10" s="1"/>
  <c r="U92" i="10"/>
  <c r="U128" i="10" s="1"/>
  <c r="Q92" i="10"/>
  <c r="Q128" i="10" s="1"/>
  <c r="M92" i="10"/>
  <c r="M128" i="10" s="1"/>
  <c r="I92" i="10"/>
  <c r="I128" i="10" s="1"/>
  <c r="B183" i="11"/>
  <c r="S90" i="11"/>
  <c r="O90" i="11"/>
  <c r="K90" i="11"/>
  <c r="G90" i="11"/>
  <c r="C90" i="11"/>
  <c r="V90" i="11"/>
  <c r="R90" i="11"/>
  <c r="N90" i="11"/>
  <c r="J90" i="11"/>
  <c r="F90" i="11"/>
  <c r="U90" i="11"/>
  <c r="Q90" i="11"/>
  <c r="M90" i="11"/>
  <c r="I90" i="11"/>
  <c r="E90" i="11"/>
  <c r="T90" i="11"/>
  <c r="P90" i="11"/>
  <c r="L90" i="11"/>
  <c r="H90" i="11"/>
  <c r="D90" i="11"/>
  <c r="S61" i="12"/>
  <c r="O61" i="12"/>
  <c r="K61" i="12"/>
  <c r="G61" i="12"/>
  <c r="C61" i="12"/>
  <c r="V61" i="12"/>
  <c r="R61" i="12"/>
  <c r="N61" i="12"/>
  <c r="J61" i="12"/>
  <c r="F61" i="12"/>
  <c r="U61" i="12"/>
  <c r="Q61" i="12"/>
  <c r="M61" i="12"/>
  <c r="I61" i="12"/>
  <c r="E61" i="12"/>
  <c r="L61" i="12"/>
  <c r="H61" i="12"/>
  <c r="T61" i="12"/>
  <c r="D61" i="12"/>
  <c r="P61" i="12"/>
  <c r="X109" i="14"/>
  <c r="T109" i="14"/>
  <c r="P109" i="14"/>
  <c r="L109" i="14"/>
  <c r="H109" i="14"/>
  <c r="D109" i="14"/>
  <c r="W109" i="14"/>
  <c r="S109" i="14"/>
  <c r="O109" i="14"/>
  <c r="K109" i="14"/>
  <c r="G109" i="14"/>
  <c r="C109" i="14"/>
  <c r="Z109" i="14"/>
  <c r="V109" i="14"/>
  <c r="R109" i="14"/>
  <c r="N109" i="14"/>
  <c r="J109" i="14"/>
  <c r="F109" i="14"/>
  <c r="Y109" i="14"/>
  <c r="I109" i="14"/>
  <c r="U109" i="14"/>
  <c r="E109" i="14"/>
  <c r="Q109" i="14"/>
  <c r="M109" i="14"/>
  <c r="W77" i="14"/>
  <c r="S77" i="14"/>
  <c r="O77" i="14"/>
  <c r="K77" i="14"/>
  <c r="G77" i="14"/>
  <c r="C77" i="14"/>
  <c r="Z77" i="14"/>
  <c r="V77" i="14"/>
  <c r="R77" i="14"/>
  <c r="N77" i="14"/>
  <c r="J77" i="14"/>
  <c r="F77" i="14"/>
  <c r="Y77" i="14"/>
  <c r="U77" i="14"/>
  <c r="Q77" i="14"/>
  <c r="M77" i="14"/>
  <c r="I77" i="14"/>
  <c r="E77" i="14"/>
  <c r="L77" i="14"/>
  <c r="X77" i="14"/>
  <c r="H77" i="14"/>
  <c r="T77" i="14"/>
  <c r="D77" i="14"/>
  <c r="P77" i="14"/>
  <c r="D196" i="11"/>
  <c r="C196" i="11"/>
  <c r="B180" i="11"/>
  <c r="U87" i="11"/>
  <c r="Q87" i="11"/>
  <c r="M87" i="11"/>
  <c r="I87" i="11"/>
  <c r="T87" i="11"/>
  <c r="P87" i="11"/>
  <c r="L87" i="11"/>
  <c r="H87" i="11"/>
  <c r="S87" i="11"/>
  <c r="O87" i="11"/>
  <c r="K87" i="11"/>
  <c r="G87" i="11"/>
  <c r="C87" i="11"/>
  <c r="V87" i="11"/>
  <c r="R87" i="11"/>
  <c r="N87" i="11"/>
  <c r="J87" i="11"/>
  <c r="F87" i="11"/>
  <c r="U112" i="6"/>
  <c r="U127" i="6" s="1"/>
  <c r="Q112" i="6"/>
  <c r="Q127" i="6" s="1"/>
  <c r="M112" i="6"/>
  <c r="M127" i="6" s="1"/>
  <c r="I112" i="6"/>
  <c r="I127" i="6" s="1"/>
  <c r="T112" i="6"/>
  <c r="T127" i="6" s="1"/>
  <c r="P112" i="6"/>
  <c r="L112" i="6"/>
  <c r="H112" i="6"/>
  <c r="H127" i="6" s="1"/>
  <c r="D112" i="6"/>
  <c r="S112" i="6"/>
  <c r="S127" i="6" s="1"/>
  <c r="O112" i="6"/>
  <c r="O127" i="6" s="1"/>
  <c r="K112" i="6"/>
  <c r="K127" i="6" s="1"/>
  <c r="G112" i="6"/>
  <c r="G127" i="6" s="1"/>
  <c r="C112" i="6"/>
  <c r="V112" i="6"/>
  <c r="V127" i="6" s="1"/>
  <c r="R112" i="6"/>
  <c r="N112" i="6"/>
  <c r="J112" i="6"/>
  <c r="J127" i="6" s="1"/>
  <c r="F112" i="6"/>
  <c r="F127" i="6" s="1"/>
  <c r="R93" i="12"/>
  <c r="N93" i="12"/>
  <c r="U93" i="12"/>
  <c r="Q93" i="12"/>
  <c r="E93" i="12"/>
  <c r="E100" i="12" s="1"/>
  <c r="T93" i="12"/>
  <c r="H93" i="12"/>
  <c r="D93" i="12"/>
  <c r="D100" i="12" s="1"/>
  <c r="G93" i="12"/>
  <c r="G100" i="12" s="1"/>
  <c r="K93" i="12"/>
  <c r="U192" i="11"/>
  <c r="Q192" i="11"/>
  <c r="M192" i="11"/>
  <c r="I192" i="11"/>
  <c r="E192" i="11"/>
  <c r="T192" i="11"/>
  <c r="P192" i="11"/>
  <c r="L192" i="11"/>
  <c r="H192" i="11"/>
  <c r="D192" i="11"/>
  <c r="S192" i="11"/>
  <c r="O192" i="11"/>
  <c r="K192" i="11"/>
  <c r="G192" i="11"/>
  <c r="C192" i="11"/>
  <c r="V192" i="11"/>
  <c r="R192" i="11"/>
  <c r="N192" i="11"/>
  <c r="J192" i="11"/>
  <c r="F192" i="11"/>
  <c r="Y80" i="14"/>
  <c r="U80" i="14"/>
  <c r="Q80" i="14"/>
  <c r="M80" i="14"/>
  <c r="I80" i="14"/>
  <c r="E80" i="14"/>
  <c r="X80" i="14"/>
  <c r="T80" i="14"/>
  <c r="P80" i="14"/>
  <c r="L80" i="14"/>
  <c r="H80" i="14"/>
  <c r="D80" i="14"/>
  <c r="W80" i="14"/>
  <c r="S80" i="14"/>
  <c r="O80" i="14"/>
  <c r="K80" i="14"/>
  <c r="G80" i="14"/>
  <c r="C80" i="14"/>
  <c r="R80" i="14"/>
  <c r="N80" i="14"/>
  <c r="Z80" i="14"/>
  <c r="J80" i="14"/>
  <c r="V80" i="14"/>
  <c r="F80" i="14"/>
  <c r="Y118" i="14"/>
  <c r="U118" i="14"/>
  <c r="Q118" i="14"/>
  <c r="M118" i="14"/>
  <c r="I118" i="14"/>
  <c r="E118" i="14"/>
  <c r="X118" i="14"/>
  <c r="S118" i="14"/>
  <c r="N118" i="14"/>
  <c r="H118" i="14"/>
  <c r="C118" i="14"/>
  <c r="W118" i="14"/>
  <c r="R118" i="14"/>
  <c r="L118" i="14"/>
  <c r="G118" i="14"/>
  <c r="V118" i="14"/>
  <c r="P118" i="14"/>
  <c r="K118" i="14"/>
  <c r="F118" i="14"/>
  <c r="J118" i="14"/>
  <c r="Z118" i="14"/>
  <c r="D118" i="14"/>
  <c r="T118" i="14"/>
  <c r="O118" i="14"/>
  <c r="B215" i="1"/>
  <c r="C92" i="1"/>
  <c r="U25" i="6"/>
  <c r="D110" i="6"/>
  <c r="D127" i="6" s="1"/>
  <c r="AA53" i="17"/>
  <c r="AA55" i="17"/>
  <c r="AA54" i="17"/>
  <c r="AA52" i="17"/>
  <c r="AA16" i="17"/>
  <c r="AA15" i="17"/>
  <c r="AA14" i="17"/>
  <c r="AA17" i="17"/>
  <c r="AB52" i="17"/>
  <c r="AB54" i="17"/>
  <c r="AB55" i="17"/>
  <c r="AB53" i="17"/>
  <c r="AB15" i="17"/>
  <c r="AB14" i="17"/>
  <c r="AB17" i="17"/>
  <c r="AB16" i="17"/>
  <c r="L52" i="17"/>
  <c r="L54" i="17"/>
  <c r="L55" i="17"/>
  <c r="L15" i="17"/>
  <c r="L14" i="17"/>
  <c r="L53" i="17"/>
  <c r="L17" i="17"/>
  <c r="L16" i="17"/>
  <c r="K53" i="17"/>
  <c r="K55" i="17"/>
  <c r="K54" i="17"/>
  <c r="K52" i="17"/>
  <c r="K16" i="17"/>
  <c r="K15" i="17"/>
  <c r="K14" i="17"/>
  <c r="K17" i="17"/>
  <c r="F5" i="7"/>
  <c r="B27" i="15" s="1"/>
  <c r="F3" i="7"/>
  <c r="B25" i="15" s="1"/>
  <c r="F2" i="7"/>
  <c r="F6" i="7"/>
  <c r="B28" i="15" s="1"/>
  <c r="F4" i="7"/>
  <c r="B26" i="15" s="1"/>
  <c r="B19" i="15"/>
  <c r="E7" i="7"/>
  <c r="AD54" i="17"/>
  <c r="AD52" i="17"/>
  <c r="AD55" i="17"/>
  <c r="AD53" i="17"/>
  <c r="AD17" i="17"/>
  <c r="AD16" i="17"/>
  <c r="AD15" i="17"/>
  <c r="AD14" i="17"/>
  <c r="V54" i="17"/>
  <c r="V52" i="17"/>
  <c r="V55" i="17"/>
  <c r="V53" i="17"/>
  <c r="V17" i="17"/>
  <c r="V16" i="17"/>
  <c r="V15" i="17"/>
  <c r="V14" i="17"/>
  <c r="J54" i="17"/>
  <c r="J52" i="17"/>
  <c r="J53" i="17"/>
  <c r="J55" i="17"/>
  <c r="J17" i="17"/>
  <c r="J16" i="17"/>
  <c r="J15" i="17"/>
  <c r="J14" i="17"/>
  <c r="S97" i="4"/>
  <c r="C97" i="4"/>
  <c r="J97" i="4"/>
  <c r="U143" i="5"/>
  <c r="X98" i="5"/>
  <c r="T98" i="5"/>
  <c r="P98" i="5"/>
  <c r="L98" i="5"/>
  <c r="H98" i="5"/>
  <c r="D98" i="5"/>
  <c r="W98" i="5"/>
  <c r="S98" i="5"/>
  <c r="O98" i="5"/>
  <c r="K98" i="5"/>
  <c r="G98" i="5"/>
  <c r="C98" i="5"/>
  <c r="Z98" i="5"/>
  <c r="V98" i="5"/>
  <c r="R98" i="5"/>
  <c r="N98" i="5"/>
  <c r="J98" i="5"/>
  <c r="F98" i="5"/>
  <c r="M98" i="5"/>
  <c r="Y98" i="5"/>
  <c r="I98" i="5"/>
  <c r="U98" i="5"/>
  <c r="E98" i="5"/>
  <c r="Q98" i="5"/>
  <c r="I97" i="4"/>
  <c r="N30" i="14"/>
  <c r="S30" i="5"/>
  <c r="X133" i="5"/>
  <c r="X143" i="5" s="1"/>
  <c r="T133" i="5"/>
  <c r="T143" i="5" s="1"/>
  <c r="P133" i="5"/>
  <c r="L133" i="5"/>
  <c r="L143" i="5" s="1"/>
  <c r="H133" i="5"/>
  <c r="D133" i="5"/>
  <c r="D143" i="5" s="1"/>
  <c r="W133" i="5"/>
  <c r="S133" i="5"/>
  <c r="S143" i="5" s="1"/>
  <c r="O133" i="5"/>
  <c r="O143" i="5" s="1"/>
  <c r="K133" i="5"/>
  <c r="K143" i="5" s="1"/>
  <c r="G133" i="5"/>
  <c r="G143" i="5" s="1"/>
  <c r="C133" i="5"/>
  <c r="C143" i="5" s="1"/>
  <c r="Z133" i="5"/>
  <c r="V133" i="5"/>
  <c r="V143" i="5" s="1"/>
  <c r="R133" i="5"/>
  <c r="N133" i="5"/>
  <c r="N143" i="5" s="1"/>
  <c r="J133" i="5"/>
  <c r="J143" i="5" s="1"/>
  <c r="F133" i="5"/>
  <c r="F143" i="5" s="1"/>
  <c r="M133" i="5"/>
  <c r="M143" i="5" s="1"/>
  <c r="Y133" i="5"/>
  <c r="I133" i="5"/>
  <c r="U133" i="5"/>
  <c r="E133" i="5"/>
  <c r="E143" i="5" s="1"/>
  <c r="Q133" i="5"/>
  <c r="Q143" i="5" s="1"/>
  <c r="W128" i="5"/>
  <c r="S128" i="5"/>
  <c r="O128" i="5"/>
  <c r="K128" i="5"/>
  <c r="G128" i="5"/>
  <c r="C128" i="5"/>
  <c r="Z128" i="5"/>
  <c r="V128" i="5"/>
  <c r="R128" i="5"/>
  <c r="N128" i="5"/>
  <c r="J128" i="5"/>
  <c r="F128" i="5"/>
  <c r="Y128" i="5"/>
  <c r="U128" i="5"/>
  <c r="Q128" i="5"/>
  <c r="M128" i="5"/>
  <c r="I128" i="5"/>
  <c r="E128" i="5"/>
  <c r="T128" i="5"/>
  <c r="D128" i="5"/>
  <c r="P128" i="5"/>
  <c r="X128" i="5"/>
  <c r="H128" i="5"/>
  <c r="E28" i="13"/>
  <c r="E76" i="13" s="1"/>
  <c r="E76" i="4"/>
  <c r="Y86" i="5"/>
  <c r="U86" i="5"/>
  <c r="Q86" i="5"/>
  <c r="M86" i="5"/>
  <c r="I86" i="5"/>
  <c r="E86" i="5"/>
  <c r="X86" i="5"/>
  <c r="T86" i="5"/>
  <c r="P86" i="5"/>
  <c r="L86" i="5"/>
  <c r="H86" i="5"/>
  <c r="D86" i="5"/>
  <c r="W86" i="5"/>
  <c r="S86" i="5"/>
  <c r="O86" i="5"/>
  <c r="K86" i="5"/>
  <c r="G86" i="5"/>
  <c r="C86" i="5"/>
  <c r="Z86" i="5"/>
  <c r="J86" i="5"/>
  <c r="V86" i="5"/>
  <c r="F86" i="5"/>
  <c r="R86" i="5"/>
  <c r="N86" i="5"/>
  <c r="C21" i="13"/>
  <c r="C22" i="4"/>
  <c r="H33" i="13"/>
  <c r="H81" i="13" s="1"/>
  <c r="H39" i="4"/>
  <c r="F2" i="16"/>
  <c r="F35" i="15"/>
  <c r="F51" i="12"/>
  <c r="F93" i="12" s="1"/>
  <c r="F100" i="12" s="1"/>
  <c r="F34" i="8"/>
  <c r="F33" i="8"/>
  <c r="F32" i="8"/>
  <c r="F31" i="8"/>
  <c r="V51" i="12"/>
  <c r="V93" i="12" s="1"/>
  <c r="V34" i="8"/>
  <c r="V33" i="8"/>
  <c r="V32" i="8"/>
  <c r="V31" i="8"/>
  <c r="O51" i="12"/>
  <c r="O93" i="12" s="1"/>
  <c r="O33" i="8"/>
  <c r="O31" i="8"/>
  <c r="O34" i="8"/>
  <c r="O32" i="8"/>
  <c r="L34" i="8"/>
  <c r="L33" i="8"/>
  <c r="L32" i="8"/>
  <c r="L31" i="8"/>
  <c r="L51" i="12"/>
  <c r="L93" i="12" s="1"/>
  <c r="I51" i="12"/>
  <c r="I93" i="12" s="1"/>
  <c r="I33" i="8"/>
  <c r="I31" i="8"/>
  <c r="I34" i="8"/>
  <c r="I32" i="8"/>
  <c r="F161" i="11"/>
  <c r="G191" i="1"/>
  <c r="E75" i="11"/>
  <c r="E110" i="11" s="1"/>
  <c r="E198" i="1"/>
  <c r="E168" i="11" s="1"/>
  <c r="F75" i="1"/>
  <c r="D194" i="1"/>
  <c r="D71" i="11"/>
  <c r="D109" i="1"/>
  <c r="D118" i="1" s="1"/>
  <c r="D54" i="1"/>
  <c r="G50" i="11"/>
  <c r="G88" i="11" s="1"/>
  <c r="G173" i="1"/>
  <c r="G88" i="1"/>
  <c r="H50" i="1"/>
  <c r="F17" i="11"/>
  <c r="F31" i="11" s="1"/>
  <c r="F34" i="11" s="1"/>
  <c r="G17" i="1"/>
  <c r="F14" i="1"/>
  <c r="F14" i="11" s="1"/>
  <c r="F28" i="11" s="1"/>
  <c r="F11" i="1"/>
  <c r="F10" i="1"/>
  <c r="F10" i="11" s="1"/>
  <c r="E9" i="11"/>
  <c r="F9" i="1"/>
  <c r="F23" i="1" s="1"/>
  <c r="C142" i="11"/>
  <c r="C169" i="1"/>
  <c r="F31" i="1"/>
  <c r="F34" i="1" s="1"/>
  <c r="F65" i="11"/>
  <c r="F103" i="11" s="1"/>
  <c r="G65" i="1"/>
  <c r="R127" i="6"/>
  <c r="E83" i="10"/>
  <c r="E124" i="10" s="1"/>
  <c r="F83" i="6"/>
  <c r="G65" i="10"/>
  <c r="H65" i="6"/>
  <c r="I54" i="10"/>
  <c r="I95" i="6"/>
  <c r="J54" i="6"/>
  <c r="E51" i="10"/>
  <c r="E92" i="10" s="1"/>
  <c r="E92" i="6"/>
  <c r="X136" i="14"/>
  <c r="T136" i="14"/>
  <c r="P136" i="14"/>
  <c r="L136" i="14"/>
  <c r="H136" i="14"/>
  <c r="D136" i="14"/>
  <c r="W136" i="14"/>
  <c r="S136" i="14"/>
  <c r="O136" i="14"/>
  <c r="K136" i="14"/>
  <c r="G136" i="14"/>
  <c r="C136" i="14"/>
  <c r="Z136" i="14"/>
  <c r="V136" i="14"/>
  <c r="R136" i="14"/>
  <c r="N136" i="14"/>
  <c r="J136" i="14"/>
  <c r="F136" i="14"/>
  <c r="Y136" i="14"/>
  <c r="I136" i="14"/>
  <c r="U136" i="14"/>
  <c r="E136" i="14"/>
  <c r="Q136" i="14"/>
  <c r="M136" i="14"/>
  <c r="H93" i="8"/>
  <c r="I93" i="8"/>
  <c r="F93" i="8"/>
  <c r="F100" i="8" s="1"/>
  <c r="V93" i="8"/>
  <c r="O93" i="8"/>
  <c r="U223" i="1"/>
  <c r="Q223" i="1"/>
  <c r="M223" i="1"/>
  <c r="I223" i="1"/>
  <c r="E223" i="1"/>
  <c r="T223" i="1"/>
  <c r="P223" i="1"/>
  <c r="L223" i="1"/>
  <c r="H223" i="1"/>
  <c r="D223" i="1"/>
  <c r="S223" i="1"/>
  <c r="O223" i="1"/>
  <c r="K223" i="1"/>
  <c r="G223" i="1"/>
  <c r="C223" i="1"/>
  <c r="V223" i="1"/>
  <c r="R223" i="1"/>
  <c r="N223" i="1"/>
  <c r="J223" i="1"/>
  <c r="F223" i="1"/>
  <c r="T87" i="8"/>
  <c r="Y118" i="5"/>
  <c r="U118" i="5"/>
  <c r="Q118" i="5"/>
  <c r="M118" i="5"/>
  <c r="I118" i="5"/>
  <c r="E118" i="5"/>
  <c r="X118" i="5"/>
  <c r="T118" i="5"/>
  <c r="P118" i="5"/>
  <c r="L118" i="5"/>
  <c r="H118" i="5"/>
  <c r="D118" i="5"/>
  <c r="W118" i="5"/>
  <c r="S118" i="5"/>
  <c r="O118" i="5"/>
  <c r="K118" i="5"/>
  <c r="G118" i="5"/>
  <c r="C118" i="5"/>
  <c r="R118" i="5"/>
  <c r="N118" i="5"/>
  <c r="Z118" i="5"/>
  <c r="J118" i="5"/>
  <c r="V118" i="5"/>
  <c r="F118" i="5"/>
  <c r="F103" i="1"/>
  <c r="S65" i="12"/>
  <c r="O65" i="12"/>
  <c r="K65" i="12"/>
  <c r="G65" i="12"/>
  <c r="C65" i="12"/>
  <c r="V65" i="12"/>
  <c r="R65" i="12"/>
  <c r="N65" i="12"/>
  <c r="J65" i="12"/>
  <c r="F65" i="12"/>
  <c r="U65" i="12"/>
  <c r="Q65" i="12"/>
  <c r="M65" i="12"/>
  <c r="I65" i="12"/>
  <c r="E65" i="12"/>
  <c r="T65" i="12"/>
  <c r="D65" i="12"/>
  <c r="P65" i="12"/>
  <c r="L65" i="12"/>
  <c r="H65" i="12"/>
  <c r="B68" i="13"/>
  <c r="B60" i="12"/>
  <c r="B86" i="11"/>
  <c r="B93" i="10"/>
  <c r="C64" i="12"/>
  <c r="X121" i="14"/>
  <c r="T121" i="14"/>
  <c r="P121" i="14"/>
  <c r="L121" i="14"/>
  <c r="D121" i="14"/>
  <c r="Z121" i="14"/>
  <c r="V121" i="14"/>
  <c r="R121" i="14"/>
  <c r="N121" i="14"/>
  <c r="J121" i="14"/>
  <c r="F121" i="14"/>
  <c r="S121" i="14"/>
  <c r="K121" i="14"/>
  <c r="C121" i="14"/>
  <c r="Y121" i="14"/>
  <c r="Q121" i="14"/>
  <c r="I121" i="14"/>
  <c r="W121" i="14"/>
  <c r="O121" i="14"/>
  <c r="G121" i="14"/>
  <c r="U121" i="14"/>
  <c r="M121" i="14"/>
  <c r="E121" i="14"/>
  <c r="S60" i="8"/>
  <c r="O60" i="8"/>
  <c r="K60" i="8"/>
  <c r="G60" i="8"/>
  <c r="V60" i="8"/>
  <c r="R60" i="8"/>
  <c r="N60" i="8"/>
  <c r="J60" i="8"/>
  <c r="F60" i="8"/>
  <c r="U60" i="8"/>
  <c r="Q60" i="8"/>
  <c r="M60" i="8"/>
  <c r="I60" i="8"/>
  <c r="E60" i="8"/>
  <c r="T60" i="8"/>
  <c r="P60" i="8"/>
  <c r="L60" i="8"/>
  <c r="H60" i="8"/>
  <c r="D60" i="8"/>
  <c r="C113" i="6"/>
  <c r="E113" i="6"/>
  <c r="D113" i="6"/>
  <c r="Z133" i="14"/>
  <c r="V133" i="14"/>
  <c r="R133" i="14"/>
  <c r="N133" i="14"/>
  <c r="J133" i="14"/>
  <c r="F133" i="14"/>
  <c r="Y133" i="14"/>
  <c r="U133" i="14"/>
  <c r="Q133" i="14"/>
  <c r="M133" i="14"/>
  <c r="I133" i="14"/>
  <c r="E133" i="14"/>
  <c r="X133" i="14"/>
  <c r="T133" i="14"/>
  <c r="P133" i="14"/>
  <c r="H133" i="14"/>
  <c r="D133" i="14"/>
  <c r="K133" i="14"/>
  <c r="W133" i="14"/>
  <c r="G133" i="14"/>
  <c r="S133" i="14"/>
  <c r="C133" i="14"/>
  <c r="O133" i="14"/>
  <c r="U194" i="11"/>
  <c r="Q194" i="11"/>
  <c r="M194" i="11"/>
  <c r="I194" i="11"/>
  <c r="E194" i="11"/>
  <c r="T194" i="11"/>
  <c r="P194" i="11"/>
  <c r="L194" i="11"/>
  <c r="H194" i="11"/>
  <c r="D194" i="11"/>
  <c r="S194" i="11"/>
  <c r="O194" i="11"/>
  <c r="K194" i="11"/>
  <c r="G194" i="11"/>
  <c r="C194" i="11"/>
  <c r="V194" i="11"/>
  <c r="R194" i="11"/>
  <c r="N194" i="11"/>
  <c r="J194" i="11"/>
  <c r="F194" i="11"/>
  <c r="D113" i="10"/>
  <c r="C113" i="10"/>
  <c r="Z108" i="14"/>
  <c r="V108" i="14"/>
  <c r="R108" i="14"/>
  <c r="N108" i="14"/>
  <c r="J108" i="14"/>
  <c r="F108" i="14"/>
  <c r="Y108" i="14"/>
  <c r="U108" i="14"/>
  <c r="Q108" i="14"/>
  <c r="M108" i="14"/>
  <c r="I108" i="14"/>
  <c r="E108" i="14"/>
  <c r="X108" i="14"/>
  <c r="T108" i="14"/>
  <c r="P108" i="14"/>
  <c r="L108" i="14"/>
  <c r="H108" i="14"/>
  <c r="D108" i="14"/>
  <c r="S108" i="14"/>
  <c r="C108" i="14"/>
  <c r="O108" i="14"/>
  <c r="K108" i="14"/>
  <c r="G108" i="14"/>
  <c r="W108" i="14"/>
  <c r="U58" i="12"/>
  <c r="Q58" i="12"/>
  <c r="M58" i="12"/>
  <c r="I58" i="12"/>
  <c r="E58" i="12"/>
  <c r="T58" i="12"/>
  <c r="P58" i="12"/>
  <c r="L58" i="12"/>
  <c r="H58" i="12"/>
  <c r="D58" i="12"/>
  <c r="S58" i="12"/>
  <c r="O58" i="12"/>
  <c r="K58" i="12"/>
  <c r="G58" i="12"/>
  <c r="J58" i="12"/>
  <c r="R58" i="12"/>
  <c r="F58" i="12"/>
  <c r="V58" i="12"/>
  <c r="N58" i="12"/>
  <c r="V89" i="10"/>
  <c r="R89" i="10"/>
  <c r="N89" i="10"/>
  <c r="J89" i="10"/>
  <c r="F89" i="10"/>
  <c r="T89" i="10"/>
  <c r="P89" i="10"/>
  <c r="L89" i="10"/>
  <c r="H89" i="10"/>
  <c r="D89" i="10"/>
  <c r="S89" i="10"/>
  <c r="O89" i="10"/>
  <c r="K89" i="10"/>
  <c r="G89" i="10"/>
  <c r="C89" i="10"/>
  <c r="U89" i="10"/>
  <c r="E89" i="10"/>
  <c r="Q89" i="10"/>
  <c r="M89" i="10"/>
  <c r="I89" i="10"/>
  <c r="D107" i="6"/>
  <c r="G107" i="6"/>
  <c r="C107" i="6"/>
  <c r="F107" i="6"/>
  <c r="E107" i="6"/>
  <c r="P127" i="6"/>
  <c r="T91" i="6"/>
  <c r="P91" i="6"/>
  <c r="L91" i="6"/>
  <c r="H91" i="6"/>
  <c r="S91" i="6"/>
  <c r="O91" i="6"/>
  <c r="K91" i="6"/>
  <c r="G91" i="6"/>
  <c r="C91" i="6"/>
  <c r="V91" i="6"/>
  <c r="R91" i="6"/>
  <c r="N91" i="6"/>
  <c r="J91" i="6"/>
  <c r="F91" i="6"/>
  <c r="U91" i="6"/>
  <c r="Q91" i="6"/>
  <c r="M91" i="6"/>
  <c r="I91" i="6"/>
  <c r="G80" i="10"/>
  <c r="G121" i="10" s="1"/>
  <c r="H81" i="6"/>
  <c r="E73" i="10"/>
  <c r="F73" i="6"/>
  <c r="E58" i="10"/>
  <c r="F58" i="6"/>
  <c r="G27" i="6"/>
  <c r="O25" i="6"/>
  <c r="X132" i="14"/>
  <c r="T132" i="14"/>
  <c r="P132" i="14"/>
  <c r="L132" i="14"/>
  <c r="D132" i="14"/>
  <c r="W132" i="14"/>
  <c r="S132" i="14"/>
  <c r="O132" i="14"/>
  <c r="K132" i="14"/>
  <c r="G132" i="14"/>
  <c r="C132" i="14"/>
  <c r="Z132" i="14"/>
  <c r="V132" i="14"/>
  <c r="R132" i="14"/>
  <c r="N132" i="14"/>
  <c r="J132" i="14"/>
  <c r="F132" i="14"/>
  <c r="Y132" i="14"/>
  <c r="I132" i="14"/>
  <c r="U132" i="14"/>
  <c r="E132" i="14"/>
  <c r="Q132" i="14"/>
  <c r="M132" i="14"/>
  <c r="S110" i="1"/>
  <c r="U221" i="1"/>
  <c r="Q221" i="1"/>
  <c r="M221" i="1"/>
  <c r="I221" i="1"/>
  <c r="T221" i="1"/>
  <c r="P221" i="1"/>
  <c r="L221" i="1"/>
  <c r="H221" i="1"/>
  <c r="D221" i="1"/>
  <c r="S221" i="1"/>
  <c r="O221" i="1"/>
  <c r="K221" i="1"/>
  <c r="G221" i="1"/>
  <c r="C221" i="1"/>
  <c r="V221" i="1"/>
  <c r="R221" i="1"/>
  <c r="N221" i="1"/>
  <c r="J221" i="1"/>
  <c r="F221" i="1"/>
  <c r="B225" i="1"/>
  <c r="T102" i="1"/>
  <c r="T116" i="1" s="1"/>
  <c r="P102" i="1"/>
  <c r="P116" i="1" s="1"/>
  <c r="L102" i="1"/>
  <c r="L116" i="1" s="1"/>
  <c r="H102" i="1"/>
  <c r="H116" i="1" s="1"/>
  <c r="D102" i="1"/>
  <c r="D116" i="1" s="1"/>
  <c r="S102" i="1"/>
  <c r="S116" i="1" s="1"/>
  <c r="O102" i="1"/>
  <c r="O116" i="1" s="1"/>
  <c r="K102" i="1"/>
  <c r="K116" i="1" s="1"/>
  <c r="G102" i="1"/>
  <c r="G116" i="1" s="1"/>
  <c r="C102" i="1"/>
  <c r="C116" i="1" s="1"/>
  <c r="V102" i="1"/>
  <c r="V116" i="1" s="1"/>
  <c r="R102" i="1"/>
  <c r="N102" i="1"/>
  <c r="N116" i="1" s="1"/>
  <c r="J102" i="1"/>
  <c r="J116" i="1" s="1"/>
  <c r="F102" i="1"/>
  <c r="F116" i="1" s="1"/>
  <c r="U102" i="1"/>
  <c r="U116" i="1" s="1"/>
  <c r="Q102" i="1"/>
  <c r="Q116" i="1" s="1"/>
  <c r="M102" i="1"/>
  <c r="M116" i="1" s="1"/>
  <c r="I102" i="1"/>
  <c r="I116" i="1" s="1"/>
  <c r="E102" i="1"/>
  <c r="T88" i="8"/>
  <c r="T86" i="8"/>
  <c r="Q99" i="14"/>
  <c r="M99" i="14"/>
  <c r="I99" i="14"/>
  <c r="E99" i="14"/>
  <c r="T99" i="14"/>
  <c r="P99" i="14"/>
  <c r="L99" i="14"/>
  <c r="H99" i="14"/>
  <c r="D99" i="14"/>
  <c r="O99" i="14"/>
  <c r="K99" i="14"/>
  <c r="G99" i="14"/>
  <c r="C99" i="14"/>
  <c r="N99" i="14"/>
  <c r="J99" i="14"/>
  <c r="V99" i="14"/>
  <c r="F99" i="14"/>
  <c r="R99" i="14"/>
  <c r="X88" i="14"/>
  <c r="T88" i="14"/>
  <c r="P88" i="14"/>
  <c r="L88" i="14"/>
  <c r="H88" i="14"/>
  <c r="D88" i="14"/>
  <c r="W88" i="14"/>
  <c r="S88" i="14"/>
  <c r="O88" i="14"/>
  <c r="K88" i="14"/>
  <c r="G88" i="14"/>
  <c r="C88" i="14"/>
  <c r="Z88" i="14"/>
  <c r="V88" i="14"/>
  <c r="R88" i="14"/>
  <c r="N88" i="14"/>
  <c r="J88" i="14"/>
  <c r="F88" i="14"/>
  <c r="Q88" i="14"/>
  <c r="M88" i="14"/>
  <c r="Y88" i="14"/>
  <c r="I88" i="14"/>
  <c r="U88" i="14"/>
  <c r="E88" i="14"/>
  <c r="B187" i="11"/>
  <c r="B175" i="11"/>
  <c r="V82" i="11"/>
  <c r="R82" i="11"/>
  <c r="N82" i="11"/>
  <c r="J82" i="11"/>
  <c r="F82" i="11"/>
  <c r="U82" i="11"/>
  <c r="Q82" i="11"/>
  <c r="M82" i="11"/>
  <c r="I82" i="11"/>
  <c r="E82" i="11"/>
  <c r="T82" i="11"/>
  <c r="P82" i="11"/>
  <c r="L82" i="11"/>
  <c r="H82" i="11"/>
  <c r="D82" i="11"/>
  <c r="S82" i="11"/>
  <c r="O82" i="11"/>
  <c r="K82" i="11"/>
  <c r="G82" i="11"/>
  <c r="C82" i="11"/>
  <c r="B178" i="11"/>
  <c r="U85" i="11"/>
  <c r="U116" i="11" s="1"/>
  <c r="Q85" i="11"/>
  <c r="Q116" i="11" s="1"/>
  <c r="M85" i="11"/>
  <c r="M116" i="11" s="1"/>
  <c r="I85" i="11"/>
  <c r="I116" i="11" s="1"/>
  <c r="E85" i="11"/>
  <c r="T85" i="11"/>
  <c r="T116" i="11" s="1"/>
  <c r="P85" i="11"/>
  <c r="P116" i="11" s="1"/>
  <c r="L85" i="11"/>
  <c r="L116" i="11" s="1"/>
  <c r="H85" i="11"/>
  <c r="H116" i="11" s="1"/>
  <c r="D85" i="11"/>
  <c r="D116" i="11" s="1"/>
  <c r="S85" i="11"/>
  <c r="S116" i="11" s="1"/>
  <c r="O85" i="11"/>
  <c r="O116" i="11" s="1"/>
  <c r="K85" i="11"/>
  <c r="K116" i="11" s="1"/>
  <c r="G85" i="11"/>
  <c r="G116" i="11" s="1"/>
  <c r="C85" i="11"/>
  <c r="C116" i="11" s="1"/>
  <c r="V85" i="11"/>
  <c r="V116" i="11" s="1"/>
  <c r="R85" i="11"/>
  <c r="R116" i="11" s="1"/>
  <c r="N85" i="11"/>
  <c r="N116" i="11" s="1"/>
  <c r="J85" i="11"/>
  <c r="J116" i="11" s="1"/>
  <c r="F85" i="11"/>
  <c r="F116" i="11" s="1"/>
  <c r="X103" i="14"/>
  <c r="T103" i="14"/>
  <c r="P103" i="14"/>
  <c r="L103" i="14"/>
  <c r="H103" i="14"/>
  <c r="D103" i="14"/>
  <c r="W103" i="14"/>
  <c r="S103" i="14"/>
  <c r="O103" i="14"/>
  <c r="K103" i="14"/>
  <c r="G103" i="14"/>
  <c r="C103" i="14"/>
  <c r="Z103" i="14"/>
  <c r="V103" i="14"/>
  <c r="R103" i="14"/>
  <c r="N103" i="14"/>
  <c r="J103" i="14"/>
  <c r="F103" i="14"/>
  <c r="Q103" i="14"/>
  <c r="M103" i="14"/>
  <c r="Y103" i="14"/>
  <c r="I103" i="14"/>
  <c r="U103" i="14"/>
  <c r="E103" i="14"/>
  <c r="Z104" i="14"/>
  <c r="V104" i="14"/>
  <c r="R104" i="14"/>
  <c r="N104" i="14"/>
  <c r="J104" i="14"/>
  <c r="F104" i="14"/>
  <c r="Y104" i="14"/>
  <c r="U104" i="14"/>
  <c r="Q104" i="14"/>
  <c r="M104" i="14"/>
  <c r="I104" i="14"/>
  <c r="E104" i="14"/>
  <c r="X104" i="14"/>
  <c r="T104" i="14"/>
  <c r="P104" i="14"/>
  <c r="L104" i="14"/>
  <c r="H104" i="14"/>
  <c r="D104" i="14"/>
  <c r="S104" i="14"/>
  <c r="C104" i="14"/>
  <c r="O104" i="14"/>
  <c r="K104" i="14"/>
  <c r="W104" i="14"/>
  <c r="G104" i="14"/>
  <c r="C114" i="10"/>
  <c r="E114" i="10"/>
  <c r="D114" i="10"/>
  <c r="Y97" i="14"/>
  <c r="U97" i="14"/>
  <c r="Q97" i="14"/>
  <c r="M97" i="14"/>
  <c r="I97" i="14"/>
  <c r="E97" i="14"/>
  <c r="X97" i="14"/>
  <c r="T97" i="14"/>
  <c r="P97" i="14"/>
  <c r="L97" i="14"/>
  <c r="H97" i="14"/>
  <c r="D97" i="14"/>
  <c r="W97" i="14"/>
  <c r="S97" i="14"/>
  <c r="O97" i="14"/>
  <c r="K97" i="14"/>
  <c r="G97" i="14"/>
  <c r="C97" i="14"/>
  <c r="R97" i="14"/>
  <c r="N97" i="14"/>
  <c r="Z97" i="14"/>
  <c r="J97" i="14"/>
  <c r="V97" i="14"/>
  <c r="F97" i="14"/>
  <c r="U62" i="12"/>
  <c r="Q62" i="12"/>
  <c r="M62" i="12"/>
  <c r="I62" i="12"/>
  <c r="E62" i="12"/>
  <c r="T62" i="12"/>
  <c r="P62" i="12"/>
  <c r="L62" i="12"/>
  <c r="H62" i="12"/>
  <c r="D62" i="12"/>
  <c r="S62" i="12"/>
  <c r="O62" i="12"/>
  <c r="K62" i="12"/>
  <c r="G62" i="12"/>
  <c r="B70" i="12"/>
  <c r="R62" i="12"/>
  <c r="N62" i="12"/>
  <c r="J62" i="12"/>
  <c r="V62" i="12"/>
  <c r="F62" i="12"/>
  <c r="S27" i="10"/>
  <c r="O27" i="10"/>
  <c r="K27" i="10"/>
  <c r="G27" i="10"/>
  <c r="C27" i="10"/>
  <c r="U27" i="10"/>
  <c r="Q27" i="10"/>
  <c r="M27" i="10"/>
  <c r="I27" i="10"/>
  <c r="E27" i="10"/>
  <c r="P27" i="10"/>
  <c r="H27" i="10"/>
  <c r="V27" i="10"/>
  <c r="N27" i="10"/>
  <c r="F27" i="10"/>
  <c r="T27" i="10"/>
  <c r="L27" i="10"/>
  <c r="D27" i="10"/>
  <c r="R27" i="10"/>
  <c r="J27" i="10"/>
  <c r="B205" i="11"/>
  <c r="T112" i="11"/>
  <c r="P112" i="11"/>
  <c r="L112" i="11"/>
  <c r="H112" i="11"/>
  <c r="D112" i="11"/>
  <c r="S112" i="11"/>
  <c r="O112" i="11"/>
  <c r="K112" i="11"/>
  <c r="G112" i="11"/>
  <c r="C112" i="11"/>
  <c r="V112" i="11"/>
  <c r="R112" i="11"/>
  <c r="N112" i="11"/>
  <c r="J112" i="11"/>
  <c r="F112" i="11"/>
  <c r="U112" i="11"/>
  <c r="Q112" i="11"/>
  <c r="M112" i="11"/>
  <c r="I112" i="11"/>
  <c r="E112" i="11"/>
  <c r="S193" i="11"/>
  <c r="O193" i="11"/>
  <c r="K193" i="11"/>
  <c r="G193" i="11"/>
  <c r="C193" i="11"/>
  <c r="V193" i="11"/>
  <c r="R193" i="11"/>
  <c r="N193" i="11"/>
  <c r="J193" i="11"/>
  <c r="F193" i="11"/>
  <c r="U193" i="11"/>
  <c r="Q193" i="11"/>
  <c r="M193" i="11"/>
  <c r="I193" i="11"/>
  <c r="E193" i="11"/>
  <c r="T193" i="11"/>
  <c r="P193" i="11"/>
  <c r="L193" i="11"/>
  <c r="H193" i="11"/>
  <c r="D193" i="11"/>
  <c r="C116" i="10"/>
  <c r="E116" i="10"/>
  <c r="D116" i="10"/>
  <c r="C117" i="10"/>
  <c r="X123" i="14"/>
  <c r="T123" i="14"/>
  <c r="P123" i="14"/>
  <c r="L123" i="14"/>
  <c r="H123" i="14"/>
  <c r="D123" i="14"/>
  <c r="W123" i="14"/>
  <c r="S123" i="14"/>
  <c r="O123" i="14"/>
  <c r="K123" i="14"/>
  <c r="G123" i="14"/>
  <c r="C123" i="14"/>
  <c r="Z123" i="14"/>
  <c r="V123" i="14"/>
  <c r="R123" i="14"/>
  <c r="N123" i="14"/>
  <c r="J123" i="14"/>
  <c r="F123" i="14"/>
  <c r="U123" i="14"/>
  <c r="E123" i="14"/>
  <c r="Q123" i="14"/>
  <c r="M123" i="14"/>
  <c r="Y123" i="14"/>
  <c r="I123" i="14"/>
  <c r="U89" i="11"/>
  <c r="Q89" i="11"/>
  <c r="M89" i="11"/>
  <c r="I89" i="11"/>
  <c r="T89" i="11"/>
  <c r="P89" i="11"/>
  <c r="L89" i="11"/>
  <c r="H89" i="11"/>
  <c r="D89" i="11"/>
  <c r="S89" i="11"/>
  <c r="O89" i="11"/>
  <c r="K89" i="11"/>
  <c r="G89" i="11"/>
  <c r="C89" i="11"/>
  <c r="V89" i="11"/>
  <c r="R89" i="11"/>
  <c r="N89" i="11"/>
  <c r="J89" i="11"/>
  <c r="G93" i="6"/>
  <c r="E114" i="6"/>
  <c r="S26" i="6"/>
  <c r="T52" i="17"/>
  <c r="T54" i="17"/>
  <c r="T55" i="17"/>
  <c r="T15" i="17"/>
  <c r="T53" i="17"/>
  <c r="T14" i="17"/>
  <c r="T17" i="17"/>
  <c r="T16" i="17"/>
  <c r="AE53" i="17"/>
  <c r="AE55" i="17"/>
  <c r="AE52" i="17"/>
  <c r="AE54" i="17"/>
  <c r="AE16" i="17"/>
  <c r="AE15" i="17"/>
  <c r="AE14" i="17"/>
  <c r="AE17" i="17"/>
  <c r="S53" i="17"/>
  <c r="S55" i="17"/>
  <c r="S54" i="17"/>
  <c r="S52" i="17"/>
  <c r="S16" i="17"/>
  <c r="S15" i="17"/>
  <c r="S14" i="17"/>
  <c r="S17" i="17"/>
  <c r="G53" i="17"/>
  <c r="G55" i="17"/>
  <c r="G52" i="17"/>
  <c r="G24" i="17"/>
  <c r="G54" i="17"/>
  <c r="G16" i="17"/>
  <c r="G23" i="17"/>
  <c r="G15" i="17"/>
  <c r="G22" i="17"/>
  <c r="G14" i="17"/>
  <c r="G17" i="17"/>
  <c r="AG55" i="17"/>
  <c r="AG53" i="17"/>
  <c r="AG54" i="17"/>
  <c r="AG52" i="17"/>
  <c r="AG14" i="17"/>
  <c r="AG17" i="17"/>
  <c r="AG16" i="17"/>
  <c r="AG15" i="17"/>
  <c r="Y55" i="17"/>
  <c r="Y53" i="17"/>
  <c r="Y54" i="17"/>
  <c r="Y14" i="17"/>
  <c r="Y52" i="17"/>
  <c r="Y17" i="17"/>
  <c r="Y16" i="17"/>
  <c r="Y15" i="17"/>
  <c r="Q55" i="17"/>
  <c r="Q53" i="17"/>
  <c r="Q54" i="17"/>
  <c r="Q14" i="17"/>
  <c r="Q17" i="17"/>
  <c r="Q52" i="17"/>
  <c r="Q16" i="17"/>
  <c r="Q15" i="17"/>
  <c r="I55" i="17"/>
  <c r="I53" i="17"/>
  <c r="I54" i="17"/>
  <c r="I14" i="17"/>
  <c r="I17" i="17"/>
  <c r="I16" i="17"/>
  <c r="I52" i="17"/>
  <c r="I15" i="17"/>
  <c r="I24" i="17"/>
  <c r="AH54" i="17"/>
  <c r="AH52" i="17"/>
  <c r="AH53" i="17"/>
  <c r="AH55" i="17"/>
  <c r="AH17" i="17"/>
  <c r="AH16" i="17"/>
  <c r="AH15" i="17"/>
  <c r="AH14" i="17"/>
  <c r="R54" i="17"/>
  <c r="R52" i="17"/>
  <c r="R53" i="17"/>
  <c r="R55" i="17"/>
  <c r="R17" i="17"/>
  <c r="R16" i="17"/>
  <c r="R15" i="17"/>
  <c r="R14" i="17"/>
  <c r="W143" i="5"/>
  <c r="Z65" i="14"/>
  <c r="Z69" i="5"/>
  <c r="Z69" i="14" s="1"/>
  <c r="C21" i="14"/>
  <c r="C22" i="5"/>
  <c r="C22" i="14" s="1"/>
  <c r="Z46" i="13"/>
  <c r="Z50" i="4"/>
  <c r="R65" i="14"/>
  <c r="R68" i="5"/>
  <c r="V97" i="4"/>
  <c r="F97" i="4"/>
  <c r="P143" i="5"/>
  <c r="I143" i="5"/>
  <c r="Y143" i="5"/>
  <c r="X94" i="5"/>
  <c r="T94" i="5"/>
  <c r="P94" i="5"/>
  <c r="L94" i="5"/>
  <c r="H94" i="5"/>
  <c r="D94" i="5"/>
  <c r="W94" i="5"/>
  <c r="S94" i="5"/>
  <c r="O94" i="5"/>
  <c r="K94" i="5"/>
  <c r="G94" i="5"/>
  <c r="C94" i="5"/>
  <c r="Z94" i="5"/>
  <c r="V94" i="5"/>
  <c r="R94" i="5"/>
  <c r="N94" i="5"/>
  <c r="J94" i="5"/>
  <c r="F94" i="5"/>
  <c r="U94" i="5"/>
  <c r="E94" i="5"/>
  <c r="Q94" i="5"/>
  <c r="M94" i="5"/>
  <c r="Y94" i="5"/>
  <c r="I94" i="5"/>
  <c r="U97" i="4"/>
  <c r="E97" i="4"/>
  <c r="H65" i="14"/>
  <c r="H66" i="5"/>
  <c r="P99" i="5"/>
  <c r="D14" i="13"/>
  <c r="D62" i="13" s="1"/>
  <c r="D62" i="4"/>
  <c r="H100" i="8"/>
  <c r="W91" i="5"/>
  <c r="S91" i="5"/>
  <c r="O91" i="5"/>
  <c r="K91" i="5"/>
  <c r="G91" i="5"/>
  <c r="C91" i="5"/>
  <c r="Z91" i="5"/>
  <c r="V91" i="5"/>
  <c r="R91" i="5"/>
  <c r="N91" i="5"/>
  <c r="J91" i="5"/>
  <c r="F91" i="5"/>
  <c r="Y91" i="5"/>
  <c r="U91" i="5"/>
  <c r="Q91" i="5"/>
  <c r="M91" i="5"/>
  <c r="I91" i="5"/>
  <c r="E91" i="5"/>
  <c r="T91" i="5"/>
  <c r="D91" i="5"/>
  <c r="P91" i="5"/>
  <c r="L91" i="5"/>
  <c r="X91" i="5"/>
  <c r="H91" i="5"/>
  <c r="W30" i="13"/>
  <c r="W78" i="13" s="1"/>
  <c r="W78" i="4"/>
  <c r="W96" i="4" s="1"/>
  <c r="W99" i="4" s="1"/>
  <c r="D42" i="14"/>
  <c r="D111" i="14" s="1"/>
  <c r="D111" i="5"/>
  <c r="R46" i="13"/>
  <c r="R49" i="4"/>
  <c r="Y88" i="5"/>
  <c r="U88" i="5"/>
  <c r="Q88" i="5"/>
  <c r="M88" i="5"/>
  <c r="I88" i="5"/>
  <c r="E88" i="5"/>
  <c r="X88" i="5"/>
  <c r="T88" i="5"/>
  <c r="P88" i="5"/>
  <c r="L88" i="5"/>
  <c r="H88" i="5"/>
  <c r="D88" i="5"/>
  <c r="W88" i="5"/>
  <c r="S88" i="5"/>
  <c r="O88" i="5"/>
  <c r="K88" i="5"/>
  <c r="G88" i="5"/>
  <c r="C88" i="5"/>
  <c r="N88" i="5"/>
  <c r="Z88" i="5"/>
  <c r="J88" i="5"/>
  <c r="V88" i="5"/>
  <c r="F88" i="5"/>
  <c r="R88" i="5"/>
  <c r="J51" i="12"/>
  <c r="J93" i="12" s="1"/>
  <c r="J34" i="8"/>
  <c r="J33" i="8"/>
  <c r="J32" i="8"/>
  <c r="J31" i="8"/>
  <c r="C51" i="12"/>
  <c r="C93" i="12" s="1"/>
  <c r="C100" i="12" s="1"/>
  <c r="C34" i="8"/>
  <c r="C32" i="8"/>
  <c r="C33" i="8"/>
  <c r="C31" i="8"/>
  <c r="S51" i="12"/>
  <c r="S93" i="12" s="1"/>
  <c r="S34" i="8"/>
  <c r="S32" i="8"/>
  <c r="S33" i="8"/>
  <c r="S31" i="8"/>
  <c r="P51" i="12"/>
  <c r="P93" i="12" s="1"/>
  <c r="P34" i="8"/>
  <c r="P33" i="8"/>
  <c r="P32" i="8"/>
  <c r="P31" i="8"/>
  <c r="M51" i="12"/>
  <c r="M93" i="12" s="1"/>
  <c r="M34" i="8"/>
  <c r="M32" i="8"/>
  <c r="M33" i="8"/>
  <c r="M31" i="8"/>
  <c r="C37" i="12"/>
  <c r="C80" i="12" s="1"/>
  <c r="M50" i="8"/>
  <c r="I50" i="8"/>
  <c r="D41" i="8"/>
  <c r="C40" i="8"/>
  <c r="D37" i="8"/>
  <c r="K50" i="8"/>
  <c r="E40" i="8"/>
  <c r="E40" i="12" s="1"/>
  <c r="I43" i="8"/>
  <c r="C20" i="8"/>
  <c r="C16" i="8"/>
  <c r="E42" i="8"/>
  <c r="E39" i="8"/>
  <c r="E39" i="12" s="1"/>
  <c r="E82" i="12" s="1"/>
  <c r="C19" i="8"/>
  <c r="C15" i="8"/>
  <c r="C39" i="8"/>
  <c r="C41" i="8"/>
  <c r="C17" i="8"/>
  <c r="C17" i="12" s="1"/>
  <c r="E25" i="12"/>
  <c r="E68" i="8"/>
  <c r="F25" i="8"/>
  <c r="E158" i="11"/>
  <c r="E196" i="11" s="1"/>
  <c r="F188" i="1"/>
  <c r="D21" i="12"/>
  <c r="D64" i="12" s="1"/>
  <c r="D64" i="8"/>
  <c r="E21" i="8"/>
  <c r="R116" i="1"/>
  <c r="H74" i="11"/>
  <c r="H197" i="1"/>
  <c r="H167" i="11" s="1"/>
  <c r="E60" i="11"/>
  <c r="E98" i="11" s="1"/>
  <c r="E183" i="1"/>
  <c r="E153" i="11" s="1"/>
  <c r="E8" i="11"/>
  <c r="E22" i="11" s="1"/>
  <c r="F8" i="1"/>
  <c r="C164" i="11"/>
  <c r="C202" i="11" s="1"/>
  <c r="C177" i="1"/>
  <c r="E71" i="11"/>
  <c r="E194" i="1"/>
  <c r="F71" i="1"/>
  <c r="E54" i="1"/>
  <c r="E92" i="1" s="1"/>
  <c r="E109" i="1"/>
  <c r="E118" i="1" s="1"/>
  <c r="D32" i="1"/>
  <c r="D33" i="1" s="1"/>
  <c r="D270" i="1" s="1"/>
  <c r="N127" i="6"/>
  <c r="I80" i="10"/>
  <c r="I121" i="10" s="1"/>
  <c r="J81" i="6"/>
  <c r="J80" i="6"/>
  <c r="E60" i="10"/>
  <c r="F60" i="6"/>
  <c r="H53" i="10"/>
  <c r="H94" i="10" s="1"/>
  <c r="I53" i="6"/>
  <c r="V30" i="6"/>
  <c r="R30" i="6"/>
  <c r="N30" i="6"/>
  <c r="J30" i="6"/>
  <c r="F30" i="6"/>
  <c r="U30" i="6"/>
  <c r="Q30" i="6"/>
  <c r="M30" i="6"/>
  <c r="I30" i="6"/>
  <c r="E30" i="6"/>
  <c r="E34" i="6" s="1"/>
  <c r="E35" i="6" s="1"/>
  <c r="T30" i="6"/>
  <c r="P30" i="6"/>
  <c r="L30" i="6"/>
  <c r="H30" i="6"/>
  <c r="D30" i="6"/>
  <c r="D34" i="6" s="1"/>
  <c r="D35" i="6" s="1"/>
  <c r="S30" i="6"/>
  <c r="O30" i="6"/>
  <c r="K30" i="6"/>
  <c r="G30" i="6"/>
  <c r="C30" i="6"/>
  <c r="C34" i="6" s="1"/>
  <c r="C35" i="6" s="1"/>
  <c r="X134" i="14"/>
  <c r="T134" i="14"/>
  <c r="P134" i="14"/>
  <c r="L134" i="14"/>
  <c r="H134" i="14"/>
  <c r="D134" i="14"/>
  <c r="W134" i="14"/>
  <c r="S134" i="14"/>
  <c r="O134" i="14"/>
  <c r="K134" i="14"/>
  <c r="G134" i="14"/>
  <c r="C134" i="14"/>
  <c r="Z134" i="14"/>
  <c r="V134" i="14"/>
  <c r="N134" i="14"/>
  <c r="J134" i="14"/>
  <c r="F134" i="14"/>
  <c r="Q134" i="14"/>
  <c r="M134" i="14"/>
  <c r="Y134" i="14"/>
  <c r="I134" i="14"/>
  <c r="E134" i="14"/>
  <c r="U134" i="14"/>
  <c r="H100" i="12"/>
  <c r="L93" i="8"/>
  <c r="M93" i="8"/>
  <c r="J93" i="8"/>
  <c r="C93" i="8"/>
  <c r="C100" i="8" s="1"/>
  <c r="S93" i="8"/>
  <c r="S83" i="8"/>
  <c r="O83" i="8"/>
  <c r="K83" i="8"/>
  <c r="G83" i="8"/>
  <c r="C83" i="8"/>
  <c r="V83" i="8"/>
  <c r="R83" i="8"/>
  <c r="N83" i="8"/>
  <c r="J83" i="8"/>
  <c r="F83" i="8"/>
  <c r="U83" i="8"/>
  <c r="Q83" i="8"/>
  <c r="M83" i="8"/>
  <c r="I83" i="8"/>
  <c r="E83" i="8"/>
  <c r="H83" i="8"/>
  <c r="T83" i="8"/>
  <c r="P83" i="8"/>
  <c r="L83" i="8"/>
  <c r="T89" i="8"/>
  <c r="V89" i="8"/>
  <c r="V87" i="8"/>
  <c r="C226" i="1"/>
  <c r="E226" i="1"/>
  <c r="D226" i="1"/>
  <c r="W83" i="14"/>
  <c r="S83" i="14"/>
  <c r="O83" i="14"/>
  <c r="K83" i="14"/>
  <c r="G83" i="14"/>
  <c r="C83" i="14"/>
  <c r="Z83" i="14"/>
  <c r="V83" i="14"/>
  <c r="R83" i="14"/>
  <c r="N83" i="14"/>
  <c r="J83" i="14"/>
  <c r="F83" i="14"/>
  <c r="Y83" i="14"/>
  <c r="U83" i="14"/>
  <c r="Q83" i="14"/>
  <c r="M83" i="14"/>
  <c r="I83" i="14"/>
  <c r="E83" i="14"/>
  <c r="X83" i="14"/>
  <c r="H83" i="14"/>
  <c r="T83" i="14"/>
  <c r="D83" i="14"/>
  <c r="P83" i="14"/>
  <c r="L83" i="14"/>
  <c r="X81" i="5"/>
  <c r="T81" i="5"/>
  <c r="P81" i="5"/>
  <c r="L81" i="5"/>
  <c r="H81" i="5"/>
  <c r="D81" i="5"/>
  <c r="W81" i="5"/>
  <c r="S81" i="5"/>
  <c r="O81" i="5"/>
  <c r="K81" i="5"/>
  <c r="G81" i="5"/>
  <c r="C81" i="5"/>
  <c r="Z81" i="5"/>
  <c r="V81" i="5"/>
  <c r="R81" i="5"/>
  <c r="N81" i="5"/>
  <c r="J81" i="5"/>
  <c r="F81" i="5"/>
  <c r="U81" i="5"/>
  <c r="E81" i="5"/>
  <c r="Q81" i="5"/>
  <c r="M81" i="5"/>
  <c r="Y81" i="5"/>
  <c r="I81" i="5"/>
  <c r="F95" i="10"/>
  <c r="I95" i="10"/>
  <c r="E95" i="10"/>
  <c r="H95" i="10"/>
  <c r="D95" i="10"/>
  <c r="G95" i="10"/>
  <c r="C95" i="10"/>
  <c r="W79" i="14"/>
  <c r="S79" i="14"/>
  <c r="O79" i="14"/>
  <c r="K79" i="14"/>
  <c r="G79" i="14"/>
  <c r="C79" i="14"/>
  <c r="Z79" i="14"/>
  <c r="V79" i="14"/>
  <c r="R79" i="14"/>
  <c r="N79" i="14"/>
  <c r="J79" i="14"/>
  <c r="F79" i="14"/>
  <c r="Y79" i="14"/>
  <c r="U79" i="14"/>
  <c r="Q79" i="14"/>
  <c r="M79" i="14"/>
  <c r="I79" i="14"/>
  <c r="E79" i="14"/>
  <c r="P79" i="14"/>
  <c r="L79" i="14"/>
  <c r="X79" i="14"/>
  <c r="H79" i="14"/>
  <c r="D79" i="14"/>
  <c r="T79" i="14"/>
  <c r="Y82" i="14"/>
  <c r="U82" i="14"/>
  <c r="Q82" i="14"/>
  <c r="M82" i="14"/>
  <c r="I82" i="14"/>
  <c r="E82" i="14"/>
  <c r="X82" i="14"/>
  <c r="T82" i="14"/>
  <c r="P82" i="14"/>
  <c r="L82" i="14"/>
  <c r="H82" i="14"/>
  <c r="D82" i="14"/>
  <c r="W82" i="14"/>
  <c r="S82" i="14"/>
  <c r="O82" i="14"/>
  <c r="K82" i="14"/>
  <c r="G82" i="14"/>
  <c r="C82" i="14"/>
  <c r="V82" i="14"/>
  <c r="F82" i="14"/>
  <c r="R82" i="14"/>
  <c r="N82" i="14"/>
  <c r="Z82" i="14"/>
  <c r="J82" i="14"/>
  <c r="U68" i="4"/>
  <c r="Q68" i="4"/>
  <c r="Q96" i="4" s="1"/>
  <c r="M68" i="4"/>
  <c r="M96" i="4" s="1"/>
  <c r="I68" i="4"/>
  <c r="I96" i="4" s="1"/>
  <c r="E68" i="4"/>
  <c r="B89" i="5"/>
  <c r="S68" i="4"/>
  <c r="S96" i="4" s="1"/>
  <c r="O68" i="4"/>
  <c r="K68" i="4"/>
  <c r="K96" i="4" s="1"/>
  <c r="G68" i="4"/>
  <c r="G96" i="4" s="1"/>
  <c r="C68" i="4"/>
  <c r="P68" i="4"/>
  <c r="P96" i="4" s="1"/>
  <c r="H68" i="4"/>
  <c r="V68" i="4"/>
  <c r="V96" i="4" s="1"/>
  <c r="N68" i="4"/>
  <c r="F68" i="4"/>
  <c r="F96" i="4" s="1"/>
  <c r="T68" i="4"/>
  <c r="L68" i="4"/>
  <c r="D68" i="4"/>
  <c r="R68" i="4"/>
  <c r="R96" i="4" s="1"/>
  <c r="J68" i="4"/>
  <c r="J96" i="4" s="1"/>
  <c r="G111" i="6"/>
  <c r="C111" i="6"/>
  <c r="C127" i="6" s="1"/>
  <c r="F111" i="6"/>
  <c r="E111" i="6"/>
  <c r="H111" i="6"/>
  <c r="D111" i="6"/>
  <c r="H80" i="10"/>
  <c r="H121" i="10" s="1"/>
  <c r="I81" i="6"/>
  <c r="R203" i="11"/>
  <c r="N203" i="11"/>
  <c r="J203" i="11"/>
  <c r="Q203" i="11"/>
  <c r="M203" i="11"/>
  <c r="E203" i="11"/>
  <c r="P203" i="11"/>
  <c r="L203" i="11"/>
  <c r="D203" i="11"/>
  <c r="S203" i="11"/>
  <c r="O203" i="11"/>
  <c r="K203" i="11"/>
  <c r="C203" i="11"/>
  <c r="S191" i="11"/>
  <c r="O191" i="11"/>
  <c r="K191" i="11"/>
  <c r="G191" i="11"/>
  <c r="C191" i="11"/>
  <c r="V191" i="11"/>
  <c r="R191" i="11"/>
  <c r="N191" i="11"/>
  <c r="J191" i="11"/>
  <c r="F191" i="11"/>
  <c r="U191" i="11"/>
  <c r="Q191" i="11"/>
  <c r="M191" i="11"/>
  <c r="I191" i="11"/>
  <c r="E191" i="11"/>
  <c r="T191" i="11"/>
  <c r="P191" i="11"/>
  <c r="L191" i="11"/>
  <c r="H191" i="11"/>
  <c r="D191" i="11"/>
  <c r="Y115" i="14"/>
  <c r="U115" i="14"/>
  <c r="Q115" i="14"/>
  <c r="M115" i="14"/>
  <c r="I115" i="14"/>
  <c r="E115" i="14"/>
  <c r="X115" i="14"/>
  <c r="T115" i="14"/>
  <c r="P115" i="14"/>
  <c r="L115" i="14"/>
  <c r="H115" i="14"/>
  <c r="D115" i="14"/>
  <c r="W115" i="14"/>
  <c r="S115" i="14"/>
  <c r="O115" i="14"/>
  <c r="K115" i="14"/>
  <c r="G115" i="14"/>
  <c r="C115" i="14"/>
  <c r="R115" i="14"/>
  <c r="N115" i="14"/>
  <c r="Z115" i="14"/>
  <c r="J115" i="14"/>
  <c r="V115" i="14"/>
  <c r="F115" i="14"/>
  <c r="B91" i="10"/>
  <c r="F90" i="10"/>
  <c r="C90" i="10"/>
  <c r="B90" i="14"/>
  <c r="X69" i="13"/>
  <c r="T69" i="13"/>
  <c r="P69" i="13"/>
  <c r="L69" i="13"/>
  <c r="H69" i="13"/>
  <c r="D69" i="13"/>
  <c r="B75" i="13"/>
  <c r="W69" i="13"/>
  <c r="S69" i="13"/>
  <c r="O69" i="13"/>
  <c r="K69" i="13"/>
  <c r="G69" i="13"/>
  <c r="C69" i="13"/>
  <c r="Z69" i="13"/>
  <c r="V69" i="13"/>
  <c r="R69" i="13"/>
  <c r="N69" i="13"/>
  <c r="J69" i="13"/>
  <c r="F69" i="13"/>
  <c r="U69" i="13"/>
  <c r="E69" i="13"/>
  <c r="Q69" i="13"/>
  <c r="M69" i="13"/>
  <c r="Y69" i="13"/>
  <c r="I69" i="13"/>
  <c r="B176" i="11"/>
  <c r="T83" i="11"/>
  <c r="P83" i="11"/>
  <c r="L83" i="11"/>
  <c r="H83" i="11"/>
  <c r="D83" i="11"/>
  <c r="S83" i="11"/>
  <c r="O83" i="11"/>
  <c r="K83" i="11"/>
  <c r="G83" i="11"/>
  <c r="C83" i="11"/>
  <c r="V83" i="11"/>
  <c r="R83" i="11"/>
  <c r="N83" i="11"/>
  <c r="J83" i="11"/>
  <c r="F83" i="11"/>
  <c r="U83" i="11"/>
  <c r="Q83" i="11"/>
  <c r="M83" i="11"/>
  <c r="I83" i="11"/>
  <c r="E83" i="11"/>
  <c r="U33" i="10"/>
  <c r="U36" i="10" s="1"/>
  <c r="Q33" i="10"/>
  <c r="Q36" i="10" s="1"/>
  <c r="M33" i="10"/>
  <c r="M36" i="10" s="1"/>
  <c r="I33" i="10"/>
  <c r="I36" i="10" s="1"/>
  <c r="E33" i="10"/>
  <c r="E36" i="10" s="1"/>
  <c r="S33" i="10"/>
  <c r="S36" i="10" s="1"/>
  <c r="O33" i="10"/>
  <c r="O36" i="10" s="1"/>
  <c r="K33" i="10"/>
  <c r="K36" i="10" s="1"/>
  <c r="G33" i="10"/>
  <c r="G36" i="10" s="1"/>
  <c r="C33" i="10"/>
  <c r="C36" i="10" s="1"/>
  <c r="V33" i="10"/>
  <c r="V36" i="10" s="1"/>
  <c r="N33" i="10"/>
  <c r="N36" i="10" s="1"/>
  <c r="F33" i="10"/>
  <c r="F36" i="10" s="1"/>
  <c r="T33" i="10"/>
  <c r="T36" i="10" s="1"/>
  <c r="L33" i="10"/>
  <c r="L36" i="10" s="1"/>
  <c r="D33" i="10"/>
  <c r="D36" i="10" s="1"/>
  <c r="R33" i="10"/>
  <c r="R36" i="10" s="1"/>
  <c r="J33" i="10"/>
  <c r="J36" i="10" s="1"/>
  <c r="P33" i="10"/>
  <c r="P36" i="10" s="1"/>
  <c r="H33" i="10"/>
  <c r="H36" i="10" s="1"/>
  <c r="H94" i="6"/>
  <c r="L127" i="6"/>
  <c r="E79" i="10"/>
  <c r="E120" i="10" s="1"/>
  <c r="E64" i="6"/>
  <c r="E63" i="6"/>
  <c r="E63" i="10" s="1"/>
  <c r="E62" i="6"/>
  <c r="E61" i="6"/>
  <c r="E61" i="10" s="1"/>
  <c r="F79" i="6"/>
  <c r="E76" i="6"/>
  <c r="E72" i="10"/>
  <c r="E113" i="10" s="1"/>
  <c r="F72" i="6"/>
  <c r="S27" i="6"/>
  <c r="K25" i="6"/>
  <c r="P233" i="1"/>
  <c r="L233" i="1"/>
  <c r="D233" i="1"/>
  <c r="S233" i="1"/>
  <c r="O233" i="1"/>
  <c r="K233" i="1"/>
  <c r="C233" i="1"/>
  <c r="C241" i="1" s="1"/>
  <c r="R233" i="1"/>
  <c r="N233" i="1"/>
  <c r="J233" i="1"/>
  <c r="Q233" i="1"/>
  <c r="M233" i="1"/>
  <c r="E233" i="1"/>
  <c r="E98" i="1"/>
  <c r="E116" i="1" s="1"/>
  <c r="W127" i="14"/>
  <c r="S127" i="14"/>
  <c r="O127" i="14"/>
  <c r="K127" i="14"/>
  <c r="G127" i="14"/>
  <c r="C127" i="14"/>
  <c r="Z127" i="14"/>
  <c r="V127" i="14"/>
  <c r="R127" i="14"/>
  <c r="N127" i="14"/>
  <c r="J127" i="14"/>
  <c r="F127" i="14"/>
  <c r="Y127" i="14"/>
  <c r="U127" i="14"/>
  <c r="Q127" i="14"/>
  <c r="M127" i="14"/>
  <c r="I127" i="14"/>
  <c r="E127" i="14"/>
  <c r="L127" i="14"/>
  <c r="X127" i="14"/>
  <c r="T127" i="14"/>
  <c r="D127" i="14"/>
  <c r="P127" i="14"/>
  <c r="X79" i="5"/>
  <c r="T79" i="5"/>
  <c r="P79" i="5"/>
  <c r="L79" i="5"/>
  <c r="H79" i="5"/>
  <c r="D79" i="5"/>
  <c r="D141" i="5" s="1"/>
  <c r="W79" i="5"/>
  <c r="S79" i="5"/>
  <c r="O79" i="5"/>
  <c r="K79" i="5"/>
  <c r="G79" i="5"/>
  <c r="C79" i="5"/>
  <c r="C141" i="5" s="1"/>
  <c r="Z79" i="5"/>
  <c r="V79" i="5"/>
  <c r="R79" i="5"/>
  <c r="N79" i="5"/>
  <c r="J79" i="5"/>
  <c r="F79" i="5"/>
  <c r="M79" i="5"/>
  <c r="Y79" i="5"/>
  <c r="I79" i="5"/>
  <c r="U79" i="5"/>
  <c r="E79" i="5"/>
  <c r="Q79" i="5"/>
  <c r="D96" i="4"/>
  <c r="D108" i="4" s="1"/>
  <c r="N96" i="4"/>
  <c r="N106" i="4" s="1"/>
  <c r="E96" i="4"/>
  <c r="U96" i="4"/>
  <c r="O96" i="4"/>
  <c r="O108" i="4" s="1"/>
  <c r="U82" i="8"/>
  <c r="Q82" i="8"/>
  <c r="M82" i="8"/>
  <c r="I82" i="8"/>
  <c r="E82" i="8"/>
  <c r="T82" i="8"/>
  <c r="P82" i="8"/>
  <c r="L82" i="8"/>
  <c r="H82" i="8"/>
  <c r="S82" i="8"/>
  <c r="O82" i="8"/>
  <c r="K82" i="8"/>
  <c r="G82" i="8"/>
  <c r="C82" i="8"/>
  <c r="R82" i="8"/>
  <c r="N82" i="8"/>
  <c r="J82" i="8"/>
  <c r="V82" i="8"/>
  <c r="F82" i="8"/>
  <c r="V86" i="8"/>
  <c r="Z82" i="5"/>
  <c r="V82" i="5"/>
  <c r="R82" i="5"/>
  <c r="N82" i="5"/>
  <c r="J82" i="5"/>
  <c r="F82" i="5"/>
  <c r="Y82" i="5"/>
  <c r="U82" i="5"/>
  <c r="Q82" i="5"/>
  <c r="M82" i="5"/>
  <c r="I82" i="5"/>
  <c r="E82" i="5"/>
  <c r="X82" i="5"/>
  <c r="T82" i="5"/>
  <c r="P82" i="5"/>
  <c r="L82" i="5"/>
  <c r="H82" i="5"/>
  <c r="D82" i="5"/>
  <c r="W82" i="5"/>
  <c r="G82" i="5"/>
  <c r="S82" i="5"/>
  <c r="C82" i="5"/>
  <c r="O82" i="5"/>
  <c r="K82" i="5"/>
  <c r="G73" i="12"/>
  <c r="C73" i="12"/>
  <c r="F73" i="12"/>
  <c r="E73" i="12"/>
  <c r="D73" i="12"/>
  <c r="H73" i="12"/>
  <c r="B92" i="11"/>
  <c r="B23" i="11"/>
  <c r="U56" i="12"/>
  <c r="Q56" i="12"/>
  <c r="M56" i="12"/>
  <c r="I56" i="12"/>
  <c r="E56" i="12"/>
  <c r="T56" i="12"/>
  <c r="P56" i="12"/>
  <c r="L56" i="12"/>
  <c r="H56" i="12"/>
  <c r="D56" i="12"/>
  <c r="S56" i="12"/>
  <c r="O56" i="12"/>
  <c r="K56" i="12"/>
  <c r="G56" i="12"/>
  <c r="C56" i="12"/>
  <c r="N56" i="12"/>
  <c r="V56" i="12"/>
  <c r="F56" i="12"/>
  <c r="R56" i="12"/>
  <c r="J56" i="12"/>
  <c r="S59" i="12"/>
  <c r="O59" i="12"/>
  <c r="K59" i="12"/>
  <c r="G59" i="12"/>
  <c r="V59" i="12"/>
  <c r="R59" i="12"/>
  <c r="N59" i="12"/>
  <c r="J59" i="12"/>
  <c r="F59" i="12"/>
  <c r="U59" i="12"/>
  <c r="Q59" i="12"/>
  <c r="M59" i="12"/>
  <c r="I59" i="12"/>
  <c r="E59" i="12"/>
  <c r="P59" i="12"/>
  <c r="H59" i="12"/>
  <c r="D59" i="12"/>
  <c r="T59" i="12"/>
  <c r="L59" i="12"/>
  <c r="E68" i="12"/>
  <c r="D68" i="12"/>
  <c r="C68" i="12"/>
  <c r="X105" i="14"/>
  <c r="T105" i="14"/>
  <c r="P105" i="14"/>
  <c r="L105" i="14"/>
  <c r="H105" i="14"/>
  <c r="D105" i="14"/>
  <c r="W105" i="14"/>
  <c r="S105" i="14"/>
  <c r="O105" i="14"/>
  <c r="K105" i="14"/>
  <c r="G105" i="14"/>
  <c r="C105" i="14"/>
  <c r="Z105" i="14"/>
  <c r="V105" i="14"/>
  <c r="R105" i="14"/>
  <c r="N105" i="14"/>
  <c r="J105" i="14"/>
  <c r="F105" i="14"/>
  <c r="Y105" i="14"/>
  <c r="I105" i="14"/>
  <c r="U105" i="14"/>
  <c r="E105" i="14"/>
  <c r="Q105" i="14"/>
  <c r="M105" i="14"/>
  <c r="Z106" i="14"/>
  <c r="V106" i="14"/>
  <c r="R106" i="14"/>
  <c r="N106" i="14"/>
  <c r="J106" i="14"/>
  <c r="F106" i="14"/>
  <c r="Y106" i="14"/>
  <c r="U106" i="14"/>
  <c r="Q106" i="14"/>
  <c r="M106" i="14"/>
  <c r="I106" i="14"/>
  <c r="E106" i="14"/>
  <c r="X106" i="14"/>
  <c r="T106" i="14"/>
  <c r="P106" i="14"/>
  <c r="L106" i="14"/>
  <c r="H106" i="14"/>
  <c r="D106" i="14"/>
  <c r="K106" i="14"/>
  <c r="W106" i="14"/>
  <c r="G106" i="14"/>
  <c r="S106" i="14"/>
  <c r="C106" i="14"/>
  <c r="O106" i="14"/>
  <c r="V83" i="12"/>
  <c r="R83" i="12"/>
  <c r="N83" i="12"/>
  <c r="J83" i="12"/>
  <c r="F83" i="12"/>
  <c r="U83" i="12"/>
  <c r="Q83" i="12"/>
  <c r="M83" i="12"/>
  <c r="I83" i="12"/>
  <c r="E83" i="12"/>
  <c r="T83" i="12"/>
  <c r="P83" i="12"/>
  <c r="L83" i="12"/>
  <c r="H83" i="12"/>
  <c r="G83" i="12"/>
  <c r="S83" i="12"/>
  <c r="O83" i="12"/>
  <c r="K83" i="12"/>
  <c r="W81" i="14"/>
  <c r="S81" i="14"/>
  <c r="O81" i="14"/>
  <c r="K81" i="14"/>
  <c r="G81" i="14"/>
  <c r="C81" i="14"/>
  <c r="Z81" i="14"/>
  <c r="V81" i="14"/>
  <c r="R81" i="14"/>
  <c r="N81" i="14"/>
  <c r="J81" i="14"/>
  <c r="F81" i="14"/>
  <c r="Y81" i="14"/>
  <c r="U81" i="14"/>
  <c r="Q81" i="14"/>
  <c r="M81" i="14"/>
  <c r="I81" i="14"/>
  <c r="E81" i="14"/>
  <c r="T81" i="14"/>
  <c r="D81" i="14"/>
  <c r="P81" i="14"/>
  <c r="L81" i="14"/>
  <c r="X81" i="14"/>
  <c r="H81" i="14"/>
  <c r="B91" i="14"/>
  <c r="Z70" i="13"/>
  <c r="V70" i="13"/>
  <c r="R70" i="13"/>
  <c r="N70" i="13"/>
  <c r="J70" i="13"/>
  <c r="F70" i="13"/>
  <c r="Y70" i="13"/>
  <c r="U70" i="13"/>
  <c r="Q70" i="13"/>
  <c r="M70" i="13"/>
  <c r="I70" i="13"/>
  <c r="E70" i="13"/>
  <c r="X70" i="13"/>
  <c r="T70" i="13"/>
  <c r="P70" i="13"/>
  <c r="L70" i="13"/>
  <c r="H70" i="13"/>
  <c r="D70" i="13"/>
  <c r="W70" i="13"/>
  <c r="G70" i="13"/>
  <c r="S70" i="13"/>
  <c r="O70" i="13"/>
  <c r="K70" i="13"/>
  <c r="U24" i="10"/>
  <c r="Q24" i="10"/>
  <c r="M24" i="10"/>
  <c r="I24" i="10"/>
  <c r="E24" i="10"/>
  <c r="S24" i="10"/>
  <c r="O24" i="10"/>
  <c r="K24" i="10"/>
  <c r="G24" i="10"/>
  <c r="C24" i="10"/>
  <c r="P24" i="10"/>
  <c r="H24" i="10"/>
  <c r="V24" i="10"/>
  <c r="N24" i="10"/>
  <c r="F24" i="10"/>
  <c r="T24" i="10"/>
  <c r="L24" i="10"/>
  <c r="D24" i="10"/>
  <c r="R24" i="10"/>
  <c r="J24" i="10"/>
  <c r="G81" i="6"/>
  <c r="F80" i="10"/>
  <c r="F121" i="10" s="1"/>
  <c r="B135" i="14"/>
  <c r="X95" i="13"/>
  <c r="X97" i="13" s="1"/>
  <c r="T95" i="13"/>
  <c r="T97" i="13" s="1"/>
  <c r="P95" i="13"/>
  <c r="P97" i="13" s="1"/>
  <c r="L95" i="13"/>
  <c r="H95" i="13"/>
  <c r="H97" i="13" s="1"/>
  <c r="D95" i="13"/>
  <c r="D97" i="13" s="1"/>
  <c r="W95" i="13"/>
  <c r="W97" i="13" s="1"/>
  <c r="S95" i="13"/>
  <c r="S97" i="13" s="1"/>
  <c r="O95" i="13"/>
  <c r="O97" i="13" s="1"/>
  <c r="K95" i="13"/>
  <c r="K97" i="13" s="1"/>
  <c r="G95" i="13"/>
  <c r="G97" i="13" s="1"/>
  <c r="C95" i="13"/>
  <c r="C97" i="13" s="1"/>
  <c r="V95" i="13"/>
  <c r="V97" i="13" s="1"/>
  <c r="R95" i="13"/>
  <c r="N95" i="13"/>
  <c r="N97" i="13" s="1"/>
  <c r="J95" i="13"/>
  <c r="J97" i="13" s="1"/>
  <c r="F95" i="13"/>
  <c r="F97" i="13" s="1"/>
  <c r="U95" i="13"/>
  <c r="U97" i="13" s="1"/>
  <c r="E95" i="13"/>
  <c r="E97" i="13" s="1"/>
  <c r="Q95" i="13"/>
  <c r="Q97" i="13" s="1"/>
  <c r="M95" i="13"/>
  <c r="M97" i="13" s="1"/>
  <c r="I95" i="13"/>
  <c r="I97" i="13" s="1"/>
  <c r="Y95" i="13"/>
  <c r="Y97" i="13" s="1"/>
  <c r="C109" i="11"/>
  <c r="C118" i="11" s="1"/>
  <c r="E109" i="11"/>
  <c r="E118" i="11" s="1"/>
  <c r="D109" i="11"/>
  <c r="D118" i="11" s="1"/>
  <c r="W129" i="14"/>
  <c r="S129" i="14"/>
  <c r="O129" i="14"/>
  <c r="K129" i="14"/>
  <c r="G129" i="14"/>
  <c r="C129" i="14"/>
  <c r="Z129" i="14"/>
  <c r="V129" i="14"/>
  <c r="R129" i="14"/>
  <c r="N129" i="14"/>
  <c r="J129" i="14"/>
  <c r="F129" i="14"/>
  <c r="Y129" i="14"/>
  <c r="U129" i="14"/>
  <c r="Q129" i="14"/>
  <c r="M129" i="14"/>
  <c r="I129" i="14"/>
  <c r="E129" i="14"/>
  <c r="X129" i="14"/>
  <c r="H129" i="14"/>
  <c r="T129" i="14"/>
  <c r="D129" i="14"/>
  <c r="P129" i="14"/>
  <c r="L129" i="14"/>
  <c r="Y117" i="14"/>
  <c r="U117" i="14"/>
  <c r="Q117" i="14"/>
  <c r="M117" i="14"/>
  <c r="I117" i="14"/>
  <c r="E117" i="14"/>
  <c r="X117" i="14"/>
  <c r="T117" i="14"/>
  <c r="P117" i="14"/>
  <c r="L117" i="14"/>
  <c r="H117" i="14"/>
  <c r="D117" i="14"/>
  <c r="W117" i="14"/>
  <c r="S117" i="14"/>
  <c r="O117" i="14"/>
  <c r="K117" i="14"/>
  <c r="G117" i="14"/>
  <c r="C117" i="14"/>
  <c r="V117" i="14"/>
  <c r="F117" i="14"/>
  <c r="R117" i="14"/>
  <c r="N117" i="14"/>
  <c r="Z117" i="14"/>
  <c r="J117" i="14"/>
  <c r="T30" i="10"/>
  <c r="P30" i="10"/>
  <c r="L30" i="10"/>
  <c r="H30" i="10"/>
  <c r="D30" i="10"/>
  <c r="D34" i="10" s="1"/>
  <c r="D35" i="10" s="1"/>
  <c r="V30" i="10"/>
  <c r="R30" i="10"/>
  <c r="N30" i="10"/>
  <c r="J30" i="10"/>
  <c r="F30" i="10"/>
  <c r="O30" i="10"/>
  <c r="G30" i="10"/>
  <c r="U30" i="10"/>
  <c r="M30" i="10"/>
  <c r="E30" i="10"/>
  <c r="S30" i="10"/>
  <c r="K30" i="10"/>
  <c r="C30" i="10"/>
  <c r="C34" i="10" s="1"/>
  <c r="C35" i="10" s="1"/>
  <c r="Q30" i="10"/>
  <c r="I30" i="10"/>
  <c r="X86" i="14"/>
  <c r="T86" i="14"/>
  <c r="P86" i="14"/>
  <c r="L86" i="14"/>
  <c r="H86" i="14"/>
  <c r="D86" i="14"/>
  <c r="W86" i="14"/>
  <c r="S86" i="14"/>
  <c r="O86" i="14"/>
  <c r="K86" i="14"/>
  <c r="G86" i="14"/>
  <c r="C86" i="14"/>
  <c r="Z86" i="14"/>
  <c r="V86" i="14"/>
  <c r="R86" i="14"/>
  <c r="N86" i="14"/>
  <c r="J86" i="14"/>
  <c r="F86" i="14"/>
  <c r="Y86" i="14"/>
  <c r="I86" i="14"/>
  <c r="U86" i="14"/>
  <c r="E86" i="14"/>
  <c r="Q86" i="14"/>
  <c r="M86" i="14"/>
  <c r="V182" i="11"/>
  <c r="R182" i="11"/>
  <c r="N182" i="11"/>
  <c r="J182" i="11"/>
  <c r="U182" i="11"/>
  <c r="Q182" i="11"/>
  <c r="M182" i="11"/>
  <c r="I182" i="11"/>
  <c r="T182" i="11"/>
  <c r="P182" i="11"/>
  <c r="L182" i="11"/>
  <c r="H182" i="11"/>
  <c r="S182" i="11"/>
  <c r="O182" i="11"/>
  <c r="K182" i="11"/>
  <c r="G182" i="11"/>
  <c r="C182" i="11"/>
  <c r="S24" i="6"/>
  <c r="G108" i="4" l="1"/>
  <c r="G99" i="4"/>
  <c r="G106" i="4"/>
  <c r="C33" i="1"/>
  <c r="C36" i="1"/>
  <c r="P108" i="4"/>
  <c r="P99" i="4"/>
  <c r="P106" i="4"/>
  <c r="E33" i="1"/>
  <c r="E36" i="1"/>
  <c r="M106" i="4"/>
  <c r="M108" i="4"/>
  <c r="M99" i="4"/>
  <c r="G81" i="10"/>
  <c r="H82" i="10" s="1"/>
  <c r="H82" i="6"/>
  <c r="E62" i="10"/>
  <c r="E103" i="10" s="1"/>
  <c r="E103" i="6"/>
  <c r="F60" i="10"/>
  <c r="G60" i="6"/>
  <c r="F158" i="11"/>
  <c r="F196" i="11" s="1"/>
  <c r="G188" i="1"/>
  <c r="C15" i="12"/>
  <c r="C58" i="12" s="1"/>
  <c r="C58" i="8"/>
  <c r="C16" i="12"/>
  <c r="C59" i="12" s="1"/>
  <c r="C59" i="8"/>
  <c r="K50" i="12"/>
  <c r="K92" i="12" s="1"/>
  <c r="K100" i="12" s="1"/>
  <c r="K92" i="8"/>
  <c r="K100" i="8" s="1"/>
  <c r="L50" i="8"/>
  <c r="K30" i="8"/>
  <c r="K29" i="8"/>
  <c r="I50" i="12"/>
  <c r="I92" i="12" s="1"/>
  <c r="I100" i="12" s="1"/>
  <c r="I92" i="8"/>
  <c r="I100" i="8" s="1"/>
  <c r="J50" i="8"/>
  <c r="I30" i="8"/>
  <c r="I29" i="8"/>
  <c r="M76" i="8"/>
  <c r="M33" i="12"/>
  <c r="M76" i="12" s="1"/>
  <c r="P31" i="12"/>
  <c r="P74" i="12" s="1"/>
  <c r="P74" i="8"/>
  <c r="S34" i="12"/>
  <c r="S77" i="12" s="1"/>
  <c r="S77" i="8"/>
  <c r="C32" i="12"/>
  <c r="C75" i="12" s="1"/>
  <c r="C75" i="8"/>
  <c r="J32" i="12"/>
  <c r="J75" i="12" s="1"/>
  <c r="J75" i="8"/>
  <c r="V106" i="4"/>
  <c r="V99" i="4"/>
  <c r="V108" i="4"/>
  <c r="V175" i="11"/>
  <c r="R175" i="11"/>
  <c r="N175" i="11"/>
  <c r="J175" i="11"/>
  <c r="F175" i="11"/>
  <c r="U175" i="11"/>
  <c r="Q175" i="11"/>
  <c r="M175" i="11"/>
  <c r="I175" i="11"/>
  <c r="E175" i="11"/>
  <c r="T175" i="11"/>
  <c r="P175" i="11"/>
  <c r="L175" i="11"/>
  <c r="H175" i="11"/>
  <c r="D175" i="11"/>
  <c r="S175" i="11"/>
  <c r="O175" i="11"/>
  <c r="K175" i="11"/>
  <c r="G175" i="11"/>
  <c r="C175" i="11"/>
  <c r="U225" i="1"/>
  <c r="U239" i="1" s="1"/>
  <c r="Q225" i="1"/>
  <c r="Q239" i="1" s="1"/>
  <c r="M225" i="1"/>
  <c r="M239" i="1" s="1"/>
  <c r="I225" i="1"/>
  <c r="I239" i="1" s="1"/>
  <c r="E225" i="1"/>
  <c r="T225" i="1"/>
  <c r="T239" i="1" s="1"/>
  <c r="P225" i="1"/>
  <c r="P239" i="1" s="1"/>
  <c r="L225" i="1"/>
  <c r="L239" i="1" s="1"/>
  <c r="H225" i="1"/>
  <c r="H239" i="1" s="1"/>
  <c r="D225" i="1"/>
  <c r="D239" i="1" s="1"/>
  <c r="S225" i="1"/>
  <c r="S239" i="1" s="1"/>
  <c r="O225" i="1"/>
  <c r="O239" i="1" s="1"/>
  <c r="K225" i="1"/>
  <c r="K239" i="1" s="1"/>
  <c r="G225" i="1"/>
  <c r="G239" i="1" s="1"/>
  <c r="C225" i="1"/>
  <c r="C239" i="1" s="1"/>
  <c r="V225" i="1"/>
  <c r="V239" i="1" s="1"/>
  <c r="R225" i="1"/>
  <c r="R239" i="1" s="1"/>
  <c r="N225" i="1"/>
  <c r="N239" i="1" s="1"/>
  <c r="J225" i="1"/>
  <c r="J239" i="1" s="1"/>
  <c r="F225" i="1"/>
  <c r="F239" i="1" s="1"/>
  <c r="C60" i="8"/>
  <c r="B89" i="14"/>
  <c r="Z68" i="13"/>
  <c r="Z96" i="13" s="1"/>
  <c r="V68" i="13"/>
  <c r="R68" i="13"/>
  <c r="N68" i="13"/>
  <c r="J68" i="13"/>
  <c r="J96" i="13" s="1"/>
  <c r="J99" i="13" s="1"/>
  <c r="F68" i="13"/>
  <c r="Y68" i="13"/>
  <c r="U68" i="13"/>
  <c r="Q68" i="13"/>
  <c r="M68" i="13"/>
  <c r="I68" i="13"/>
  <c r="E68" i="13"/>
  <c r="X68" i="13"/>
  <c r="X96" i="13" s="1"/>
  <c r="X99" i="13" s="1"/>
  <c r="T68" i="13"/>
  <c r="P68" i="13"/>
  <c r="L68" i="13"/>
  <c r="H68" i="13"/>
  <c r="H96" i="13" s="1"/>
  <c r="H99" i="13" s="1"/>
  <c r="D68" i="13"/>
  <c r="O68" i="13"/>
  <c r="O96" i="13" s="1"/>
  <c r="O99" i="13" s="1"/>
  <c r="K68" i="13"/>
  <c r="W68" i="13"/>
  <c r="G68" i="13"/>
  <c r="S68" i="13"/>
  <c r="C68" i="13"/>
  <c r="F83" i="10"/>
  <c r="F124" i="10" s="1"/>
  <c r="G83" i="6"/>
  <c r="F123" i="6"/>
  <c r="G65" i="11"/>
  <c r="G103" i="11" s="1"/>
  <c r="H65" i="1"/>
  <c r="G103" i="1"/>
  <c r="F11" i="11"/>
  <c r="F25" i="11" s="1"/>
  <c r="F25" i="1"/>
  <c r="H173" i="1"/>
  <c r="H50" i="11"/>
  <c r="H88" i="11" s="1"/>
  <c r="I50" i="1"/>
  <c r="H88" i="1"/>
  <c r="D54" i="11"/>
  <c r="D56" i="1"/>
  <c r="D55" i="1"/>
  <c r="F75" i="11"/>
  <c r="F110" i="11" s="1"/>
  <c r="F198" i="1"/>
  <c r="G75" i="1"/>
  <c r="F110" i="1"/>
  <c r="I76" i="8"/>
  <c r="I33" i="12"/>
  <c r="I76" i="12" s="1"/>
  <c r="L32" i="12"/>
  <c r="L75" i="12" s="1"/>
  <c r="L75" i="8"/>
  <c r="O34" i="12"/>
  <c r="O77" i="12" s="1"/>
  <c r="O77" i="8"/>
  <c r="V31" i="12"/>
  <c r="V74" i="12" s="1"/>
  <c r="V74" i="8"/>
  <c r="F34" i="12"/>
  <c r="F77" i="12" s="1"/>
  <c r="F77" i="8"/>
  <c r="G2" i="16"/>
  <c r="G35" i="15"/>
  <c r="C22" i="13"/>
  <c r="C70" i="13" s="1"/>
  <c r="C70" i="4"/>
  <c r="C96" i="4" s="1"/>
  <c r="S30" i="14"/>
  <c r="S99" i="14" s="1"/>
  <c r="X30" i="5"/>
  <c r="S99" i="5"/>
  <c r="C215" i="1"/>
  <c r="W94" i="14"/>
  <c r="S94" i="14"/>
  <c r="O94" i="14"/>
  <c r="K94" i="14"/>
  <c r="G94" i="14"/>
  <c r="C94" i="14"/>
  <c r="Z94" i="14"/>
  <c r="V94" i="14"/>
  <c r="R94" i="14"/>
  <c r="N94" i="14"/>
  <c r="J94" i="14"/>
  <c r="F94" i="14"/>
  <c r="Y94" i="14"/>
  <c r="U94" i="14"/>
  <c r="Q94" i="14"/>
  <c r="M94" i="14"/>
  <c r="I94" i="14"/>
  <c r="E94" i="14"/>
  <c r="P94" i="14"/>
  <c r="L94" i="14"/>
  <c r="X94" i="14"/>
  <c r="H94" i="14"/>
  <c r="T94" i="14"/>
  <c r="D94" i="14"/>
  <c r="B186" i="11"/>
  <c r="C93" i="11"/>
  <c r="H52" i="10"/>
  <c r="I52" i="6"/>
  <c r="H93" i="6"/>
  <c r="D49" i="10"/>
  <c r="D90" i="10" s="1"/>
  <c r="D90" i="6"/>
  <c r="D71" i="10"/>
  <c r="D112" i="10" s="1"/>
  <c r="E71" i="6"/>
  <c r="D50" i="6"/>
  <c r="D37" i="1"/>
  <c r="D274" i="1"/>
  <c r="D144" i="11"/>
  <c r="D182" i="11" s="1"/>
  <c r="D212" i="1"/>
  <c r="I74" i="11"/>
  <c r="I197" i="1"/>
  <c r="I167" i="11" s="1"/>
  <c r="U76" i="8"/>
  <c r="U33" i="12"/>
  <c r="U76" i="12" s="1"/>
  <c r="E74" i="8"/>
  <c r="E31" i="12"/>
  <c r="E74" i="12" s="1"/>
  <c r="H34" i="12"/>
  <c r="H77" i="12" s="1"/>
  <c r="H77" i="8"/>
  <c r="K32" i="12"/>
  <c r="K75" i="12" s="1"/>
  <c r="K75" i="8"/>
  <c r="R32" i="12"/>
  <c r="R75" i="12" s="1"/>
  <c r="R75" i="8"/>
  <c r="N99" i="4"/>
  <c r="H70" i="10"/>
  <c r="H111" i="10" s="1"/>
  <c r="I70" i="6"/>
  <c r="H49" i="6"/>
  <c r="E122" i="10"/>
  <c r="D122" i="10"/>
  <c r="G122" i="10"/>
  <c r="C122" i="10"/>
  <c r="C130" i="10" s="1"/>
  <c r="D62" i="10"/>
  <c r="D103" i="10" s="1"/>
  <c r="D103" i="6"/>
  <c r="E97" i="10"/>
  <c r="B98" i="10"/>
  <c r="D97" i="10"/>
  <c r="C97" i="10"/>
  <c r="P36" i="6"/>
  <c r="M36" i="6"/>
  <c r="J36" i="6"/>
  <c r="C36" i="6"/>
  <c r="C162" i="6"/>
  <c r="C158" i="6"/>
  <c r="S36" i="6"/>
  <c r="G82" i="6"/>
  <c r="F81" i="10"/>
  <c r="G82" i="10" s="1"/>
  <c r="E48" i="11"/>
  <c r="E171" i="1"/>
  <c r="E141" i="11" s="1"/>
  <c r="Q32" i="12"/>
  <c r="Q75" i="12" s="1"/>
  <c r="Q75" i="8"/>
  <c r="T34" i="12"/>
  <c r="T77" i="12" s="1"/>
  <c r="T77" i="8"/>
  <c r="D32" i="12"/>
  <c r="D75" i="12" s="1"/>
  <c r="D75" i="8"/>
  <c r="G34" i="12"/>
  <c r="G77" i="12" s="1"/>
  <c r="G77" i="8"/>
  <c r="N31" i="12"/>
  <c r="N74" i="12" s="1"/>
  <c r="N74" i="8"/>
  <c r="W108" i="4"/>
  <c r="Q108" i="4"/>
  <c r="Q99" i="4"/>
  <c r="Q106" i="4"/>
  <c r="Y30" i="14"/>
  <c r="Y99" i="14" s="1"/>
  <c r="Y99" i="5"/>
  <c r="Z91" i="14"/>
  <c r="V91" i="14"/>
  <c r="R91" i="14"/>
  <c r="N91" i="14"/>
  <c r="J91" i="14"/>
  <c r="F91" i="14"/>
  <c r="Y91" i="14"/>
  <c r="U91" i="14"/>
  <c r="Q91" i="14"/>
  <c r="M91" i="14"/>
  <c r="I91" i="14"/>
  <c r="E91" i="14"/>
  <c r="X91" i="14"/>
  <c r="T91" i="14"/>
  <c r="P91" i="14"/>
  <c r="L91" i="14"/>
  <c r="H91" i="14"/>
  <c r="D91" i="14"/>
  <c r="K91" i="14"/>
  <c r="W91" i="14"/>
  <c r="G91" i="14"/>
  <c r="S91" i="14"/>
  <c r="C91" i="14"/>
  <c r="O91" i="14"/>
  <c r="E76" i="10"/>
  <c r="E117" i="10" s="1"/>
  <c r="E117" i="6"/>
  <c r="C39" i="10"/>
  <c r="C38" i="10"/>
  <c r="X90" i="14"/>
  <c r="T90" i="14"/>
  <c r="P90" i="14"/>
  <c r="L90" i="14"/>
  <c r="H90" i="14"/>
  <c r="D90" i="14"/>
  <c r="W90" i="14"/>
  <c r="S90" i="14"/>
  <c r="O90" i="14"/>
  <c r="K90" i="14"/>
  <c r="G90" i="14"/>
  <c r="C90" i="14"/>
  <c r="Z90" i="14"/>
  <c r="V90" i="14"/>
  <c r="R90" i="14"/>
  <c r="N90" i="14"/>
  <c r="J90" i="14"/>
  <c r="F90" i="14"/>
  <c r="Y90" i="14"/>
  <c r="I90" i="14"/>
  <c r="U90" i="14"/>
  <c r="E90" i="14"/>
  <c r="Q90" i="14"/>
  <c r="M90" i="14"/>
  <c r="I81" i="10"/>
  <c r="J82" i="10" s="1"/>
  <c r="J82" i="6"/>
  <c r="E54" i="11"/>
  <c r="E56" i="1"/>
  <c r="E55" i="1"/>
  <c r="F8" i="11"/>
  <c r="F22" i="11" s="1"/>
  <c r="G8" i="1"/>
  <c r="F22" i="1"/>
  <c r="E21" i="12"/>
  <c r="E64" i="12" s="1"/>
  <c r="E64" i="8"/>
  <c r="F21" i="8"/>
  <c r="C19" i="12"/>
  <c r="C62" i="12" s="1"/>
  <c r="C62" i="8"/>
  <c r="C20" i="12"/>
  <c r="C63" i="12" s="1"/>
  <c r="C63" i="8"/>
  <c r="D37" i="12"/>
  <c r="D80" i="12" s="1"/>
  <c r="D27" i="8"/>
  <c r="D80" i="8"/>
  <c r="M50" i="12"/>
  <c r="M92" i="12" s="1"/>
  <c r="M100" i="12" s="1"/>
  <c r="M92" i="8"/>
  <c r="M100" i="8" s="1"/>
  <c r="N50" i="8"/>
  <c r="M30" i="8"/>
  <c r="M29" i="8"/>
  <c r="M75" i="8"/>
  <c r="M32" i="12"/>
  <c r="M75" i="12" s="1"/>
  <c r="P32" i="12"/>
  <c r="P75" i="12" s="1"/>
  <c r="P75" i="8"/>
  <c r="S31" i="12"/>
  <c r="S74" i="12" s="1"/>
  <c r="S74" i="8"/>
  <c r="C34" i="12"/>
  <c r="C77" i="12" s="1"/>
  <c r="C77" i="8"/>
  <c r="J33" i="12"/>
  <c r="J76" i="12" s="1"/>
  <c r="J76" i="8"/>
  <c r="R49" i="13"/>
  <c r="R94" i="13" s="1"/>
  <c r="R97" i="13" s="1"/>
  <c r="R94" i="4"/>
  <c r="R97" i="4" s="1"/>
  <c r="E108" i="4"/>
  <c r="E99" i="4"/>
  <c r="E106" i="4"/>
  <c r="R68" i="14"/>
  <c r="R134" i="14" s="1"/>
  <c r="R143" i="14" s="1"/>
  <c r="R134" i="5"/>
  <c r="R143" i="5" s="1"/>
  <c r="O106" i="4"/>
  <c r="V205" i="11"/>
  <c r="R205" i="11"/>
  <c r="N205" i="11"/>
  <c r="J205" i="11"/>
  <c r="F205" i="11"/>
  <c r="U205" i="11"/>
  <c r="Q205" i="11"/>
  <c r="M205" i="11"/>
  <c r="I205" i="11"/>
  <c r="E205" i="11"/>
  <c r="T205" i="11"/>
  <c r="P205" i="11"/>
  <c r="L205" i="11"/>
  <c r="H205" i="11"/>
  <c r="D205" i="11"/>
  <c r="S205" i="11"/>
  <c r="O205" i="11"/>
  <c r="K205" i="11"/>
  <c r="G205" i="11"/>
  <c r="C205" i="11"/>
  <c r="C141" i="14"/>
  <c r="E141" i="14"/>
  <c r="E221" i="1"/>
  <c r="E239" i="1" s="1"/>
  <c r="G73" i="6"/>
  <c r="F73" i="10"/>
  <c r="F114" i="10" s="1"/>
  <c r="F114" i="6"/>
  <c r="F93" i="10"/>
  <c r="E93" i="10"/>
  <c r="H93" i="10"/>
  <c r="G93" i="10"/>
  <c r="C93" i="10"/>
  <c r="F9" i="11"/>
  <c r="G9" i="1"/>
  <c r="I75" i="8"/>
  <c r="I32" i="12"/>
  <c r="I75" i="12" s="1"/>
  <c r="L33" i="12"/>
  <c r="L76" i="12" s="1"/>
  <c r="L76" i="8"/>
  <c r="O31" i="12"/>
  <c r="O74" i="12" s="1"/>
  <c r="O74" i="8"/>
  <c r="V32" i="12"/>
  <c r="V75" i="12" s="1"/>
  <c r="V75" i="8"/>
  <c r="F31" i="12"/>
  <c r="F74" i="12" s="1"/>
  <c r="F74" i="8"/>
  <c r="H39" i="13"/>
  <c r="H87" i="13" s="1"/>
  <c r="H87" i="4"/>
  <c r="H96" i="4" s="1"/>
  <c r="U180" i="11"/>
  <c r="Q180" i="11"/>
  <c r="M180" i="11"/>
  <c r="I180" i="11"/>
  <c r="T180" i="11"/>
  <c r="P180" i="11"/>
  <c r="L180" i="11"/>
  <c r="H180" i="11"/>
  <c r="S180" i="11"/>
  <c r="O180" i="11"/>
  <c r="K180" i="11"/>
  <c r="G180" i="11"/>
  <c r="C180" i="11"/>
  <c r="V180" i="11"/>
  <c r="R180" i="11"/>
  <c r="N180" i="11"/>
  <c r="J180" i="11"/>
  <c r="F180" i="11"/>
  <c r="G59" i="10"/>
  <c r="H59" i="6"/>
  <c r="F98" i="6"/>
  <c r="E98" i="6"/>
  <c r="B99" i="6"/>
  <c r="D98" i="6"/>
  <c r="G98" i="6"/>
  <c r="C98" i="6"/>
  <c r="F24" i="11"/>
  <c r="E24" i="11"/>
  <c r="D24" i="11"/>
  <c r="C24" i="11"/>
  <c r="E69" i="10"/>
  <c r="E110" i="10" s="1"/>
  <c r="E49" i="6"/>
  <c r="E110" i="6"/>
  <c r="D157" i="1"/>
  <c r="T198" i="1"/>
  <c r="T75" i="11"/>
  <c r="T110" i="11" s="1"/>
  <c r="U75" i="1"/>
  <c r="T110" i="1"/>
  <c r="U32" i="12"/>
  <c r="U75" i="12" s="1"/>
  <c r="U75" i="8"/>
  <c r="E76" i="8"/>
  <c r="E33" i="12"/>
  <c r="E76" i="12" s="1"/>
  <c r="H31" i="12"/>
  <c r="H74" i="12" s="1"/>
  <c r="H74" i="8"/>
  <c r="K34" i="12"/>
  <c r="K77" i="12" s="1"/>
  <c r="K77" i="8"/>
  <c r="R33" i="12"/>
  <c r="R76" i="12" s="1"/>
  <c r="R76" i="8"/>
  <c r="X30" i="13"/>
  <c r="X78" i="13" s="1"/>
  <c r="X78" i="4"/>
  <c r="X96" i="4" s="1"/>
  <c r="N108" i="4"/>
  <c r="B29" i="15"/>
  <c r="G7" i="7"/>
  <c r="G49" i="10"/>
  <c r="G90" i="10" s="1"/>
  <c r="G90" i="6"/>
  <c r="T204" i="11"/>
  <c r="P204" i="11"/>
  <c r="L204" i="11"/>
  <c r="H204" i="11"/>
  <c r="D204" i="11"/>
  <c r="O204" i="11"/>
  <c r="K204" i="11"/>
  <c r="G204" i="11"/>
  <c r="C204" i="11"/>
  <c r="C211" i="11" s="1"/>
  <c r="V204" i="11"/>
  <c r="R204" i="11"/>
  <c r="N204" i="11"/>
  <c r="J204" i="11"/>
  <c r="F204" i="11"/>
  <c r="U204" i="11"/>
  <c r="Q204" i="11"/>
  <c r="M204" i="11"/>
  <c r="I204" i="11"/>
  <c r="E204" i="11"/>
  <c r="Z87" i="14"/>
  <c r="V87" i="14"/>
  <c r="R87" i="14"/>
  <c r="N87" i="14"/>
  <c r="J87" i="14"/>
  <c r="F87" i="14"/>
  <c r="Y87" i="14"/>
  <c r="U87" i="14"/>
  <c r="Q87" i="14"/>
  <c r="M87" i="14"/>
  <c r="I87" i="14"/>
  <c r="E87" i="14"/>
  <c r="X87" i="14"/>
  <c r="T87" i="14"/>
  <c r="P87" i="14"/>
  <c r="L87" i="14"/>
  <c r="H87" i="14"/>
  <c r="D87" i="14"/>
  <c r="K87" i="14"/>
  <c r="W87" i="14"/>
  <c r="G87" i="14"/>
  <c r="S87" i="14"/>
  <c r="C87" i="14"/>
  <c r="O87" i="14"/>
  <c r="G66" i="10"/>
  <c r="H66" i="6"/>
  <c r="F24" i="1"/>
  <c r="D162" i="6"/>
  <c r="D158" i="6"/>
  <c r="D36" i="6"/>
  <c r="T36" i="6"/>
  <c r="Q36" i="6"/>
  <c r="N36" i="6"/>
  <c r="G36" i="6"/>
  <c r="F184" i="11"/>
  <c r="E184" i="11"/>
  <c r="D184" i="11"/>
  <c r="C184" i="11"/>
  <c r="T106" i="11"/>
  <c r="P106" i="11"/>
  <c r="L106" i="11"/>
  <c r="H106" i="11"/>
  <c r="D106" i="11"/>
  <c r="S106" i="11"/>
  <c r="O106" i="11"/>
  <c r="K106" i="11"/>
  <c r="G106" i="11"/>
  <c r="C106" i="11"/>
  <c r="V106" i="11"/>
  <c r="R106" i="11"/>
  <c r="N106" i="11"/>
  <c r="J106" i="11"/>
  <c r="F106" i="11"/>
  <c r="U106" i="11"/>
  <c r="Q106" i="11"/>
  <c r="M106" i="11"/>
  <c r="I106" i="11"/>
  <c r="E106" i="11"/>
  <c r="D49" i="11"/>
  <c r="D87" i="11" s="1"/>
  <c r="D172" i="1"/>
  <c r="D87" i="1"/>
  <c r="E51" i="1"/>
  <c r="E49" i="1"/>
  <c r="D46" i="1"/>
  <c r="Q77" i="8"/>
  <c r="Q34" i="12"/>
  <c r="Q77" i="12" s="1"/>
  <c r="T31" i="12"/>
  <c r="T74" i="12" s="1"/>
  <c r="T74" i="8"/>
  <c r="D33" i="12"/>
  <c r="D76" i="12" s="1"/>
  <c r="D76" i="8"/>
  <c r="G31" i="12"/>
  <c r="G74" i="12" s="1"/>
  <c r="G74" i="8"/>
  <c r="N32" i="12"/>
  <c r="N75" i="12" s="1"/>
  <c r="N75" i="8"/>
  <c r="W30" i="14"/>
  <c r="W99" i="14" s="1"/>
  <c r="W99" i="5"/>
  <c r="D106" i="4"/>
  <c r="Z135" i="14"/>
  <c r="V135" i="14"/>
  <c r="V143" i="14" s="1"/>
  <c r="R135" i="14"/>
  <c r="N135" i="14"/>
  <c r="J135" i="14"/>
  <c r="F135" i="14"/>
  <c r="F143" i="14" s="1"/>
  <c r="Y135" i="14"/>
  <c r="Y143" i="14" s="1"/>
  <c r="U135" i="14"/>
  <c r="Q135" i="14"/>
  <c r="Q143" i="14" s="1"/>
  <c r="M135" i="14"/>
  <c r="I135" i="14"/>
  <c r="E135" i="14"/>
  <c r="E143" i="14" s="1"/>
  <c r="X135" i="14"/>
  <c r="T135" i="14"/>
  <c r="T143" i="14" s="1"/>
  <c r="P135" i="14"/>
  <c r="P143" i="14" s="1"/>
  <c r="L135" i="14"/>
  <c r="H135" i="14"/>
  <c r="D135" i="14"/>
  <c r="D143" i="14" s="1"/>
  <c r="S135" i="14"/>
  <c r="C135" i="14"/>
  <c r="O135" i="14"/>
  <c r="K135" i="14"/>
  <c r="K143" i="14" s="1"/>
  <c r="W135" i="14"/>
  <c r="W143" i="14" s="1"/>
  <c r="G135" i="14"/>
  <c r="G143" i="14" s="1"/>
  <c r="D23" i="11"/>
  <c r="D32" i="11" s="1"/>
  <c r="C23" i="11"/>
  <c r="C32" i="11" s="1"/>
  <c r="F23" i="11"/>
  <c r="E23" i="11"/>
  <c r="E32" i="11" s="1"/>
  <c r="G79" i="6"/>
  <c r="F76" i="6"/>
  <c r="F79" i="10"/>
  <c r="F120" i="10" s="1"/>
  <c r="F64" i="6"/>
  <c r="F63" i="6"/>
  <c r="F63" i="10" s="1"/>
  <c r="F62" i="6"/>
  <c r="F61" i="6"/>
  <c r="F61" i="10" s="1"/>
  <c r="E64" i="10"/>
  <c r="E105" i="10" s="1"/>
  <c r="E105" i="6"/>
  <c r="B96" i="14"/>
  <c r="W75" i="13"/>
  <c r="S75" i="13"/>
  <c r="O75" i="13"/>
  <c r="K75" i="13"/>
  <c r="G75" i="13"/>
  <c r="C75" i="13"/>
  <c r="Z75" i="13"/>
  <c r="V75" i="13"/>
  <c r="R75" i="13"/>
  <c r="N75" i="13"/>
  <c r="J75" i="13"/>
  <c r="F75" i="13"/>
  <c r="Y75" i="13"/>
  <c r="U75" i="13"/>
  <c r="Q75" i="13"/>
  <c r="M75" i="13"/>
  <c r="I75" i="13"/>
  <c r="E75" i="13"/>
  <c r="L75" i="13"/>
  <c r="X75" i="13"/>
  <c r="H75" i="13"/>
  <c r="T75" i="13"/>
  <c r="D75" i="13"/>
  <c r="P75" i="13"/>
  <c r="V91" i="10"/>
  <c r="R91" i="10"/>
  <c r="N91" i="10"/>
  <c r="J91" i="10"/>
  <c r="F91" i="10"/>
  <c r="U91" i="10"/>
  <c r="Q91" i="10"/>
  <c r="M91" i="10"/>
  <c r="I91" i="10"/>
  <c r="T91" i="10"/>
  <c r="P91" i="10"/>
  <c r="L91" i="10"/>
  <c r="H91" i="10"/>
  <c r="S91" i="10"/>
  <c r="O91" i="10"/>
  <c r="K91" i="10"/>
  <c r="G91" i="10"/>
  <c r="C91" i="10"/>
  <c r="W89" i="5"/>
  <c r="S89" i="5"/>
  <c r="O89" i="5"/>
  <c r="O139" i="5" s="1"/>
  <c r="K89" i="5"/>
  <c r="G89" i="5"/>
  <c r="G139" i="5" s="1"/>
  <c r="C89" i="5"/>
  <c r="C139" i="5" s="1"/>
  <c r="Z89" i="5"/>
  <c r="V89" i="5"/>
  <c r="V139" i="5" s="1"/>
  <c r="R89" i="5"/>
  <c r="R139" i="5" s="1"/>
  <c r="N89" i="5"/>
  <c r="J89" i="5"/>
  <c r="F89" i="5"/>
  <c r="F139" i="5" s="1"/>
  <c r="Y89" i="5"/>
  <c r="Y139" i="5" s="1"/>
  <c r="U89" i="5"/>
  <c r="Q89" i="5"/>
  <c r="M89" i="5"/>
  <c r="M139" i="5" s="1"/>
  <c r="I89" i="5"/>
  <c r="I139" i="5" s="1"/>
  <c r="E89" i="5"/>
  <c r="P89" i="5"/>
  <c r="P139" i="5" s="1"/>
  <c r="L89" i="5"/>
  <c r="X89" i="5"/>
  <c r="H89" i="5"/>
  <c r="D89" i="5"/>
  <c r="D139" i="5" s="1"/>
  <c r="T89" i="5"/>
  <c r="T139" i="5" s="1"/>
  <c r="F226" i="1"/>
  <c r="I53" i="10"/>
  <c r="I94" i="10" s="1"/>
  <c r="I94" i="6"/>
  <c r="J53" i="6"/>
  <c r="K81" i="6"/>
  <c r="J80" i="10"/>
  <c r="J121" i="10" s="1"/>
  <c r="K80" i="6"/>
  <c r="F71" i="11"/>
  <c r="F109" i="11" s="1"/>
  <c r="F118" i="11" s="1"/>
  <c r="F194" i="1"/>
  <c r="G71" i="1"/>
  <c r="F54" i="1"/>
  <c r="F109" i="1"/>
  <c r="F118" i="1" s="1"/>
  <c r="F25" i="12"/>
  <c r="F68" i="12" s="1"/>
  <c r="G25" i="8"/>
  <c r="F68" i="8"/>
  <c r="C41" i="12"/>
  <c r="C84" i="12" s="1"/>
  <c r="C84" i="8"/>
  <c r="I43" i="12"/>
  <c r="I86" i="12" s="1"/>
  <c r="N43" i="8"/>
  <c r="I44" i="8"/>
  <c r="I86" i="8"/>
  <c r="C40" i="12"/>
  <c r="C83" i="12" s="1"/>
  <c r="D40" i="8"/>
  <c r="M77" i="8"/>
  <c r="M34" i="12"/>
  <c r="M77" i="12" s="1"/>
  <c r="P33" i="12"/>
  <c r="P76" i="12" s="1"/>
  <c r="P76" i="8"/>
  <c r="S33" i="12"/>
  <c r="S76" i="12" s="1"/>
  <c r="S76" i="8"/>
  <c r="C31" i="12"/>
  <c r="C74" i="12" s="1"/>
  <c r="C74" i="8"/>
  <c r="J34" i="12"/>
  <c r="J77" i="12" s="1"/>
  <c r="J77" i="8"/>
  <c r="U108" i="4"/>
  <c r="U99" i="4"/>
  <c r="U106" i="4"/>
  <c r="O99" i="4"/>
  <c r="E116" i="11"/>
  <c r="U143" i="14"/>
  <c r="J143" i="14"/>
  <c r="Z143" i="14"/>
  <c r="O143" i="14"/>
  <c r="X143" i="14"/>
  <c r="B179" i="11"/>
  <c r="S86" i="11"/>
  <c r="O86" i="11"/>
  <c r="K86" i="11"/>
  <c r="G86" i="11"/>
  <c r="C86" i="11"/>
  <c r="V86" i="11"/>
  <c r="R86" i="11"/>
  <c r="N86" i="11"/>
  <c r="J86" i="11"/>
  <c r="F86" i="11"/>
  <c r="U86" i="11"/>
  <c r="Q86" i="11"/>
  <c r="M86" i="11"/>
  <c r="I86" i="11"/>
  <c r="E86" i="11"/>
  <c r="T86" i="11"/>
  <c r="P86" i="11"/>
  <c r="L86" i="11"/>
  <c r="H86" i="11"/>
  <c r="D86" i="11"/>
  <c r="H65" i="10"/>
  <c r="I65" i="6"/>
  <c r="G17" i="11"/>
  <c r="G31" i="11" s="1"/>
  <c r="G34" i="11" s="1"/>
  <c r="H17" i="1"/>
  <c r="G14" i="1"/>
  <c r="G11" i="1"/>
  <c r="G10" i="1"/>
  <c r="G31" i="1"/>
  <c r="G34" i="1" s="1"/>
  <c r="G143" i="11"/>
  <c r="G211" i="1"/>
  <c r="G161" i="11"/>
  <c r="H191" i="1"/>
  <c r="I34" i="12"/>
  <c r="I77" i="12" s="1"/>
  <c r="I77" i="8"/>
  <c r="L34" i="12"/>
  <c r="L77" i="12" s="1"/>
  <c r="L77" i="8"/>
  <c r="O33" i="12"/>
  <c r="O76" i="12" s="1"/>
  <c r="O76" i="8"/>
  <c r="V33" i="12"/>
  <c r="V76" i="12" s="1"/>
  <c r="V76" i="8"/>
  <c r="F32" i="12"/>
  <c r="F75" i="12" s="1"/>
  <c r="F75" i="8"/>
  <c r="I108" i="4"/>
  <c r="I99" i="4"/>
  <c r="I106" i="4"/>
  <c r="S108" i="4"/>
  <c r="S99" i="4"/>
  <c r="S106" i="4"/>
  <c r="T183" i="11"/>
  <c r="P183" i="11"/>
  <c r="L183" i="11"/>
  <c r="H183" i="11"/>
  <c r="D183" i="11"/>
  <c r="S183" i="11"/>
  <c r="O183" i="11"/>
  <c r="K183" i="11"/>
  <c r="G183" i="11"/>
  <c r="C183" i="11"/>
  <c r="V183" i="11"/>
  <c r="R183" i="11"/>
  <c r="N183" i="11"/>
  <c r="J183" i="11"/>
  <c r="F183" i="11"/>
  <c r="U183" i="11"/>
  <c r="Q183" i="11"/>
  <c r="M183" i="11"/>
  <c r="I183" i="11"/>
  <c r="E183" i="11"/>
  <c r="D128" i="10"/>
  <c r="F8" i="10"/>
  <c r="F23" i="10" s="1"/>
  <c r="F34" i="10" s="1"/>
  <c r="G8" i="6"/>
  <c r="F23" i="6"/>
  <c r="F34" i="6" s="1"/>
  <c r="F35" i="6" s="1"/>
  <c r="J121" i="6"/>
  <c r="F121" i="6"/>
  <c r="I121" i="6"/>
  <c r="E121" i="6"/>
  <c r="B122" i="6"/>
  <c r="H121" i="6"/>
  <c r="D121" i="6"/>
  <c r="K121" i="6"/>
  <c r="G121" i="6"/>
  <c r="C121" i="6"/>
  <c r="G229" i="1"/>
  <c r="Y95" i="14"/>
  <c r="U95" i="14"/>
  <c r="Q95" i="14"/>
  <c r="M95" i="14"/>
  <c r="I95" i="14"/>
  <c r="E95" i="14"/>
  <c r="X95" i="14"/>
  <c r="T95" i="14"/>
  <c r="P95" i="14"/>
  <c r="L95" i="14"/>
  <c r="H95" i="14"/>
  <c r="D95" i="14"/>
  <c r="W95" i="14"/>
  <c r="S95" i="14"/>
  <c r="O95" i="14"/>
  <c r="K95" i="14"/>
  <c r="G95" i="14"/>
  <c r="C95" i="14"/>
  <c r="V95" i="14"/>
  <c r="F95" i="14"/>
  <c r="R95" i="14"/>
  <c r="N95" i="14"/>
  <c r="Z95" i="14"/>
  <c r="J95" i="14"/>
  <c r="F28" i="1"/>
  <c r="F56" i="10"/>
  <c r="F97" i="10" s="1"/>
  <c r="G56" i="6"/>
  <c r="D153" i="1"/>
  <c r="H72" i="11"/>
  <c r="H195" i="1"/>
  <c r="H165" i="11" s="1"/>
  <c r="J74" i="1"/>
  <c r="I73" i="1"/>
  <c r="I72" i="1"/>
  <c r="U77" i="8"/>
  <c r="U34" i="12"/>
  <c r="U77" i="12" s="1"/>
  <c r="E32" i="12"/>
  <c r="E75" i="12" s="1"/>
  <c r="E75" i="8"/>
  <c r="H32" i="12"/>
  <c r="H75" i="12" s="1"/>
  <c r="H75" i="8"/>
  <c r="K31" i="12"/>
  <c r="K74" i="12" s="1"/>
  <c r="K74" i="8"/>
  <c r="R34" i="12"/>
  <c r="R77" i="12" s="1"/>
  <c r="R77" i="8"/>
  <c r="T141" i="5"/>
  <c r="N141" i="5"/>
  <c r="X96" i="5"/>
  <c r="T96" i="5"/>
  <c r="P96" i="5"/>
  <c r="P141" i="5" s="1"/>
  <c r="L96" i="5"/>
  <c r="L141" i="5" s="1"/>
  <c r="H96" i="5"/>
  <c r="D96" i="5"/>
  <c r="W96" i="5"/>
  <c r="W139" i="5" s="1"/>
  <c r="S96" i="5"/>
  <c r="S141" i="5" s="1"/>
  <c r="O96" i="5"/>
  <c r="O141" i="5" s="1"/>
  <c r="K96" i="5"/>
  <c r="K141" i="5" s="1"/>
  <c r="G96" i="5"/>
  <c r="C96" i="5"/>
  <c r="Z96" i="5"/>
  <c r="Z141" i="5" s="1"/>
  <c r="V96" i="5"/>
  <c r="V141" i="5" s="1"/>
  <c r="R96" i="5"/>
  <c r="N96" i="5"/>
  <c r="J96" i="5"/>
  <c r="J141" i="5" s="1"/>
  <c r="F96" i="5"/>
  <c r="F141" i="5" s="1"/>
  <c r="Q96" i="5"/>
  <c r="Q141" i="5" s="1"/>
  <c r="M96" i="5"/>
  <c r="M141" i="5" s="1"/>
  <c r="Y96" i="5"/>
  <c r="I96" i="5"/>
  <c r="U96" i="5"/>
  <c r="U141" i="5" s="1"/>
  <c r="E96" i="5"/>
  <c r="L67" i="14"/>
  <c r="L133" i="14" s="1"/>
  <c r="L53" i="5"/>
  <c r="D76" i="10"/>
  <c r="D117" i="10" s="1"/>
  <c r="D117" i="6"/>
  <c r="D64" i="10"/>
  <c r="D105" i="10" s="1"/>
  <c r="D105" i="6"/>
  <c r="F107" i="10"/>
  <c r="E107" i="10"/>
  <c r="D107" i="10"/>
  <c r="G107" i="10"/>
  <c r="C107" i="10"/>
  <c r="H36" i="6"/>
  <c r="E162" i="6"/>
  <c r="E158" i="6"/>
  <c r="E36" i="6"/>
  <c r="U36" i="6"/>
  <c r="R36" i="6"/>
  <c r="K36" i="6"/>
  <c r="S195" i="11"/>
  <c r="O195" i="11"/>
  <c r="K195" i="11"/>
  <c r="G195" i="11"/>
  <c r="C195" i="11"/>
  <c r="V195" i="11"/>
  <c r="R195" i="11"/>
  <c r="N195" i="11"/>
  <c r="J195" i="11"/>
  <c r="F195" i="11"/>
  <c r="U195" i="11"/>
  <c r="Q195" i="11"/>
  <c r="M195" i="11"/>
  <c r="I195" i="11"/>
  <c r="E195" i="11"/>
  <c r="T195" i="11"/>
  <c r="P195" i="11"/>
  <c r="L195" i="11"/>
  <c r="H195" i="11"/>
  <c r="D195" i="11"/>
  <c r="F199" i="11"/>
  <c r="E199" i="11"/>
  <c r="D199" i="11"/>
  <c r="G199" i="11"/>
  <c r="C199" i="11"/>
  <c r="G57" i="10"/>
  <c r="H57" i="6"/>
  <c r="G146" i="11"/>
  <c r="G184" i="11" s="1"/>
  <c r="H176" i="1"/>
  <c r="G214" i="1"/>
  <c r="Q74" i="8"/>
  <c r="Q31" i="12"/>
  <c r="Q74" i="12" s="1"/>
  <c r="T32" i="12"/>
  <c r="T75" i="12" s="1"/>
  <c r="T75" i="8"/>
  <c r="D34" i="12"/>
  <c r="D77" i="12" s="1"/>
  <c r="D77" i="8"/>
  <c r="G33" i="12"/>
  <c r="G76" i="12" s="1"/>
  <c r="G76" i="8"/>
  <c r="N33" i="12"/>
  <c r="N76" i="12" s="1"/>
  <c r="N76" i="8"/>
  <c r="W106" i="4"/>
  <c r="Y30" i="4"/>
  <c r="T30" i="13"/>
  <c r="T78" i="13" s="1"/>
  <c r="T78" i="4"/>
  <c r="T96" i="4" s="1"/>
  <c r="D99" i="4"/>
  <c r="E34" i="10"/>
  <c r="E35" i="10" s="1"/>
  <c r="E39" i="10" s="1"/>
  <c r="B185" i="11"/>
  <c r="C92" i="11"/>
  <c r="E92" i="11"/>
  <c r="D92" i="11"/>
  <c r="G72" i="6"/>
  <c r="F72" i="10"/>
  <c r="F113" i="10" s="1"/>
  <c r="E130" i="10"/>
  <c r="D38" i="10"/>
  <c r="D39" i="10"/>
  <c r="T176" i="11"/>
  <c r="P176" i="11"/>
  <c r="L176" i="11"/>
  <c r="H176" i="11"/>
  <c r="D176" i="11"/>
  <c r="S176" i="11"/>
  <c r="O176" i="11"/>
  <c r="K176" i="11"/>
  <c r="G176" i="11"/>
  <c r="C176" i="11"/>
  <c r="V176" i="11"/>
  <c r="R176" i="11"/>
  <c r="N176" i="11"/>
  <c r="J176" i="11"/>
  <c r="F176" i="11"/>
  <c r="U176" i="11"/>
  <c r="Q176" i="11"/>
  <c r="M176" i="11"/>
  <c r="I176" i="11"/>
  <c r="E176" i="11"/>
  <c r="K82" i="6"/>
  <c r="J81" i="10"/>
  <c r="K82" i="10" s="1"/>
  <c r="E164" i="11"/>
  <c r="E202" i="11" s="1"/>
  <c r="E211" i="11" s="1"/>
  <c r="E177" i="1"/>
  <c r="E232" i="1"/>
  <c r="E241" i="1" s="1"/>
  <c r="C147" i="11"/>
  <c r="C178" i="1"/>
  <c r="C148" i="11" s="1"/>
  <c r="C179" i="1"/>
  <c r="C39" i="12"/>
  <c r="C82" i="12" s="1"/>
  <c r="D39" i="8"/>
  <c r="E42" i="12"/>
  <c r="E85" i="12" s="1"/>
  <c r="F42" i="8"/>
  <c r="E85" i="8"/>
  <c r="D41" i="12"/>
  <c r="D84" i="12" s="1"/>
  <c r="E41" i="8"/>
  <c r="D84" i="8"/>
  <c r="M74" i="8"/>
  <c r="M31" i="12"/>
  <c r="M74" i="12" s="1"/>
  <c r="P34" i="12"/>
  <c r="P77" i="12" s="1"/>
  <c r="P77" i="8"/>
  <c r="S32" i="12"/>
  <c r="S75" i="12" s="1"/>
  <c r="S75" i="8"/>
  <c r="C33" i="12"/>
  <c r="C76" i="12" s="1"/>
  <c r="C76" i="8"/>
  <c r="J31" i="12"/>
  <c r="J74" i="12" s="1"/>
  <c r="J74" i="8"/>
  <c r="H66" i="14"/>
  <c r="H132" i="14" s="1"/>
  <c r="H143" i="14" s="1"/>
  <c r="H52" i="5"/>
  <c r="H132" i="5"/>
  <c r="H143" i="5" s="1"/>
  <c r="F106" i="4"/>
  <c r="F99" i="4"/>
  <c r="F108" i="4"/>
  <c r="Z50" i="13"/>
  <c r="Z95" i="13" s="1"/>
  <c r="Z97" i="13" s="1"/>
  <c r="Z95" i="4"/>
  <c r="Z97" i="4" s="1"/>
  <c r="U70" i="12"/>
  <c r="Q70" i="12"/>
  <c r="M70" i="12"/>
  <c r="I70" i="12"/>
  <c r="E70" i="12"/>
  <c r="T70" i="12"/>
  <c r="P70" i="12"/>
  <c r="L70" i="12"/>
  <c r="H70" i="12"/>
  <c r="S70" i="12"/>
  <c r="O70" i="12"/>
  <c r="K70" i="12"/>
  <c r="G70" i="12"/>
  <c r="C70" i="12"/>
  <c r="R70" i="12"/>
  <c r="N70" i="12"/>
  <c r="J70" i="12"/>
  <c r="V70" i="12"/>
  <c r="F70" i="12"/>
  <c r="D141" i="14"/>
  <c r="U178" i="11"/>
  <c r="U209" i="11" s="1"/>
  <c r="Q178" i="11"/>
  <c r="Q209" i="11" s="1"/>
  <c r="M178" i="11"/>
  <c r="M209" i="11" s="1"/>
  <c r="I178" i="11"/>
  <c r="I209" i="11" s="1"/>
  <c r="E178" i="11"/>
  <c r="E209" i="11" s="1"/>
  <c r="E206" i="11" s="1"/>
  <c r="T178" i="11"/>
  <c r="T209" i="11" s="1"/>
  <c r="P178" i="11"/>
  <c r="P209" i="11" s="1"/>
  <c r="L178" i="11"/>
  <c r="L209" i="11" s="1"/>
  <c r="H178" i="11"/>
  <c r="H209" i="11" s="1"/>
  <c r="D178" i="11"/>
  <c r="D209" i="11" s="1"/>
  <c r="D206" i="11" s="1"/>
  <c r="S178" i="11"/>
  <c r="S209" i="11" s="1"/>
  <c r="O178" i="11"/>
  <c r="O209" i="11" s="1"/>
  <c r="K178" i="11"/>
  <c r="K209" i="11" s="1"/>
  <c r="G178" i="11"/>
  <c r="G209" i="11" s="1"/>
  <c r="C178" i="11"/>
  <c r="C209" i="11" s="1"/>
  <c r="C206" i="11" s="1"/>
  <c r="V178" i="11"/>
  <c r="V209" i="11" s="1"/>
  <c r="R178" i="11"/>
  <c r="R209" i="11" s="1"/>
  <c r="N178" i="11"/>
  <c r="N209" i="11" s="1"/>
  <c r="J178" i="11"/>
  <c r="J209" i="11" s="1"/>
  <c r="F178" i="11"/>
  <c r="F209" i="11" s="1"/>
  <c r="M143" i="14"/>
  <c r="I143" i="14"/>
  <c r="N143" i="14"/>
  <c r="C143" i="14"/>
  <c r="S143" i="14"/>
  <c r="L143" i="14"/>
  <c r="F58" i="10"/>
  <c r="G58" i="6"/>
  <c r="H81" i="10"/>
  <c r="I82" i="10" s="1"/>
  <c r="I82" i="6"/>
  <c r="F113" i="6"/>
  <c r="U60" i="12"/>
  <c r="Q60" i="12"/>
  <c r="M60" i="12"/>
  <c r="I60" i="12"/>
  <c r="E60" i="12"/>
  <c r="T60" i="12"/>
  <c r="P60" i="12"/>
  <c r="L60" i="12"/>
  <c r="H60" i="12"/>
  <c r="D60" i="12"/>
  <c r="S60" i="12"/>
  <c r="O60" i="12"/>
  <c r="K60" i="12"/>
  <c r="G60" i="12"/>
  <c r="C60" i="12"/>
  <c r="C96" i="12" s="1"/>
  <c r="V60" i="12"/>
  <c r="F60" i="12"/>
  <c r="N60" i="12"/>
  <c r="R60" i="12"/>
  <c r="J60" i="12"/>
  <c r="J54" i="10"/>
  <c r="J95" i="10" s="1"/>
  <c r="K54" i="6"/>
  <c r="J95" i="6"/>
  <c r="C139" i="11"/>
  <c r="C177" i="11" s="1"/>
  <c r="C207" i="1"/>
  <c r="D164" i="11"/>
  <c r="D202" i="11" s="1"/>
  <c r="D211" i="11" s="1"/>
  <c r="D177" i="1"/>
  <c r="D215" i="1" s="1"/>
  <c r="D232" i="1"/>
  <c r="D241" i="1" s="1"/>
  <c r="I74" i="8"/>
  <c r="I31" i="12"/>
  <c r="I74" i="12" s="1"/>
  <c r="L31" i="12"/>
  <c r="L74" i="12" s="1"/>
  <c r="L74" i="8"/>
  <c r="O32" i="12"/>
  <c r="O75" i="12" s="1"/>
  <c r="O75" i="8"/>
  <c r="V34" i="12"/>
  <c r="V77" i="12" s="1"/>
  <c r="V77" i="8"/>
  <c r="F33" i="12"/>
  <c r="F76" i="12" s="1"/>
  <c r="F76" i="8"/>
  <c r="J106" i="4"/>
  <c r="J108" i="4"/>
  <c r="J99" i="4"/>
  <c r="B24" i="15"/>
  <c r="F7" i="7"/>
  <c r="D92" i="1"/>
  <c r="S139" i="5"/>
  <c r="K139" i="5"/>
  <c r="K146" i="5" s="1"/>
  <c r="E139" i="5"/>
  <c r="E148" i="5" s="1"/>
  <c r="N139" i="5"/>
  <c r="G74" i="6"/>
  <c r="F74" i="10"/>
  <c r="F115" i="10" s="1"/>
  <c r="F120" i="6"/>
  <c r="C216" i="1"/>
  <c r="U209" i="1"/>
  <c r="Q209" i="1"/>
  <c r="M209" i="1"/>
  <c r="I209" i="1"/>
  <c r="E209" i="1"/>
  <c r="T209" i="1"/>
  <c r="P209" i="1"/>
  <c r="L209" i="1"/>
  <c r="H209" i="1"/>
  <c r="D209" i="1"/>
  <c r="S209" i="1"/>
  <c r="O209" i="1"/>
  <c r="K209" i="1"/>
  <c r="G209" i="1"/>
  <c r="C209" i="1"/>
  <c r="V209" i="1"/>
  <c r="R209" i="1"/>
  <c r="N209" i="1"/>
  <c r="J209" i="1"/>
  <c r="F209" i="1"/>
  <c r="D52" i="6"/>
  <c r="D36" i="1"/>
  <c r="H196" i="1"/>
  <c r="H166" i="11" s="1"/>
  <c r="H73" i="11"/>
  <c r="S169" i="11"/>
  <c r="S204" i="11" s="1"/>
  <c r="S234" i="1"/>
  <c r="U74" i="8"/>
  <c r="U31" i="12"/>
  <c r="U74" i="12" s="1"/>
  <c r="E34" i="12"/>
  <c r="E77" i="12" s="1"/>
  <c r="E77" i="8"/>
  <c r="H33" i="12"/>
  <c r="H76" i="12" s="1"/>
  <c r="H76" i="8"/>
  <c r="K33" i="12"/>
  <c r="K76" i="12" s="1"/>
  <c r="K76" i="8"/>
  <c r="R31" i="12"/>
  <c r="R74" i="12" s="1"/>
  <c r="R74" i="8"/>
  <c r="Z135" i="5"/>
  <c r="Z143" i="5" s="1"/>
  <c r="H141" i="5"/>
  <c r="I141" i="5"/>
  <c r="Y141" i="5"/>
  <c r="R141" i="5"/>
  <c r="G141" i="5"/>
  <c r="W141" i="5"/>
  <c r="L48" i="13"/>
  <c r="L93" i="13" s="1"/>
  <c r="L97" i="13" s="1"/>
  <c r="L34" i="4"/>
  <c r="L93" i="4"/>
  <c r="L97" i="4" s="1"/>
  <c r="U30" i="14"/>
  <c r="U99" i="14" s="1"/>
  <c r="Z30" i="5"/>
  <c r="U99" i="5"/>
  <c r="U139" i="5" s="1"/>
  <c r="D130" i="10"/>
  <c r="F75" i="10"/>
  <c r="F116" i="10" s="1"/>
  <c r="G75" i="6"/>
  <c r="L36" i="6"/>
  <c r="I36" i="6"/>
  <c r="F36" i="6"/>
  <c r="V36" i="6"/>
  <c r="O36" i="6"/>
  <c r="G181" i="11"/>
  <c r="C181" i="11"/>
  <c r="F181" i="11"/>
  <c r="E181" i="11"/>
  <c r="D181" i="11"/>
  <c r="C56" i="11"/>
  <c r="C94" i="11" s="1"/>
  <c r="C94" i="1"/>
  <c r="C114" i="1" s="1"/>
  <c r="Q76" i="8"/>
  <c r="Q33" i="12"/>
  <c r="Q76" i="12" s="1"/>
  <c r="T33" i="12"/>
  <c r="T76" i="12" s="1"/>
  <c r="T76" i="8"/>
  <c r="D31" i="12"/>
  <c r="D74" i="12" s="1"/>
  <c r="D74" i="8"/>
  <c r="G32" i="12"/>
  <c r="G75" i="12" s="1"/>
  <c r="G75" i="8"/>
  <c r="N34" i="12"/>
  <c r="N77" i="12" s="1"/>
  <c r="N77" i="8"/>
  <c r="K108" i="4"/>
  <c r="K99" i="4"/>
  <c r="K106" i="4"/>
  <c r="C117" i="1" l="1"/>
  <c r="C115" i="1"/>
  <c r="C123" i="1"/>
  <c r="C137" i="1" s="1"/>
  <c r="C121" i="1"/>
  <c r="C126" i="1" s="1"/>
  <c r="C97" i="12"/>
  <c r="C103" i="12"/>
  <c r="C108" i="12" s="1"/>
  <c r="I181" i="5"/>
  <c r="I142" i="5"/>
  <c r="I140" i="5"/>
  <c r="I179" i="5"/>
  <c r="I148" i="5"/>
  <c r="I146" i="5"/>
  <c r="Y142" i="5"/>
  <c r="Y140" i="5"/>
  <c r="Y148" i="5"/>
  <c r="Y146" i="5"/>
  <c r="R181" i="5"/>
  <c r="R179" i="5"/>
  <c r="R142" i="5"/>
  <c r="R140" i="5"/>
  <c r="G181" i="5"/>
  <c r="G179" i="5"/>
  <c r="G142" i="5"/>
  <c r="G140" i="5"/>
  <c r="G148" i="5"/>
  <c r="G146" i="5"/>
  <c r="D33" i="11"/>
  <c r="D37" i="11" s="1"/>
  <c r="D36" i="11"/>
  <c r="H99" i="4"/>
  <c r="H106" i="4"/>
  <c r="H108" i="4"/>
  <c r="F162" i="6"/>
  <c r="F158" i="6"/>
  <c r="T142" i="5"/>
  <c r="T140" i="5"/>
  <c r="T179" i="5"/>
  <c r="T181" i="5"/>
  <c r="T148" i="5"/>
  <c r="T146" i="5"/>
  <c r="M181" i="5"/>
  <c r="M179" i="5"/>
  <c r="M140" i="5"/>
  <c r="M142" i="5"/>
  <c r="M148" i="5"/>
  <c r="M146" i="5"/>
  <c r="F181" i="5"/>
  <c r="F179" i="5"/>
  <c r="F142" i="5"/>
  <c r="F140" i="5"/>
  <c r="F148" i="5"/>
  <c r="F146" i="5"/>
  <c r="V181" i="5"/>
  <c r="V179" i="5"/>
  <c r="V142" i="5"/>
  <c r="V140" i="5"/>
  <c r="V148" i="5"/>
  <c r="V146" i="5"/>
  <c r="E33" i="11"/>
  <c r="E37" i="11" s="1"/>
  <c r="E36" i="11"/>
  <c r="B13" i="18"/>
  <c r="C106" i="4"/>
  <c r="C108" i="4"/>
  <c r="C99" i="4"/>
  <c r="J6" i="15"/>
  <c r="L8" i="15"/>
  <c r="I5" i="15"/>
  <c r="K7" i="15"/>
  <c r="H4" i="15"/>
  <c r="Z6" i="15"/>
  <c r="AB8" i="15"/>
  <c r="Y5" i="15"/>
  <c r="AA7" i="15"/>
  <c r="X4" i="15"/>
  <c r="L6" i="15"/>
  <c r="N8" i="15"/>
  <c r="M7" i="15"/>
  <c r="K5" i="15"/>
  <c r="J4" i="15"/>
  <c r="U181" i="5"/>
  <c r="U179" i="5"/>
  <c r="U142" i="5"/>
  <c r="U140" i="5"/>
  <c r="U146" i="5"/>
  <c r="U148" i="5"/>
  <c r="W142" i="5"/>
  <c r="W140" i="5"/>
  <c r="W146" i="5"/>
  <c r="W148" i="5"/>
  <c r="D179" i="5"/>
  <c r="D142" i="5"/>
  <c r="D140" i="5"/>
  <c r="D181" i="5"/>
  <c r="D148" i="5"/>
  <c r="D146" i="5"/>
  <c r="P179" i="5"/>
  <c r="P142" i="5"/>
  <c r="P140" i="5"/>
  <c r="P181" i="5"/>
  <c r="P148" i="5"/>
  <c r="P146" i="5"/>
  <c r="O181" i="5"/>
  <c r="O179" i="5"/>
  <c r="O142" i="5"/>
  <c r="O140" i="5"/>
  <c r="O148" i="5"/>
  <c r="O146" i="5"/>
  <c r="T108" i="4"/>
  <c r="T99" i="4"/>
  <c r="T106" i="4"/>
  <c r="F35" i="10"/>
  <c r="F39" i="10" s="1"/>
  <c r="F38" i="10"/>
  <c r="C179" i="5"/>
  <c r="C142" i="5"/>
  <c r="C140" i="5"/>
  <c r="C181" i="5"/>
  <c r="C146" i="5"/>
  <c r="C148" i="5"/>
  <c r="C33" i="11"/>
  <c r="C37" i="11" s="1"/>
  <c r="C36" i="11"/>
  <c r="S8" i="15"/>
  <c r="Q6" i="15"/>
  <c r="P5" i="15"/>
  <c r="R7" i="15"/>
  <c r="O4" i="15"/>
  <c r="N181" i="5"/>
  <c r="N179" i="5"/>
  <c r="N142" i="5"/>
  <c r="N140" i="5"/>
  <c r="F133" i="8"/>
  <c r="F129" i="8"/>
  <c r="F39" i="6"/>
  <c r="F38" i="6"/>
  <c r="L34" i="13"/>
  <c r="L82" i="13" s="1"/>
  <c r="L40" i="4"/>
  <c r="L82" i="4"/>
  <c r="D52" i="10"/>
  <c r="D93" i="10" s="1"/>
  <c r="D53" i="6"/>
  <c r="D93" i="6"/>
  <c r="S181" i="5"/>
  <c r="S142" i="5"/>
  <c r="S140" i="5"/>
  <c r="S179" i="5"/>
  <c r="K54" i="10"/>
  <c r="K95" i="10" s="1"/>
  <c r="K95" i="6"/>
  <c r="L54" i="6"/>
  <c r="Z106" i="4"/>
  <c r="Z108" i="4"/>
  <c r="Z99" i="4"/>
  <c r="F42" i="12"/>
  <c r="F85" i="12" s="1"/>
  <c r="G42" i="8"/>
  <c r="F85" i="8"/>
  <c r="C149" i="11"/>
  <c r="C187" i="11" s="1"/>
  <c r="C217" i="1"/>
  <c r="C237" i="1" s="1"/>
  <c r="E147" i="11"/>
  <c r="E179" i="1"/>
  <c r="E178" i="1"/>
  <c r="G72" i="10"/>
  <c r="G113" i="10" s="1"/>
  <c r="H72" i="6"/>
  <c r="G113" i="6"/>
  <c r="H57" i="10"/>
  <c r="I57" i="6"/>
  <c r="L53" i="14"/>
  <c r="L122" i="14" s="1"/>
  <c r="L59" i="5"/>
  <c r="L122" i="5"/>
  <c r="I72" i="11"/>
  <c r="I195" i="1"/>
  <c r="I165" i="11" s="1"/>
  <c r="K74" i="1"/>
  <c r="J73" i="1"/>
  <c r="J72" i="1"/>
  <c r="K148" i="5"/>
  <c r="H161" i="11"/>
  <c r="H199" i="11" s="1"/>
  <c r="I191" i="1"/>
  <c r="H229" i="1"/>
  <c r="H17" i="11"/>
  <c r="H31" i="11" s="1"/>
  <c r="H34" i="11" s="1"/>
  <c r="I17" i="1"/>
  <c r="H14" i="1"/>
  <c r="H11" i="1"/>
  <c r="H10" i="1"/>
  <c r="H31" i="1"/>
  <c r="H34" i="1" s="1"/>
  <c r="I65" i="10"/>
  <c r="J65" i="6"/>
  <c r="F164" i="11"/>
  <c r="F202" i="11" s="1"/>
  <c r="F177" i="1"/>
  <c r="F232" i="1"/>
  <c r="K81" i="10"/>
  <c r="L82" i="6"/>
  <c r="E38" i="10"/>
  <c r="G79" i="10"/>
  <c r="G120" i="10" s="1"/>
  <c r="G76" i="6"/>
  <c r="G64" i="6"/>
  <c r="G63" i="6"/>
  <c r="G63" i="10" s="1"/>
  <c r="G62" i="6"/>
  <c r="G61" i="6"/>
  <c r="G61" i="10" s="1"/>
  <c r="H79" i="6"/>
  <c r="G120" i="6"/>
  <c r="E49" i="11"/>
  <c r="E87" i="11" s="1"/>
  <c r="E172" i="1"/>
  <c r="E87" i="1"/>
  <c r="F51" i="1"/>
  <c r="X108" i="4"/>
  <c r="X99" i="4"/>
  <c r="X106" i="4"/>
  <c r="N50" i="12"/>
  <c r="N92" i="12" s="1"/>
  <c r="N100" i="12" s="1"/>
  <c r="O50" i="8"/>
  <c r="N30" i="8"/>
  <c r="N29" i="8"/>
  <c r="N92" i="8"/>
  <c r="N100" i="8" s="1"/>
  <c r="D27" i="12"/>
  <c r="D70" i="12" s="1"/>
  <c r="D96" i="12" s="1"/>
  <c r="D70" i="8"/>
  <c r="D96" i="8" s="1"/>
  <c r="E55" i="11"/>
  <c r="E93" i="11" s="1"/>
  <c r="E93" i="1"/>
  <c r="J122" i="10"/>
  <c r="D50" i="10"/>
  <c r="D91" i="10" s="1"/>
  <c r="D91" i="6"/>
  <c r="C186" i="11"/>
  <c r="F168" i="11"/>
  <c r="F203" i="11" s="1"/>
  <c r="F233" i="1"/>
  <c r="H143" i="11"/>
  <c r="H181" i="11" s="1"/>
  <c r="H211" i="1"/>
  <c r="H65" i="11"/>
  <c r="H103" i="11" s="1"/>
  <c r="I65" i="1"/>
  <c r="H103" i="1"/>
  <c r="W96" i="13"/>
  <c r="W99" i="13" s="1"/>
  <c r="Q96" i="13"/>
  <c r="Q99" i="13" s="1"/>
  <c r="I29" i="12"/>
  <c r="I72" i="12" s="1"/>
  <c r="I72" i="8"/>
  <c r="C96" i="8"/>
  <c r="E153" i="1"/>
  <c r="E274" i="1"/>
  <c r="E37" i="1"/>
  <c r="E270" i="1"/>
  <c r="E157" i="1"/>
  <c r="C157" i="1"/>
  <c r="C153" i="1"/>
  <c r="C274" i="1"/>
  <c r="C37" i="1"/>
  <c r="C270" i="1"/>
  <c r="G75" i="10"/>
  <c r="G116" i="10" s="1"/>
  <c r="H75" i="6"/>
  <c r="G116" i="6"/>
  <c r="Z30" i="14"/>
  <c r="Z99" i="14" s="1"/>
  <c r="Z99" i="5"/>
  <c r="Z139" i="5" s="1"/>
  <c r="E181" i="5"/>
  <c r="E179" i="5"/>
  <c r="E142" i="5"/>
  <c r="E140" i="5"/>
  <c r="Z99" i="13"/>
  <c r="E41" i="12"/>
  <c r="E84" i="12" s="1"/>
  <c r="E98" i="12" s="1"/>
  <c r="F41" i="8"/>
  <c r="E84" i="8"/>
  <c r="E98" i="8" s="1"/>
  <c r="C185" i="11"/>
  <c r="E185" i="11"/>
  <c r="Y30" i="13"/>
  <c r="Y78" i="13" s="1"/>
  <c r="Y96" i="13" s="1"/>
  <c r="Y99" i="13" s="1"/>
  <c r="Y78" i="4"/>
  <c r="Y96" i="4" s="1"/>
  <c r="I73" i="11"/>
  <c r="I196" i="1"/>
  <c r="I166" i="11" s="1"/>
  <c r="H122" i="6"/>
  <c r="D122" i="6"/>
  <c r="D129" i="6" s="1"/>
  <c r="K122" i="6"/>
  <c r="G122" i="6"/>
  <c r="C122" i="6"/>
  <c r="C129" i="6" s="1"/>
  <c r="J122" i="6"/>
  <c r="F122" i="6"/>
  <c r="F129" i="6" s="1"/>
  <c r="I122" i="6"/>
  <c r="E122" i="6"/>
  <c r="E129" i="6" s="1"/>
  <c r="J139" i="5"/>
  <c r="G10" i="11"/>
  <c r="G24" i="11" s="1"/>
  <c r="G24" i="1"/>
  <c r="I44" i="12"/>
  <c r="I87" i="12" s="1"/>
  <c r="N44" i="8"/>
  <c r="I45" i="8"/>
  <c r="I87" i="8"/>
  <c r="J53" i="10"/>
  <c r="J94" i="10" s="1"/>
  <c r="K53" i="6"/>
  <c r="J94" i="6"/>
  <c r="W96" i="14"/>
  <c r="W141" i="14" s="1"/>
  <c r="S96" i="14"/>
  <c r="O96" i="14"/>
  <c r="O141" i="14" s="1"/>
  <c r="O148" i="14" s="1"/>
  <c r="K96" i="14"/>
  <c r="G96" i="14"/>
  <c r="C96" i="14"/>
  <c r="Z96" i="14"/>
  <c r="V96" i="14"/>
  <c r="R96" i="14"/>
  <c r="N96" i="14"/>
  <c r="N141" i="14" s="1"/>
  <c r="J96" i="14"/>
  <c r="F96" i="14"/>
  <c r="Y96" i="14"/>
  <c r="U96" i="14"/>
  <c r="U141" i="14" s="1"/>
  <c r="U148" i="14" s="1"/>
  <c r="Q96" i="14"/>
  <c r="M96" i="14"/>
  <c r="I96" i="14"/>
  <c r="E96" i="14"/>
  <c r="L96" i="14"/>
  <c r="L141" i="14" s="1"/>
  <c r="X96" i="14"/>
  <c r="H96" i="14"/>
  <c r="T96" i="14"/>
  <c r="D96" i="14"/>
  <c r="P96" i="14"/>
  <c r="F64" i="10"/>
  <c r="F105" i="10" s="1"/>
  <c r="F105" i="6"/>
  <c r="E51" i="11"/>
  <c r="E89" i="11" s="1"/>
  <c r="E174" i="1"/>
  <c r="E89" i="1"/>
  <c r="D129" i="8"/>
  <c r="D133" i="8"/>
  <c r="D39" i="6"/>
  <c r="D38" i="6"/>
  <c r="K141" i="14"/>
  <c r="P141" i="14"/>
  <c r="I141" i="14"/>
  <c r="Y141" i="14"/>
  <c r="R141" i="14"/>
  <c r="U75" i="11"/>
  <c r="U110" i="11" s="1"/>
  <c r="U198" i="1"/>
  <c r="V75" i="1"/>
  <c r="U110" i="1"/>
  <c r="R149" i="5"/>
  <c r="E14" i="18" s="1"/>
  <c r="R148" i="5"/>
  <c r="R147" i="5"/>
  <c r="R146" i="5"/>
  <c r="F32" i="1"/>
  <c r="E56" i="11"/>
  <c r="E94" i="11" s="1"/>
  <c r="E94" i="1"/>
  <c r="E71" i="10"/>
  <c r="E112" i="10" s="1"/>
  <c r="E128" i="10" s="1"/>
  <c r="E50" i="6"/>
  <c r="E112" i="6"/>
  <c r="E127" i="6" s="1"/>
  <c r="C96" i="13"/>
  <c r="C99" i="13" s="1"/>
  <c r="K96" i="13"/>
  <c r="K99" i="13" s="1"/>
  <c r="E96" i="13"/>
  <c r="E99" i="13" s="1"/>
  <c r="U96" i="13"/>
  <c r="U99" i="13" s="1"/>
  <c r="N96" i="13"/>
  <c r="N99" i="13" s="1"/>
  <c r="Z89" i="14"/>
  <c r="Z139" i="14" s="1"/>
  <c r="V89" i="14"/>
  <c r="V139" i="14" s="1"/>
  <c r="R89" i="14"/>
  <c r="R139" i="14" s="1"/>
  <c r="R148" i="14" s="1"/>
  <c r="N89" i="14"/>
  <c r="N139" i="14" s="1"/>
  <c r="J89" i="14"/>
  <c r="J139" i="14" s="1"/>
  <c r="F89" i="14"/>
  <c r="F139" i="14" s="1"/>
  <c r="F146" i="14" s="1"/>
  <c r="Y89" i="14"/>
  <c r="U89" i="14"/>
  <c r="U139" i="14" s="1"/>
  <c r="Q89" i="14"/>
  <c r="Q139" i="14" s="1"/>
  <c r="M89" i="14"/>
  <c r="I89" i="14"/>
  <c r="I139" i="14" s="1"/>
  <c r="E89" i="14"/>
  <c r="E139" i="14" s="1"/>
  <c r="E146" i="14" s="1"/>
  <c r="X89" i="14"/>
  <c r="T89" i="14"/>
  <c r="P89" i="14"/>
  <c r="P139" i="14" s="1"/>
  <c r="L89" i="14"/>
  <c r="H89" i="14"/>
  <c r="D89" i="14"/>
  <c r="D139" i="14" s="1"/>
  <c r="S89" i="14"/>
  <c r="S139" i="14" s="1"/>
  <c r="C89" i="14"/>
  <c r="C139" i="14" s="1"/>
  <c r="O89" i="14"/>
  <c r="O139" i="14" s="1"/>
  <c r="K89" i="14"/>
  <c r="K139" i="14" s="1"/>
  <c r="W89" i="14"/>
  <c r="G89" i="14"/>
  <c r="I30" i="12"/>
  <c r="I73" i="12" s="1"/>
  <c r="I73" i="8"/>
  <c r="K29" i="12"/>
  <c r="K72" i="12" s="1"/>
  <c r="K72" i="8"/>
  <c r="G60" i="10"/>
  <c r="H60" i="6"/>
  <c r="S148" i="5"/>
  <c r="N148" i="5"/>
  <c r="G74" i="10"/>
  <c r="G115" i="10" s="1"/>
  <c r="H74" i="6"/>
  <c r="G115" i="6"/>
  <c r="S146" i="14"/>
  <c r="H52" i="14"/>
  <c r="H121" i="14" s="1"/>
  <c r="H58" i="5"/>
  <c r="H121" i="5"/>
  <c r="D39" i="12"/>
  <c r="D82" i="12" s="1"/>
  <c r="D98" i="12" s="1"/>
  <c r="D82" i="8"/>
  <c r="H146" i="11"/>
  <c r="H184" i="11" s="1"/>
  <c r="I176" i="1"/>
  <c r="H214" i="1"/>
  <c r="J74" i="11"/>
  <c r="J197" i="1"/>
  <c r="J167" i="11" s="1"/>
  <c r="G56" i="10"/>
  <c r="G97" i="10" s="1"/>
  <c r="H56" i="6"/>
  <c r="G97" i="6"/>
  <c r="G8" i="10"/>
  <c r="G23" i="10" s="1"/>
  <c r="G34" i="10" s="1"/>
  <c r="H8" i="6"/>
  <c r="G23" i="6"/>
  <c r="G34" i="6" s="1"/>
  <c r="G35" i="6" s="1"/>
  <c r="Q139" i="5"/>
  <c r="G11" i="11"/>
  <c r="G25" i="11" s="1"/>
  <c r="G25" i="1"/>
  <c r="S179" i="11"/>
  <c r="O179" i="11"/>
  <c r="K179" i="11"/>
  <c r="G179" i="11"/>
  <c r="C179" i="11"/>
  <c r="C207" i="11" s="1"/>
  <c r="V179" i="11"/>
  <c r="R179" i="11"/>
  <c r="N179" i="11"/>
  <c r="J179" i="11"/>
  <c r="F179" i="11"/>
  <c r="U179" i="11"/>
  <c r="Q179" i="11"/>
  <c r="M179" i="11"/>
  <c r="I179" i="11"/>
  <c r="E179" i="11"/>
  <c r="T179" i="11"/>
  <c r="P179" i="11"/>
  <c r="L179" i="11"/>
  <c r="H179" i="11"/>
  <c r="D179" i="11"/>
  <c r="U146" i="14"/>
  <c r="D40" i="12"/>
  <c r="D83" i="12" s="1"/>
  <c r="D83" i="8"/>
  <c r="N43" i="12"/>
  <c r="N86" i="12" s="1"/>
  <c r="S43" i="8"/>
  <c r="N86" i="8"/>
  <c r="F54" i="11"/>
  <c r="F92" i="11" s="1"/>
  <c r="F56" i="1"/>
  <c r="F55" i="1"/>
  <c r="F92" i="1"/>
  <c r="K80" i="10"/>
  <c r="K121" i="10" s="1"/>
  <c r="L81" i="6"/>
  <c r="L122" i="6" s="1"/>
  <c r="L80" i="6"/>
  <c r="H66" i="10"/>
  <c r="H107" i="10" s="1"/>
  <c r="I66" i="6"/>
  <c r="H107" i="6"/>
  <c r="S141" i="14"/>
  <c r="S148" i="14" s="1"/>
  <c r="T141" i="14"/>
  <c r="M141" i="14"/>
  <c r="F141" i="14"/>
  <c r="V141" i="14"/>
  <c r="E49" i="10"/>
  <c r="E90" i="10" s="1"/>
  <c r="E90" i="6"/>
  <c r="M139" i="14"/>
  <c r="M146" i="14" s="1"/>
  <c r="H59" i="10"/>
  <c r="I59" i="6"/>
  <c r="G9" i="11"/>
  <c r="G23" i="11" s="1"/>
  <c r="H9" i="1"/>
  <c r="G23" i="1"/>
  <c r="G73" i="10"/>
  <c r="G114" i="10" s="1"/>
  <c r="H73" i="6"/>
  <c r="G114" i="6"/>
  <c r="R106" i="4"/>
  <c r="R108" i="4"/>
  <c r="R99" i="4"/>
  <c r="E13" i="18" s="1"/>
  <c r="M29" i="12"/>
  <c r="M72" i="12" s="1"/>
  <c r="M72" i="8"/>
  <c r="F21" i="12"/>
  <c r="F64" i="12" s="1"/>
  <c r="G21" i="8"/>
  <c r="F64" i="8"/>
  <c r="G8" i="11"/>
  <c r="G22" i="11" s="1"/>
  <c r="H8" i="1"/>
  <c r="G22" i="1"/>
  <c r="C133" i="8"/>
  <c r="C129" i="8"/>
  <c r="C39" i="6"/>
  <c r="C38" i="6"/>
  <c r="H122" i="10"/>
  <c r="H49" i="10"/>
  <c r="H90" i="10" s="1"/>
  <c r="H90" i="6"/>
  <c r="X141" i="5"/>
  <c r="I52" i="10"/>
  <c r="I93" i="10" s="1"/>
  <c r="J52" i="6"/>
  <c r="I93" i="6"/>
  <c r="W139" i="14"/>
  <c r="X30" i="14"/>
  <c r="X99" i="14" s="1"/>
  <c r="X99" i="5"/>
  <c r="X139" i="5" s="1"/>
  <c r="D55" i="11"/>
  <c r="D93" i="11" s="1"/>
  <c r="D93" i="1"/>
  <c r="I50" i="11"/>
  <c r="I88" i="11" s="1"/>
  <c r="I173" i="1"/>
  <c r="J50" i="1"/>
  <c r="I88" i="1"/>
  <c r="S96" i="13"/>
  <c r="S99" i="13" s="1"/>
  <c r="P96" i="13"/>
  <c r="P99" i="13" s="1"/>
  <c r="I96" i="13"/>
  <c r="I99" i="13" s="1"/>
  <c r="R96" i="13"/>
  <c r="J50" i="12"/>
  <c r="J92" i="12" s="1"/>
  <c r="J100" i="12" s="1"/>
  <c r="J30" i="8"/>
  <c r="J29" i="8"/>
  <c r="J92" i="8"/>
  <c r="J100" i="8" s="1"/>
  <c r="K30" i="12"/>
  <c r="K73" i="12" s="1"/>
  <c r="K73" i="8"/>
  <c r="C98" i="8"/>
  <c r="G158" i="11"/>
  <c r="G196" i="11" s="1"/>
  <c r="H188" i="1"/>
  <c r="G226" i="1"/>
  <c r="K181" i="5"/>
  <c r="K179" i="5"/>
  <c r="K142" i="5"/>
  <c r="K140" i="5"/>
  <c r="D147" i="11"/>
  <c r="D185" i="11" s="1"/>
  <c r="D179" i="1"/>
  <c r="D178" i="1"/>
  <c r="G58" i="10"/>
  <c r="H58" i="6"/>
  <c r="C148" i="14"/>
  <c r="C153" i="14" s="1"/>
  <c r="C146" i="14"/>
  <c r="E133" i="8"/>
  <c r="E129" i="8"/>
  <c r="E39" i="6"/>
  <c r="E38" i="6"/>
  <c r="G14" i="11"/>
  <c r="G28" i="11" s="1"/>
  <c r="G28" i="1"/>
  <c r="O146" i="14"/>
  <c r="G25" i="12"/>
  <c r="G68" i="12" s="1"/>
  <c r="G68" i="8"/>
  <c r="H25" i="8"/>
  <c r="G194" i="1"/>
  <c r="G71" i="11"/>
  <c r="G109" i="11" s="1"/>
  <c r="H71" i="1"/>
  <c r="G54" i="1"/>
  <c r="G109" i="1"/>
  <c r="F62" i="10"/>
  <c r="F103" i="10" s="1"/>
  <c r="F103" i="6"/>
  <c r="F76" i="10"/>
  <c r="F117" i="10" s="1"/>
  <c r="F117" i="6"/>
  <c r="D46" i="11"/>
  <c r="D84" i="11" s="1"/>
  <c r="D114" i="11" s="1"/>
  <c r="E46" i="1"/>
  <c r="D84" i="1"/>
  <c r="D142" i="11"/>
  <c r="D180" i="11" s="1"/>
  <c r="D169" i="1"/>
  <c r="D210" i="1"/>
  <c r="C114" i="11"/>
  <c r="G133" i="8"/>
  <c r="G129" i="8"/>
  <c r="G39" i="6"/>
  <c r="G38" i="6"/>
  <c r="G141" i="14"/>
  <c r="H141" i="14"/>
  <c r="X141" i="14"/>
  <c r="Q141" i="14"/>
  <c r="J141" i="14"/>
  <c r="Z141" i="14"/>
  <c r="T168" i="11"/>
  <c r="T203" i="11" s="1"/>
  <c r="T233" i="1"/>
  <c r="T139" i="14"/>
  <c r="H98" i="6"/>
  <c r="B100" i="6"/>
  <c r="H99" i="6"/>
  <c r="D99" i="6"/>
  <c r="G99" i="6"/>
  <c r="C99" i="6"/>
  <c r="F99" i="6"/>
  <c r="E99" i="6"/>
  <c r="R99" i="13"/>
  <c r="M73" i="8"/>
  <c r="M30" i="12"/>
  <c r="M73" i="12" s="1"/>
  <c r="D98" i="8"/>
  <c r="F32" i="11"/>
  <c r="B99" i="10"/>
  <c r="H98" i="10"/>
  <c r="D98" i="10"/>
  <c r="G98" i="10"/>
  <c r="C98" i="10"/>
  <c r="F98" i="10"/>
  <c r="E98" i="10"/>
  <c r="I122" i="10"/>
  <c r="F122" i="10"/>
  <c r="F130" i="10" s="1"/>
  <c r="I70" i="10"/>
  <c r="I111" i="10" s="1"/>
  <c r="J70" i="6"/>
  <c r="I49" i="6"/>
  <c r="I111" i="6"/>
  <c r="Y139" i="14"/>
  <c r="Y146" i="14" s="1"/>
  <c r="G139" i="14"/>
  <c r="E215" i="1"/>
  <c r="H2" i="16"/>
  <c r="H35" i="15"/>
  <c r="G198" i="1"/>
  <c r="G75" i="11"/>
  <c r="G110" i="11" s="1"/>
  <c r="H75" i="1"/>
  <c r="G110" i="1"/>
  <c r="D56" i="11"/>
  <c r="D94" i="11" s="1"/>
  <c r="D94" i="1"/>
  <c r="G83" i="10"/>
  <c r="G124" i="10" s="1"/>
  <c r="H83" i="6"/>
  <c r="G123" i="6"/>
  <c r="G96" i="13"/>
  <c r="G99" i="13" s="1"/>
  <c r="D96" i="13"/>
  <c r="D99" i="13" s="1"/>
  <c r="T96" i="13"/>
  <c r="T99" i="13" s="1"/>
  <c r="M96" i="13"/>
  <c r="M99" i="13" s="1"/>
  <c r="F96" i="13"/>
  <c r="F99" i="13" s="1"/>
  <c r="V96" i="13"/>
  <c r="V99" i="13" s="1"/>
  <c r="L50" i="12"/>
  <c r="L92" i="12" s="1"/>
  <c r="L100" i="12" s="1"/>
  <c r="L30" i="8"/>
  <c r="L29" i="8"/>
  <c r="L92" i="8"/>
  <c r="L100" i="8" s="1"/>
  <c r="C98" i="12"/>
  <c r="C105" i="12" s="1"/>
  <c r="C111" i="12" s="1"/>
  <c r="E146" i="5"/>
  <c r="S146" i="5"/>
  <c r="N146" i="5"/>
  <c r="X142" i="5" l="1"/>
  <c r="X140" i="5"/>
  <c r="X148" i="5"/>
  <c r="X146" i="5"/>
  <c r="C210" i="11"/>
  <c r="C208" i="11"/>
  <c r="C216" i="11"/>
  <c r="C222" i="11" s="1"/>
  <c r="C214" i="11"/>
  <c r="C219" i="11" s="1"/>
  <c r="F10" i="15"/>
  <c r="H12" i="15"/>
  <c r="E9" i="15"/>
  <c r="G11" i="15"/>
  <c r="I13" i="15"/>
  <c r="N148" i="14"/>
  <c r="D97" i="12"/>
  <c r="D99" i="12"/>
  <c r="D103" i="12"/>
  <c r="D108" i="12" s="1"/>
  <c r="D105" i="12"/>
  <c r="D111" i="12" s="1"/>
  <c r="D117" i="11"/>
  <c r="D115" i="11"/>
  <c r="D121" i="11"/>
  <c r="D126" i="11" s="1"/>
  <c r="D123" i="11"/>
  <c r="D129" i="11" s="1"/>
  <c r="N10" i="15"/>
  <c r="P12" i="15"/>
  <c r="M9" i="15"/>
  <c r="O11" i="15"/>
  <c r="Q13" i="15"/>
  <c r="P142" i="14"/>
  <c r="P140" i="14"/>
  <c r="P148" i="14"/>
  <c r="P146" i="14"/>
  <c r="I142" i="14"/>
  <c r="I140" i="14"/>
  <c r="I148" i="14"/>
  <c r="I146" i="14"/>
  <c r="K142" i="14"/>
  <c r="K140" i="14"/>
  <c r="K146" i="14"/>
  <c r="K148" i="14"/>
  <c r="D142" i="14"/>
  <c r="D140" i="14"/>
  <c r="D148" i="14"/>
  <c r="D146" i="14"/>
  <c r="J13" i="15"/>
  <c r="I12" i="15"/>
  <c r="H11" i="15"/>
  <c r="F9" i="15"/>
  <c r="G10" i="15"/>
  <c r="V142" i="14"/>
  <c r="V140" i="14"/>
  <c r="V148" i="14"/>
  <c r="V146" i="14"/>
  <c r="Z142" i="5"/>
  <c r="Z140" i="5"/>
  <c r="Z146" i="5"/>
  <c r="Z148" i="5"/>
  <c r="Z10" i="15"/>
  <c r="AB12" i="15"/>
  <c r="Y9" i="15"/>
  <c r="AA11" i="15"/>
  <c r="AC13" i="15"/>
  <c r="J142" i="14"/>
  <c r="J140" i="14"/>
  <c r="J146" i="14"/>
  <c r="J148" i="14"/>
  <c r="AA6" i="15"/>
  <c r="AC8" i="15"/>
  <c r="Y4" i="15"/>
  <c r="Z5" i="15"/>
  <c r="AB7" i="15"/>
  <c r="D99" i="8"/>
  <c r="D97" i="8"/>
  <c r="D103" i="8"/>
  <c r="D108" i="8" s="1"/>
  <c r="D105" i="8"/>
  <c r="D117" i="8" s="1"/>
  <c r="C240" i="1"/>
  <c r="C238" i="1"/>
  <c r="C246" i="1"/>
  <c r="C258" i="1" s="1"/>
  <c r="C244" i="1"/>
  <c r="C249" i="1" s="1"/>
  <c r="O6" i="15"/>
  <c r="Q8" i="15"/>
  <c r="M4" i="15"/>
  <c r="N5" i="15"/>
  <c r="P7" i="15"/>
  <c r="G168" i="11"/>
  <c r="G203" i="11" s="1"/>
  <c r="G233" i="1"/>
  <c r="G142" i="14"/>
  <c r="G140" i="14"/>
  <c r="I49" i="10"/>
  <c r="I90" i="10" s="1"/>
  <c r="I90" i="6"/>
  <c r="C117" i="11"/>
  <c r="C115" i="11"/>
  <c r="C121" i="11"/>
  <c r="C126" i="11" s="1"/>
  <c r="C123" i="11"/>
  <c r="C129" i="11" s="1"/>
  <c r="D139" i="11"/>
  <c r="D177" i="11" s="1"/>
  <c r="E169" i="1"/>
  <c r="D207" i="1"/>
  <c r="G118" i="11"/>
  <c r="D149" i="11"/>
  <c r="D187" i="11" s="1"/>
  <c r="D217" i="1"/>
  <c r="W142" i="14"/>
  <c r="W140" i="14"/>
  <c r="G32" i="1"/>
  <c r="G64" i="8"/>
  <c r="G21" i="12"/>
  <c r="G64" i="12" s="1"/>
  <c r="H21" i="8"/>
  <c r="H73" i="10"/>
  <c r="H114" i="10" s="1"/>
  <c r="I73" i="6"/>
  <c r="H114" i="6"/>
  <c r="G162" i="6"/>
  <c r="G158" i="6"/>
  <c r="I56" i="6"/>
  <c r="H56" i="10"/>
  <c r="H97" i="10" s="1"/>
  <c r="H97" i="6"/>
  <c r="O140" i="14"/>
  <c r="O142" i="14"/>
  <c r="X139" i="14"/>
  <c r="Q142" i="14"/>
  <c r="Q140" i="14"/>
  <c r="Z142" i="14"/>
  <c r="Z140" i="14"/>
  <c r="E144" i="11"/>
  <c r="E182" i="11" s="1"/>
  <c r="E212" i="1"/>
  <c r="I45" i="12"/>
  <c r="I88" i="12" s="1"/>
  <c r="N45" i="8"/>
  <c r="I46" i="8"/>
  <c r="I88" i="8"/>
  <c r="AB6" i="15"/>
  <c r="AD8" i="15"/>
  <c r="AA5" i="15"/>
  <c r="AC7" i="15"/>
  <c r="Z4" i="15"/>
  <c r="H75" i="10"/>
  <c r="H116" i="10" s="1"/>
  <c r="I75" i="6"/>
  <c r="H116" i="6"/>
  <c r="C97" i="8"/>
  <c r="C99" i="8"/>
  <c r="C103" i="8"/>
  <c r="C108" i="8" s="1"/>
  <c r="C105" i="8"/>
  <c r="C117" i="8" s="1"/>
  <c r="I65" i="11"/>
  <c r="I103" i="11" s="1"/>
  <c r="J65" i="1"/>
  <c r="I103" i="1"/>
  <c r="O50" i="12"/>
  <c r="O92" i="12" s="1"/>
  <c r="O100" i="12" s="1"/>
  <c r="O92" i="8"/>
  <c r="O100" i="8" s="1"/>
  <c r="P50" i="8"/>
  <c r="O29" i="8"/>
  <c r="O30" i="8"/>
  <c r="H79" i="10"/>
  <c r="H120" i="10" s="1"/>
  <c r="H64" i="6"/>
  <c r="H63" i="6"/>
  <c r="H63" i="10" s="1"/>
  <c r="H62" i="6"/>
  <c r="H61" i="6"/>
  <c r="H61" i="10" s="1"/>
  <c r="I79" i="6"/>
  <c r="H76" i="6"/>
  <c r="H120" i="6"/>
  <c r="G64" i="10"/>
  <c r="G105" i="10" s="1"/>
  <c r="G105" i="6"/>
  <c r="F211" i="11"/>
  <c r="H10" i="11"/>
  <c r="H24" i="11" s="1"/>
  <c r="H24" i="1"/>
  <c r="I161" i="11"/>
  <c r="I199" i="11" s="1"/>
  <c r="J191" i="1"/>
  <c r="I229" i="1"/>
  <c r="E149" i="11"/>
  <c r="E187" i="11" s="1"/>
  <c r="E217" i="1"/>
  <c r="N149" i="5"/>
  <c r="N147" i="5"/>
  <c r="C151" i="5"/>
  <c r="D147" i="5"/>
  <c r="D149" i="5"/>
  <c r="U147" i="5"/>
  <c r="U149" i="5"/>
  <c r="X8" i="15"/>
  <c r="V6" i="15"/>
  <c r="T4" i="15"/>
  <c r="U5" i="15"/>
  <c r="W7" i="15"/>
  <c r="H83" i="10"/>
  <c r="H124" i="10" s="1"/>
  <c r="I83" i="6"/>
  <c r="H123" i="6"/>
  <c r="Y142" i="14"/>
  <c r="Y140" i="14"/>
  <c r="J70" i="10"/>
  <c r="J111" i="10" s="1"/>
  <c r="J49" i="6"/>
  <c r="K70" i="6"/>
  <c r="J111" i="6"/>
  <c r="F99" i="10"/>
  <c r="E99" i="10"/>
  <c r="B100" i="10"/>
  <c r="D99" i="10"/>
  <c r="G99" i="10"/>
  <c r="C99" i="10"/>
  <c r="T142" i="14"/>
  <c r="T140" i="14"/>
  <c r="G118" i="1"/>
  <c r="G164" i="11"/>
  <c r="G202" i="11" s="1"/>
  <c r="G211" i="11" s="1"/>
  <c r="G177" i="1"/>
  <c r="G232" i="1"/>
  <c r="G241" i="1" s="1"/>
  <c r="R12" i="15"/>
  <c r="S13" i="15"/>
  <c r="P10" i="15"/>
  <c r="O9" i="15"/>
  <c r="Q11" i="15"/>
  <c r="C151" i="14"/>
  <c r="F12" i="15"/>
  <c r="D10" i="15"/>
  <c r="C9" i="15"/>
  <c r="E11" i="15"/>
  <c r="G13" i="15"/>
  <c r="I58" i="6"/>
  <c r="H58" i="10"/>
  <c r="H99" i="10" s="1"/>
  <c r="J29" i="12"/>
  <c r="J72" i="12" s="1"/>
  <c r="J72" i="8"/>
  <c r="K6" i="15"/>
  <c r="M8" i="15"/>
  <c r="I4" i="15"/>
  <c r="J5" i="15"/>
  <c r="L7" i="15"/>
  <c r="J50" i="11"/>
  <c r="J88" i="11" s="1"/>
  <c r="J173" i="1"/>
  <c r="K50" i="1"/>
  <c r="J88" i="1"/>
  <c r="H8" i="11"/>
  <c r="H22" i="11" s="1"/>
  <c r="I8" i="1"/>
  <c r="H22" i="1"/>
  <c r="I59" i="10"/>
  <c r="J59" i="6"/>
  <c r="I66" i="10"/>
  <c r="I107" i="10" s="1"/>
  <c r="J66" i="6"/>
  <c r="I107" i="6"/>
  <c r="L80" i="10"/>
  <c r="L121" i="10" s="1"/>
  <c r="M80" i="6"/>
  <c r="M81" i="6"/>
  <c r="L121" i="6"/>
  <c r="F55" i="11"/>
  <c r="F93" i="11" s="1"/>
  <c r="F93" i="1"/>
  <c r="S43" i="12"/>
  <c r="S86" i="12" s="1"/>
  <c r="S86" i="8"/>
  <c r="X12" i="15"/>
  <c r="U9" i="15"/>
  <c r="W11" i="15"/>
  <c r="V10" i="15"/>
  <c r="Y13" i="15"/>
  <c r="H8" i="10"/>
  <c r="H23" i="10" s="1"/>
  <c r="H34" i="10" s="1"/>
  <c r="I8" i="6"/>
  <c r="H23" i="6"/>
  <c r="H34" i="6" s="1"/>
  <c r="T10" i="15"/>
  <c r="V12" i="15"/>
  <c r="S9" i="15"/>
  <c r="U11" i="15"/>
  <c r="W13" i="15"/>
  <c r="C142" i="14"/>
  <c r="C140" i="14"/>
  <c r="E142" i="14"/>
  <c r="E140" i="14"/>
  <c r="U142" i="14"/>
  <c r="U140" i="14"/>
  <c r="N142" i="14"/>
  <c r="N140" i="14"/>
  <c r="P6" i="15"/>
  <c r="R8" i="15"/>
  <c r="Q7" i="15"/>
  <c r="O5" i="15"/>
  <c r="N4" i="15"/>
  <c r="O8" i="15"/>
  <c r="M6" i="15"/>
  <c r="K4" i="15"/>
  <c r="L5" i="15"/>
  <c r="N7" i="15"/>
  <c r="E50" i="10"/>
  <c r="E91" i="10" s="1"/>
  <c r="E91" i="6"/>
  <c r="F33" i="1"/>
  <c r="F36" i="1"/>
  <c r="K53" i="10"/>
  <c r="K94" i="10" s="1"/>
  <c r="L53" i="6"/>
  <c r="K94" i="6"/>
  <c r="N44" i="12"/>
  <c r="N87" i="12" s="1"/>
  <c r="S44" i="8"/>
  <c r="N87" i="8"/>
  <c r="E147" i="5"/>
  <c r="E149" i="5"/>
  <c r="U8" i="15"/>
  <c r="S6" i="15"/>
  <c r="R5" i="15"/>
  <c r="T7" i="15"/>
  <c r="Q4" i="15"/>
  <c r="E142" i="11"/>
  <c r="E180" i="11" s="1"/>
  <c r="E210" i="1"/>
  <c r="G76" i="10"/>
  <c r="G117" i="10" s="1"/>
  <c r="G117" i="6"/>
  <c r="L82" i="10"/>
  <c r="K122" i="10"/>
  <c r="Z146" i="14"/>
  <c r="J65" i="10"/>
  <c r="K65" i="6"/>
  <c r="H11" i="11"/>
  <c r="H25" i="11" s="1"/>
  <c r="H25" i="1"/>
  <c r="J72" i="11"/>
  <c r="J195" i="1"/>
  <c r="J165" i="11" s="1"/>
  <c r="L74" i="1"/>
  <c r="K73" i="1"/>
  <c r="K72" i="1"/>
  <c r="H72" i="10"/>
  <c r="H113" i="10" s="1"/>
  <c r="I72" i="6"/>
  <c r="H113" i="6"/>
  <c r="G42" i="12"/>
  <c r="G85" i="12" s="1"/>
  <c r="H42" i="8"/>
  <c r="G85" i="8"/>
  <c r="T146" i="14"/>
  <c r="E96" i="12"/>
  <c r="V147" i="5"/>
  <c r="V149" i="5"/>
  <c r="T147" i="5"/>
  <c r="T149" i="5"/>
  <c r="Q148" i="14"/>
  <c r="Y149" i="5"/>
  <c r="Y147" i="5"/>
  <c r="C106" i="12"/>
  <c r="C112" i="12" s="1"/>
  <c r="C104" i="12"/>
  <c r="C109" i="12" s="1"/>
  <c r="L29" i="12"/>
  <c r="L72" i="12" s="1"/>
  <c r="L72" i="8"/>
  <c r="L30" i="12"/>
  <c r="L73" i="12" s="1"/>
  <c r="L73" i="8"/>
  <c r="Z8" i="15"/>
  <c r="X6" i="15"/>
  <c r="V4" i="15"/>
  <c r="Y7" i="15"/>
  <c r="W5" i="15"/>
  <c r="H8" i="15"/>
  <c r="F6" i="15"/>
  <c r="D4" i="15"/>
  <c r="G7" i="15"/>
  <c r="E5" i="15"/>
  <c r="H198" i="1"/>
  <c r="H75" i="11"/>
  <c r="H110" i="11" s="1"/>
  <c r="I75" i="1"/>
  <c r="H110" i="1"/>
  <c r="I2" i="16"/>
  <c r="I35" i="15"/>
  <c r="F33" i="11"/>
  <c r="F37" i="11" s="1"/>
  <c r="F36" i="11"/>
  <c r="V8" i="15"/>
  <c r="T6" i="15"/>
  <c r="S5" i="15"/>
  <c r="R4" i="15"/>
  <c r="U7" i="15"/>
  <c r="D114" i="1"/>
  <c r="G54" i="11"/>
  <c r="G92" i="11" s="1"/>
  <c r="G56" i="1"/>
  <c r="G55" i="1"/>
  <c r="G92" i="1"/>
  <c r="H25" i="12"/>
  <c r="H68" i="12" s="1"/>
  <c r="I25" i="8"/>
  <c r="H68" i="8"/>
  <c r="D153" i="14"/>
  <c r="C158" i="14"/>
  <c r="K147" i="5"/>
  <c r="K149" i="5"/>
  <c r="J30" i="12"/>
  <c r="J73" i="12" s="1"/>
  <c r="J73" i="8"/>
  <c r="T8" i="15"/>
  <c r="R6" i="15"/>
  <c r="P4" i="15"/>
  <c r="S7" i="15"/>
  <c r="Q5" i="15"/>
  <c r="I143" i="11"/>
  <c r="I181" i="11" s="1"/>
  <c r="I211" i="1"/>
  <c r="J52" i="10"/>
  <c r="J93" i="10" s="1"/>
  <c r="K52" i="6"/>
  <c r="J93" i="6"/>
  <c r="G32" i="11"/>
  <c r="L81" i="10"/>
  <c r="M82" i="6"/>
  <c r="F56" i="11"/>
  <c r="F94" i="11" s="1"/>
  <c r="F94" i="1"/>
  <c r="G35" i="10"/>
  <c r="G39" i="10" s="1"/>
  <c r="G38" i="10"/>
  <c r="I146" i="11"/>
  <c r="I184" i="11" s="1"/>
  <c r="J176" i="1"/>
  <c r="I214" i="1"/>
  <c r="H74" i="10"/>
  <c r="H115" i="10" s="1"/>
  <c r="I74" i="6"/>
  <c r="H115" i="6"/>
  <c r="S142" i="14"/>
  <c r="S140" i="14"/>
  <c r="R142" i="14"/>
  <c r="R140" i="14"/>
  <c r="W6" i="15"/>
  <c r="Y8" i="15"/>
  <c r="V5" i="15"/>
  <c r="X7" i="15"/>
  <c r="U4" i="15"/>
  <c r="G8" i="15"/>
  <c r="E6" i="15"/>
  <c r="D5" i="15"/>
  <c r="F7" i="15"/>
  <c r="C4" i="15"/>
  <c r="V75" i="11"/>
  <c r="V110" i="11" s="1"/>
  <c r="V198" i="1"/>
  <c r="V110" i="1"/>
  <c r="F41" i="12"/>
  <c r="F84" i="12" s="1"/>
  <c r="F96" i="12" s="1"/>
  <c r="G41" i="8"/>
  <c r="F84" i="8"/>
  <c r="AA8" i="15"/>
  <c r="Y6" i="15"/>
  <c r="W4" i="15"/>
  <c r="X5" i="15"/>
  <c r="Z7" i="15"/>
  <c r="N29" i="12"/>
  <c r="N72" i="12" s="1"/>
  <c r="N72" i="8"/>
  <c r="G62" i="10"/>
  <c r="G103" i="10" s="1"/>
  <c r="G103" i="6"/>
  <c r="G130" i="10"/>
  <c r="F241" i="1"/>
  <c r="H14" i="11"/>
  <c r="H28" i="11" s="1"/>
  <c r="H28" i="1"/>
  <c r="J73" i="11"/>
  <c r="J196" i="1"/>
  <c r="J166" i="11" s="1"/>
  <c r="I57" i="10"/>
  <c r="I98" i="10" s="1"/>
  <c r="J57" i="6"/>
  <c r="I98" i="6"/>
  <c r="N146" i="14"/>
  <c r="M54" i="6"/>
  <c r="L54" i="10"/>
  <c r="L95" i="10" s="1"/>
  <c r="L95" i="6"/>
  <c r="S149" i="5"/>
  <c r="S147" i="5"/>
  <c r="L40" i="13"/>
  <c r="L88" i="13" s="1"/>
  <c r="L96" i="13" s="1"/>
  <c r="L99" i="13" s="1"/>
  <c r="L88" i="4"/>
  <c r="L96" i="4" s="1"/>
  <c r="R146" i="14"/>
  <c r="B14" i="18"/>
  <c r="C149" i="5"/>
  <c r="C147" i="5"/>
  <c r="Y148" i="14"/>
  <c r="W146" i="14"/>
  <c r="P147" i="5"/>
  <c r="P149" i="5"/>
  <c r="W149" i="5"/>
  <c r="W147" i="5"/>
  <c r="C13" i="18"/>
  <c r="E148" i="14"/>
  <c r="G146" i="14"/>
  <c r="M147" i="5"/>
  <c r="M149" i="5"/>
  <c r="I147" i="5"/>
  <c r="I149" i="5"/>
  <c r="C99" i="12"/>
  <c r="B5" i="18"/>
  <c r="C156" i="1"/>
  <c r="C158" i="1" s="1"/>
  <c r="C152" i="1"/>
  <c r="C154" i="1" s="1"/>
  <c r="C122" i="1"/>
  <c r="C132" i="1" s="1"/>
  <c r="C124" i="1"/>
  <c r="C143" i="1" s="1"/>
  <c r="J8" i="15"/>
  <c r="H6" i="15"/>
  <c r="G5" i="15"/>
  <c r="F4" i="15"/>
  <c r="I7" i="15"/>
  <c r="K8" i="15"/>
  <c r="I6" i="15"/>
  <c r="G4" i="15"/>
  <c r="H5" i="15"/>
  <c r="J7" i="15"/>
  <c r="J100" i="6"/>
  <c r="F100" i="6"/>
  <c r="I100" i="6"/>
  <c r="E100" i="6"/>
  <c r="B101" i="6"/>
  <c r="H100" i="6"/>
  <c r="D100" i="6"/>
  <c r="G100" i="6"/>
  <c r="C100" i="6"/>
  <c r="E46" i="11"/>
  <c r="E84" i="11" s="1"/>
  <c r="E114" i="11" s="1"/>
  <c r="E84" i="1"/>
  <c r="E114" i="1" s="1"/>
  <c r="H194" i="1"/>
  <c r="H71" i="11"/>
  <c r="H109" i="11" s="1"/>
  <c r="H118" i="11" s="1"/>
  <c r="H109" i="1"/>
  <c r="H118" i="1" s="1"/>
  <c r="I71" i="1"/>
  <c r="H54" i="1"/>
  <c r="D148" i="11"/>
  <c r="D186" i="11" s="1"/>
  <c r="D216" i="1"/>
  <c r="H158" i="11"/>
  <c r="H196" i="11" s="1"/>
  <c r="I188" i="1"/>
  <c r="H226" i="1"/>
  <c r="W8" i="15"/>
  <c r="U6" i="15"/>
  <c r="T5" i="15"/>
  <c r="V7" i="15"/>
  <c r="S4" i="15"/>
  <c r="F96" i="8"/>
  <c r="H9" i="11"/>
  <c r="H23" i="11" s="1"/>
  <c r="I9" i="1"/>
  <c r="H23" i="1"/>
  <c r="M142" i="14"/>
  <c r="M140" i="14"/>
  <c r="Q181" i="5"/>
  <c r="Q179" i="5"/>
  <c r="Q142" i="5"/>
  <c r="Q140" i="5"/>
  <c r="Q146" i="5"/>
  <c r="Q148" i="5"/>
  <c r="H58" i="14"/>
  <c r="H127" i="14" s="1"/>
  <c r="H139" i="14" s="1"/>
  <c r="H127" i="5"/>
  <c r="H139" i="5" s="1"/>
  <c r="M148" i="14"/>
  <c r="I60" i="6"/>
  <c r="H60" i="10"/>
  <c r="F142" i="14"/>
  <c r="F140" i="14"/>
  <c r="G6" i="15"/>
  <c r="I8" i="15"/>
  <c r="F5" i="15"/>
  <c r="H7" i="15"/>
  <c r="E4" i="15"/>
  <c r="U168" i="11"/>
  <c r="U203" i="11" s="1"/>
  <c r="U233" i="1"/>
  <c r="J181" i="5"/>
  <c r="J179" i="5"/>
  <c r="J142" i="5"/>
  <c r="J140" i="5"/>
  <c r="J146" i="5"/>
  <c r="J148" i="5"/>
  <c r="Y106" i="4"/>
  <c r="Y108" i="4"/>
  <c r="Y99" i="4"/>
  <c r="N30" i="12"/>
  <c r="N73" i="12" s="1"/>
  <c r="N73" i="8"/>
  <c r="F51" i="11"/>
  <c r="F89" i="11" s="1"/>
  <c r="F114" i="11" s="1"/>
  <c r="F174" i="1"/>
  <c r="F89" i="1"/>
  <c r="F114" i="1" s="1"/>
  <c r="G129" i="6"/>
  <c r="F147" i="11"/>
  <c r="F185" i="11" s="1"/>
  <c r="F178" i="1"/>
  <c r="F179" i="1"/>
  <c r="F215" i="1"/>
  <c r="Z148" i="14"/>
  <c r="I17" i="11"/>
  <c r="I31" i="11" s="1"/>
  <c r="I34" i="11" s="1"/>
  <c r="J17" i="1"/>
  <c r="I14" i="1"/>
  <c r="I11" i="1"/>
  <c r="I10" i="1"/>
  <c r="I31" i="1"/>
  <c r="I34" i="1" s="1"/>
  <c r="K74" i="11"/>
  <c r="K197" i="1"/>
  <c r="K167" i="11" s="1"/>
  <c r="L59" i="14"/>
  <c r="L128" i="14" s="1"/>
  <c r="L139" i="14" s="1"/>
  <c r="L128" i="5"/>
  <c r="L139" i="5" s="1"/>
  <c r="E148" i="11"/>
  <c r="E186" i="11" s="1"/>
  <c r="E216" i="1"/>
  <c r="D53" i="10"/>
  <c r="D94" i="10" s="1"/>
  <c r="D94" i="6"/>
  <c r="F148" i="14"/>
  <c r="T148" i="14"/>
  <c r="C153" i="5"/>
  <c r="W148" i="14"/>
  <c r="O149" i="5"/>
  <c r="O147" i="5"/>
  <c r="G148" i="14"/>
  <c r="F147" i="5"/>
  <c r="F149" i="5"/>
  <c r="E96" i="8"/>
  <c r="Q146" i="14"/>
  <c r="G147" i="5"/>
  <c r="G149" i="5"/>
  <c r="L181" i="5" l="1"/>
  <c r="L179" i="5"/>
  <c r="L142" i="5"/>
  <c r="L140" i="5"/>
  <c r="L146" i="5"/>
  <c r="L148" i="5"/>
  <c r="H142" i="14"/>
  <c r="H140" i="14"/>
  <c r="H148" i="14"/>
  <c r="H146" i="14"/>
  <c r="L108" i="4"/>
  <c r="B109" i="4" s="1"/>
  <c r="L99" i="4"/>
  <c r="L106" i="4"/>
  <c r="B107" i="4" s="1"/>
  <c r="F97" i="12"/>
  <c r="F99" i="12"/>
  <c r="F103" i="12"/>
  <c r="F108" i="12" s="1"/>
  <c r="F105" i="12"/>
  <c r="F111" i="12" s="1"/>
  <c r="L142" i="14"/>
  <c r="L140" i="14"/>
  <c r="L148" i="14"/>
  <c r="L146" i="14"/>
  <c r="H179" i="5"/>
  <c r="B180" i="5" s="1"/>
  <c r="H142" i="5"/>
  <c r="H140" i="5"/>
  <c r="H181" i="5"/>
  <c r="B182" i="5" s="1"/>
  <c r="H148" i="5"/>
  <c r="H146" i="5"/>
  <c r="U13" i="15"/>
  <c r="R10" i="15"/>
  <c r="T12" i="15"/>
  <c r="Q9" i="15"/>
  <c r="S11" i="15"/>
  <c r="E97" i="8"/>
  <c r="E99" i="8"/>
  <c r="E103" i="8"/>
  <c r="E108" i="8" s="1"/>
  <c r="E105" i="8"/>
  <c r="E117" i="8" s="1"/>
  <c r="I10" i="11"/>
  <c r="I24" i="11" s="1"/>
  <c r="I24" i="1"/>
  <c r="J147" i="5"/>
  <c r="J149" i="5"/>
  <c r="Q149" i="5"/>
  <c r="Q147" i="5"/>
  <c r="M147" i="14"/>
  <c r="M149" i="14"/>
  <c r="I158" i="11"/>
  <c r="I196" i="11" s="1"/>
  <c r="J188" i="1"/>
  <c r="I226" i="1"/>
  <c r="H54" i="11"/>
  <c r="H92" i="11" s="1"/>
  <c r="H56" i="1"/>
  <c r="H55" i="1"/>
  <c r="H92" i="1"/>
  <c r="H164" i="11"/>
  <c r="H202" i="11" s="1"/>
  <c r="H177" i="1"/>
  <c r="H232" i="1"/>
  <c r="H10" i="15"/>
  <c r="J12" i="15"/>
  <c r="G9" i="15"/>
  <c r="I11" i="15"/>
  <c r="K13" i="15"/>
  <c r="D14" i="18"/>
  <c r="C154" i="5"/>
  <c r="N6" i="15"/>
  <c r="P8" i="15"/>
  <c r="M5" i="15"/>
  <c r="L4" i="15"/>
  <c r="O7" i="15"/>
  <c r="J57" i="10"/>
  <c r="J98" i="10" s="1"/>
  <c r="K57" i="6"/>
  <c r="J98" i="6"/>
  <c r="S147" i="14"/>
  <c r="S149" i="14"/>
  <c r="G55" i="11"/>
  <c r="G93" i="11" s="1"/>
  <c r="G93" i="1"/>
  <c r="J2" i="16"/>
  <c r="J35" i="15"/>
  <c r="H168" i="11"/>
  <c r="H203" i="11" s="1"/>
  <c r="H233" i="1"/>
  <c r="H42" i="12"/>
  <c r="H85" i="12" s="1"/>
  <c r="I42" i="8"/>
  <c r="H85" i="8"/>
  <c r="S44" i="12"/>
  <c r="S87" i="12" s="1"/>
  <c r="S87" i="8"/>
  <c r="H35" i="10"/>
  <c r="H39" i="10" s="1"/>
  <c r="H38" i="10"/>
  <c r="M80" i="10"/>
  <c r="M121" i="10" s="1"/>
  <c r="N81" i="6"/>
  <c r="N80" i="6"/>
  <c r="M121" i="6"/>
  <c r="H32" i="1"/>
  <c r="I58" i="10"/>
  <c r="I99" i="10" s="1"/>
  <c r="J58" i="6"/>
  <c r="I99" i="6"/>
  <c r="T147" i="14"/>
  <c r="T149" i="14"/>
  <c r="B101" i="10"/>
  <c r="H100" i="10"/>
  <c r="D100" i="10"/>
  <c r="G100" i="10"/>
  <c r="C100" i="10"/>
  <c r="F100" i="10"/>
  <c r="I100" i="10"/>
  <c r="E100" i="10"/>
  <c r="K70" i="10"/>
  <c r="K111" i="10" s="1"/>
  <c r="K49" i="6"/>
  <c r="L70" i="6"/>
  <c r="K111" i="6"/>
  <c r="D151" i="5"/>
  <c r="C156" i="5"/>
  <c r="H129" i="6"/>
  <c r="H62" i="10"/>
  <c r="H103" i="10" s="1"/>
  <c r="H103" i="6"/>
  <c r="O30" i="12"/>
  <c r="O73" i="12" s="1"/>
  <c r="O73" i="8"/>
  <c r="Q149" i="14"/>
  <c r="Q147" i="14"/>
  <c r="I56" i="10"/>
  <c r="I97" i="10" s="1"/>
  <c r="J56" i="6"/>
  <c r="I97" i="6"/>
  <c r="E139" i="11"/>
  <c r="E177" i="11" s="1"/>
  <c r="E207" i="11" s="1"/>
  <c r="E207" i="1"/>
  <c r="E237" i="1" s="1"/>
  <c r="C124" i="11"/>
  <c r="C130" i="11" s="1"/>
  <c r="C122" i="11"/>
  <c r="C127" i="11" s="1"/>
  <c r="G147" i="14"/>
  <c r="G149" i="14"/>
  <c r="G12" i="15"/>
  <c r="D9" i="15"/>
  <c r="H13" i="15"/>
  <c r="E10" i="15"/>
  <c r="F11" i="15"/>
  <c r="C215" i="11"/>
  <c r="C220" i="11" s="1"/>
  <c r="C217" i="11"/>
  <c r="C223" i="11" s="1"/>
  <c r="X147" i="5"/>
  <c r="X149" i="5"/>
  <c r="I11" i="11"/>
  <c r="I25" i="11" s="1"/>
  <c r="I25" i="1"/>
  <c r="F149" i="11"/>
  <c r="F187" i="11" s="1"/>
  <c r="F217" i="1"/>
  <c r="F117" i="1"/>
  <c r="F115" i="1"/>
  <c r="F121" i="1"/>
  <c r="F126" i="1" s="1"/>
  <c r="F123" i="1"/>
  <c r="F137" i="1" s="1"/>
  <c r="F97" i="8"/>
  <c r="F99" i="8"/>
  <c r="F105" i="8"/>
  <c r="F117" i="8" s="1"/>
  <c r="F103" i="8"/>
  <c r="F108" i="8" s="1"/>
  <c r="I71" i="11"/>
  <c r="I109" i="11" s="1"/>
  <c r="I194" i="1"/>
  <c r="J71" i="1"/>
  <c r="I54" i="1"/>
  <c r="I109" i="1"/>
  <c r="E117" i="1"/>
  <c r="E115" i="1"/>
  <c r="E123" i="1"/>
  <c r="E137" i="1" s="1"/>
  <c r="E121" i="1"/>
  <c r="E126" i="1" s="1"/>
  <c r="B102" i="6"/>
  <c r="H101" i="6"/>
  <c r="D101" i="6"/>
  <c r="G101" i="6"/>
  <c r="C101" i="6"/>
  <c r="F101" i="6"/>
  <c r="I101" i="6"/>
  <c r="E101" i="6"/>
  <c r="X10" i="15"/>
  <c r="W9" i="15"/>
  <c r="Z12" i="15"/>
  <c r="Y11" i="15"/>
  <c r="AA13" i="15"/>
  <c r="M54" i="10"/>
  <c r="M95" i="10" s="1"/>
  <c r="M95" i="6"/>
  <c r="N54" i="6"/>
  <c r="M82" i="10"/>
  <c r="L122" i="10"/>
  <c r="K52" i="10"/>
  <c r="K93" i="10" s="1"/>
  <c r="L52" i="6"/>
  <c r="K93" i="6"/>
  <c r="I25" i="12"/>
  <c r="I68" i="12" s="1"/>
  <c r="I68" i="8"/>
  <c r="J25" i="8"/>
  <c r="G56" i="11"/>
  <c r="G94" i="11" s="1"/>
  <c r="G94" i="1"/>
  <c r="D30" i="15"/>
  <c r="F32" i="15"/>
  <c r="E31" i="15"/>
  <c r="G33" i="15"/>
  <c r="C29" i="15"/>
  <c r="W12" i="15"/>
  <c r="T9" i="15"/>
  <c r="V11" i="15"/>
  <c r="X13" i="15"/>
  <c r="U10" i="15"/>
  <c r="K72" i="11"/>
  <c r="K195" i="1"/>
  <c r="K165" i="11" s="1"/>
  <c r="M74" i="1"/>
  <c r="L73" i="1"/>
  <c r="L72" i="1"/>
  <c r="K65" i="10"/>
  <c r="L65" i="6"/>
  <c r="U147" i="14"/>
  <c r="U149" i="14"/>
  <c r="I8" i="11"/>
  <c r="I22" i="11" s="1"/>
  <c r="J8" i="1"/>
  <c r="I22" i="1"/>
  <c r="K50" i="11"/>
  <c r="K88" i="11" s="1"/>
  <c r="K173" i="1"/>
  <c r="K88" i="1"/>
  <c r="L50" i="1"/>
  <c r="G147" i="11"/>
  <c r="G185" i="11" s="1"/>
  <c r="G178" i="1"/>
  <c r="G179" i="1"/>
  <c r="G215" i="1"/>
  <c r="J49" i="10"/>
  <c r="J90" i="10" s="1"/>
  <c r="J90" i="6"/>
  <c r="H76" i="10"/>
  <c r="H117" i="10" s="1"/>
  <c r="H117" i="6"/>
  <c r="O29" i="12"/>
  <c r="O72" i="12" s="1"/>
  <c r="O72" i="8"/>
  <c r="I75" i="10"/>
  <c r="I116" i="10" s="1"/>
  <c r="J75" i="6"/>
  <c r="I116" i="6"/>
  <c r="I46" i="12"/>
  <c r="I89" i="12" s="1"/>
  <c r="N46" i="8"/>
  <c r="I89" i="8"/>
  <c r="O147" i="14"/>
  <c r="O149" i="14"/>
  <c r="I73" i="10"/>
  <c r="I114" i="10" s="1"/>
  <c r="J73" i="6"/>
  <c r="I114" i="6"/>
  <c r="D207" i="11"/>
  <c r="B4" i="18"/>
  <c r="C269" i="1"/>
  <c r="C271" i="1" s="1"/>
  <c r="C273" i="1"/>
  <c r="C275" i="1" s="1"/>
  <c r="C245" i="1"/>
  <c r="C253" i="1" s="1"/>
  <c r="C247" i="1"/>
  <c r="C262" i="1" s="1"/>
  <c r="D104" i="8"/>
  <c r="D112" i="8" s="1"/>
  <c r="D128" i="8"/>
  <c r="D130" i="8" s="1"/>
  <c r="D106" i="8"/>
  <c r="D121" i="8" s="1"/>
  <c r="D132" i="8"/>
  <c r="D134" i="8" s="1"/>
  <c r="N13" i="15"/>
  <c r="J9" i="15"/>
  <c r="K10" i="15"/>
  <c r="M12" i="15"/>
  <c r="L11" i="15"/>
  <c r="Z147" i="5"/>
  <c r="Z149" i="5"/>
  <c r="V147" i="14"/>
  <c r="V149" i="14"/>
  <c r="K9" i="15"/>
  <c r="M11" i="15"/>
  <c r="N12" i="15"/>
  <c r="O13" i="15"/>
  <c r="L10" i="15"/>
  <c r="L12" i="15"/>
  <c r="I9" i="15"/>
  <c r="K11" i="15"/>
  <c r="J10" i="15"/>
  <c r="M13" i="15"/>
  <c r="Q10" i="15"/>
  <c r="R11" i="15"/>
  <c r="S12" i="15"/>
  <c r="P9" i="15"/>
  <c r="T13" i="15"/>
  <c r="D153" i="5"/>
  <c r="C158" i="5"/>
  <c r="I14" i="11"/>
  <c r="I28" i="11" s="1"/>
  <c r="I28" i="1"/>
  <c r="F148" i="11"/>
  <c r="F186" i="11" s="1"/>
  <c r="F216" i="1"/>
  <c r="F144" i="11"/>
  <c r="F182" i="11" s="1"/>
  <c r="F212" i="1"/>
  <c r="I60" i="10"/>
  <c r="J60" i="6"/>
  <c r="J101" i="6" s="1"/>
  <c r="E117" i="11"/>
  <c r="E115" i="11"/>
  <c r="E123" i="11"/>
  <c r="E129" i="11" s="1"/>
  <c r="E121" i="11"/>
  <c r="E126" i="11" s="1"/>
  <c r="D5" i="18"/>
  <c r="S10" i="15"/>
  <c r="V13" i="15"/>
  <c r="U12" i="15"/>
  <c r="T11" i="15"/>
  <c r="R9" i="15"/>
  <c r="R13" i="15"/>
  <c r="N9" i="15"/>
  <c r="O10" i="15"/>
  <c r="Q12" i="15"/>
  <c r="P11" i="15"/>
  <c r="V168" i="11"/>
  <c r="V203" i="11" s="1"/>
  <c r="V233" i="1"/>
  <c r="R147" i="14"/>
  <c r="R149" i="14"/>
  <c r="J146" i="11"/>
  <c r="J184" i="11" s="1"/>
  <c r="K176" i="1"/>
  <c r="J214" i="1"/>
  <c r="G33" i="11"/>
  <c r="G37" i="11" s="1"/>
  <c r="G36" i="11"/>
  <c r="G114" i="11"/>
  <c r="I75" i="11"/>
  <c r="I110" i="11" s="1"/>
  <c r="I198" i="1"/>
  <c r="I110" i="1"/>
  <c r="K196" i="1"/>
  <c r="K166" i="11" s="1"/>
  <c r="K73" i="11"/>
  <c r="F274" i="1"/>
  <c r="F270" i="1"/>
  <c r="F153" i="1"/>
  <c r="F157" i="1"/>
  <c r="F37" i="1"/>
  <c r="C147" i="14"/>
  <c r="C152" i="14" s="1"/>
  <c r="C149" i="14"/>
  <c r="C154" i="14" s="1"/>
  <c r="H35" i="6"/>
  <c r="H38" i="6"/>
  <c r="J59" i="10"/>
  <c r="J100" i="10" s="1"/>
  <c r="K59" i="6"/>
  <c r="H32" i="11"/>
  <c r="J143" i="11"/>
  <c r="J181" i="11" s="1"/>
  <c r="J211" i="1"/>
  <c r="D151" i="14"/>
  <c r="C156" i="14"/>
  <c r="I83" i="10"/>
  <c r="I124" i="10" s="1"/>
  <c r="J83" i="6"/>
  <c r="I123" i="6"/>
  <c r="I79" i="10"/>
  <c r="I120" i="10" s="1"/>
  <c r="I130" i="10" s="1"/>
  <c r="I64" i="6"/>
  <c r="I63" i="6"/>
  <c r="I63" i="10" s="1"/>
  <c r="I62" i="6"/>
  <c r="I61" i="6"/>
  <c r="I61" i="10" s="1"/>
  <c r="J79" i="6"/>
  <c r="I76" i="6"/>
  <c r="I120" i="6"/>
  <c r="I129" i="6" s="1"/>
  <c r="H64" i="10"/>
  <c r="H105" i="10" s="1"/>
  <c r="H105" i="6"/>
  <c r="P50" i="12"/>
  <c r="P92" i="12" s="1"/>
  <c r="P100" i="12" s="1"/>
  <c r="Q50" i="8"/>
  <c r="P30" i="8"/>
  <c r="P29" i="8"/>
  <c r="P92" i="8"/>
  <c r="P100" i="8" s="1"/>
  <c r="J65" i="11"/>
  <c r="J103" i="11" s="1"/>
  <c r="K65" i="1"/>
  <c r="J103" i="1"/>
  <c r="N45" i="12"/>
  <c r="N88" i="12" s="1"/>
  <c r="S45" i="8"/>
  <c r="N88" i="8"/>
  <c r="Z147" i="14"/>
  <c r="Z149" i="14"/>
  <c r="X142" i="14"/>
  <c r="X140" i="14"/>
  <c r="X148" i="14"/>
  <c r="X146" i="14"/>
  <c r="G33" i="1"/>
  <c r="G36" i="1"/>
  <c r="G123" i="11"/>
  <c r="G129" i="11" s="1"/>
  <c r="G121" i="11"/>
  <c r="G126" i="11" s="1"/>
  <c r="J149" i="14"/>
  <c r="J147" i="14"/>
  <c r="D147" i="14"/>
  <c r="D149" i="14"/>
  <c r="K149" i="14"/>
  <c r="K147" i="14"/>
  <c r="D122" i="11"/>
  <c r="D127" i="11" s="1"/>
  <c r="D124" i="11"/>
  <c r="D130" i="11" s="1"/>
  <c r="J17" i="11"/>
  <c r="J31" i="11" s="1"/>
  <c r="J34" i="11" s="1"/>
  <c r="K17" i="1"/>
  <c r="J14" i="1"/>
  <c r="J11" i="1"/>
  <c r="J10" i="1"/>
  <c r="J31" i="1"/>
  <c r="J34" i="1" s="1"/>
  <c r="F117" i="11"/>
  <c r="F115" i="11"/>
  <c r="F121" i="11"/>
  <c r="F126" i="11" s="1"/>
  <c r="F123" i="11"/>
  <c r="F129" i="11" s="1"/>
  <c r="F147" i="14"/>
  <c r="F149" i="14"/>
  <c r="I9" i="11"/>
  <c r="I23" i="11" s="1"/>
  <c r="J9" i="1"/>
  <c r="I23" i="1"/>
  <c r="C5" i="18"/>
  <c r="C14" i="18"/>
  <c r="C152" i="5"/>
  <c r="G41" i="12"/>
  <c r="G84" i="12" s="1"/>
  <c r="G96" i="12" s="1"/>
  <c r="H41" i="8"/>
  <c r="G84" i="8"/>
  <c r="G96" i="8" s="1"/>
  <c r="I74" i="10"/>
  <c r="I115" i="10" s="1"/>
  <c r="J74" i="6"/>
  <c r="I115" i="6"/>
  <c r="E153" i="14"/>
  <c r="D158" i="14"/>
  <c r="G114" i="1"/>
  <c r="D117" i="1"/>
  <c r="D115" i="1"/>
  <c r="D121" i="1"/>
  <c r="D126" i="1" s="1"/>
  <c r="D123" i="1"/>
  <c r="D137" i="1" s="1"/>
  <c r="E97" i="12"/>
  <c r="E99" i="12"/>
  <c r="E105" i="12"/>
  <c r="E111" i="12" s="1"/>
  <c r="E103" i="12"/>
  <c r="E108" i="12" s="1"/>
  <c r="I72" i="10"/>
  <c r="I113" i="10" s="1"/>
  <c r="J72" i="6"/>
  <c r="I113" i="6"/>
  <c r="L74" i="11"/>
  <c r="L197" i="1"/>
  <c r="L167" i="11" s="1"/>
  <c r="AD13" i="15"/>
  <c r="AD34" i="15" s="1"/>
  <c r="Z9" i="15"/>
  <c r="AA10" i="15"/>
  <c r="AC12" i="15"/>
  <c r="AC34" i="15" s="1"/>
  <c r="AB11" i="15"/>
  <c r="L53" i="10"/>
  <c r="L94" i="10" s="1"/>
  <c r="M53" i="6"/>
  <c r="L94" i="6"/>
  <c r="N147" i="14"/>
  <c r="N149" i="14"/>
  <c r="E149" i="14"/>
  <c r="E147" i="14"/>
  <c r="I8" i="10"/>
  <c r="I23" i="10" s="1"/>
  <c r="I34" i="10" s="1"/>
  <c r="J8" i="6"/>
  <c r="I23" i="6"/>
  <c r="I34" i="6" s="1"/>
  <c r="M81" i="10"/>
  <c r="N82" i="6"/>
  <c r="M122" i="6"/>
  <c r="J66" i="10"/>
  <c r="J107" i="10" s="1"/>
  <c r="K66" i="6"/>
  <c r="J107" i="6"/>
  <c r="G123" i="1"/>
  <c r="G137" i="1" s="1"/>
  <c r="G121" i="1"/>
  <c r="G126" i="1" s="1"/>
  <c r="Y149" i="14"/>
  <c r="Y147" i="14"/>
  <c r="J161" i="11"/>
  <c r="J199" i="11" s="1"/>
  <c r="K191" i="1"/>
  <c r="J229" i="1"/>
  <c r="H130" i="10"/>
  <c r="B7" i="18"/>
  <c r="C128" i="8"/>
  <c r="C130" i="8" s="1"/>
  <c r="C106" i="8"/>
  <c r="C121" i="8" s="1"/>
  <c r="C132" i="8"/>
  <c r="C134" i="8" s="1"/>
  <c r="C104" i="8"/>
  <c r="C112" i="8" s="1"/>
  <c r="H21" i="12"/>
  <c r="H64" i="12" s="1"/>
  <c r="H64" i="8"/>
  <c r="I21" i="8"/>
  <c r="W147" i="14"/>
  <c r="W149" i="14"/>
  <c r="D237" i="1"/>
  <c r="Z13" i="15"/>
  <c r="Y12" i="15"/>
  <c r="X11" i="15"/>
  <c r="V9" i="15"/>
  <c r="W10" i="15"/>
  <c r="I147" i="14"/>
  <c r="I149" i="14"/>
  <c r="P149" i="14"/>
  <c r="P147" i="14"/>
  <c r="D106" i="12"/>
  <c r="D112" i="12" s="1"/>
  <c r="D104" i="12"/>
  <c r="D109" i="12" s="1"/>
  <c r="AH5" i="17" l="1"/>
  <c r="AD43" i="15"/>
  <c r="G97" i="8"/>
  <c r="G99" i="8"/>
  <c r="G103" i="8"/>
  <c r="G108" i="8" s="1"/>
  <c r="G105" i="8"/>
  <c r="G117" i="8" s="1"/>
  <c r="AG5" i="17"/>
  <c r="AC43" i="15"/>
  <c r="G99" i="12"/>
  <c r="G97" i="12"/>
  <c r="G105" i="12"/>
  <c r="G111" i="12" s="1"/>
  <c r="G103" i="12"/>
  <c r="G108" i="12" s="1"/>
  <c r="I21" i="12"/>
  <c r="I64" i="12" s="1"/>
  <c r="I64" i="8"/>
  <c r="J21" i="8"/>
  <c r="K66" i="10"/>
  <c r="K107" i="10" s="1"/>
  <c r="L66" i="6"/>
  <c r="K107" i="6"/>
  <c r="N82" i="10"/>
  <c r="M122" i="10"/>
  <c r="K72" i="6"/>
  <c r="J72" i="10"/>
  <c r="J113" i="10" s="1"/>
  <c r="J113" i="6"/>
  <c r="J74" i="10"/>
  <c r="J115" i="10" s="1"/>
  <c r="K74" i="6"/>
  <c r="J115" i="6"/>
  <c r="J14" i="11"/>
  <c r="J28" i="11" s="1"/>
  <c r="J28" i="1"/>
  <c r="G37" i="1"/>
  <c r="G270" i="1"/>
  <c r="G157" i="1"/>
  <c r="G153" i="1"/>
  <c r="G274" i="1"/>
  <c r="S45" i="12"/>
  <c r="S88" i="12" s="1"/>
  <c r="S88" i="8"/>
  <c r="K65" i="11"/>
  <c r="K103" i="11" s="1"/>
  <c r="L65" i="1"/>
  <c r="K103" i="1"/>
  <c r="P30" i="12"/>
  <c r="P73" i="12" s="1"/>
  <c r="P73" i="8"/>
  <c r="J83" i="10"/>
  <c r="J124" i="10" s="1"/>
  <c r="K83" i="6"/>
  <c r="J123" i="6"/>
  <c r="K59" i="10"/>
  <c r="K100" i="10" s="1"/>
  <c r="L59" i="6"/>
  <c r="K100" i="6"/>
  <c r="D154" i="14"/>
  <c r="C159" i="14"/>
  <c r="E124" i="11"/>
  <c r="E130" i="11" s="1"/>
  <c r="E122" i="11"/>
  <c r="E127" i="11" s="1"/>
  <c r="D4" i="18"/>
  <c r="K73" i="6"/>
  <c r="J73" i="10"/>
  <c r="J114" i="10" s="1"/>
  <c r="J114" i="6"/>
  <c r="G149" i="11"/>
  <c r="G187" i="11" s="1"/>
  <c r="G217" i="1"/>
  <c r="J8" i="11"/>
  <c r="J22" i="11" s="1"/>
  <c r="K8" i="1"/>
  <c r="J22" i="1"/>
  <c r="L65" i="10"/>
  <c r="M65" i="6"/>
  <c r="M74" i="11"/>
  <c r="M197" i="1"/>
  <c r="M167" i="11" s="1"/>
  <c r="J25" i="12"/>
  <c r="J68" i="12" s="1"/>
  <c r="K25" i="8"/>
  <c r="J68" i="8"/>
  <c r="M52" i="6"/>
  <c r="L52" i="10"/>
  <c r="L93" i="10" s="1"/>
  <c r="L93" i="6"/>
  <c r="I54" i="11"/>
  <c r="I92" i="11" s="1"/>
  <c r="I56" i="1"/>
  <c r="I55" i="1"/>
  <c r="I92" i="1"/>
  <c r="E210" i="11"/>
  <c r="E208" i="11"/>
  <c r="E216" i="11"/>
  <c r="E222" i="11" s="1"/>
  <c r="E214" i="11"/>
  <c r="E219" i="11" s="1"/>
  <c r="K49" i="10"/>
  <c r="K90" i="10" s="1"/>
  <c r="K90" i="6"/>
  <c r="N81" i="10"/>
  <c r="O82" i="6"/>
  <c r="N122" i="6"/>
  <c r="I42" i="12"/>
  <c r="I85" i="12" s="1"/>
  <c r="J42" i="8"/>
  <c r="I85" i="8"/>
  <c r="D154" i="5"/>
  <c r="C159" i="5"/>
  <c r="H241" i="1"/>
  <c r="H55" i="11"/>
  <c r="H93" i="11" s="1"/>
  <c r="H93" i="1"/>
  <c r="J158" i="11"/>
  <c r="J196" i="11" s="1"/>
  <c r="K188" i="1"/>
  <c r="J226" i="1"/>
  <c r="H147" i="14"/>
  <c r="H149" i="14"/>
  <c r="L149" i="5"/>
  <c r="L147" i="5"/>
  <c r="D240" i="1"/>
  <c r="D238" i="1"/>
  <c r="D246" i="1"/>
  <c r="D258" i="1" s="1"/>
  <c r="D244" i="1"/>
  <c r="D249" i="1" s="1"/>
  <c r="C7" i="18"/>
  <c r="I35" i="6"/>
  <c r="I38" i="6"/>
  <c r="E104" i="12"/>
  <c r="E109" i="12" s="1"/>
  <c r="E106" i="12"/>
  <c r="E112" i="12" s="1"/>
  <c r="D156" i="1"/>
  <c r="D158" i="1" s="1"/>
  <c r="D152" i="1"/>
  <c r="D154" i="1" s="1"/>
  <c r="D122" i="1"/>
  <c r="D132" i="1" s="1"/>
  <c r="D124" i="1"/>
  <c r="D143" i="1" s="1"/>
  <c r="F153" i="14"/>
  <c r="E158" i="14"/>
  <c r="J9" i="11"/>
  <c r="J23" i="11" s="1"/>
  <c r="K9" i="1"/>
  <c r="J23" i="1"/>
  <c r="K17" i="11"/>
  <c r="K31" i="11" s="1"/>
  <c r="K34" i="11" s="1"/>
  <c r="L17" i="1"/>
  <c r="K14" i="1"/>
  <c r="K11" i="1"/>
  <c r="K10" i="1"/>
  <c r="K31" i="1"/>
  <c r="K34" i="1" s="1"/>
  <c r="Z11" i="15"/>
  <c r="AB13" i="15"/>
  <c r="AB34" i="15" s="1"/>
  <c r="Y10" i="15"/>
  <c r="AA12" i="15"/>
  <c r="AA34" i="15" s="1"/>
  <c r="X9" i="15"/>
  <c r="Q50" i="12"/>
  <c r="Q92" i="12" s="1"/>
  <c r="Q100" i="12" s="1"/>
  <c r="Q92" i="8"/>
  <c r="Q100" i="8" s="1"/>
  <c r="R50" i="8"/>
  <c r="Q30" i="8"/>
  <c r="Q29" i="8"/>
  <c r="I62" i="10"/>
  <c r="I103" i="10" s="1"/>
  <c r="I103" i="6"/>
  <c r="D152" i="14"/>
  <c r="C157" i="14"/>
  <c r="G117" i="11"/>
  <c r="G115" i="11"/>
  <c r="K146" i="11"/>
  <c r="K184" i="11" s="1"/>
  <c r="L176" i="1"/>
  <c r="K214" i="1"/>
  <c r="C4" i="18"/>
  <c r="D210" i="11"/>
  <c r="D208" i="11"/>
  <c r="D216" i="11"/>
  <c r="D222" i="11" s="1"/>
  <c r="D214" i="11"/>
  <c r="D219" i="11" s="1"/>
  <c r="S46" i="8"/>
  <c r="N46" i="12"/>
  <c r="N89" i="12" s="1"/>
  <c r="N89" i="8"/>
  <c r="K75" i="6"/>
  <c r="J75" i="10"/>
  <c r="J116" i="10" s="1"/>
  <c r="J116" i="6"/>
  <c r="G148" i="11"/>
  <c r="G186" i="11" s="1"/>
  <c r="G216" i="1"/>
  <c r="K143" i="11"/>
  <c r="K181" i="11" s="1"/>
  <c r="K211" i="1"/>
  <c r="I32" i="11"/>
  <c r="N54" i="10"/>
  <c r="N95" i="10" s="1"/>
  <c r="O54" i="6"/>
  <c r="N95" i="6"/>
  <c r="E156" i="1"/>
  <c r="E158" i="1" s="1"/>
  <c r="E152" i="1"/>
  <c r="E154" i="1" s="1"/>
  <c r="E122" i="1"/>
  <c r="E132" i="1" s="1"/>
  <c r="E124" i="1"/>
  <c r="E143" i="1" s="1"/>
  <c r="J71" i="11"/>
  <c r="J109" i="11" s="1"/>
  <c r="J118" i="11" s="1"/>
  <c r="J194" i="1"/>
  <c r="K71" i="1"/>
  <c r="J54" i="1"/>
  <c r="J109" i="1"/>
  <c r="J118" i="1" s="1"/>
  <c r="F17" i="15"/>
  <c r="D15" i="15"/>
  <c r="E16" i="15"/>
  <c r="G18" i="15"/>
  <c r="C14" i="15"/>
  <c r="D156" i="5"/>
  <c r="E151" i="5"/>
  <c r="H33" i="1"/>
  <c r="H36" i="1"/>
  <c r="K57" i="10"/>
  <c r="K98" i="10" s="1"/>
  <c r="L57" i="6"/>
  <c r="K98" i="6"/>
  <c r="H147" i="11"/>
  <c r="H185" i="11" s="1"/>
  <c r="H179" i="1"/>
  <c r="H178" i="1"/>
  <c r="H215" i="1"/>
  <c r="H56" i="11"/>
  <c r="H94" i="11" s="1"/>
  <c r="H94" i="1"/>
  <c r="H149" i="5"/>
  <c r="H147" i="5"/>
  <c r="B167" i="5" s="1"/>
  <c r="M10" i="15"/>
  <c r="O12" i="15"/>
  <c r="L9" i="15"/>
  <c r="N11" i="15"/>
  <c r="P13" i="15"/>
  <c r="F106" i="12"/>
  <c r="F112" i="12" s="1"/>
  <c r="F104" i="12"/>
  <c r="F109" i="12" s="1"/>
  <c r="K161" i="11"/>
  <c r="K199" i="11" s="1"/>
  <c r="L191" i="1"/>
  <c r="K229" i="1"/>
  <c r="J8" i="10"/>
  <c r="J23" i="10" s="1"/>
  <c r="J34" i="10" s="1"/>
  <c r="K8" i="6"/>
  <c r="J23" i="6"/>
  <c r="J34" i="6" s="1"/>
  <c r="M53" i="10"/>
  <c r="M94" i="10" s="1"/>
  <c r="M94" i="6"/>
  <c r="N53" i="6"/>
  <c r="D152" i="5"/>
  <c r="C157" i="5"/>
  <c r="J10" i="11"/>
  <c r="J24" i="11" s="1"/>
  <c r="J24" i="1"/>
  <c r="E15" i="15"/>
  <c r="G17" i="15"/>
  <c r="F16" i="15"/>
  <c r="H18" i="15"/>
  <c r="D14" i="15"/>
  <c r="I76" i="10"/>
  <c r="I117" i="10" s="1"/>
  <c r="I117" i="6"/>
  <c r="F237" i="1"/>
  <c r="D158" i="5"/>
  <c r="E153" i="5"/>
  <c r="G207" i="11"/>
  <c r="L72" i="11"/>
  <c r="L195" i="1"/>
  <c r="L165" i="11" s="1"/>
  <c r="N74" i="1"/>
  <c r="M73" i="1"/>
  <c r="M72" i="1"/>
  <c r="B104" i="6"/>
  <c r="F102" i="6"/>
  <c r="I102" i="6"/>
  <c r="E102" i="6"/>
  <c r="H102" i="6"/>
  <c r="D102" i="6"/>
  <c r="G102" i="6"/>
  <c r="C102" i="6"/>
  <c r="I164" i="11"/>
  <c r="I202" i="11" s="1"/>
  <c r="I177" i="1"/>
  <c r="I232" i="1"/>
  <c r="F156" i="1"/>
  <c r="F158" i="1" s="1"/>
  <c r="F152" i="1"/>
  <c r="F154" i="1" s="1"/>
  <c r="F124" i="1"/>
  <c r="F143" i="1" s="1"/>
  <c r="F122" i="1"/>
  <c r="F132" i="1" s="1"/>
  <c r="F101" i="10"/>
  <c r="I101" i="10"/>
  <c r="E101" i="10"/>
  <c r="B102" i="10"/>
  <c r="H101" i="10"/>
  <c r="D101" i="10"/>
  <c r="G101" i="10"/>
  <c r="C101" i="10"/>
  <c r="J58" i="10"/>
  <c r="J99" i="10" s="1"/>
  <c r="K58" i="6"/>
  <c r="J99" i="6"/>
  <c r="K2" i="16"/>
  <c r="K35" i="15"/>
  <c r="H211" i="11"/>
  <c r="H114" i="11"/>
  <c r="B163" i="5"/>
  <c r="B161" i="5"/>
  <c r="B162" i="5" s="1"/>
  <c r="J11" i="15"/>
  <c r="L13" i="15"/>
  <c r="I10" i="15"/>
  <c r="K12" i="15"/>
  <c r="H9" i="15"/>
  <c r="F31" i="15"/>
  <c r="H33" i="15"/>
  <c r="G32" i="15"/>
  <c r="E30" i="15"/>
  <c r="D29" i="15"/>
  <c r="D7" i="18"/>
  <c r="I35" i="10"/>
  <c r="I39" i="10" s="1"/>
  <c r="I38" i="10"/>
  <c r="G117" i="1"/>
  <c r="G115" i="1"/>
  <c r="H41" i="12"/>
  <c r="H84" i="12" s="1"/>
  <c r="H96" i="12" s="1"/>
  <c r="I41" i="8"/>
  <c r="H84" i="8"/>
  <c r="H96" i="8" s="1"/>
  <c r="F124" i="11"/>
  <c r="F130" i="11" s="1"/>
  <c r="F122" i="11"/>
  <c r="F127" i="11" s="1"/>
  <c r="J11" i="11"/>
  <c r="J25" i="11" s="1"/>
  <c r="J25" i="1"/>
  <c r="X147" i="14"/>
  <c r="X149" i="14"/>
  <c r="P29" i="12"/>
  <c r="P72" i="12" s="1"/>
  <c r="P72" i="8"/>
  <c r="K79" i="6"/>
  <c r="J79" i="10"/>
  <c r="J120" i="10" s="1"/>
  <c r="J130" i="10" s="1"/>
  <c r="J76" i="6"/>
  <c r="J64" i="6"/>
  <c r="J63" i="6"/>
  <c r="J63" i="10" s="1"/>
  <c r="J62" i="6"/>
  <c r="J61" i="6"/>
  <c r="J61" i="10" s="1"/>
  <c r="J120" i="6"/>
  <c r="J129" i="6" s="1"/>
  <c r="I64" i="10"/>
  <c r="I105" i="10" s="1"/>
  <c r="I105" i="6"/>
  <c r="E151" i="14"/>
  <c r="D156" i="14"/>
  <c r="H33" i="11"/>
  <c r="H37" i="11" s="1"/>
  <c r="H36" i="11"/>
  <c r="H158" i="6"/>
  <c r="H162" i="6"/>
  <c r="H129" i="8"/>
  <c r="H133" i="8"/>
  <c r="H39" i="6"/>
  <c r="I168" i="11"/>
  <c r="I203" i="11" s="1"/>
  <c r="I233" i="1"/>
  <c r="J60" i="10"/>
  <c r="J101" i="10" s="1"/>
  <c r="K60" i="6"/>
  <c r="F207" i="11"/>
  <c r="G237" i="1"/>
  <c r="L173" i="1"/>
  <c r="L50" i="11"/>
  <c r="L88" i="11" s="1"/>
  <c r="M50" i="1"/>
  <c r="L88" i="1"/>
  <c r="I32" i="1"/>
  <c r="L196" i="1"/>
  <c r="L166" i="11" s="1"/>
  <c r="L73" i="11"/>
  <c r="I118" i="1"/>
  <c r="I118" i="11"/>
  <c r="F106" i="8"/>
  <c r="F121" i="8" s="1"/>
  <c r="F132" i="8"/>
  <c r="F134" i="8" s="1"/>
  <c r="F104" i="8"/>
  <c r="F112" i="8" s="1"/>
  <c r="F128" i="8"/>
  <c r="F130" i="8" s="1"/>
  <c r="D20" i="15"/>
  <c r="F22" i="15"/>
  <c r="E21" i="15"/>
  <c r="G23" i="15"/>
  <c r="C19" i="15"/>
  <c r="E240" i="1"/>
  <c r="E238" i="1"/>
  <c r="E246" i="1"/>
  <c r="E258" i="1" s="1"/>
  <c r="E244" i="1"/>
  <c r="E249" i="1" s="1"/>
  <c r="J56" i="10"/>
  <c r="J97" i="10" s="1"/>
  <c r="K56" i="6"/>
  <c r="J97" i="6"/>
  <c r="L70" i="10"/>
  <c r="L111" i="10" s="1"/>
  <c r="M70" i="6"/>
  <c r="L49" i="6"/>
  <c r="L111" i="6"/>
  <c r="N80" i="10"/>
  <c r="N121" i="10" s="1"/>
  <c r="O81" i="6"/>
  <c r="O80" i="6"/>
  <c r="N121" i="6"/>
  <c r="H114" i="1"/>
  <c r="E128" i="8"/>
  <c r="E130" i="8" s="1"/>
  <c r="E132" i="8"/>
  <c r="E134" i="8" s="1"/>
  <c r="E106" i="8"/>
  <c r="E121" i="8" s="1"/>
  <c r="E104" i="8"/>
  <c r="E112" i="8" s="1"/>
  <c r="B171" i="5"/>
  <c r="B169" i="5"/>
  <c r="L147" i="14"/>
  <c r="L149" i="14"/>
  <c r="B102" i="4"/>
  <c r="B100" i="4"/>
  <c r="H97" i="12" l="1"/>
  <c r="H99" i="12"/>
  <c r="H105" i="12"/>
  <c r="H111" i="12" s="1"/>
  <c r="H103" i="12"/>
  <c r="H108" i="12" s="1"/>
  <c r="H99" i="8"/>
  <c r="H97" i="8"/>
  <c r="H105" i="8"/>
  <c r="H117" i="8" s="1"/>
  <c r="H103" i="8"/>
  <c r="H108" i="8" s="1"/>
  <c r="AE5" i="17"/>
  <c r="AA43" i="15"/>
  <c r="H117" i="1"/>
  <c r="H115" i="1"/>
  <c r="H121" i="1"/>
  <c r="H126" i="1" s="1"/>
  <c r="H123" i="1"/>
  <c r="H137" i="1" s="1"/>
  <c r="I33" i="1"/>
  <c r="I36" i="1"/>
  <c r="L143" i="11"/>
  <c r="L181" i="11" s="1"/>
  <c r="L211" i="1"/>
  <c r="K60" i="10"/>
  <c r="K101" i="10" s="1"/>
  <c r="L60" i="6"/>
  <c r="K101" i="6"/>
  <c r="F151" i="14"/>
  <c r="E156" i="14"/>
  <c r="J76" i="10"/>
  <c r="J117" i="10" s="1"/>
  <c r="J117" i="6"/>
  <c r="I41" i="12"/>
  <c r="I84" i="12" s="1"/>
  <c r="J41" i="8"/>
  <c r="I84" i="8"/>
  <c r="H117" i="11"/>
  <c r="H115" i="11"/>
  <c r="H123" i="11"/>
  <c r="H129" i="11" s="1"/>
  <c r="H121" i="11"/>
  <c r="H126" i="11" s="1"/>
  <c r="I241" i="1"/>
  <c r="M72" i="11"/>
  <c r="M195" i="1"/>
  <c r="M165" i="11" s="1"/>
  <c r="O74" i="1"/>
  <c r="N73" i="1"/>
  <c r="N72" i="1"/>
  <c r="J35" i="10"/>
  <c r="J39" i="10" s="1"/>
  <c r="J38" i="10"/>
  <c r="K194" i="1"/>
  <c r="K71" i="11"/>
  <c r="K109" i="11" s="1"/>
  <c r="K118" i="11" s="1"/>
  <c r="L71" i="1"/>
  <c r="K54" i="1"/>
  <c r="K109" i="1"/>
  <c r="K118" i="1" s="1"/>
  <c r="O54" i="10"/>
  <c r="O95" i="10" s="1"/>
  <c r="O95" i="6"/>
  <c r="P54" i="6"/>
  <c r="D215" i="11"/>
  <c r="D220" i="11" s="1"/>
  <c r="D217" i="11"/>
  <c r="D223" i="11" s="1"/>
  <c r="E152" i="14"/>
  <c r="D157" i="14"/>
  <c r="Q30" i="12"/>
  <c r="Q73" i="12" s="1"/>
  <c r="Q73" i="8"/>
  <c r="K14" i="11"/>
  <c r="K28" i="11" s="1"/>
  <c r="K28" i="1"/>
  <c r="K158" i="11"/>
  <c r="K196" i="11" s="1"/>
  <c r="L188" i="1"/>
  <c r="K226" i="1"/>
  <c r="E215" i="11"/>
  <c r="E220" i="11" s="1"/>
  <c r="E217" i="11"/>
  <c r="E223" i="11" s="1"/>
  <c r="I56" i="11"/>
  <c r="I94" i="11" s="1"/>
  <c r="I94" i="1"/>
  <c r="M52" i="10"/>
  <c r="M93" i="10" s="1"/>
  <c r="N52" i="6"/>
  <c r="M93" i="6"/>
  <c r="J32" i="1"/>
  <c r="K73" i="10"/>
  <c r="K114" i="10" s="1"/>
  <c r="L73" i="6"/>
  <c r="K114" i="6"/>
  <c r="H17" i="15"/>
  <c r="F15" i="15"/>
  <c r="G16" i="15"/>
  <c r="I18" i="15"/>
  <c r="E14" i="15"/>
  <c r="K83" i="10"/>
  <c r="K124" i="10" s="1"/>
  <c r="L83" i="6"/>
  <c r="K123" i="6"/>
  <c r="I96" i="12"/>
  <c r="AG28" i="17"/>
  <c r="AG27" i="17"/>
  <c r="AG26" i="17"/>
  <c r="AG25" i="17"/>
  <c r="AG8" i="17"/>
  <c r="AG21" i="17" s="1"/>
  <c r="AH9" i="17"/>
  <c r="AH22" i="17" s="1"/>
  <c r="AG7" i="17"/>
  <c r="AG20" i="17" s="1"/>
  <c r="AG6" i="17"/>
  <c r="AG19" i="17" s="1"/>
  <c r="AH18" i="17"/>
  <c r="F13" i="18"/>
  <c r="B101" i="4"/>
  <c r="F14" i="18"/>
  <c r="B170" i="5"/>
  <c r="O80" i="10"/>
  <c r="O121" i="10" s="1"/>
  <c r="P81" i="6"/>
  <c r="P80" i="6"/>
  <c r="O121" i="6"/>
  <c r="L49" i="10"/>
  <c r="L90" i="10" s="1"/>
  <c r="L90" i="6"/>
  <c r="K56" i="10"/>
  <c r="K97" i="10" s="1"/>
  <c r="L56" i="6"/>
  <c r="K97" i="6"/>
  <c r="E273" i="1"/>
  <c r="E275" i="1" s="1"/>
  <c r="E269" i="1"/>
  <c r="E271" i="1" s="1"/>
  <c r="E245" i="1"/>
  <c r="E253" i="1" s="1"/>
  <c r="E247" i="1"/>
  <c r="E262" i="1" s="1"/>
  <c r="G240" i="1"/>
  <c r="G238" i="1"/>
  <c r="G246" i="1"/>
  <c r="G258" i="1" s="1"/>
  <c r="G244" i="1"/>
  <c r="G249" i="1" s="1"/>
  <c r="J62" i="10"/>
  <c r="J103" i="10" s="1"/>
  <c r="J103" i="6"/>
  <c r="G15" i="15"/>
  <c r="I17" i="15"/>
  <c r="H16" i="15"/>
  <c r="J18" i="15"/>
  <c r="F14" i="15"/>
  <c r="K58" i="10"/>
  <c r="K99" i="10" s="1"/>
  <c r="L58" i="6"/>
  <c r="K99" i="6"/>
  <c r="H102" i="10"/>
  <c r="D102" i="10"/>
  <c r="G102" i="10"/>
  <c r="C102" i="10"/>
  <c r="B104" i="10"/>
  <c r="J102" i="10"/>
  <c r="F102" i="10"/>
  <c r="I102" i="10"/>
  <c r="E102" i="10"/>
  <c r="I147" i="11"/>
  <c r="I185" i="11" s="1"/>
  <c r="I179" i="1"/>
  <c r="I178" i="1"/>
  <c r="I215" i="1"/>
  <c r="M73" i="11"/>
  <c r="M196" i="1"/>
  <c r="M166" i="11" s="1"/>
  <c r="F153" i="5"/>
  <c r="E158" i="5"/>
  <c r="H153" i="1"/>
  <c r="H274" i="1"/>
  <c r="H37" i="1"/>
  <c r="H270" i="1"/>
  <c r="H157" i="1"/>
  <c r="J164" i="11"/>
  <c r="J202" i="11" s="1"/>
  <c r="J211" i="11" s="1"/>
  <c r="J177" i="1"/>
  <c r="J232" i="1"/>
  <c r="J241" i="1" s="1"/>
  <c r="S46" i="12"/>
  <c r="S89" i="12" s="1"/>
  <c r="S89" i="8"/>
  <c r="G124" i="11"/>
  <c r="G130" i="11" s="1"/>
  <c r="G122" i="11"/>
  <c r="G127" i="11" s="1"/>
  <c r="R50" i="12"/>
  <c r="R92" i="12" s="1"/>
  <c r="R100" i="12" s="1"/>
  <c r="S50" i="8"/>
  <c r="R30" i="8"/>
  <c r="R29" i="8"/>
  <c r="R92" i="8"/>
  <c r="R100" i="8" s="1"/>
  <c r="L17" i="11"/>
  <c r="L31" i="11" s="1"/>
  <c r="L34" i="11" s="1"/>
  <c r="M17" i="1"/>
  <c r="L14" i="1"/>
  <c r="L11" i="1"/>
  <c r="L10" i="1"/>
  <c r="L31" i="1"/>
  <c r="L34" i="1" s="1"/>
  <c r="F158" i="14"/>
  <c r="G153" i="14"/>
  <c r="I162" i="6"/>
  <c r="I158" i="6"/>
  <c r="I133" i="8"/>
  <c r="I129" i="8"/>
  <c r="I39" i="6"/>
  <c r="D273" i="1"/>
  <c r="D275" i="1" s="1"/>
  <c r="D269" i="1"/>
  <c r="D271" i="1" s="1"/>
  <c r="D245" i="1"/>
  <c r="D253" i="1" s="1"/>
  <c r="D247" i="1"/>
  <c r="D262" i="1" s="1"/>
  <c r="K8" i="11"/>
  <c r="K22" i="11" s="1"/>
  <c r="L8" i="1"/>
  <c r="K22" i="1"/>
  <c r="L59" i="10"/>
  <c r="L100" i="10" s="1"/>
  <c r="M59" i="6"/>
  <c r="L100" i="6"/>
  <c r="L65" i="11"/>
  <c r="L103" i="11" s="1"/>
  <c r="M65" i="1"/>
  <c r="L103" i="1"/>
  <c r="K74" i="10"/>
  <c r="K115" i="10" s="1"/>
  <c r="L74" i="6"/>
  <c r="K115" i="6"/>
  <c r="AH28" i="17"/>
  <c r="AH27" i="17"/>
  <c r="AH26" i="17"/>
  <c r="AH25" i="17"/>
  <c r="AH7" i="17"/>
  <c r="AH20" i="17" s="1"/>
  <c r="AH8" i="17"/>
  <c r="AH21" i="17" s="1"/>
  <c r="AH6" i="17"/>
  <c r="AH19" i="17" s="1"/>
  <c r="O81" i="10"/>
  <c r="P82" i="6"/>
  <c r="O122" i="6"/>
  <c r="N70" i="6"/>
  <c r="M49" i="6"/>
  <c r="M70" i="10"/>
  <c r="M111" i="10" s="1"/>
  <c r="M111" i="6"/>
  <c r="M50" i="11"/>
  <c r="M88" i="11" s="1"/>
  <c r="M173" i="1"/>
  <c r="N50" i="1"/>
  <c r="M88" i="1"/>
  <c r="K79" i="10"/>
  <c r="K120" i="10" s="1"/>
  <c r="K130" i="10" s="1"/>
  <c r="K76" i="6"/>
  <c r="K64" i="6"/>
  <c r="K63" i="6"/>
  <c r="K63" i="10" s="1"/>
  <c r="K62" i="6"/>
  <c r="K61" i="6"/>
  <c r="L79" i="6"/>
  <c r="K120" i="6"/>
  <c r="K129" i="6" s="1"/>
  <c r="G156" i="1"/>
  <c r="G158" i="1" s="1"/>
  <c r="G152" i="1"/>
  <c r="G154" i="1" s="1"/>
  <c r="G122" i="1"/>
  <c r="G132" i="1" s="1"/>
  <c r="G124" i="1"/>
  <c r="G143" i="1" s="1"/>
  <c r="I211" i="11"/>
  <c r="N74" i="11"/>
  <c r="N197" i="1"/>
  <c r="N167" i="11" s="1"/>
  <c r="G210" i="11"/>
  <c r="G208" i="11"/>
  <c r="G214" i="11"/>
  <c r="G219" i="11" s="1"/>
  <c r="G216" i="11"/>
  <c r="G222" i="11" s="1"/>
  <c r="D157" i="5"/>
  <c r="E152" i="5"/>
  <c r="J35" i="6"/>
  <c r="J38" i="6"/>
  <c r="L161" i="11"/>
  <c r="L199" i="11" s="1"/>
  <c r="M191" i="1"/>
  <c r="L229" i="1"/>
  <c r="I32" i="15"/>
  <c r="G30" i="15"/>
  <c r="H31" i="15"/>
  <c r="J33" i="15"/>
  <c r="F29" i="15"/>
  <c r="H148" i="11"/>
  <c r="H186" i="11" s="1"/>
  <c r="H207" i="11" s="1"/>
  <c r="H216" i="1"/>
  <c r="H237" i="1" s="1"/>
  <c r="L57" i="10"/>
  <c r="L98" i="10" s="1"/>
  <c r="M57" i="6"/>
  <c r="L98" i="6"/>
  <c r="I33" i="11"/>
  <c r="I37" i="11" s="1"/>
  <c r="I36" i="11"/>
  <c r="K75" i="10"/>
  <c r="K116" i="10" s="1"/>
  <c r="L75" i="6"/>
  <c r="K116" i="6"/>
  <c r="K10" i="11"/>
  <c r="K24" i="11" s="1"/>
  <c r="K24" i="1"/>
  <c r="K9" i="11"/>
  <c r="K23" i="11" s="1"/>
  <c r="L9" i="1"/>
  <c r="K23" i="1"/>
  <c r="J42" i="12"/>
  <c r="J85" i="12" s="1"/>
  <c r="K42" i="8"/>
  <c r="J85" i="8"/>
  <c r="O82" i="10"/>
  <c r="N122" i="10"/>
  <c r="K25" i="12"/>
  <c r="K68" i="12" s="1"/>
  <c r="K68" i="8"/>
  <c r="L25" i="8"/>
  <c r="M65" i="10"/>
  <c r="N65" i="6"/>
  <c r="J32" i="11"/>
  <c r="J21" i="12"/>
  <c r="J64" i="12" s="1"/>
  <c r="K21" i="8"/>
  <c r="J64" i="8"/>
  <c r="F210" i="11"/>
  <c r="F208" i="11"/>
  <c r="F216" i="11"/>
  <c r="F222" i="11" s="1"/>
  <c r="F214" i="11"/>
  <c r="F219" i="11" s="1"/>
  <c r="J64" i="10"/>
  <c r="J105" i="10" s="1"/>
  <c r="J105" i="6"/>
  <c r="L2" i="16"/>
  <c r="L35" i="15"/>
  <c r="J102" i="6"/>
  <c r="B106" i="6"/>
  <c r="J104" i="6"/>
  <c r="F104" i="6"/>
  <c r="I104" i="6"/>
  <c r="E104" i="6"/>
  <c r="H104" i="6"/>
  <c r="D104" i="6"/>
  <c r="K104" i="6"/>
  <c r="G104" i="6"/>
  <c r="C104" i="6"/>
  <c r="F240" i="1"/>
  <c r="F238" i="1"/>
  <c r="F244" i="1"/>
  <c r="F249" i="1" s="1"/>
  <c r="F246" i="1"/>
  <c r="F258" i="1" s="1"/>
  <c r="N53" i="10"/>
  <c r="N94" i="10" s="1"/>
  <c r="O53" i="6"/>
  <c r="N94" i="6"/>
  <c r="K8" i="10"/>
  <c r="K23" i="10" s="1"/>
  <c r="K34" i="10" s="1"/>
  <c r="L8" i="6"/>
  <c r="K23" i="6"/>
  <c r="K34" i="6" s="1"/>
  <c r="H149" i="11"/>
  <c r="H187" i="11" s="1"/>
  <c r="H217" i="1"/>
  <c r="F151" i="5"/>
  <c r="E156" i="5"/>
  <c r="J54" i="11"/>
  <c r="J92" i="11" s="1"/>
  <c r="J56" i="1"/>
  <c r="J55" i="1"/>
  <c r="J92" i="1"/>
  <c r="L146" i="11"/>
  <c r="L184" i="11" s="1"/>
  <c r="M176" i="1"/>
  <c r="L214" i="1"/>
  <c r="Q29" i="12"/>
  <c r="Q72" i="12" s="1"/>
  <c r="Q72" i="8"/>
  <c r="AF5" i="17"/>
  <c r="AB43" i="15"/>
  <c r="K11" i="11"/>
  <c r="K25" i="11" s="1"/>
  <c r="K25" i="1"/>
  <c r="F30" i="15"/>
  <c r="H32" i="15"/>
  <c r="G31" i="15"/>
  <c r="I33" i="15"/>
  <c r="E29" i="15"/>
  <c r="D159" i="5"/>
  <c r="E154" i="5"/>
  <c r="I55" i="11"/>
  <c r="I93" i="11" s="1"/>
  <c r="I114" i="11" s="1"/>
  <c r="I93" i="1"/>
  <c r="I114" i="1" s="1"/>
  <c r="E154" i="14"/>
  <c r="D159" i="14"/>
  <c r="K72" i="10"/>
  <c r="K113" i="10" s="1"/>
  <c r="L72" i="6"/>
  <c r="K113" i="6"/>
  <c r="L66" i="10"/>
  <c r="L107" i="10" s="1"/>
  <c r="M66" i="6"/>
  <c r="L107" i="6"/>
  <c r="I96" i="8"/>
  <c r="G104" i="12"/>
  <c r="G109" i="12" s="1"/>
  <c r="G106" i="12"/>
  <c r="G112" i="12" s="1"/>
  <c r="AG18" i="17"/>
  <c r="G106" i="8"/>
  <c r="G121" i="8" s="1"/>
  <c r="G132" i="8"/>
  <c r="G134" i="8" s="1"/>
  <c r="G104" i="8"/>
  <c r="G112" i="8" s="1"/>
  <c r="G128" i="8"/>
  <c r="G130" i="8" s="1"/>
  <c r="H210" i="11" l="1"/>
  <c r="H208" i="11"/>
  <c r="H214" i="11"/>
  <c r="H219" i="11" s="1"/>
  <c r="H216" i="11"/>
  <c r="H222" i="11" s="1"/>
  <c r="I117" i="1"/>
  <c r="I115" i="1"/>
  <c r="I123" i="1"/>
  <c r="I137" i="1" s="1"/>
  <c r="I121" i="1"/>
  <c r="I126" i="1" s="1"/>
  <c r="I117" i="11"/>
  <c r="I115" i="11"/>
  <c r="I123" i="11"/>
  <c r="I129" i="11" s="1"/>
  <c r="I121" i="11"/>
  <c r="I126" i="11" s="1"/>
  <c r="H240" i="1"/>
  <c r="H238" i="1"/>
  <c r="H246" i="1"/>
  <c r="H258" i="1" s="1"/>
  <c r="H244" i="1"/>
  <c r="H249" i="1" s="1"/>
  <c r="M66" i="10"/>
  <c r="M107" i="10" s="1"/>
  <c r="N66" i="6"/>
  <c r="M107" i="6"/>
  <c r="AG9" i="17"/>
  <c r="AG22" i="17" s="1"/>
  <c r="AF8" i="17"/>
  <c r="AF21" i="17" s="1"/>
  <c r="AH10" i="17"/>
  <c r="AH23" i="17" s="1"/>
  <c r="AF28" i="17"/>
  <c r="AF27" i="17"/>
  <c r="AF26" i="17"/>
  <c r="AF25" i="17"/>
  <c r="AF7" i="17"/>
  <c r="AF20" i="17" s="1"/>
  <c r="AF6" i="17"/>
  <c r="AF19" i="17" s="1"/>
  <c r="J55" i="11"/>
  <c r="J93" i="11" s="1"/>
  <c r="J93" i="1"/>
  <c r="G151" i="5"/>
  <c r="F156" i="5"/>
  <c r="K35" i="6"/>
  <c r="K38" i="6"/>
  <c r="O53" i="10"/>
  <c r="O94" i="10" s="1"/>
  <c r="P53" i="6"/>
  <c r="O94" i="6"/>
  <c r="F273" i="1"/>
  <c r="F275" i="1" s="1"/>
  <c r="F269" i="1"/>
  <c r="F271" i="1" s="1"/>
  <c r="F245" i="1"/>
  <c r="F253" i="1" s="1"/>
  <c r="F247" i="1"/>
  <c r="F262" i="1" s="1"/>
  <c r="F215" i="11"/>
  <c r="F220" i="11" s="1"/>
  <c r="F217" i="11"/>
  <c r="F223" i="11" s="1"/>
  <c r="K21" i="12"/>
  <c r="K64" i="12" s="1"/>
  <c r="K64" i="8"/>
  <c r="L21" i="8"/>
  <c r="K42" i="12"/>
  <c r="K85" i="12" s="1"/>
  <c r="L42" i="8"/>
  <c r="K85" i="8"/>
  <c r="M57" i="10"/>
  <c r="M98" i="10" s="1"/>
  <c r="N57" i="6"/>
  <c r="M98" i="6"/>
  <c r="K62" i="10"/>
  <c r="K103" i="10" s="1"/>
  <c r="K103" i="6"/>
  <c r="N70" i="10"/>
  <c r="N111" i="10" s="1"/>
  <c r="N49" i="6"/>
  <c r="O70" i="6"/>
  <c r="N111" i="6"/>
  <c r="M59" i="10"/>
  <c r="M100" i="10" s="1"/>
  <c r="N59" i="6"/>
  <c r="M100" i="6"/>
  <c r="K32" i="11"/>
  <c r="H153" i="14"/>
  <c r="G158" i="14"/>
  <c r="L11" i="11"/>
  <c r="L25" i="11" s="1"/>
  <c r="L25" i="1"/>
  <c r="R30" i="12"/>
  <c r="R73" i="12" s="1"/>
  <c r="R73" i="8"/>
  <c r="J147" i="11"/>
  <c r="J185" i="11" s="1"/>
  <c r="J178" i="1"/>
  <c r="J179" i="1"/>
  <c r="J215" i="1"/>
  <c r="G153" i="5"/>
  <c r="F158" i="5"/>
  <c r="I148" i="11"/>
  <c r="I186" i="11" s="1"/>
  <c r="I216" i="1"/>
  <c r="P81" i="10"/>
  <c r="Q82" i="6"/>
  <c r="P122" i="6"/>
  <c r="I97" i="12"/>
  <c r="I99" i="12"/>
  <c r="I103" i="12"/>
  <c r="I108" i="12" s="1"/>
  <c r="I105" i="12"/>
  <c r="I111" i="12" s="1"/>
  <c r="J33" i="1"/>
  <c r="J36" i="1"/>
  <c r="N72" i="11"/>
  <c r="N195" i="1"/>
  <c r="N165" i="11" s="1"/>
  <c r="P74" i="1"/>
  <c r="O73" i="1"/>
  <c r="O72" i="1"/>
  <c r="H124" i="11"/>
  <c r="H130" i="11" s="1"/>
  <c r="H122" i="11"/>
  <c r="H127" i="11" s="1"/>
  <c r="F156" i="14"/>
  <c r="G151" i="14"/>
  <c r="AE18" i="17"/>
  <c r="H104" i="8"/>
  <c r="H112" i="8" s="1"/>
  <c r="H128" i="8"/>
  <c r="H130" i="8" s="1"/>
  <c r="H106" i="8"/>
  <c r="H121" i="8" s="1"/>
  <c r="H132" i="8"/>
  <c r="H134" i="8" s="1"/>
  <c r="K33" i="15"/>
  <c r="H30" i="15"/>
  <c r="J32" i="15"/>
  <c r="I31" i="15"/>
  <c r="G29" i="15"/>
  <c r="M146" i="11"/>
  <c r="M184" i="11" s="1"/>
  <c r="N176" i="1"/>
  <c r="M214" i="1"/>
  <c r="J56" i="11"/>
  <c r="J94" i="11" s="1"/>
  <c r="J94" i="1"/>
  <c r="L8" i="10"/>
  <c r="L23" i="10" s="1"/>
  <c r="L34" i="10" s="1"/>
  <c r="M8" i="6"/>
  <c r="L23" i="6"/>
  <c r="L34" i="6" s="1"/>
  <c r="L25" i="12"/>
  <c r="L68" i="12" s="1"/>
  <c r="M25" i="8"/>
  <c r="L68" i="8"/>
  <c r="L9" i="11"/>
  <c r="L23" i="11" s="1"/>
  <c r="M9" i="1"/>
  <c r="L23" i="1"/>
  <c r="J162" i="6"/>
  <c r="J158" i="6"/>
  <c r="J129" i="8"/>
  <c r="J39" i="6"/>
  <c r="J133" i="8"/>
  <c r="M65" i="11"/>
  <c r="M103" i="11" s="1"/>
  <c r="N65" i="1"/>
  <c r="M103" i="1"/>
  <c r="L14" i="11"/>
  <c r="L28" i="11" s="1"/>
  <c r="L28" i="1"/>
  <c r="S50" i="12"/>
  <c r="S92" i="12" s="1"/>
  <c r="S100" i="12" s="1"/>
  <c r="S92" i="8"/>
  <c r="S100" i="8" s="1"/>
  <c r="T50" i="8"/>
  <c r="S30" i="8"/>
  <c r="S29" i="8"/>
  <c r="I149" i="11"/>
  <c r="I187" i="11" s="1"/>
  <c r="I217" i="1"/>
  <c r="H104" i="10"/>
  <c r="D104" i="10"/>
  <c r="K104" i="10"/>
  <c r="G104" i="10"/>
  <c r="C104" i="10"/>
  <c r="B106" i="10"/>
  <c r="J104" i="10"/>
  <c r="F104" i="10"/>
  <c r="I104" i="10"/>
  <c r="E104" i="10"/>
  <c r="L58" i="10"/>
  <c r="L99" i="10" s="1"/>
  <c r="M58" i="6"/>
  <c r="L99" i="6"/>
  <c r="E20" i="15"/>
  <c r="H23" i="15"/>
  <c r="F21" i="15"/>
  <c r="G22" i="15"/>
  <c r="D19" i="15"/>
  <c r="K164" i="11"/>
  <c r="K202" i="11" s="1"/>
  <c r="K211" i="11" s="1"/>
  <c r="K177" i="1"/>
  <c r="K232" i="1"/>
  <c r="K241" i="1" s="1"/>
  <c r="N73" i="11"/>
  <c r="N196" i="1"/>
  <c r="N166" i="11" s="1"/>
  <c r="AE28" i="17"/>
  <c r="AE27" i="17"/>
  <c r="AE26" i="17"/>
  <c r="AE25" i="17"/>
  <c r="AH11" i="17"/>
  <c r="AH24" i="17" s="1"/>
  <c r="AG10" i="17"/>
  <c r="AG23" i="17" s="1"/>
  <c r="AF9" i="17"/>
  <c r="AF22" i="17" s="1"/>
  <c r="AE8" i="17"/>
  <c r="AE21" i="17" s="1"/>
  <c r="AE6" i="17"/>
  <c r="AE19" i="17" s="1"/>
  <c r="AE7" i="17"/>
  <c r="AE20" i="17" s="1"/>
  <c r="H104" i="12"/>
  <c r="H109" i="12" s="1"/>
  <c r="H106" i="12"/>
  <c r="H112" i="12" s="1"/>
  <c r="I97" i="8"/>
  <c r="I99" i="8"/>
  <c r="I105" i="8"/>
  <c r="I117" i="8" s="1"/>
  <c r="I103" i="8"/>
  <c r="I108" i="8" s="1"/>
  <c r="F154" i="14"/>
  <c r="E159" i="14"/>
  <c r="F154" i="5"/>
  <c r="E159" i="5"/>
  <c r="J114" i="11"/>
  <c r="K35" i="10"/>
  <c r="K39" i="10" s="1"/>
  <c r="K38" i="10"/>
  <c r="N106" i="6"/>
  <c r="J106" i="6"/>
  <c r="J125" i="6" s="1"/>
  <c r="F106" i="6"/>
  <c r="F125" i="6" s="1"/>
  <c r="M106" i="6"/>
  <c r="I106" i="6"/>
  <c r="I125" i="6" s="1"/>
  <c r="E106" i="6"/>
  <c r="E125" i="6" s="1"/>
  <c r="L106" i="6"/>
  <c r="H106" i="6"/>
  <c r="H125" i="6" s="1"/>
  <c r="D106" i="6"/>
  <c r="D125" i="6" s="1"/>
  <c r="K106" i="6"/>
  <c r="G106" i="6"/>
  <c r="G125" i="6" s="1"/>
  <c r="C106" i="6"/>
  <c r="C125" i="6" s="1"/>
  <c r="M2" i="16"/>
  <c r="M35" i="15"/>
  <c r="J33" i="11"/>
  <c r="J37" i="11" s="1"/>
  <c r="J36" i="11"/>
  <c r="M161" i="11"/>
  <c r="M199" i="11" s="1"/>
  <c r="N191" i="1"/>
  <c r="M229" i="1"/>
  <c r="F152" i="5"/>
  <c r="E157" i="5"/>
  <c r="G215" i="11"/>
  <c r="G220" i="11" s="1"/>
  <c r="G217" i="11"/>
  <c r="G223" i="11" s="1"/>
  <c r="L79" i="10"/>
  <c r="L120" i="10" s="1"/>
  <c r="L64" i="6"/>
  <c r="L63" i="6"/>
  <c r="L62" i="6"/>
  <c r="L61" i="6"/>
  <c r="M79" i="6"/>
  <c r="L76" i="6"/>
  <c r="L120" i="6"/>
  <c r="K64" i="10"/>
  <c r="K105" i="10" s="1"/>
  <c r="K105" i="6"/>
  <c r="N50" i="11"/>
  <c r="N88" i="11" s="1"/>
  <c r="N173" i="1"/>
  <c r="O50" i="1"/>
  <c r="N88" i="1"/>
  <c r="L74" i="10"/>
  <c r="L115" i="10" s="1"/>
  <c r="M74" i="6"/>
  <c r="L115" i="6"/>
  <c r="K32" i="1"/>
  <c r="M17" i="11"/>
  <c r="M31" i="11" s="1"/>
  <c r="M34" i="11" s="1"/>
  <c r="N17" i="1"/>
  <c r="M14" i="1"/>
  <c r="M11" i="1"/>
  <c r="M10" i="1"/>
  <c r="M31" i="1"/>
  <c r="M34" i="1" s="1"/>
  <c r="I207" i="11"/>
  <c r="G269" i="1"/>
  <c r="G271" i="1" s="1"/>
  <c r="G273" i="1"/>
  <c r="G275" i="1" s="1"/>
  <c r="G245" i="1"/>
  <c r="G253" i="1" s="1"/>
  <c r="G247" i="1"/>
  <c r="G262" i="1" s="1"/>
  <c r="M56" i="6"/>
  <c r="L56" i="10"/>
  <c r="L97" i="10" s="1"/>
  <c r="L97" i="6"/>
  <c r="L83" i="10"/>
  <c r="L124" i="10" s="1"/>
  <c r="M83" i="6"/>
  <c r="L123" i="6"/>
  <c r="L73" i="10"/>
  <c r="L114" i="10" s="1"/>
  <c r="M73" i="6"/>
  <c r="L114" i="6"/>
  <c r="N52" i="10"/>
  <c r="N93" i="10" s="1"/>
  <c r="O52" i="6"/>
  <c r="N93" i="6"/>
  <c r="L158" i="11"/>
  <c r="L196" i="11" s="1"/>
  <c r="M188" i="1"/>
  <c r="L226" i="1"/>
  <c r="Q54" i="6"/>
  <c r="P54" i="10"/>
  <c r="P95" i="10" s="1"/>
  <c r="P95" i="6"/>
  <c r="K54" i="11"/>
  <c r="K92" i="11" s="1"/>
  <c r="K56" i="1"/>
  <c r="K55" i="1"/>
  <c r="K92" i="1"/>
  <c r="O74" i="11"/>
  <c r="O197" i="1"/>
  <c r="O167" i="11" s="1"/>
  <c r="M60" i="6"/>
  <c r="L60" i="10"/>
  <c r="L101" i="10" s="1"/>
  <c r="L101" i="6"/>
  <c r="H152" i="1"/>
  <c r="H154" i="1" s="1"/>
  <c r="H156" i="1"/>
  <c r="H158" i="1" s="1"/>
  <c r="H122" i="1"/>
  <c r="H132" i="1" s="1"/>
  <c r="H124" i="1"/>
  <c r="H143" i="1" s="1"/>
  <c r="L72" i="10"/>
  <c r="L113" i="10" s="1"/>
  <c r="M72" i="6"/>
  <c r="L113" i="6"/>
  <c r="AF18" i="17"/>
  <c r="J114" i="1"/>
  <c r="N65" i="10"/>
  <c r="O65" i="6"/>
  <c r="L75" i="10"/>
  <c r="L116" i="10" s="1"/>
  <c r="M75" i="6"/>
  <c r="L116" i="6"/>
  <c r="I214" i="11"/>
  <c r="I219" i="11" s="1"/>
  <c r="K61" i="10"/>
  <c r="K102" i="10" s="1"/>
  <c r="K102" i="6"/>
  <c r="K76" i="10"/>
  <c r="K117" i="10" s="1"/>
  <c r="K117" i="6"/>
  <c r="M143" i="11"/>
  <c r="M181" i="11" s="1"/>
  <c r="M211" i="1"/>
  <c r="M49" i="10"/>
  <c r="M90" i="10" s="1"/>
  <c r="M90" i="6"/>
  <c r="P82" i="10"/>
  <c r="O122" i="10"/>
  <c r="L8" i="11"/>
  <c r="L22" i="11" s="1"/>
  <c r="M8" i="1"/>
  <c r="L22" i="1"/>
  <c r="L10" i="11"/>
  <c r="L24" i="11" s="1"/>
  <c r="L24" i="1"/>
  <c r="R29" i="12"/>
  <c r="R72" i="12" s="1"/>
  <c r="R72" i="8"/>
  <c r="J17" i="15"/>
  <c r="H15" i="15"/>
  <c r="I16" i="15"/>
  <c r="K18" i="15"/>
  <c r="G14" i="15"/>
  <c r="I237" i="1"/>
  <c r="P80" i="10"/>
  <c r="P121" i="10" s="1"/>
  <c r="Q80" i="6"/>
  <c r="Q81" i="6"/>
  <c r="P121" i="6"/>
  <c r="I23" i="15"/>
  <c r="F20" i="15"/>
  <c r="H22" i="15"/>
  <c r="G21" i="15"/>
  <c r="E19" i="15"/>
  <c r="F152" i="14"/>
  <c r="E157" i="14"/>
  <c r="L194" i="1"/>
  <c r="L71" i="11"/>
  <c r="L109" i="11" s="1"/>
  <c r="L118" i="11" s="1"/>
  <c r="M71" i="1"/>
  <c r="L54" i="1"/>
  <c r="L109" i="1"/>
  <c r="L118" i="1" s="1"/>
  <c r="J41" i="12"/>
  <c r="J84" i="12" s="1"/>
  <c r="J96" i="12" s="1"/>
  <c r="K41" i="8"/>
  <c r="J84" i="8"/>
  <c r="J96" i="8" s="1"/>
  <c r="I270" i="1"/>
  <c r="I157" i="1"/>
  <c r="I153" i="1"/>
  <c r="I274" i="1"/>
  <c r="I37" i="1"/>
  <c r="J97" i="12" l="1"/>
  <c r="J99" i="12"/>
  <c r="J103" i="12"/>
  <c r="J108" i="12" s="1"/>
  <c r="J105" i="12"/>
  <c r="J111" i="12" s="1"/>
  <c r="J97" i="8"/>
  <c r="J99" i="8"/>
  <c r="J103" i="8"/>
  <c r="J108" i="8" s="1"/>
  <c r="J105" i="8"/>
  <c r="J117" i="8" s="1"/>
  <c r="I240" i="1"/>
  <c r="I238" i="1"/>
  <c r="K41" i="12"/>
  <c r="K84" i="12" s="1"/>
  <c r="L41" i="8"/>
  <c r="K84" i="8"/>
  <c r="M71" i="11"/>
  <c r="M109" i="11" s="1"/>
  <c r="M118" i="11" s="1"/>
  <c r="M194" i="1"/>
  <c r="N71" i="1"/>
  <c r="M54" i="1"/>
  <c r="M109" i="1"/>
  <c r="M118" i="1" s="1"/>
  <c r="F157" i="14"/>
  <c r="G152" i="14"/>
  <c r="Q80" i="10"/>
  <c r="Q121" i="10" s="1"/>
  <c r="R81" i="6"/>
  <c r="R80" i="6"/>
  <c r="Q121" i="6"/>
  <c r="L32" i="1"/>
  <c r="J117" i="1"/>
  <c r="J115" i="1"/>
  <c r="J121" i="1"/>
  <c r="J126" i="1" s="1"/>
  <c r="J123" i="1"/>
  <c r="J137" i="1" s="1"/>
  <c r="M72" i="10"/>
  <c r="M113" i="10" s="1"/>
  <c r="N72" i="6"/>
  <c r="M113" i="6"/>
  <c r="M60" i="10"/>
  <c r="M101" i="10" s="1"/>
  <c r="N60" i="6"/>
  <c r="M101" i="6"/>
  <c r="K55" i="11"/>
  <c r="K93" i="11" s="1"/>
  <c r="K93" i="1"/>
  <c r="M83" i="10"/>
  <c r="M124" i="10" s="1"/>
  <c r="N83" i="6"/>
  <c r="M123" i="6"/>
  <c r="M56" i="10"/>
  <c r="M97" i="10" s="1"/>
  <c r="N56" i="6"/>
  <c r="M97" i="6"/>
  <c r="N17" i="11"/>
  <c r="N31" i="11" s="1"/>
  <c r="N34" i="11" s="1"/>
  <c r="O17" i="1"/>
  <c r="N14" i="1"/>
  <c r="N11" i="1"/>
  <c r="N10" i="1"/>
  <c r="N31" i="1"/>
  <c r="N34" i="1" s="1"/>
  <c r="M74" i="10"/>
  <c r="M115" i="10" s="1"/>
  <c r="N74" i="6"/>
  <c r="M115" i="6"/>
  <c r="N143" i="11"/>
  <c r="N181" i="11" s="1"/>
  <c r="N211" i="1"/>
  <c r="L129" i="6"/>
  <c r="L62" i="10"/>
  <c r="L103" i="10" s="1"/>
  <c r="L103" i="6"/>
  <c r="G128" i="6"/>
  <c r="G126" i="6"/>
  <c r="G134" i="6"/>
  <c r="G146" i="6" s="1"/>
  <c r="G132" i="6"/>
  <c r="G137" i="6" s="1"/>
  <c r="D128" i="6"/>
  <c r="D126" i="6"/>
  <c r="D132" i="6"/>
  <c r="D137" i="6" s="1"/>
  <c r="D134" i="6"/>
  <c r="D146" i="6" s="1"/>
  <c r="I244" i="1"/>
  <c r="I249" i="1" s="1"/>
  <c r="T50" i="12"/>
  <c r="T92" i="12" s="1"/>
  <c r="T100" i="12" s="1"/>
  <c r="U50" i="8"/>
  <c r="T30" i="8"/>
  <c r="T29" i="8"/>
  <c r="T92" i="8"/>
  <c r="T100" i="8" s="1"/>
  <c r="M25" i="12"/>
  <c r="M68" i="12" s="1"/>
  <c r="M68" i="8"/>
  <c r="N25" i="8"/>
  <c r="N8" i="6"/>
  <c r="M8" i="10"/>
  <c r="M23" i="10" s="1"/>
  <c r="M34" i="10" s="1"/>
  <c r="M23" i="6"/>
  <c r="M34" i="6" s="1"/>
  <c r="J270" i="1"/>
  <c r="J153" i="1"/>
  <c r="J37" i="1"/>
  <c r="J274" i="1"/>
  <c r="J157" i="1"/>
  <c r="Q82" i="10"/>
  <c r="P122" i="10"/>
  <c r="J149" i="11"/>
  <c r="J187" i="11" s="1"/>
  <c r="J217" i="1"/>
  <c r="I153" i="14"/>
  <c r="H158" i="14"/>
  <c r="N59" i="10"/>
  <c r="N100" i="10" s="1"/>
  <c r="O59" i="6"/>
  <c r="N100" i="6"/>
  <c r="N49" i="10"/>
  <c r="N90" i="10" s="1"/>
  <c r="N90" i="6"/>
  <c r="K96" i="8"/>
  <c r="K162" i="6"/>
  <c r="K158" i="6"/>
  <c r="K129" i="8"/>
  <c r="K39" i="6"/>
  <c r="K133" i="8"/>
  <c r="I156" i="1"/>
  <c r="I158" i="1" s="1"/>
  <c r="I152" i="1"/>
  <c r="I154" i="1" s="1"/>
  <c r="I122" i="1"/>
  <c r="I132" i="1" s="1"/>
  <c r="I124" i="1"/>
  <c r="I143" i="1" s="1"/>
  <c r="H217" i="11"/>
  <c r="H223" i="11" s="1"/>
  <c r="H215" i="11"/>
  <c r="H220" i="11" s="1"/>
  <c r="M8" i="11"/>
  <c r="M22" i="11" s="1"/>
  <c r="N8" i="1"/>
  <c r="M22" i="1"/>
  <c r="O65" i="10"/>
  <c r="P65" i="6"/>
  <c r="K56" i="11"/>
  <c r="K94" i="11" s="1"/>
  <c r="K94" i="1"/>
  <c r="Q54" i="10"/>
  <c r="Q95" i="10" s="1"/>
  <c r="Q95" i="6"/>
  <c r="R54" i="6"/>
  <c r="M73" i="10"/>
  <c r="M114" i="10" s="1"/>
  <c r="N73" i="6"/>
  <c r="M114" i="6"/>
  <c r="I210" i="11"/>
  <c r="I208" i="11"/>
  <c r="M10" i="11"/>
  <c r="M24" i="11" s="1"/>
  <c r="M24" i="1"/>
  <c r="L76" i="10"/>
  <c r="L117" i="10" s="1"/>
  <c r="L117" i="6"/>
  <c r="L63" i="10"/>
  <c r="L104" i="10" s="1"/>
  <c r="L104" i="6"/>
  <c r="K23" i="15"/>
  <c r="H20" i="15"/>
  <c r="J22" i="15"/>
  <c r="I21" i="15"/>
  <c r="G19" i="15"/>
  <c r="N161" i="11"/>
  <c r="N199" i="11" s="1"/>
  <c r="O191" i="1"/>
  <c r="N229" i="1"/>
  <c r="H128" i="6"/>
  <c r="H126" i="6"/>
  <c r="H134" i="6"/>
  <c r="H146" i="6" s="1"/>
  <c r="H132" i="6"/>
  <c r="H137" i="6" s="1"/>
  <c r="E128" i="6"/>
  <c r="E126" i="6"/>
  <c r="E134" i="6"/>
  <c r="E146" i="6" s="1"/>
  <c r="E132" i="6"/>
  <c r="E137" i="6" s="1"/>
  <c r="J117" i="11"/>
  <c r="J115" i="11"/>
  <c r="J121" i="11"/>
  <c r="J126" i="11" s="1"/>
  <c r="J123" i="11"/>
  <c r="J129" i="11" s="1"/>
  <c r="F159" i="14"/>
  <c r="G154" i="14"/>
  <c r="I128" i="8"/>
  <c r="I130" i="8" s="1"/>
  <c r="I106" i="8"/>
  <c r="I121" i="8" s="1"/>
  <c r="I132" i="8"/>
  <c r="I134" i="8" s="1"/>
  <c r="I104" i="8"/>
  <c r="I112" i="8" s="1"/>
  <c r="M58" i="10"/>
  <c r="M99" i="10" s="1"/>
  <c r="N58" i="6"/>
  <c r="M99" i="6"/>
  <c r="L106" i="10"/>
  <c r="L126" i="10" s="1"/>
  <c r="H106" i="10"/>
  <c r="H126" i="10" s="1"/>
  <c r="D106" i="10"/>
  <c r="D126" i="10" s="1"/>
  <c r="O106" i="10"/>
  <c r="K106" i="10"/>
  <c r="K126" i="10" s="1"/>
  <c r="G106" i="10"/>
  <c r="G126" i="10" s="1"/>
  <c r="C106" i="10"/>
  <c r="C126" i="10" s="1"/>
  <c r="N106" i="10"/>
  <c r="J106" i="10"/>
  <c r="J126" i="10" s="1"/>
  <c r="F106" i="10"/>
  <c r="F126" i="10" s="1"/>
  <c r="M106" i="10"/>
  <c r="I106" i="10"/>
  <c r="I126" i="10" s="1"/>
  <c r="E106" i="10"/>
  <c r="E126" i="10" s="1"/>
  <c r="M9" i="11"/>
  <c r="M23" i="11" s="1"/>
  <c r="N9" i="1"/>
  <c r="M23" i="1"/>
  <c r="L35" i="10"/>
  <c r="L39" i="10" s="1"/>
  <c r="L38" i="10"/>
  <c r="N146" i="11"/>
  <c r="N184" i="11" s="1"/>
  <c r="O176" i="1"/>
  <c r="N214" i="1"/>
  <c r="H151" i="14"/>
  <c r="G156" i="14"/>
  <c r="O72" i="11"/>
  <c r="O195" i="1"/>
  <c r="O165" i="11" s="1"/>
  <c r="Q74" i="1"/>
  <c r="P73" i="1"/>
  <c r="P72" i="1"/>
  <c r="I106" i="12"/>
  <c r="I112" i="12" s="1"/>
  <c r="I104" i="12"/>
  <c r="I109" i="12" s="1"/>
  <c r="J148" i="11"/>
  <c r="J186" i="11" s="1"/>
  <c r="J216" i="1"/>
  <c r="L42" i="12"/>
  <c r="L85" i="12" s="1"/>
  <c r="M42" i="8"/>
  <c r="L85" i="8"/>
  <c r="K96" i="12"/>
  <c r="P53" i="10"/>
  <c r="P94" i="10" s="1"/>
  <c r="Q53" i="6"/>
  <c r="P94" i="6"/>
  <c r="I124" i="11"/>
  <c r="I130" i="11" s="1"/>
  <c r="I122" i="11"/>
  <c r="I127" i="11" s="1"/>
  <c r="L164" i="11"/>
  <c r="L202" i="11" s="1"/>
  <c r="L211" i="11" s="1"/>
  <c r="L177" i="1"/>
  <c r="L232" i="1"/>
  <c r="L241" i="1" s="1"/>
  <c r="L32" i="11"/>
  <c r="K114" i="11"/>
  <c r="O52" i="10"/>
  <c r="O93" i="10" s="1"/>
  <c r="P52" i="6"/>
  <c r="O93" i="6"/>
  <c r="M11" i="11"/>
  <c r="M25" i="11" s="1"/>
  <c r="M25" i="1"/>
  <c r="K33" i="1"/>
  <c r="K36" i="1"/>
  <c r="M79" i="10"/>
  <c r="M120" i="10" s="1"/>
  <c r="M130" i="10" s="1"/>
  <c r="M64" i="6"/>
  <c r="M63" i="6"/>
  <c r="M62" i="6"/>
  <c r="M61" i="6"/>
  <c r="N79" i="6"/>
  <c r="M76" i="6"/>
  <c r="M120" i="6"/>
  <c r="M129" i="6" s="1"/>
  <c r="L64" i="10"/>
  <c r="L105" i="10" s="1"/>
  <c r="L105" i="6"/>
  <c r="L125" i="6" s="1"/>
  <c r="N2" i="16"/>
  <c r="N35" i="15"/>
  <c r="O106" i="6"/>
  <c r="I128" i="6"/>
  <c r="I126" i="6"/>
  <c r="I132" i="6"/>
  <c r="I137" i="6" s="1"/>
  <c r="I134" i="6"/>
  <c r="I146" i="6" s="1"/>
  <c r="F128" i="6"/>
  <c r="F126" i="6"/>
  <c r="F134" i="6"/>
  <c r="F146" i="6" s="1"/>
  <c r="F132" i="6"/>
  <c r="F137" i="6" s="1"/>
  <c r="I246" i="1"/>
  <c r="I258" i="1" s="1"/>
  <c r="S29" i="12"/>
  <c r="S72" i="12" s="1"/>
  <c r="S72" i="8"/>
  <c r="O196" i="1"/>
  <c r="O166" i="11" s="1"/>
  <c r="O73" i="11"/>
  <c r="H153" i="5"/>
  <c r="G158" i="5"/>
  <c r="J207" i="11"/>
  <c r="K33" i="11"/>
  <c r="K37" i="11" s="1"/>
  <c r="K36" i="11"/>
  <c r="N57" i="10"/>
  <c r="N98" i="10" s="1"/>
  <c r="O57" i="6"/>
  <c r="N98" i="6"/>
  <c r="H151" i="5"/>
  <c r="G156" i="5"/>
  <c r="L54" i="11"/>
  <c r="L92" i="11" s="1"/>
  <c r="L56" i="1"/>
  <c r="L55" i="1"/>
  <c r="L92" i="1"/>
  <c r="Q81" i="10"/>
  <c r="R82" i="6"/>
  <c r="Q122" i="6"/>
  <c r="K125" i="6"/>
  <c r="I216" i="11"/>
  <c r="I222" i="11" s="1"/>
  <c r="M75" i="10"/>
  <c r="M116" i="10" s="1"/>
  <c r="N75" i="6"/>
  <c r="M116" i="6"/>
  <c r="K114" i="1"/>
  <c r="M158" i="11"/>
  <c r="M196" i="11" s="1"/>
  <c r="N188" i="1"/>
  <c r="M226" i="1"/>
  <c r="M14" i="11"/>
  <c r="M28" i="11" s="1"/>
  <c r="M28" i="1"/>
  <c r="O50" i="11"/>
  <c r="O88" i="11" s="1"/>
  <c r="O173" i="1"/>
  <c r="O88" i="1"/>
  <c r="P50" i="1"/>
  <c r="L61" i="10"/>
  <c r="L102" i="10" s="1"/>
  <c r="L102" i="6"/>
  <c r="L130" i="10"/>
  <c r="G152" i="5"/>
  <c r="F157" i="5"/>
  <c r="C128" i="6"/>
  <c r="C126" i="6"/>
  <c r="C134" i="6"/>
  <c r="C146" i="6" s="1"/>
  <c r="C132" i="6"/>
  <c r="C137" i="6" s="1"/>
  <c r="J128" i="6"/>
  <c r="J126" i="6"/>
  <c r="J132" i="6"/>
  <c r="J137" i="6" s="1"/>
  <c r="J134" i="6"/>
  <c r="J146" i="6" s="1"/>
  <c r="G154" i="5"/>
  <c r="F159" i="5"/>
  <c r="L33" i="15"/>
  <c r="K32" i="15"/>
  <c r="I30" i="15"/>
  <c r="J31" i="15"/>
  <c r="H29" i="15"/>
  <c r="K147" i="11"/>
  <c r="K185" i="11" s="1"/>
  <c r="K178" i="1"/>
  <c r="K179" i="1"/>
  <c r="K215" i="1"/>
  <c r="S30" i="12"/>
  <c r="S73" i="12" s="1"/>
  <c r="S73" i="8"/>
  <c r="N65" i="11"/>
  <c r="N103" i="11" s="1"/>
  <c r="O65" i="1"/>
  <c r="N103" i="1"/>
  <c r="L35" i="6"/>
  <c r="L38" i="6"/>
  <c r="I15" i="15"/>
  <c r="K17" i="15"/>
  <c r="J16" i="15"/>
  <c r="L18" i="15"/>
  <c r="H14" i="15"/>
  <c r="P74" i="11"/>
  <c r="P197" i="1"/>
  <c r="P167" i="11" s="1"/>
  <c r="J237" i="1"/>
  <c r="O70" i="10"/>
  <c r="O111" i="10" s="1"/>
  <c r="O49" i="6"/>
  <c r="P70" i="6"/>
  <c r="O111" i="6"/>
  <c r="L21" i="12"/>
  <c r="L64" i="12" s="1"/>
  <c r="L64" i="8"/>
  <c r="M21" i="8"/>
  <c r="G20" i="15"/>
  <c r="I22" i="15"/>
  <c r="J23" i="15"/>
  <c r="H21" i="15"/>
  <c r="F19" i="15"/>
  <c r="N66" i="10"/>
  <c r="N107" i="10" s="1"/>
  <c r="O66" i="6"/>
  <c r="N107" i="6"/>
  <c r="H273" i="1"/>
  <c r="H275" i="1" s="1"/>
  <c r="H269" i="1"/>
  <c r="H271" i="1" s="1"/>
  <c r="H245" i="1"/>
  <c r="H253" i="1" s="1"/>
  <c r="H247" i="1"/>
  <c r="H262" i="1" s="1"/>
  <c r="L129" i="10" l="1"/>
  <c r="L127" i="10"/>
  <c r="L128" i="6"/>
  <c r="L126" i="6"/>
  <c r="O66" i="10"/>
  <c r="O107" i="10" s="1"/>
  <c r="P66" i="6"/>
  <c r="O107" i="6"/>
  <c r="O49" i="10"/>
  <c r="O90" i="10" s="1"/>
  <c r="O90" i="6"/>
  <c r="N158" i="11"/>
  <c r="N196" i="11" s="1"/>
  <c r="O188" i="1"/>
  <c r="N226" i="1"/>
  <c r="L56" i="11"/>
  <c r="L94" i="11" s="1"/>
  <c r="L94" i="1"/>
  <c r="M61" i="10"/>
  <c r="M102" i="10" s="1"/>
  <c r="M102" i="6"/>
  <c r="K99" i="12"/>
  <c r="K97" i="12"/>
  <c r="K105" i="12"/>
  <c r="K111" i="12" s="1"/>
  <c r="K103" i="12"/>
  <c r="K108" i="12" s="1"/>
  <c r="P72" i="11"/>
  <c r="P195" i="1"/>
  <c r="P165" i="11" s="1"/>
  <c r="R74" i="1"/>
  <c r="Q73" i="1"/>
  <c r="Q72" i="1"/>
  <c r="O146" i="11"/>
  <c r="O184" i="11" s="1"/>
  <c r="P176" i="1"/>
  <c r="O214" i="1"/>
  <c r="G129" i="10"/>
  <c r="G127" i="10"/>
  <c r="G135" i="10"/>
  <c r="G141" i="10" s="1"/>
  <c r="G133" i="10"/>
  <c r="G138" i="10" s="1"/>
  <c r="D129" i="10"/>
  <c r="D127" i="10"/>
  <c r="D133" i="10"/>
  <c r="D138" i="10" s="1"/>
  <c r="D135" i="10"/>
  <c r="D141" i="10" s="1"/>
  <c r="O161" i="11"/>
  <c r="O199" i="11" s="1"/>
  <c r="P191" i="1"/>
  <c r="O229" i="1"/>
  <c r="I215" i="11"/>
  <c r="I220" i="11" s="1"/>
  <c r="I217" i="11"/>
  <c r="I223" i="11" s="1"/>
  <c r="I20" i="15"/>
  <c r="K22" i="15"/>
  <c r="L23" i="15"/>
  <c r="J21" i="15"/>
  <c r="H19" i="15"/>
  <c r="M35" i="6"/>
  <c r="M38" i="6"/>
  <c r="T30" i="12"/>
  <c r="T73" i="12" s="1"/>
  <c r="T73" i="8"/>
  <c r="N11" i="11"/>
  <c r="N25" i="11" s="1"/>
  <c r="N25" i="1"/>
  <c r="L33" i="1"/>
  <c r="L36" i="1"/>
  <c r="M54" i="11"/>
  <c r="M92" i="11" s="1"/>
  <c r="M56" i="1"/>
  <c r="M55" i="1"/>
  <c r="M92" i="1"/>
  <c r="O65" i="11"/>
  <c r="O103" i="11" s="1"/>
  <c r="P65" i="1"/>
  <c r="O103" i="1"/>
  <c r="H152" i="5"/>
  <c r="G157" i="5"/>
  <c r="P173" i="1"/>
  <c r="P50" i="11"/>
  <c r="P88" i="11" s="1"/>
  <c r="Q50" i="1"/>
  <c r="P88" i="1"/>
  <c r="K128" i="6"/>
  <c r="K126" i="6"/>
  <c r="K132" i="6"/>
  <c r="K137" i="6" s="1"/>
  <c r="K134" i="6"/>
  <c r="K146" i="6" s="1"/>
  <c r="R82" i="10"/>
  <c r="Q122" i="10"/>
  <c r="O57" i="10"/>
  <c r="O98" i="10" s="1"/>
  <c r="P57" i="6"/>
  <c r="O98" i="6"/>
  <c r="J210" i="11"/>
  <c r="J208" i="11"/>
  <c r="J214" i="11"/>
  <c r="J219" i="11" s="1"/>
  <c r="J216" i="11"/>
  <c r="J222" i="11" s="1"/>
  <c r="F157" i="6"/>
  <c r="F159" i="6" s="1"/>
  <c r="F161" i="6"/>
  <c r="F163" i="6" s="1"/>
  <c r="F133" i="6"/>
  <c r="F141" i="6" s="1"/>
  <c r="F135" i="6"/>
  <c r="F150" i="6" s="1"/>
  <c r="I161" i="6"/>
  <c r="I163" i="6" s="1"/>
  <c r="I157" i="6"/>
  <c r="I159" i="6" s="1"/>
  <c r="I135" i="6"/>
  <c r="I150" i="6" s="1"/>
  <c r="I133" i="6"/>
  <c r="I141" i="6" s="1"/>
  <c r="O2" i="16"/>
  <c r="O35" i="15"/>
  <c r="M62" i="10"/>
  <c r="M103" i="10" s="1"/>
  <c r="M103" i="6"/>
  <c r="K117" i="11"/>
  <c r="K115" i="11"/>
  <c r="K121" i="11"/>
  <c r="K126" i="11" s="1"/>
  <c r="K123" i="11"/>
  <c r="K129" i="11" s="1"/>
  <c r="L33" i="11"/>
  <c r="L37" i="11" s="1"/>
  <c r="L36" i="11"/>
  <c r="L17" i="15"/>
  <c r="J15" i="15"/>
  <c r="M18" i="15"/>
  <c r="K16" i="15"/>
  <c r="I14" i="15"/>
  <c r="P196" i="1"/>
  <c r="P166" i="11" s="1"/>
  <c r="P73" i="11"/>
  <c r="N9" i="11"/>
  <c r="N23" i="11" s="1"/>
  <c r="O9" i="1"/>
  <c r="N23" i="1"/>
  <c r="E129" i="10"/>
  <c r="E127" i="10"/>
  <c r="E135" i="10"/>
  <c r="E141" i="10" s="1"/>
  <c r="E133" i="10"/>
  <c r="E138" i="10" s="1"/>
  <c r="K129" i="10"/>
  <c r="K127" i="10"/>
  <c r="K133" i="10"/>
  <c r="K138" i="10" s="1"/>
  <c r="K135" i="10"/>
  <c r="K141" i="10" s="1"/>
  <c r="H129" i="10"/>
  <c r="H127" i="10"/>
  <c r="H135" i="10"/>
  <c r="H141" i="10" s="1"/>
  <c r="H133" i="10"/>
  <c r="H138" i="10" s="1"/>
  <c r="H154" i="14"/>
  <c r="G159" i="14"/>
  <c r="J124" i="11"/>
  <c r="J130" i="11" s="1"/>
  <c r="J122" i="11"/>
  <c r="J127" i="11" s="1"/>
  <c r="E161" i="6"/>
  <c r="E163" i="6" s="1"/>
  <c r="E157" i="6"/>
  <c r="E159" i="6" s="1"/>
  <c r="E135" i="6"/>
  <c r="E150" i="6" s="1"/>
  <c r="E133" i="6"/>
  <c r="E141" i="6" s="1"/>
  <c r="H161" i="6"/>
  <c r="H163" i="6" s="1"/>
  <c r="H157" i="6"/>
  <c r="H159" i="6" s="1"/>
  <c r="H135" i="6"/>
  <c r="H150" i="6" s="1"/>
  <c r="H133" i="6"/>
  <c r="H141" i="6" s="1"/>
  <c r="R54" i="10"/>
  <c r="R95" i="10" s="1"/>
  <c r="S54" i="6"/>
  <c r="R95" i="6"/>
  <c r="M32" i="1"/>
  <c r="M35" i="10"/>
  <c r="M39" i="10" s="1"/>
  <c r="M38" i="10"/>
  <c r="U50" i="12"/>
  <c r="U92" i="12" s="1"/>
  <c r="U100" i="12" s="1"/>
  <c r="U92" i="8"/>
  <c r="U100" i="8" s="1"/>
  <c r="V50" i="8"/>
  <c r="U30" i="8"/>
  <c r="U29" i="8"/>
  <c r="N14" i="11"/>
  <c r="N28" i="11" s="1"/>
  <c r="N28" i="1"/>
  <c r="H152" i="14"/>
  <c r="G157" i="14"/>
  <c r="N71" i="11"/>
  <c r="N109" i="11" s="1"/>
  <c r="N118" i="11" s="1"/>
  <c r="N194" i="1"/>
  <c r="O71" i="1"/>
  <c r="N54" i="1"/>
  <c r="N109" i="1"/>
  <c r="N118" i="1" s="1"/>
  <c r="L41" i="12"/>
  <c r="L84" i="12" s="1"/>
  <c r="L96" i="12" s="1"/>
  <c r="M41" i="8"/>
  <c r="L84" i="8"/>
  <c r="L96" i="8" s="1"/>
  <c r="J132" i="8"/>
  <c r="J134" i="8" s="1"/>
  <c r="J104" i="8"/>
  <c r="J112" i="8" s="1"/>
  <c r="J128" i="8"/>
  <c r="J130" i="8" s="1"/>
  <c r="J106" i="8"/>
  <c r="J121" i="8" s="1"/>
  <c r="J106" i="12"/>
  <c r="J112" i="12" s="1"/>
  <c r="J104" i="12"/>
  <c r="J109" i="12" s="1"/>
  <c r="J240" i="1"/>
  <c r="J238" i="1"/>
  <c r="J244" i="1"/>
  <c r="J249" i="1" s="1"/>
  <c r="J246" i="1"/>
  <c r="J258" i="1" s="1"/>
  <c r="J157" i="6"/>
  <c r="J159" i="6" s="1"/>
  <c r="J161" i="6"/>
  <c r="J163" i="6" s="1"/>
  <c r="J133" i="6"/>
  <c r="J141" i="6" s="1"/>
  <c r="J135" i="6"/>
  <c r="J150" i="6" s="1"/>
  <c r="B6" i="18"/>
  <c r="C161" i="6"/>
  <c r="C163" i="6" s="1"/>
  <c r="C157" i="6"/>
  <c r="C159" i="6" s="1"/>
  <c r="C135" i="6"/>
  <c r="C150" i="6" s="1"/>
  <c r="C133" i="6"/>
  <c r="C141" i="6" s="1"/>
  <c r="L136" i="10"/>
  <c r="L142" i="10" s="1"/>
  <c r="L135" i="10"/>
  <c r="L141" i="10" s="1"/>
  <c r="L134" i="10"/>
  <c r="L139" i="10" s="1"/>
  <c r="L133" i="10"/>
  <c r="L138" i="10" s="1"/>
  <c r="K117" i="1"/>
  <c r="K115" i="1"/>
  <c r="K123" i="1"/>
  <c r="K137" i="1" s="1"/>
  <c r="K121" i="1"/>
  <c r="K126" i="1" s="1"/>
  <c r="O75" i="6"/>
  <c r="N75" i="10"/>
  <c r="N116" i="10" s="1"/>
  <c r="N116" i="6"/>
  <c r="M76" i="10"/>
  <c r="M117" i="10" s="1"/>
  <c r="M117" i="6"/>
  <c r="M63" i="10"/>
  <c r="M104" i="10" s="1"/>
  <c r="M104" i="6"/>
  <c r="Q53" i="10"/>
  <c r="Q94" i="10" s="1"/>
  <c r="Q94" i="6"/>
  <c r="R53" i="6"/>
  <c r="M42" i="12"/>
  <c r="M85" i="12" s="1"/>
  <c r="N42" i="8"/>
  <c r="M85" i="8"/>
  <c r="L32" i="15"/>
  <c r="K31" i="15"/>
  <c r="J30" i="15"/>
  <c r="M33" i="15"/>
  <c r="I29" i="15"/>
  <c r="Q74" i="11"/>
  <c r="Q197" i="1"/>
  <c r="Q167" i="11" s="1"/>
  <c r="I151" i="14"/>
  <c r="H156" i="14"/>
  <c r="I129" i="10"/>
  <c r="I127" i="10"/>
  <c r="I133" i="10"/>
  <c r="I138" i="10" s="1"/>
  <c r="I135" i="10"/>
  <c r="I141" i="10" s="1"/>
  <c r="F129" i="10"/>
  <c r="F127" i="10"/>
  <c r="F133" i="10"/>
  <c r="F138" i="10" s="1"/>
  <c r="F135" i="10"/>
  <c r="F141" i="10" s="1"/>
  <c r="N58" i="10"/>
  <c r="N99" i="10" s="1"/>
  <c r="O58" i="6"/>
  <c r="N99" i="6"/>
  <c r="Q65" i="6"/>
  <c r="P65" i="10"/>
  <c r="P106" i="10" s="1"/>
  <c r="P106" i="6"/>
  <c r="N8" i="11"/>
  <c r="N22" i="11" s="1"/>
  <c r="O8" i="1"/>
  <c r="N22" i="1"/>
  <c r="J153" i="14"/>
  <c r="I158" i="14"/>
  <c r="N8" i="10"/>
  <c r="N23" i="10" s="1"/>
  <c r="N34" i="10" s="1"/>
  <c r="O8" i="6"/>
  <c r="N23" i="6"/>
  <c r="N34" i="6" s="1"/>
  <c r="D161" i="6"/>
  <c r="D163" i="6" s="1"/>
  <c r="D157" i="6"/>
  <c r="D159" i="6" s="1"/>
  <c r="D135" i="6"/>
  <c r="D150" i="6" s="1"/>
  <c r="D133" i="6"/>
  <c r="D141" i="6" s="1"/>
  <c r="G161" i="6"/>
  <c r="G163" i="6" s="1"/>
  <c r="G157" i="6"/>
  <c r="G159" i="6" s="1"/>
  <c r="G135" i="6"/>
  <c r="G150" i="6" s="1"/>
  <c r="G133" i="6"/>
  <c r="G141" i="6" s="1"/>
  <c r="O17" i="11"/>
  <c r="O31" i="11" s="1"/>
  <c r="O34" i="11" s="1"/>
  <c r="P17" i="1"/>
  <c r="O14" i="1"/>
  <c r="O11" i="1"/>
  <c r="O10" i="1"/>
  <c r="O31" i="1"/>
  <c r="O34" i="1" s="1"/>
  <c r="O83" i="6"/>
  <c r="N83" i="10"/>
  <c r="N124" i="10" s="1"/>
  <c r="N123" i="6"/>
  <c r="O72" i="6"/>
  <c r="N72" i="10"/>
  <c r="N113" i="10" s="1"/>
  <c r="N113" i="6"/>
  <c r="J156" i="1"/>
  <c r="J158" i="1" s="1"/>
  <c r="J152" i="1"/>
  <c r="J154" i="1" s="1"/>
  <c r="J124" i="1"/>
  <c r="J143" i="1" s="1"/>
  <c r="J122" i="1"/>
  <c r="J132" i="1" s="1"/>
  <c r="R80" i="10"/>
  <c r="R121" i="10" s="1"/>
  <c r="S81" i="6"/>
  <c r="S80" i="6"/>
  <c r="R121" i="6"/>
  <c r="M164" i="11"/>
  <c r="M202" i="11" s="1"/>
  <c r="M211" i="11" s="1"/>
  <c r="M177" i="1"/>
  <c r="M232" i="1"/>
  <c r="M241" i="1" s="1"/>
  <c r="K149" i="11"/>
  <c r="K187" i="11" s="1"/>
  <c r="K217" i="1"/>
  <c r="M21" i="12"/>
  <c r="M64" i="12" s="1"/>
  <c r="M64" i="8"/>
  <c r="N21" i="8"/>
  <c r="P70" i="10"/>
  <c r="P111" i="10" s="1"/>
  <c r="Q70" i="6"/>
  <c r="P49" i="6"/>
  <c r="P111" i="6"/>
  <c r="L162" i="6"/>
  <c r="L158" i="6"/>
  <c r="L39" i="6"/>
  <c r="L129" i="8"/>
  <c r="L133" i="8"/>
  <c r="K148" i="11"/>
  <c r="K186" i="11" s="1"/>
  <c r="K207" i="11" s="1"/>
  <c r="K216" i="1"/>
  <c r="K237" i="1" s="1"/>
  <c r="H154" i="5"/>
  <c r="G159" i="5"/>
  <c r="O143" i="11"/>
  <c r="O181" i="11" s="1"/>
  <c r="O211" i="1"/>
  <c r="L55" i="11"/>
  <c r="L93" i="11" s="1"/>
  <c r="L114" i="11" s="1"/>
  <c r="L93" i="1"/>
  <c r="L114" i="1" s="1"/>
  <c r="H156" i="5"/>
  <c r="I151" i="5"/>
  <c r="H158" i="5"/>
  <c r="I153" i="5"/>
  <c r="N79" i="10"/>
  <c r="N120" i="10" s="1"/>
  <c r="N130" i="10" s="1"/>
  <c r="O79" i="6"/>
  <c r="N76" i="6"/>
  <c r="N64" i="6"/>
  <c r="N63" i="6"/>
  <c r="N62" i="6"/>
  <c r="N61" i="6"/>
  <c r="N120" i="6"/>
  <c r="N129" i="6" s="1"/>
  <c r="M64" i="10"/>
  <c r="M105" i="10" s="1"/>
  <c r="M105" i="6"/>
  <c r="M125" i="6" s="1"/>
  <c r="K274" i="1"/>
  <c r="K37" i="1"/>
  <c r="K270" i="1"/>
  <c r="K157" i="1"/>
  <c r="K153" i="1"/>
  <c r="P52" i="10"/>
  <c r="P93" i="10" s="1"/>
  <c r="Q52" i="6"/>
  <c r="P93" i="6"/>
  <c r="L147" i="11"/>
  <c r="L185" i="11" s="1"/>
  <c r="L179" i="1"/>
  <c r="L178" i="1"/>
  <c r="L215" i="1"/>
  <c r="J129" i="10"/>
  <c r="J127" i="10"/>
  <c r="J133" i="10"/>
  <c r="J138" i="10" s="1"/>
  <c r="J135" i="10"/>
  <c r="J141" i="10" s="1"/>
  <c r="C129" i="10"/>
  <c r="C127" i="10"/>
  <c r="C135" i="10"/>
  <c r="C141" i="10" s="1"/>
  <c r="C133" i="10"/>
  <c r="C138" i="10" s="1"/>
  <c r="N73" i="10"/>
  <c r="N114" i="10" s="1"/>
  <c r="O73" i="6"/>
  <c r="N114" i="6"/>
  <c r="M32" i="11"/>
  <c r="K97" i="8"/>
  <c r="K99" i="8"/>
  <c r="K105" i="8"/>
  <c r="K117" i="8" s="1"/>
  <c r="K103" i="8"/>
  <c r="K108" i="8" s="1"/>
  <c r="O59" i="10"/>
  <c r="O100" i="10" s="1"/>
  <c r="P59" i="6"/>
  <c r="O100" i="6"/>
  <c r="N25" i="12"/>
  <c r="N68" i="12" s="1"/>
  <c r="O25" i="8"/>
  <c r="N68" i="8"/>
  <c r="T29" i="12"/>
  <c r="T72" i="12" s="1"/>
  <c r="T72" i="8"/>
  <c r="L135" i="6"/>
  <c r="L150" i="6" s="1"/>
  <c r="E6" i="18" s="1"/>
  <c r="L134" i="6"/>
  <c r="L146" i="6" s="1"/>
  <c r="L133" i="6"/>
  <c r="L141" i="6" s="1"/>
  <c r="L132" i="6"/>
  <c r="L137" i="6" s="1"/>
  <c r="O74" i="6"/>
  <c r="N74" i="10"/>
  <c r="N115" i="10" s="1"/>
  <c r="N115" i="6"/>
  <c r="N10" i="11"/>
  <c r="N24" i="11" s="1"/>
  <c r="N24" i="1"/>
  <c r="N56" i="10"/>
  <c r="N97" i="10" s="1"/>
  <c r="O56" i="6"/>
  <c r="N97" i="6"/>
  <c r="N60" i="10"/>
  <c r="N101" i="10" s="1"/>
  <c r="O60" i="6"/>
  <c r="N101" i="6"/>
  <c r="R81" i="10"/>
  <c r="S82" i="6"/>
  <c r="R122" i="6"/>
  <c r="I273" i="1"/>
  <c r="I275" i="1" s="1"/>
  <c r="I269" i="1"/>
  <c r="I271" i="1" s="1"/>
  <c r="I247" i="1"/>
  <c r="I262" i="1" s="1"/>
  <c r="I245" i="1"/>
  <c r="I253" i="1" s="1"/>
  <c r="K210" i="11" l="1"/>
  <c r="K208" i="11"/>
  <c r="K214" i="11"/>
  <c r="K219" i="11" s="1"/>
  <c r="K216" i="11"/>
  <c r="K222" i="11" s="1"/>
  <c r="L117" i="1"/>
  <c r="L115" i="1"/>
  <c r="L123" i="1"/>
  <c r="L137" i="1" s="1"/>
  <c r="L121" i="1"/>
  <c r="L126" i="1" s="1"/>
  <c r="L99" i="8"/>
  <c r="L97" i="8"/>
  <c r="L103" i="8"/>
  <c r="L108" i="8" s="1"/>
  <c r="L105" i="8"/>
  <c r="L117" i="8" s="1"/>
  <c r="L117" i="11"/>
  <c r="L115" i="11"/>
  <c r="L123" i="11"/>
  <c r="L129" i="11" s="1"/>
  <c r="L121" i="11"/>
  <c r="L126" i="11" s="1"/>
  <c r="M128" i="6"/>
  <c r="M126" i="6"/>
  <c r="M132" i="6"/>
  <c r="M137" i="6" s="1"/>
  <c r="M134" i="6"/>
  <c r="M146" i="6" s="1"/>
  <c r="K240" i="1"/>
  <c r="K238" i="1"/>
  <c r="K246" i="1"/>
  <c r="K258" i="1" s="1"/>
  <c r="K244" i="1"/>
  <c r="K249" i="1" s="1"/>
  <c r="L97" i="12"/>
  <c r="L99" i="12"/>
  <c r="L105" i="12"/>
  <c r="L111" i="12" s="1"/>
  <c r="L103" i="12"/>
  <c r="L108" i="12" s="1"/>
  <c r="S82" i="10"/>
  <c r="R122" i="10"/>
  <c r="O74" i="10"/>
  <c r="O115" i="10" s="1"/>
  <c r="P74" i="6"/>
  <c r="O115" i="6"/>
  <c r="O60" i="10"/>
  <c r="O101" i="10" s="1"/>
  <c r="P60" i="6"/>
  <c r="O101" i="6"/>
  <c r="M33" i="11"/>
  <c r="M37" i="11" s="1"/>
  <c r="M36" i="11"/>
  <c r="N61" i="10"/>
  <c r="N102" i="10" s="1"/>
  <c r="N102" i="6"/>
  <c r="N76" i="10"/>
  <c r="N117" i="10" s="1"/>
  <c r="N117" i="6"/>
  <c r="H159" i="5"/>
  <c r="I154" i="5"/>
  <c r="N21" i="12"/>
  <c r="N64" i="12" s="1"/>
  <c r="O21" i="8"/>
  <c r="N64" i="8"/>
  <c r="M147" i="11"/>
  <c r="M185" i="11" s="1"/>
  <c r="M179" i="1"/>
  <c r="M178" i="1"/>
  <c r="M215" i="1"/>
  <c r="S81" i="10"/>
  <c r="T82" i="6"/>
  <c r="S122" i="6"/>
  <c r="O72" i="10"/>
  <c r="O113" i="10" s="1"/>
  <c r="P72" i="6"/>
  <c r="O113" i="6"/>
  <c r="P17" i="11"/>
  <c r="P31" i="11" s="1"/>
  <c r="P34" i="11" s="1"/>
  <c r="Q17" i="1"/>
  <c r="P14" i="1"/>
  <c r="P11" i="1"/>
  <c r="P10" i="1"/>
  <c r="P31" i="1"/>
  <c r="P34" i="1" s="1"/>
  <c r="N35" i="10"/>
  <c r="N39" i="10" s="1"/>
  <c r="N38" i="10"/>
  <c r="O8" i="11"/>
  <c r="O22" i="11" s="1"/>
  <c r="P8" i="1"/>
  <c r="O22" i="1"/>
  <c r="Q65" i="10"/>
  <c r="Q106" i="10" s="1"/>
  <c r="R65" i="6"/>
  <c r="Q106" i="6"/>
  <c r="R53" i="10"/>
  <c r="R94" i="10" s="1"/>
  <c r="S53" i="6"/>
  <c r="R94" i="6"/>
  <c r="C6" i="18"/>
  <c r="N54" i="11"/>
  <c r="N92" i="11" s="1"/>
  <c r="N56" i="1"/>
  <c r="N55" i="1"/>
  <c r="N92" i="1"/>
  <c r="U30" i="12"/>
  <c r="U73" i="12" s="1"/>
  <c r="U73" i="8"/>
  <c r="K15" i="15"/>
  <c r="M17" i="15"/>
  <c r="L16" i="15"/>
  <c r="N18" i="15"/>
  <c r="J14" i="15"/>
  <c r="K161" i="6"/>
  <c r="K163" i="6" s="1"/>
  <c r="K157" i="6"/>
  <c r="K159" i="6" s="1"/>
  <c r="K133" i="6"/>
  <c r="K141" i="6" s="1"/>
  <c r="K135" i="6"/>
  <c r="K150" i="6" s="1"/>
  <c r="P65" i="11"/>
  <c r="P103" i="11" s="1"/>
  <c r="Q65" i="1"/>
  <c r="P103" i="1"/>
  <c r="M55" i="11"/>
  <c r="M93" i="11" s="1"/>
  <c r="M93" i="1"/>
  <c r="L274" i="1"/>
  <c r="L37" i="1"/>
  <c r="L270" i="1"/>
  <c r="L153" i="1"/>
  <c r="L157" i="1"/>
  <c r="M158" i="6"/>
  <c r="M162" i="6"/>
  <c r="M133" i="8"/>
  <c r="M129" i="8"/>
  <c r="M39" i="6"/>
  <c r="J20" i="15"/>
  <c r="L22" i="15"/>
  <c r="K21" i="15"/>
  <c r="M23" i="15"/>
  <c r="I19" i="15"/>
  <c r="Q73" i="11"/>
  <c r="Q196" i="1"/>
  <c r="Q166" i="11" s="1"/>
  <c r="P66" i="10"/>
  <c r="P107" i="10" s="1"/>
  <c r="Q66" i="6"/>
  <c r="P107" i="6"/>
  <c r="Q52" i="10"/>
  <c r="Q93" i="10" s="1"/>
  <c r="R52" i="6"/>
  <c r="Q93" i="6"/>
  <c r="N62" i="10"/>
  <c r="N103" i="10" s="1"/>
  <c r="N103" i="6"/>
  <c r="O79" i="10"/>
  <c r="O120" i="10" s="1"/>
  <c r="O76" i="6"/>
  <c r="O64" i="6"/>
  <c r="O63" i="6"/>
  <c r="O62" i="6"/>
  <c r="O61" i="6"/>
  <c r="P79" i="6"/>
  <c r="O120" i="6"/>
  <c r="J151" i="5"/>
  <c r="I156" i="5"/>
  <c r="P49" i="10"/>
  <c r="P90" i="10" s="1"/>
  <c r="P90" i="6"/>
  <c r="O10" i="11"/>
  <c r="O24" i="11" s="1"/>
  <c r="O24" i="1"/>
  <c r="N32" i="11"/>
  <c r="J151" i="14"/>
  <c r="I156" i="14"/>
  <c r="K156" i="1"/>
  <c r="K158" i="1" s="1"/>
  <c r="K152" i="1"/>
  <c r="K154" i="1" s="1"/>
  <c r="K122" i="1"/>
  <c r="K132" i="1" s="1"/>
  <c r="K124" i="1"/>
  <c r="K143" i="1" s="1"/>
  <c r="O27" i="15"/>
  <c r="P28" i="15"/>
  <c r="M25" i="15"/>
  <c r="N26" i="15"/>
  <c r="L24" i="15"/>
  <c r="D6" i="18"/>
  <c r="M41" i="12"/>
  <c r="M84" i="12" s="1"/>
  <c r="N41" i="8"/>
  <c r="M84" i="8"/>
  <c r="M96" i="8" s="1"/>
  <c r="O194" i="1"/>
  <c r="O71" i="11"/>
  <c r="O109" i="11" s="1"/>
  <c r="O118" i="11" s="1"/>
  <c r="P71" i="1"/>
  <c r="O54" i="1"/>
  <c r="O109" i="1"/>
  <c r="O118" i="1" s="1"/>
  <c r="I152" i="14"/>
  <c r="H157" i="14"/>
  <c r="V50" i="12"/>
  <c r="V92" i="12" s="1"/>
  <c r="V100" i="12" s="1"/>
  <c r="V30" i="8"/>
  <c r="V29" i="8"/>
  <c r="V92" i="8"/>
  <c r="V100" i="8" s="1"/>
  <c r="S54" i="10"/>
  <c r="S95" i="10" s="1"/>
  <c r="S95" i="6"/>
  <c r="T54" i="6"/>
  <c r="O9" i="11"/>
  <c r="O23" i="11" s="1"/>
  <c r="P9" i="1"/>
  <c r="O23" i="1"/>
  <c r="Q57" i="6"/>
  <c r="P57" i="10"/>
  <c r="P98" i="10" s="1"/>
  <c r="P98" i="6"/>
  <c r="P143" i="11"/>
  <c r="P181" i="11" s="1"/>
  <c r="P211" i="1"/>
  <c r="M56" i="11"/>
  <c r="M94" i="11" s="1"/>
  <c r="M94" i="1"/>
  <c r="P146" i="11"/>
  <c r="P184" i="11" s="1"/>
  <c r="Q176" i="1"/>
  <c r="P214" i="1"/>
  <c r="R74" i="11"/>
  <c r="R197" i="1"/>
  <c r="R167" i="11" s="1"/>
  <c r="M126" i="10"/>
  <c r="L148" i="11"/>
  <c r="L186" i="11" s="1"/>
  <c r="L207" i="11" s="1"/>
  <c r="L216" i="1"/>
  <c r="L237" i="1" s="1"/>
  <c r="N63" i="10"/>
  <c r="N104" i="10" s="1"/>
  <c r="N104" i="6"/>
  <c r="R70" i="6"/>
  <c r="Q70" i="10"/>
  <c r="Q111" i="10" s="1"/>
  <c r="Q49" i="6"/>
  <c r="Q111" i="6"/>
  <c r="M96" i="12"/>
  <c r="O11" i="11"/>
  <c r="O25" i="11" s="1"/>
  <c r="O25" i="1"/>
  <c r="N35" i="6"/>
  <c r="N38" i="6"/>
  <c r="J158" i="14"/>
  <c r="K153" i="14"/>
  <c r="O58" i="10"/>
  <c r="O99" i="10" s="1"/>
  <c r="P58" i="6"/>
  <c r="O99" i="6"/>
  <c r="F136" i="10"/>
  <c r="F142" i="10" s="1"/>
  <c r="F134" i="10"/>
  <c r="F139" i="10" s="1"/>
  <c r="I134" i="10"/>
  <c r="I139" i="10" s="1"/>
  <c r="I136" i="10"/>
  <c r="I142" i="10" s="1"/>
  <c r="N42" i="12"/>
  <c r="N85" i="12" s="1"/>
  <c r="O42" i="8"/>
  <c r="N85" i="8"/>
  <c r="O75" i="10"/>
  <c r="O116" i="10" s="1"/>
  <c r="P75" i="6"/>
  <c r="O116" i="6"/>
  <c r="K30" i="15"/>
  <c r="L31" i="15"/>
  <c r="M32" i="15"/>
  <c r="N33" i="15"/>
  <c r="J29" i="15"/>
  <c r="N164" i="11"/>
  <c r="N202" i="11" s="1"/>
  <c r="N211" i="11" s="1"/>
  <c r="N177" i="1"/>
  <c r="N232" i="1"/>
  <c r="N241" i="1" s="1"/>
  <c r="H134" i="10"/>
  <c r="H139" i="10" s="1"/>
  <c r="H136" i="10"/>
  <c r="H142" i="10" s="1"/>
  <c r="K136" i="10"/>
  <c r="K142" i="10" s="1"/>
  <c r="K134" i="10"/>
  <c r="K139" i="10" s="1"/>
  <c r="E136" i="10"/>
  <c r="E142" i="10" s="1"/>
  <c r="E134" i="10"/>
  <c r="E139" i="10" s="1"/>
  <c r="K122" i="11"/>
  <c r="K127" i="11" s="1"/>
  <c r="K124" i="11"/>
  <c r="K130" i="11" s="1"/>
  <c r="J215" i="11"/>
  <c r="J220" i="11" s="1"/>
  <c r="J217" i="11"/>
  <c r="J223" i="11" s="1"/>
  <c r="M114" i="11"/>
  <c r="P161" i="11"/>
  <c r="P199" i="11" s="1"/>
  <c r="Q191" i="1"/>
  <c r="P229" i="1"/>
  <c r="D134" i="10"/>
  <c r="D139" i="10" s="1"/>
  <c r="D136" i="10"/>
  <c r="D142" i="10" s="1"/>
  <c r="G136" i="10"/>
  <c r="G142" i="10" s="1"/>
  <c r="G134" i="10"/>
  <c r="G139" i="10" s="1"/>
  <c r="K104" i="12"/>
  <c r="K109" i="12" s="1"/>
  <c r="K106" i="12"/>
  <c r="K112" i="12" s="1"/>
  <c r="O158" i="11"/>
  <c r="O196" i="11" s="1"/>
  <c r="P188" i="1"/>
  <c r="O226" i="1"/>
  <c r="L161" i="6"/>
  <c r="L163" i="6" s="1"/>
  <c r="L157" i="6"/>
  <c r="L159" i="6" s="1"/>
  <c r="P59" i="10"/>
  <c r="P100" i="10" s="1"/>
  <c r="Q59" i="6"/>
  <c r="P100" i="6"/>
  <c r="O73" i="10"/>
  <c r="O114" i="10" s="1"/>
  <c r="P73" i="6"/>
  <c r="O114" i="6"/>
  <c r="O56" i="10"/>
  <c r="O97" i="10" s="1"/>
  <c r="P56" i="6"/>
  <c r="O97" i="6"/>
  <c r="O25" i="12"/>
  <c r="O68" i="12" s="1"/>
  <c r="O68" i="8"/>
  <c r="P25" i="8"/>
  <c r="K132" i="8"/>
  <c r="K134" i="8" s="1"/>
  <c r="K104" i="8"/>
  <c r="K112" i="8" s="1"/>
  <c r="K128" i="8"/>
  <c r="K130" i="8" s="1"/>
  <c r="K106" i="8"/>
  <c r="K121" i="8" s="1"/>
  <c r="C134" i="10"/>
  <c r="C139" i="10" s="1"/>
  <c r="C136" i="10"/>
  <c r="C142" i="10" s="1"/>
  <c r="J134" i="10"/>
  <c r="J139" i="10" s="1"/>
  <c r="J136" i="10"/>
  <c r="J142" i="10" s="1"/>
  <c r="L149" i="11"/>
  <c r="L187" i="11" s="1"/>
  <c r="L217" i="1"/>
  <c r="N64" i="10"/>
  <c r="N105" i="10" s="1"/>
  <c r="N126" i="10" s="1"/>
  <c r="N105" i="6"/>
  <c r="N125" i="6" s="1"/>
  <c r="J153" i="5"/>
  <c r="I158" i="5"/>
  <c r="S80" i="10"/>
  <c r="S121" i="10" s="1"/>
  <c r="T81" i="6"/>
  <c r="T80" i="6"/>
  <c r="S121" i="6"/>
  <c r="O83" i="10"/>
  <c r="O124" i="10" s="1"/>
  <c r="P83" i="6"/>
  <c r="O123" i="6"/>
  <c r="O14" i="11"/>
  <c r="O28" i="11" s="1"/>
  <c r="O28" i="1"/>
  <c r="O8" i="10"/>
  <c r="O23" i="10" s="1"/>
  <c r="O34" i="10" s="1"/>
  <c r="P8" i="6"/>
  <c r="O23" i="6"/>
  <c r="O34" i="6" s="1"/>
  <c r="N32" i="1"/>
  <c r="J273" i="1"/>
  <c r="J275" i="1" s="1"/>
  <c r="J269" i="1"/>
  <c r="J271" i="1" s="1"/>
  <c r="J247" i="1"/>
  <c r="J262" i="1" s="1"/>
  <c r="J245" i="1"/>
  <c r="J253" i="1" s="1"/>
  <c r="U29" i="12"/>
  <c r="U72" i="12" s="1"/>
  <c r="U72" i="8"/>
  <c r="M33" i="1"/>
  <c r="M36" i="1"/>
  <c r="I154" i="14"/>
  <c r="H159" i="14"/>
  <c r="P2" i="16"/>
  <c r="P35" i="15"/>
  <c r="Q50" i="11"/>
  <c r="Q88" i="11" s="1"/>
  <c r="Q173" i="1"/>
  <c r="R50" i="1"/>
  <c r="Q88" i="1"/>
  <c r="H157" i="5"/>
  <c r="I152" i="5"/>
  <c r="M114" i="1"/>
  <c r="Q72" i="11"/>
  <c r="Q195" i="1"/>
  <c r="Q165" i="11" s="1"/>
  <c r="S74" i="1"/>
  <c r="R73" i="1"/>
  <c r="R72" i="1"/>
  <c r="N129" i="10" l="1"/>
  <c r="N127" i="10"/>
  <c r="N133" i="10"/>
  <c r="N138" i="10" s="1"/>
  <c r="N135" i="10"/>
  <c r="N141" i="10" s="1"/>
  <c r="L240" i="1"/>
  <c r="L238" i="1"/>
  <c r="L244" i="1"/>
  <c r="L249" i="1" s="1"/>
  <c r="L246" i="1"/>
  <c r="L258" i="1" s="1"/>
  <c r="M97" i="8"/>
  <c r="M99" i="8"/>
  <c r="M103" i="8"/>
  <c r="M108" i="8" s="1"/>
  <c r="M105" i="8"/>
  <c r="M117" i="8" s="1"/>
  <c r="N128" i="6"/>
  <c r="N126" i="6"/>
  <c r="N132" i="6"/>
  <c r="N137" i="6" s="1"/>
  <c r="N134" i="6"/>
  <c r="N146" i="6" s="1"/>
  <c r="L210" i="11"/>
  <c r="L208" i="11"/>
  <c r="L216" i="11"/>
  <c r="L222" i="11" s="1"/>
  <c r="L214" i="11"/>
  <c r="L219" i="11" s="1"/>
  <c r="J152" i="5"/>
  <c r="I157" i="5"/>
  <c r="Q143" i="11"/>
  <c r="Q181" i="11" s="1"/>
  <c r="Q211" i="1"/>
  <c r="O35" i="6"/>
  <c r="O38" i="6"/>
  <c r="T81" i="10"/>
  <c r="U82" i="6"/>
  <c r="T122" i="6"/>
  <c r="Q25" i="8"/>
  <c r="P25" i="12"/>
  <c r="P68" i="12" s="1"/>
  <c r="P68" i="8"/>
  <c r="Q56" i="6"/>
  <c r="P56" i="10"/>
  <c r="P97" i="10" s="1"/>
  <c r="P97" i="6"/>
  <c r="P158" i="11"/>
  <c r="P196" i="11" s="1"/>
  <c r="Q188" i="1"/>
  <c r="P226" i="1"/>
  <c r="H25" i="15"/>
  <c r="J27" i="15"/>
  <c r="I26" i="15"/>
  <c r="K28" i="15"/>
  <c r="G24" i="15"/>
  <c r="N17" i="15"/>
  <c r="L15" i="15"/>
  <c r="O18" i="15"/>
  <c r="M16" i="15"/>
  <c r="K14" i="15"/>
  <c r="O42" i="12"/>
  <c r="O85" i="12" s="1"/>
  <c r="P42" i="8"/>
  <c r="O85" i="8"/>
  <c r="J28" i="15"/>
  <c r="I27" i="15"/>
  <c r="G25" i="15"/>
  <c r="H26" i="15"/>
  <c r="F24" i="15"/>
  <c r="N158" i="6"/>
  <c r="N162" i="6"/>
  <c r="N39" i="6"/>
  <c r="N133" i="8"/>
  <c r="N129" i="8"/>
  <c r="M129" i="10"/>
  <c r="M127" i="10"/>
  <c r="M135" i="10"/>
  <c r="M141" i="10" s="1"/>
  <c r="M133" i="10"/>
  <c r="M138" i="10" s="1"/>
  <c r="Q146" i="11"/>
  <c r="Q184" i="11" s="1"/>
  <c r="R176" i="1"/>
  <c r="Q214" i="1"/>
  <c r="P9" i="11"/>
  <c r="P23" i="11" s="1"/>
  <c r="Q9" i="1"/>
  <c r="P23" i="1"/>
  <c r="O54" i="11"/>
  <c r="O92" i="11" s="1"/>
  <c r="O56" i="1"/>
  <c r="O55" i="1"/>
  <c r="O92" i="1"/>
  <c r="J156" i="14"/>
  <c r="K151" i="14"/>
  <c r="P79" i="10"/>
  <c r="P120" i="10" s="1"/>
  <c r="P64" i="6"/>
  <c r="P63" i="6"/>
  <c r="P62" i="6"/>
  <c r="P61" i="6"/>
  <c r="Q79" i="6"/>
  <c r="P76" i="6"/>
  <c r="P120" i="6"/>
  <c r="O64" i="10"/>
  <c r="O105" i="10" s="1"/>
  <c r="O126" i="10" s="1"/>
  <c r="O105" i="6"/>
  <c r="O125" i="6" s="1"/>
  <c r="S53" i="10"/>
  <c r="S94" i="10" s="1"/>
  <c r="T53" i="6"/>
  <c r="S94" i="6"/>
  <c r="P11" i="11"/>
  <c r="P25" i="11" s="1"/>
  <c r="P25" i="1"/>
  <c r="L104" i="8"/>
  <c r="L112" i="8" s="1"/>
  <c r="L128" i="8"/>
  <c r="L130" i="8" s="1"/>
  <c r="L106" i="8"/>
  <c r="L121" i="8" s="1"/>
  <c r="E7" i="18" s="1"/>
  <c r="L132" i="8"/>
  <c r="L134" i="8" s="1"/>
  <c r="L156" i="1"/>
  <c r="L158" i="1" s="1"/>
  <c r="L152" i="1"/>
  <c r="L154" i="1" s="1"/>
  <c r="L122" i="1"/>
  <c r="L132" i="1" s="1"/>
  <c r="L124" i="1"/>
  <c r="L143" i="1" s="1"/>
  <c r="R72" i="11"/>
  <c r="R195" i="1"/>
  <c r="R165" i="11" s="1"/>
  <c r="T74" i="1"/>
  <c r="S73" i="1"/>
  <c r="S72" i="1"/>
  <c r="J154" i="14"/>
  <c r="I159" i="14"/>
  <c r="P8" i="10"/>
  <c r="P23" i="10" s="1"/>
  <c r="P34" i="10" s="1"/>
  <c r="Q8" i="6"/>
  <c r="P23" i="6"/>
  <c r="P34" i="6" s="1"/>
  <c r="M27" i="15"/>
  <c r="K25" i="15"/>
  <c r="L26" i="15"/>
  <c r="N28" i="15"/>
  <c r="J24" i="15"/>
  <c r="Q161" i="11"/>
  <c r="Q199" i="11" s="1"/>
  <c r="R191" i="1"/>
  <c r="Q229" i="1"/>
  <c r="G26" i="15"/>
  <c r="I28" i="15"/>
  <c r="F25" i="15"/>
  <c r="H27" i="15"/>
  <c r="E24" i="15"/>
  <c r="P75" i="10"/>
  <c r="P116" i="10" s="1"/>
  <c r="Q75" i="6"/>
  <c r="P116" i="6"/>
  <c r="L153" i="14"/>
  <c r="K158" i="14"/>
  <c r="M97" i="12"/>
  <c r="M99" i="12"/>
  <c r="M103" i="12"/>
  <c r="M108" i="12" s="1"/>
  <c r="M105" i="12"/>
  <c r="M111" i="12" s="1"/>
  <c r="R70" i="10"/>
  <c r="R111" i="10" s="1"/>
  <c r="R49" i="6"/>
  <c r="S70" i="6"/>
  <c r="R111" i="6"/>
  <c r="Q57" i="10"/>
  <c r="Q98" i="10" s="1"/>
  <c r="R57" i="6"/>
  <c r="Q98" i="6"/>
  <c r="P194" i="1"/>
  <c r="P71" i="11"/>
  <c r="P109" i="11" s="1"/>
  <c r="P118" i="11" s="1"/>
  <c r="Q71" i="1"/>
  <c r="P54" i="1"/>
  <c r="P109" i="1"/>
  <c r="P118" i="1" s="1"/>
  <c r="N41" i="12"/>
  <c r="N84" i="12" s="1"/>
  <c r="O41" i="8"/>
  <c r="N84" i="8"/>
  <c r="N96" i="8" s="1"/>
  <c r="N33" i="11"/>
  <c r="N37" i="11" s="1"/>
  <c r="N36" i="11"/>
  <c r="O61" i="10"/>
  <c r="O102" i="10" s="1"/>
  <c r="O102" i="6"/>
  <c r="O76" i="10"/>
  <c r="O117" i="10" s="1"/>
  <c r="O117" i="6"/>
  <c r="Q65" i="11"/>
  <c r="Q103" i="11" s="1"/>
  <c r="R65" i="1"/>
  <c r="Q103" i="1"/>
  <c r="N55" i="11"/>
  <c r="N93" i="11" s="1"/>
  <c r="N93" i="1"/>
  <c r="O32" i="1"/>
  <c r="P14" i="11"/>
  <c r="P28" i="11" s="1"/>
  <c r="P28" i="1"/>
  <c r="M148" i="11"/>
  <c r="M186" i="11" s="1"/>
  <c r="M216" i="1"/>
  <c r="M237" i="1" s="1"/>
  <c r="O64" i="8"/>
  <c r="O21" i="12"/>
  <c r="O64" i="12" s="1"/>
  <c r="P21" i="8"/>
  <c r="L104" i="12"/>
  <c r="L109" i="12" s="1"/>
  <c r="L106" i="12"/>
  <c r="L112" i="12" s="1"/>
  <c r="K269" i="1"/>
  <c r="K271" i="1" s="1"/>
  <c r="K273" i="1"/>
  <c r="K275" i="1" s="1"/>
  <c r="K247" i="1"/>
  <c r="K262" i="1" s="1"/>
  <c r="K245" i="1"/>
  <c r="K253" i="1" s="1"/>
  <c r="M161" i="6"/>
  <c r="M163" i="6" s="1"/>
  <c r="M157" i="6"/>
  <c r="M159" i="6" s="1"/>
  <c r="M133" i="6"/>
  <c r="M141" i="6" s="1"/>
  <c r="M135" i="6"/>
  <c r="M150" i="6" s="1"/>
  <c r="K217" i="11"/>
  <c r="K223" i="11" s="1"/>
  <c r="K215" i="11"/>
  <c r="K220" i="11" s="1"/>
  <c r="R73" i="11"/>
  <c r="R196" i="1"/>
  <c r="R166" i="11" s="1"/>
  <c r="O35" i="10"/>
  <c r="O39" i="10" s="1"/>
  <c r="O38" i="10"/>
  <c r="P83" i="10"/>
  <c r="P124" i="10" s="1"/>
  <c r="Q83" i="6"/>
  <c r="P123" i="6"/>
  <c r="Q59" i="10"/>
  <c r="Q100" i="10" s="1"/>
  <c r="R59" i="6"/>
  <c r="Q100" i="6"/>
  <c r="K20" i="15"/>
  <c r="M22" i="15"/>
  <c r="L21" i="15"/>
  <c r="N23" i="15"/>
  <c r="J19" i="15"/>
  <c r="J34" i="15" s="1"/>
  <c r="J26" i="15"/>
  <c r="K27" i="15"/>
  <c r="L28" i="15"/>
  <c r="I25" i="15"/>
  <c r="H24" i="15"/>
  <c r="N147" i="11"/>
  <c r="N185" i="11" s="1"/>
  <c r="N178" i="1"/>
  <c r="N179" i="1"/>
  <c r="N215" i="1"/>
  <c r="U54" i="6"/>
  <c r="T54" i="10"/>
  <c r="T95" i="10" s="1"/>
  <c r="T95" i="6"/>
  <c r="V29" i="12"/>
  <c r="V72" i="12" s="1"/>
  <c r="V72" i="8"/>
  <c r="J152" i="14"/>
  <c r="I157" i="14"/>
  <c r="K151" i="5"/>
  <c r="J156" i="5"/>
  <c r="O62" i="10"/>
  <c r="O103" i="10" s="1"/>
  <c r="O103" i="6"/>
  <c r="O130" i="10"/>
  <c r="Q66" i="10"/>
  <c r="Q107" i="10" s="1"/>
  <c r="R66" i="6"/>
  <c r="Q107" i="6"/>
  <c r="N56" i="11"/>
  <c r="N94" i="11" s="1"/>
  <c r="N94" i="1"/>
  <c r="N114" i="1" s="1"/>
  <c r="P8" i="11"/>
  <c r="P22" i="11" s="1"/>
  <c r="Q8" i="1"/>
  <c r="P22" i="1"/>
  <c r="Q17" i="11"/>
  <c r="Q31" i="11" s="1"/>
  <c r="Q34" i="11" s="1"/>
  <c r="R17" i="1"/>
  <c r="Q14" i="1"/>
  <c r="Q11" i="1"/>
  <c r="Q10" i="1"/>
  <c r="Q31" i="1"/>
  <c r="Q34" i="1" s="1"/>
  <c r="M149" i="11"/>
  <c r="M187" i="11" s="1"/>
  <c r="M217" i="1"/>
  <c r="N96" i="12"/>
  <c r="P74" i="10"/>
  <c r="P115" i="10" s="1"/>
  <c r="Q74" i="6"/>
  <c r="P115" i="6"/>
  <c r="L124" i="11"/>
  <c r="L130" i="11" s="1"/>
  <c r="L122" i="11"/>
  <c r="L127" i="11" s="1"/>
  <c r="S74" i="11"/>
  <c r="S197" i="1"/>
  <c r="S167" i="11" s="1"/>
  <c r="M117" i="1"/>
  <c r="M115" i="1"/>
  <c r="M123" i="1"/>
  <c r="M137" i="1" s="1"/>
  <c r="M121" i="1"/>
  <c r="M126" i="1" s="1"/>
  <c r="R50" i="11"/>
  <c r="R88" i="11" s="1"/>
  <c r="R173" i="1"/>
  <c r="S50" i="1"/>
  <c r="R88" i="1"/>
  <c r="Q2" i="16"/>
  <c r="Q35" i="15"/>
  <c r="M157" i="1"/>
  <c r="M153" i="1"/>
  <c r="M274" i="1"/>
  <c r="M37" i="1"/>
  <c r="M270" i="1"/>
  <c r="N33" i="1"/>
  <c r="N36" i="1"/>
  <c r="T80" i="10"/>
  <c r="T121" i="10" s="1"/>
  <c r="U80" i="6"/>
  <c r="U81" i="6"/>
  <c r="T121" i="6"/>
  <c r="K153" i="5"/>
  <c r="J158" i="5"/>
  <c r="D25" i="15"/>
  <c r="F27" i="15"/>
  <c r="F34" i="15" s="1"/>
  <c r="G28" i="15"/>
  <c r="E26" i="15"/>
  <c r="C24" i="15"/>
  <c r="C34" i="15" s="1"/>
  <c r="P73" i="10"/>
  <c r="P114" i="10" s="1"/>
  <c r="Q73" i="6"/>
  <c r="P114" i="6"/>
  <c r="O33" i="15"/>
  <c r="L30" i="15"/>
  <c r="N32" i="15"/>
  <c r="M31" i="15"/>
  <c r="K29" i="15"/>
  <c r="E25" i="15"/>
  <c r="F26" i="15"/>
  <c r="H28" i="15"/>
  <c r="G27" i="15"/>
  <c r="D24" i="15"/>
  <c r="M117" i="11"/>
  <c r="M115" i="11"/>
  <c r="M123" i="11"/>
  <c r="M129" i="11" s="1"/>
  <c r="M121" i="11"/>
  <c r="M126" i="11" s="1"/>
  <c r="M26" i="15"/>
  <c r="L25" i="15"/>
  <c r="N27" i="15"/>
  <c r="O28" i="15"/>
  <c r="K24" i="15"/>
  <c r="M28" i="15"/>
  <c r="J25" i="15"/>
  <c r="K26" i="15"/>
  <c r="L27" i="15"/>
  <c r="I24" i="15"/>
  <c r="P58" i="10"/>
  <c r="P99" i="10" s="1"/>
  <c r="Q58" i="6"/>
  <c r="P99" i="6"/>
  <c r="Q49" i="10"/>
  <c r="Q90" i="10" s="1"/>
  <c r="Q90" i="6"/>
  <c r="V30" i="12"/>
  <c r="V73" i="12" s="1"/>
  <c r="V73" i="8"/>
  <c r="O164" i="11"/>
  <c r="O202" i="11" s="1"/>
  <c r="O211" i="11" s="1"/>
  <c r="O177" i="1"/>
  <c r="O232" i="1"/>
  <c r="O241" i="1" s="1"/>
  <c r="O129" i="6"/>
  <c r="O63" i="10"/>
  <c r="O104" i="10" s="1"/>
  <c r="O104" i="6"/>
  <c r="R52" i="10"/>
  <c r="R93" i="10" s="1"/>
  <c r="S52" i="6"/>
  <c r="R93" i="6"/>
  <c r="N114" i="11"/>
  <c r="R65" i="10"/>
  <c r="R106" i="10" s="1"/>
  <c r="S65" i="6"/>
  <c r="R106" i="6"/>
  <c r="O32" i="11"/>
  <c r="P10" i="11"/>
  <c r="P24" i="11" s="1"/>
  <c r="P24" i="1"/>
  <c r="P72" i="10"/>
  <c r="P113" i="10" s="1"/>
  <c r="Q72" i="6"/>
  <c r="P113" i="6"/>
  <c r="T82" i="10"/>
  <c r="S122" i="10"/>
  <c r="M207" i="11"/>
  <c r="J154" i="5"/>
  <c r="I159" i="5"/>
  <c r="Q60" i="6"/>
  <c r="P60" i="10"/>
  <c r="P101" i="10" s="1"/>
  <c r="P101" i="6"/>
  <c r="N117" i="1" l="1"/>
  <c r="N115" i="1"/>
  <c r="N121" i="1"/>
  <c r="N126" i="1" s="1"/>
  <c r="N123" i="1"/>
  <c r="N137" i="1" s="1"/>
  <c r="M240" i="1"/>
  <c r="M238" i="1"/>
  <c r="M244" i="1"/>
  <c r="M249" i="1" s="1"/>
  <c r="M246" i="1"/>
  <c r="M258" i="1" s="1"/>
  <c r="N97" i="8"/>
  <c r="N99" i="8"/>
  <c r="N103" i="8"/>
  <c r="N108" i="8" s="1"/>
  <c r="N105" i="8"/>
  <c r="N117" i="8" s="1"/>
  <c r="O128" i="6"/>
  <c r="O126" i="6"/>
  <c r="O129" i="10"/>
  <c r="O127" i="10"/>
  <c r="N43" i="17"/>
  <c r="N5" i="17"/>
  <c r="J43" i="15"/>
  <c r="O33" i="11"/>
  <c r="O37" i="11" s="1"/>
  <c r="O36" i="11"/>
  <c r="Q60" i="10"/>
  <c r="Q101" i="10" s="1"/>
  <c r="R60" i="6"/>
  <c r="Q101" i="6"/>
  <c r="Q73" i="10"/>
  <c r="Q114" i="10" s="1"/>
  <c r="R73" i="6"/>
  <c r="Q114" i="6"/>
  <c r="G34" i="15"/>
  <c r="L153" i="5"/>
  <c r="K158" i="5"/>
  <c r="R143" i="11"/>
  <c r="R181" i="11" s="1"/>
  <c r="R211" i="1"/>
  <c r="M156" i="1"/>
  <c r="M158" i="1" s="1"/>
  <c r="M152" i="1"/>
  <c r="M154" i="1" s="1"/>
  <c r="M124" i="1"/>
  <c r="M143" i="1" s="1"/>
  <c r="M122" i="1"/>
  <c r="M132" i="1" s="1"/>
  <c r="Q74" i="10"/>
  <c r="Q115" i="10" s="1"/>
  <c r="R74" i="6"/>
  <c r="Q115" i="6"/>
  <c r="Q14" i="11"/>
  <c r="Q28" i="11" s="1"/>
  <c r="Q28" i="1"/>
  <c r="U54" i="10"/>
  <c r="U95" i="10" s="1"/>
  <c r="U95" i="6"/>
  <c r="V54" i="6"/>
  <c r="Q83" i="10"/>
  <c r="Q124" i="10" s="1"/>
  <c r="R83" i="6"/>
  <c r="Q123" i="6"/>
  <c r="O96" i="12"/>
  <c r="O41" i="12"/>
  <c r="O84" i="12" s="1"/>
  <c r="P41" i="8"/>
  <c r="O84" i="8"/>
  <c r="Q71" i="11"/>
  <c r="Q109" i="11" s="1"/>
  <c r="Q118" i="11" s="1"/>
  <c r="Q194" i="1"/>
  <c r="R71" i="1"/>
  <c r="Q54" i="1"/>
  <c r="Q109" i="1"/>
  <c r="Q118" i="1" s="1"/>
  <c r="I34" i="15"/>
  <c r="P35" i="10"/>
  <c r="P39" i="10" s="1"/>
  <c r="P38" i="10"/>
  <c r="S72" i="11"/>
  <c r="S195" i="1"/>
  <c r="S165" i="11" s="1"/>
  <c r="U74" i="1"/>
  <c r="T73" i="1"/>
  <c r="T72" i="1"/>
  <c r="P76" i="10"/>
  <c r="P117" i="10" s="1"/>
  <c r="P117" i="6"/>
  <c r="P63" i="10"/>
  <c r="P104" i="10" s="1"/>
  <c r="P104" i="6"/>
  <c r="L151" i="14"/>
  <c r="K156" i="14"/>
  <c r="O56" i="11"/>
  <c r="O94" i="11" s="1"/>
  <c r="O94" i="1"/>
  <c r="Q25" i="12"/>
  <c r="Q68" i="12" s="1"/>
  <c r="Q68" i="8"/>
  <c r="R25" i="8"/>
  <c r="Q58" i="10"/>
  <c r="Q99" i="10" s="1"/>
  <c r="R58" i="6"/>
  <c r="Q99" i="6"/>
  <c r="J43" i="17"/>
  <c r="J5" i="17"/>
  <c r="F43" i="15"/>
  <c r="R2" i="16"/>
  <c r="R35" i="15"/>
  <c r="O17" i="15"/>
  <c r="M15" i="15"/>
  <c r="N16" i="15"/>
  <c r="P18" i="15"/>
  <c r="L14" i="15"/>
  <c r="R17" i="11"/>
  <c r="R31" i="11" s="1"/>
  <c r="R34" i="11" s="1"/>
  <c r="S17" i="1"/>
  <c r="R14" i="1"/>
  <c r="R11" i="1"/>
  <c r="R10" i="1"/>
  <c r="R31" i="1"/>
  <c r="R34" i="1" s="1"/>
  <c r="P32" i="1"/>
  <c r="O136" i="10"/>
  <c r="O142" i="10" s="1"/>
  <c r="O135" i="10"/>
  <c r="O141" i="10" s="1"/>
  <c r="O134" i="10"/>
  <c r="O139" i="10" s="1"/>
  <c r="O133" i="10"/>
  <c r="O138" i="10" s="1"/>
  <c r="L151" i="5"/>
  <c r="K156" i="5"/>
  <c r="H34" i="15"/>
  <c r="R59" i="10"/>
  <c r="R100" i="10" s="1"/>
  <c r="S59" i="6"/>
  <c r="R100" i="6"/>
  <c r="O96" i="8"/>
  <c r="S70" i="10"/>
  <c r="S111" i="10" s="1"/>
  <c r="S49" i="6"/>
  <c r="T70" i="6"/>
  <c r="S111" i="6"/>
  <c r="M153" i="14"/>
  <c r="L158" i="14"/>
  <c r="S196" i="1"/>
  <c r="S166" i="11" s="1"/>
  <c r="S73" i="11"/>
  <c r="Q79" i="10"/>
  <c r="Q120" i="10" s="1"/>
  <c r="Q130" i="10" s="1"/>
  <c r="Q64" i="6"/>
  <c r="Q63" i="6"/>
  <c r="Q62" i="6"/>
  <c r="Q61" i="6"/>
  <c r="R79" i="6"/>
  <c r="Q76" i="6"/>
  <c r="Q120" i="6"/>
  <c r="Q129" i="6" s="1"/>
  <c r="P64" i="10"/>
  <c r="P105" i="10" s="1"/>
  <c r="P126" i="10" s="1"/>
  <c r="P105" i="6"/>
  <c r="P125" i="6" s="1"/>
  <c r="Q158" i="11"/>
  <c r="Q196" i="11" s="1"/>
  <c r="R188" i="1"/>
  <c r="Q226" i="1"/>
  <c r="Q56" i="10"/>
  <c r="Q97" i="10" s="1"/>
  <c r="R56" i="6"/>
  <c r="Q97" i="6"/>
  <c r="O162" i="6"/>
  <c r="O158" i="6"/>
  <c r="O133" i="8"/>
  <c r="O129" i="8"/>
  <c r="O39" i="6"/>
  <c r="K152" i="5"/>
  <c r="J157" i="5"/>
  <c r="L217" i="11"/>
  <c r="L223" i="11" s="1"/>
  <c r="L215" i="11"/>
  <c r="L220" i="11" s="1"/>
  <c r="N117" i="11"/>
  <c r="N115" i="11"/>
  <c r="N121" i="11"/>
  <c r="N126" i="11" s="1"/>
  <c r="N123" i="11"/>
  <c r="N129" i="11" s="1"/>
  <c r="O147" i="11"/>
  <c r="O185" i="11" s="1"/>
  <c r="O178" i="1"/>
  <c r="O179" i="1"/>
  <c r="O215" i="1"/>
  <c r="G43" i="17"/>
  <c r="G5" i="17"/>
  <c r="C43" i="15"/>
  <c r="D34" i="15"/>
  <c r="U81" i="10"/>
  <c r="V82" i="6"/>
  <c r="U122" i="6"/>
  <c r="N274" i="1"/>
  <c r="N270" i="1"/>
  <c r="N153" i="1"/>
  <c r="N157" i="1"/>
  <c r="N37" i="1"/>
  <c r="N97" i="12"/>
  <c r="N99" i="12"/>
  <c r="N103" i="12"/>
  <c r="N108" i="12" s="1"/>
  <c r="N105" i="12"/>
  <c r="N111" i="12" s="1"/>
  <c r="Q10" i="11"/>
  <c r="Q24" i="11" s="1"/>
  <c r="Q24" i="1"/>
  <c r="Q8" i="11"/>
  <c r="Q22" i="11" s="1"/>
  <c r="R8" i="1"/>
  <c r="Q22" i="1"/>
  <c r="N149" i="11"/>
  <c r="N187" i="11" s="1"/>
  <c r="N217" i="1"/>
  <c r="O32" i="15"/>
  <c r="M30" i="15"/>
  <c r="N31" i="15"/>
  <c r="P33" i="15"/>
  <c r="L29" i="15"/>
  <c r="O33" i="1"/>
  <c r="O36" i="1"/>
  <c r="P164" i="11"/>
  <c r="P202" i="11" s="1"/>
  <c r="P211" i="11" s="1"/>
  <c r="P177" i="1"/>
  <c r="P232" i="1"/>
  <c r="P241" i="1" s="1"/>
  <c r="R57" i="10"/>
  <c r="R98" i="10" s="1"/>
  <c r="S57" i="6"/>
  <c r="R98" i="6"/>
  <c r="R49" i="10"/>
  <c r="R90" i="10" s="1"/>
  <c r="R90" i="6"/>
  <c r="P35" i="6"/>
  <c r="P38" i="6"/>
  <c r="J159" i="14"/>
  <c r="K154" i="14"/>
  <c r="T74" i="11"/>
  <c r="T197" i="1"/>
  <c r="T167" i="11" s="1"/>
  <c r="E5" i="18"/>
  <c r="T53" i="10"/>
  <c r="T94" i="10" s="1"/>
  <c r="U53" i="6"/>
  <c r="T94" i="6"/>
  <c r="P61" i="10"/>
  <c r="P102" i="10" s="1"/>
  <c r="P102" i="6"/>
  <c r="P130" i="10"/>
  <c r="R146" i="11"/>
  <c r="R184" i="11" s="1"/>
  <c r="S176" i="1"/>
  <c r="R214" i="1"/>
  <c r="M136" i="10"/>
  <c r="M142" i="10" s="1"/>
  <c r="M134" i="10"/>
  <c r="M139" i="10" s="1"/>
  <c r="N157" i="6"/>
  <c r="N159" i="6" s="1"/>
  <c r="N161" i="6"/>
  <c r="N163" i="6" s="1"/>
  <c r="N133" i="6"/>
  <c r="N141" i="6" s="1"/>
  <c r="N135" i="6"/>
  <c r="N150" i="6" s="1"/>
  <c r="L273" i="1"/>
  <c r="L275" i="1" s="1"/>
  <c r="L269" i="1"/>
  <c r="L271" i="1" s="1"/>
  <c r="L247" i="1"/>
  <c r="L262" i="1" s="1"/>
  <c r="E4" i="18" s="1"/>
  <c r="L245" i="1"/>
  <c r="L253" i="1" s="1"/>
  <c r="N134" i="10"/>
  <c r="N139" i="10" s="1"/>
  <c r="N136" i="10"/>
  <c r="N142" i="10" s="1"/>
  <c r="K154" i="5"/>
  <c r="J159" i="5"/>
  <c r="M210" i="11"/>
  <c r="M208" i="11"/>
  <c r="M214" i="11"/>
  <c r="M219" i="11" s="1"/>
  <c r="M216" i="11"/>
  <c r="M222" i="11" s="1"/>
  <c r="Q72" i="10"/>
  <c r="Q113" i="10" s="1"/>
  <c r="R72" i="6"/>
  <c r="Q113" i="6"/>
  <c r="S65" i="10"/>
  <c r="S106" i="10" s="1"/>
  <c r="T65" i="6"/>
  <c r="S106" i="6"/>
  <c r="S52" i="10"/>
  <c r="S93" i="10" s="1"/>
  <c r="T52" i="6"/>
  <c r="S93" i="6"/>
  <c r="O135" i="6"/>
  <c r="O150" i="6" s="1"/>
  <c r="O134" i="6"/>
  <c r="O146" i="6" s="1"/>
  <c r="O133" i="6"/>
  <c r="O141" i="6" s="1"/>
  <c r="O132" i="6"/>
  <c r="O137" i="6" s="1"/>
  <c r="M122" i="11"/>
  <c r="M127" i="11" s="1"/>
  <c r="M124" i="11"/>
  <c r="M130" i="11" s="1"/>
  <c r="E34" i="15"/>
  <c r="U80" i="10"/>
  <c r="U121" i="10" s="1"/>
  <c r="V81" i="6"/>
  <c r="V80" i="6"/>
  <c r="U121" i="6"/>
  <c r="S50" i="11"/>
  <c r="S88" i="11" s="1"/>
  <c r="S173" i="1"/>
  <c r="S88" i="1"/>
  <c r="T50" i="1"/>
  <c r="Q11" i="11"/>
  <c r="Q25" i="11" s="1"/>
  <c r="Q25" i="1"/>
  <c r="P32" i="11"/>
  <c r="R66" i="10"/>
  <c r="R107" i="10" s="1"/>
  <c r="S66" i="6"/>
  <c r="R107" i="6"/>
  <c r="J157" i="14"/>
  <c r="K152" i="14"/>
  <c r="N148" i="11"/>
  <c r="N186" i="11" s="1"/>
  <c r="N207" i="11" s="1"/>
  <c r="N216" i="1"/>
  <c r="N237" i="1" s="1"/>
  <c r="O23" i="15"/>
  <c r="L20" i="15"/>
  <c r="N22" i="15"/>
  <c r="M21" i="15"/>
  <c r="K19" i="15"/>
  <c r="K34" i="15" s="1"/>
  <c r="P21" i="12"/>
  <c r="P64" i="12" s="1"/>
  <c r="P64" i="8"/>
  <c r="Q21" i="8"/>
  <c r="R65" i="11"/>
  <c r="R103" i="11" s="1"/>
  <c r="S65" i="1"/>
  <c r="R103" i="1"/>
  <c r="P54" i="11"/>
  <c r="P92" i="11" s="1"/>
  <c r="P56" i="1"/>
  <c r="P55" i="1"/>
  <c r="P92" i="1"/>
  <c r="M104" i="12"/>
  <c r="M109" i="12" s="1"/>
  <c r="M106" i="12"/>
  <c r="M112" i="12" s="1"/>
  <c r="Q75" i="10"/>
  <c r="Q116" i="10" s="1"/>
  <c r="R75" i="6"/>
  <c r="Q116" i="6"/>
  <c r="R161" i="11"/>
  <c r="R199" i="11" s="1"/>
  <c r="S191" i="1"/>
  <c r="R229" i="1"/>
  <c r="Q8" i="10"/>
  <c r="Q23" i="10" s="1"/>
  <c r="Q34" i="10" s="1"/>
  <c r="R8" i="6"/>
  <c r="Q23" i="6"/>
  <c r="Q34" i="6" s="1"/>
  <c r="P129" i="6"/>
  <c r="P62" i="10"/>
  <c r="P103" i="10" s="1"/>
  <c r="P103" i="6"/>
  <c r="O55" i="11"/>
  <c r="O93" i="11" s="1"/>
  <c r="O114" i="11" s="1"/>
  <c r="O93" i="1"/>
  <c r="O114" i="1" s="1"/>
  <c r="Q9" i="11"/>
  <c r="Q23" i="11" s="1"/>
  <c r="R9" i="1"/>
  <c r="Q23" i="1"/>
  <c r="P42" i="12"/>
  <c r="P85" i="12" s="1"/>
  <c r="Q42" i="8"/>
  <c r="P85" i="8"/>
  <c r="U82" i="10"/>
  <c r="T122" i="10"/>
  <c r="M132" i="8"/>
  <c r="M134" i="8" s="1"/>
  <c r="M104" i="8"/>
  <c r="M112" i="8" s="1"/>
  <c r="M128" i="8"/>
  <c r="M130" i="8" s="1"/>
  <c r="M106" i="8"/>
  <c r="M121" i="8" s="1"/>
  <c r="O117" i="1" l="1"/>
  <c r="O115" i="1"/>
  <c r="O123" i="1"/>
  <c r="O137" i="1" s="1"/>
  <c r="O121" i="1"/>
  <c r="O126" i="1" s="1"/>
  <c r="N210" i="11"/>
  <c r="N208" i="11"/>
  <c r="N216" i="11"/>
  <c r="N222" i="11" s="1"/>
  <c r="N214" i="11"/>
  <c r="N219" i="11" s="1"/>
  <c r="P128" i="6"/>
  <c r="P126" i="6"/>
  <c r="O117" i="11"/>
  <c r="O115" i="11"/>
  <c r="O121" i="11"/>
  <c r="O126" i="11" s="1"/>
  <c r="O123" i="11"/>
  <c r="O129" i="11" s="1"/>
  <c r="P129" i="10"/>
  <c r="P127" i="10"/>
  <c r="O43" i="17"/>
  <c r="O5" i="17"/>
  <c r="K43" i="15"/>
  <c r="N240" i="1"/>
  <c r="N238" i="1"/>
  <c r="N246" i="1"/>
  <c r="N258" i="1" s="1"/>
  <c r="N244" i="1"/>
  <c r="N249" i="1" s="1"/>
  <c r="Q35" i="6"/>
  <c r="Q38" i="6"/>
  <c r="S161" i="11"/>
  <c r="S199" i="11" s="1"/>
  <c r="T191" i="1"/>
  <c r="S229" i="1"/>
  <c r="P55" i="11"/>
  <c r="P93" i="11" s="1"/>
  <c r="P93" i="1"/>
  <c r="S65" i="11"/>
  <c r="S103" i="11" s="1"/>
  <c r="T65" i="1"/>
  <c r="S103" i="1"/>
  <c r="L152" i="14"/>
  <c r="K157" i="14"/>
  <c r="T173" i="1"/>
  <c r="T50" i="11"/>
  <c r="T88" i="11" s="1"/>
  <c r="U50" i="1"/>
  <c r="T88" i="1"/>
  <c r="I43" i="17"/>
  <c r="I5" i="17"/>
  <c r="E43" i="15"/>
  <c r="T65" i="10"/>
  <c r="T106" i="10" s="1"/>
  <c r="U65" i="6"/>
  <c r="T106" i="6"/>
  <c r="Q27" i="15"/>
  <c r="O25" i="15"/>
  <c r="P26" i="15"/>
  <c r="R28" i="15"/>
  <c r="N24" i="15"/>
  <c r="P136" i="10"/>
  <c r="P142" i="10" s="1"/>
  <c r="P135" i="10"/>
  <c r="P141" i="10" s="1"/>
  <c r="P134" i="10"/>
  <c r="P139" i="10" s="1"/>
  <c r="P133" i="10"/>
  <c r="P138" i="10" s="1"/>
  <c r="U53" i="10"/>
  <c r="U94" i="10" s="1"/>
  <c r="U94" i="6"/>
  <c r="V53" i="6"/>
  <c r="O274" i="1"/>
  <c r="O37" i="1"/>
  <c r="O270" i="1"/>
  <c r="O157" i="1"/>
  <c r="O153" i="1"/>
  <c r="V82" i="10"/>
  <c r="U122" i="10"/>
  <c r="G66" i="17"/>
  <c r="G65" i="17"/>
  <c r="G64" i="17"/>
  <c r="G63" i="17"/>
  <c r="J49" i="17"/>
  <c r="J62" i="17" s="1"/>
  <c r="H47" i="17"/>
  <c r="H60" i="17" s="1"/>
  <c r="I48" i="17"/>
  <c r="I61" i="17" s="1"/>
  <c r="O149" i="11"/>
  <c r="O187" i="11" s="1"/>
  <c r="O217" i="1"/>
  <c r="R56" i="10"/>
  <c r="R97" i="10" s="1"/>
  <c r="S56" i="6"/>
  <c r="R97" i="6"/>
  <c r="Q61" i="10"/>
  <c r="Q102" i="10" s="1"/>
  <c r="Q102" i="6"/>
  <c r="S49" i="10"/>
  <c r="S90" i="10" s="1"/>
  <c r="S90" i="6"/>
  <c r="L43" i="17"/>
  <c r="L5" i="17"/>
  <c r="H43" i="15"/>
  <c r="P33" i="1"/>
  <c r="P36" i="1"/>
  <c r="R14" i="11"/>
  <c r="R28" i="11" s="1"/>
  <c r="R28" i="1"/>
  <c r="S2" i="16"/>
  <c r="S35" i="15"/>
  <c r="R25" i="12"/>
  <c r="R68" i="12" s="1"/>
  <c r="S25" i="8"/>
  <c r="R68" i="8"/>
  <c r="T196" i="1"/>
  <c r="T166" i="11" s="1"/>
  <c r="T73" i="11"/>
  <c r="O99" i="12"/>
  <c r="O97" i="12"/>
  <c r="O103" i="12"/>
  <c r="O108" i="12" s="1"/>
  <c r="O105" i="12"/>
  <c r="O111" i="12" s="1"/>
  <c r="S74" i="6"/>
  <c r="R74" i="10"/>
  <c r="R115" i="10" s="1"/>
  <c r="R115" i="6"/>
  <c r="S73" i="6"/>
  <c r="R73" i="10"/>
  <c r="R114" i="10" s="1"/>
  <c r="R114" i="6"/>
  <c r="Q11" i="17"/>
  <c r="Q24" i="17" s="1"/>
  <c r="O9" i="17"/>
  <c r="O22" i="17" s="1"/>
  <c r="N27" i="17"/>
  <c r="N25" i="17"/>
  <c r="N28" i="17"/>
  <c r="N26" i="17"/>
  <c r="N7" i="17"/>
  <c r="N20" i="17" s="1"/>
  <c r="P10" i="17"/>
  <c r="P23" i="17" s="1"/>
  <c r="N6" i="17"/>
  <c r="N19" i="17" s="1"/>
  <c r="N8" i="17"/>
  <c r="N21" i="17" s="1"/>
  <c r="R9" i="11"/>
  <c r="R23" i="11" s="1"/>
  <c r="S9" i="1"/>
  <c r="R23" i="1"/>
  <c r="R8" i="10"/>
  <c r="R23" i="10" s="1"/>
  <c r="R34" i="10" s="1"/>
  <c r="S8" i="6"/>
  <c r="R23" i="6"/>
  <c r="R34" i="6" s="1"/>
  <c r="P56" i="11"/>
  <c r="P94" i="11" s="1"/>
  <c r="P94" i="1"/>
  <c r="P33" i="11"/>
  <c r="P37" i="11" s="1"/>
  <c r="P36" i="11"/>
  <c r="V80" i="10"/>
  <c r="V121" i="10" s="1"/>
  <c r="V121" i="6"/>
  <c r="T52" i="10"/>
  <c r="T93" i="10" s="1"/>
  <c r="U52" i="6"/>
  <c r="T93" i="6"/>
  <c r="S146" i="11"/>
  <c r="S184" i="11" s="1"/>
  <c r="T176" i="1"/>
  <c r="S214" i="1"/>
  <c r="P162" i="6"/>
  <c r="P158" i="6"/>
  <c r="P129" i="8"/>
  <c r="P133" i="8"/>
  <c r="P39" i="6"/>
  <c r="P147" i="11"/>
  <c r="P185" i="11" s="1"/>
  <c r="P179" i="1"/>
  <c r="P178" i="1"/>
  <c r="P215" i="1"/>
  <c r="Q32" i="1"/>
  <c r="H43" i="17"/>
  <c r="H5" i="17"/>
  <c r="D43" i="15"/>
  <c r="O148" i="11"/>
  <c r="O186" i="11" s="1"/>
  <c r="O216" i="1"/>
  <c r="N122" i="11"/>
  <c r="N127" i="11" s="1"/>
  <c r="N124" i="11"/>
  <c r="N130" i="11" s="1"/>
  <c r="L152" i="5"/>
  <c r="K157" i="5"/>
  <c r="Q62" i="10"/>
  <c r="Q103" i="10" s="1"/>
  <c r="Q103" i="6"/>
  <c r="N153" i="14"/>
  <c r="M158" i="14"/>
  <c r="P25" i="15"/>
  <c r="R27" i="15"/>
  <c r="S28" i="15"/>
  <c r="Q26" i="15"/>
  <c r="O24" i="15"/>
  <c r="S17" i="11"/>
  <c r="S31" i="11" s="1"/>
  <c r="S34" i="11" s="1"/>
  <c r="T17" i="1"/>
  <c r="S14" i="1"/>
  <c r="S11" i="1"/>
  <c r="S10" i="1"/>
  <c r="S31" i="1"/>
  <c r="S34" i="1" s="1"/>
  <c r="J18" i="17"/>
  <c r="F44" i="15"/>
  <c r="J56" i="17" s="1"/>
  <c r="R58" i="10"/>
  <c r="R99" i="10" s="1"/>
  <c r="S58" i="6"/>
  <c r="R99" i="6"/>
  <c r="U74" i="11"/>
  <c r="U197" i="1"/>
  <c r="U167" i="11" s="1"/>
  <c r="Q54" i="11"/>
  <c r="Q92" i="11" s="1"/>
  <c r="Q56" i="1"/>
  <c r="Q55" i="1"/>
  <c r="Q92" i="1"/>
  <c r="L158" i="5"/>
  <c r="M153" i="5"/>
  <c r="P48" i="17"/>
  <c r="P61" i="17" s="1"/>
  <c r="N66" i="17"/>
  <c r="N65" i="17"/>
  <c r="N64" i="17"/>
  <c r="N63" i="17"/>
  <c r="Q49" i="17"/>
  <c r="Q62" i="17" s="1"/>
  <c r="O47" i="17"/>
  <c r="O60" i="17" s="1"/>
  <c r="N44" i="17"/>
  <c r="Q42" i="12"/>
  <c r="Q85" i="12" s="1"/>
  <c r="R42" i="8"/>
  <c r="Q85" i="8"/>
  <c r="Q35" i="10"/>
  <c r="Q39" i="10" s="1"/>
  <c r="Q38" i="10"/>
  <c r="O31" i="15"/>
  <c r="N30" i="15"/>
  <c r="Q33" i="15"/>
  <c r="P32" i="15"/>
  <c r="M29" i="15"/>
  <c r="P114" i="11"/>
  <c r="Q21" i="12"/>
  <c r="Q64" i="12" s="1"/>
  <c r="Q64" i="8"/>
  <c r="R21" i="8"/>
  <c r="S143" i="11"/>
  <c r="S181" i="11" s="1"/>
  <c r="S211" i="1"/>
  <c r="V81" i="10"/>
  <c r="V122" i="10" s="1"/>
  <c r="V122" i="6"/>
  <c r="P17" i="15"/>
  <c r="N15" i="15"/>
  <c r="O16" i="15"/>
  <c r="Q18" i="15"/>
  <c r="M14" i="15"/>
  <c r="L154" i="5"/>
  <c r="K159" i="5"/>
  <c r="N25" i="15"/>
  <c r="O26" i="15"/>
  <c r="P27" i="15"/>
  <c r="Q28" i="15"/>
  <c r="M24" i="15"/>
  <c r="L154" i="14"/>
  <c r="K159" i="14"/>
  <c r="S57" i="10"/>
  <c r="S98" i="10" s="1"/>
  <c r="T57" i="6"/>
  <c r="S98" i="6"/>
  <c r="R8" i="11"/>
  <c r="R22" i="11" s="1"/>
  <c r="S8" i="1"/>
  <c r="R22" i="1"/>
  <c r="G18" i="17"/>
  <c r="C44" i="15"/>
  <c r="O207" i="11"/>
  <c r="O22" i="15"/>
  <c r="P23" i="15"/>
  <c r="N21" i="15"/>
  <c r="M20" i="15"/>
  <c r="L19" i="15"/>
  <c r="L34" i="15" s="1"/>
  <c r="Q76" i="10"/>
  <c r="Q117" i="10" s="1"/>
  <c r="Q117" i="6"/>
  <c r="Q63" i="10"/>
  <c r="Q104" i="10" s="1"/>
  <c r="Q104" i="6"/>
  <c r="O97" i="8"/>
  <c r="O99" i="8"/>
  <c r="O103" i="8"/>
  <c r="O108" i="8" s="1"/>
  <c r="O105" i="8"/>
  <c r="O117" i="8" s="1"/>
  <c r="S59" i="10"/>
  <c r="S100" i="10" s="1"/>
  <c r="T59" i="6"/>
  <c r="S100" i="6"/>
  <c r="R10" i="11"/>
  <c r="R24" i="11" s="1"/>
  <c r="R24" i="1"/>
  <c r="M11" i="17"/>
  <c r="M24" i="17" s="1"/>
  <c r="J28" i="17"/>
  <c r="J27" i="17"/>
  <c r="J26" i="17"/>
  <c r="J25" i="17"/>
  <c r="K9" i="17"/>
  <c r="K22" i="17" s="1"/>
  <c r="L10" i="17"/>
  <c r="L23" i="17" s="1"/>
  <c r="J7" i="17"/>
  <c r="J20" i="17" s="1"/>
  <c r="J6" i="17"/>
  <c r="J19" i="17" s="1"/>
  <c r="J8" i="17"/>
  <c r="J21" i="17" s="1"/>
  <c r="M151" i="14"/>
  <c r="L156" i="14"/>
  <c r="R71" i="11"/>
  <c r="R109" i="11" s="1"/>
  <c r="R118" i="11" s="1"/>
  <c r="R194" i="1"/>
  <c r="S71" i="1"/>
  <c r="R54" i="1"/>
  <c r="R109" i="1"/>
  <c r="R118" i="1" s="1"/>
  <c r="P41" i="12"/>
  <c r="P84" i="12" s="1"/>
  <c r="P96" i="12" s="1"/>
  <c r="Q41" i="8"/>
  <c r="P84" i="8"/>
  <c r="P96" i="8" s="1"/>
  <c r="V54" i="10"/>
  <c r="V95" i="10" s="1"/>
  <c r="V95" i="6"/>
  <c r="K43" i="17"/>
  <c r="K5" i="17"/>
  <c r="G43" i="15"/>
  <c r="O161" i="6"/>
  <c r="O163" i="6" s="1"/>
  <c r="O157" i="6"/>
  <c r="O159" i="6" s="1"/>
  <c r="M273" i="1"/>
  <c r="M275" i="1" s="1"/>
  <c r="M269" i="1"/>
  <c r="M271" i="1" s="1"/>
  <c r="M245" i="1"/>
  <c r="M253" i="1" s="1"/>
  <c r="M247" i="1"/>
  <c r="M262" i="1" s="1"/>
  <c r="N156" i="1"/>
  <c r="N158" i="1" s="1"/>
  <c r="N152" i="1"/>
  <c r="N154" i="1" s="1"/>
  <c r="N122" i="1"/>
  <c r="N132" i="1" s="1"/>
  <c r="N124" i="1"/>
  <c r="N143" i="1" s="1"/>
  <c r="P135" i="6"/>
  <c r="P150" i="6" s="1"/>
  <c r="P134" i="6"/>
  <c r="P146" i="6" s="1"/>
  <c r="P133" i="6"/>
  <c r="P141" i="6" s="1"/>
  <c r="P132" i="6"/>
  <c r="P137" i="6" s="1"/>
  <c r="S75" i="6"/>
  <c r="R75" i="10"/>
  <c r="R116" i="10" s="1"/>
  <c r="R116" i="6"/>
  <c r="P114" i="1"/>
  <c r="S66" i="10"/>
  <c r="S107" i="10" s="1"/>
  <c r="T66" i="6"/>
  <c r="S107" i="6"/>
  <c r="R72" i="10"/>
  <c r="R113" i="10" s="1"/>
  <c r="S72" i="6"/>
  <c r="R113" i="6"/>
  <c r="M215" i="11"/>
  <c r="M220" i="11" s="1"/>
  <c r="M217" i="11"/>
  <c r="M223" i="11" s="1"/>
  <c r="Q32" i="11"/>
  <c r="N104" i="12"/>
  <c r="N109" i="12" s="1"/>
  <c r="N106" i="12"/>
  <c r="N112" i="12" s="1"/>
  <c r="G28" i="17"/>
  <c r="G27" i="17"/>
  <c r="G26" i="17"/>
  <c r="G25" i="17"/>
  <c r="J11" i="17"/>
  <c r="J24" i="17" s="1"/>
  <c r="I10" i="17"/>
  <c r="I23" i="17" s="1"/>
  <c r="H9" i="17"/>
  <c r="H22" i="17" s="1"/>
  <c r="G8" i="17"/>
  <c r="G21" i="17" s="1"/>
  <c r="G6" i="17"/>
  <c r="G19" i="17" s="1"/>
  <c r="G7" i="17"/>
  <c r="G20" i="17" s="1"/>
  <c r="O237" i="1"/>
  <c r="R158" i="11"/>
  <c r="R196" i="11" s="1"/>
  <c r="S188" i="1"/>
  <c r="R226" i="1"/>
  <c r="S79" i="6"/>
  <c r="R76" i="6"/>
  <c r="R79" i="10"/>
  <c r="R120" i="10" s="1"/>
  <c r="R64" i="6"/>
  <c r="R63" i="6"/>
  <c r="R62" i="6"/>
  <c r="R61" i="6"/>
  <c r="R120" i="6"/>
  <c r="Q64" i="10"/>
  <c r="Q105" i="10" s="1"/>
  <c r="Q105" i="6"/>
  <c r="T70" i="10"/>
  <c r="T111" i="10" s="1"/>
  <c r="U70" i="6"/>
  <c r="T49" i="6"/>
  <c r="T111" i="6"/>
  <c r="L156" i="5"/>
  <c r="M151" i="5"/>
  <c r="R11" i="11"/>
  <c r="R25" i="11" s="1"/>
  <c r="R25" i="1"/>
  <c r="L48" i="17"/>
  <c r="L61" i="17" s="1"/>
  <c r="J66" i="17"/>
  <c r="J65" i="17"/>
  <c r="J64" i="17"/>
  <c r="J63" i="17"/>
  <c r="M49" i="17"/>
  <c r="M62" i="17" s="1"/>
  <c r="K47" i="17"/>
  <c r="K60" i="17" s="1"/>
  <c r="J44" i="17"/>
  <c r="T72" i="11"/>
  <c r="T195" i="1"/>
  <c r="T165" i="11" s="1"/>
  <c r="V74" i="1"/>
  <c r="U73" i="1"/>
  <c r="U72" i="1"/>
  <c r="M5" i="17"/>
  <c r="I43" i="15"/>
  <c r="M43" i="17"/>
  <c r="Q164" i="11"/>
  <c r="Q202" i="11" s="1"/>
  <c r="Q211" i="11" s="1"/>
  <c r="Q177" i="1"/>
  <c r="Q232" i="1"/>
  <c r="Q241" i="1" s="1"/>
  <c r="R83" i="10"/>
  <c r="R124" i="10" s="1"/>
  <c r="S83" i="6"/>
  <c r="R123" i="6"/>
  <c r="R60" i="10"/>
  <c r="R101" i="10" s="1"/>
  <c r="S60" i="6"/>
  <c r="R101" i="6"/>
  <c r="N18" i="17"/>
  <c r="J44" i="15"/>
  <c r="N56" i="17" s="1"/>
  <c r="N132" i="8"/>
  <c r="N134" i="8" s="1"/>
  <c r="N104" i="8"/>
  <c r="N112" i="8" s="1"/>
  <c r="N128" i="8"/>
  <c r="N130" i="8" s="1"/>
  <c r="N106" i="8"/>
  <c r="N121" i="8" s="1"/>
  <c r="P99" i="8" l="1"/>
  <c r="P97" i="8"/>
  <c r="P103" i="8"/>
  <c r="P108" i="8" s="1"/>
  <c r="P105" i="8"/>
  <c r="P117" i="8" s="1"/>
  <c r="P43" i="17"/>
  <c r="P5" i="17"/>
  <c r="L43" i="15"/>
  <c r="P97" i="12"/>
  <c r="P99" i="12"/>
  <c r="P105" i="12"/>
  <c r="P111" i="12" s="1"/>
  <c r="P103" i="12"/>
  <c r="P108" i="12" s="1"/>
  <c r="M28" i="17"/>
  <c r="M27" i="17"/>
  <c r="M26" i="17"/>
  <c r="M25" i="17"/>
  <c r="O10" i="17"/>
  <c r="O23" i="17" s="1"/>
  <c r="P11" i="17"/>
  <c r="P24" i="17" s="1"/>
  <c r="M8" i="17"/>
  <c r="M21" i="17" s="1"/>
  <c r="N9" i="17"/>
  <c r="N22" i="17" s="1"/>
  <c r="M6" i="17"/>
  <c r="M19" i="17" s="1"/>
  <c r="M7" i="17"/>
  <c r="M20" i="17" s="1"/>
  <c r="N151" i="5"/>
  <c r="M156" i="5"/>
  <c r="R129" i="6"/>
  <c r="R64" i="10"/>
  <c r="R105" i="10" s="1"/>
  <c r="R126" i="10" s="1"/>
  <c r="R105" i="6"/>
  <c r="R125" i="6" s="1"/>
  <c r="Q33" i="11"/>
  <c r="Q37" i="11" s="1"/>
  <c r="Q36" i="11"/>
  <c r="P117" i="1"/>
  <c r="P115" i="1"/>
  <c r="P121" i="1"/>
  <c r="P126" i="1" s="1"/>
  <c r="P123" i="1"/>
  <c r="P137" i="1" s="1"/>
  <c r="K28" i="17"/>
  <c r="K27" i="17"/>
  <c r="K26" i="17"/>
  <c r="K25" i="17"/>
  <c r="N11" i="17"/>
  <c r="N24" i="17" s="1"/>
  <c r="M10" i="17"/>
  <c r="M23" i="17" s="1"/>
  <c r="K6" i="17"/>
  <c r="K19" i="17" s="1"/>
  <c r="L9" i="17"/>
  <c r="L22" i="17" s="1"/>
  <c r="K8" i="17"/>
  <c r="K21" i="17" s="1"/>
  <c r="K7" i="17"/>
  <c r="K20" i="17" s="1"/>
  <c r="R54" i="11"/>
  <c r="R92" i="11" s="1"/>
  <c r="R56" i="1"/>
  <c r="R55" i="1"/>
  <c r="R92" i="1"/>
  <c r="O210" i="11"/>
  <c r="O208" i="11"/>
  <c r="O216" i="11"/>
  <c r="O222" i="11" s="1"/>
  <c r="O214" i="11"/>
  <c r="O219" i="11" s="1"/>
  <c r="G56" i="17"/>
  <c r="S8" i="11"/>
  <c r="S22" i="11" s="1"/>
  <c r="T8" i="1"/>
  <c r="S22" i="1"/>
  <c r="Q55" i="11"/>
  <c r="Q93" i="11" s="1"/>
  <c r="Q93" i="1"/>
  <c r="S10" i="11"/>
  <c r="S24" i="11" s="1"/>
  <c r="S24" i="1"/>
  <c r="H66" i="17"/>
  <c r="H65" i="17"/>
  <c r="H64" i="17"/>
  <c r="H63" i="17"/>
  <c r="K49" i="17"/>
  <c r="K62" i="17" s="1"/>
  <c r="I47" i="17"/>
  <c r="I60" i="17" s="1"/>
  <c r="J48" i="17"/>
  <c r="J61" i="17" s="1"/>
  <c r="H44" i="17"/>
  <c r="P149" i="11"/>
  <c r="P187" i="11" s="1"/>
  <c r="P217" i="1"/>
  <c r="T146" i="11"/>
  <c r="T184" i="11" s="1"/>
  <c r="U176" i="1"/>
  <c r="T214" i="1"/>
  <c r="U52" i="10"/>
  <c r="U93" i="10" s="1"/>
  <c r="V52" i="6"/>
  <c r="U93" i="6"/>
  <c r="R35" i="10"/>
  <c r="R39" i="10" s="1"/>
  <c r="R38" i="10"/>
  <c r="S73" i="10"/>
  <c r="S114" i="10" s="1"/>
  <c r="T73" i="6"/>
  <c r="S114" i="6"/>
  <c r="M9" i="17"/>
  <c r="M22" i="17" s="1"/>
  <c r="L28" i="17"/>
  <c r="L27" i="17"/>
  <c r="L26" i="17"/>
  <c r="L25" i="17"/>
  <c r="N10" i="17"/>
  <c r="N23" i="17" s="1"/>
  <c r="O11" i="17"/>
  <c r="O24" i="17" s="1"/>
  <c r="L8" i="17"/>
  <c r="L21" i="17" s="1"/>
  <c r="L6" i="17"/>
  <c r="L19" i="17" s="1"/>
  <c r="L7" i="17"/>
  <c r="L20" i="17" s="1"/>
  <c r="S56" i="10"/>
  <c r="S97" i="10" s="1"/>
  <c r="T56" i="6"/>
  <c r="S97" i="6"/>
  <c r="V53" i="10"/>
  <c r="V94" i="10" s="1"/>
  <c r="V94" i="6"/>
  <c r="S27" i="15"/>
  <c r="Q25" i="15"/>
  <c r="R26" i="15"/>
  <c r="T28" i="15"/>
  <c r="P24" i="15"/>
  <c r="K10" i="17"/>
  <c r="K23" i="17" s="1"/>
  <c r="L11" i="17"/>
  <c r="L24" i="17" s="1"/>
  <c r="I27" i="17"/>
  <c r="I25" i="17"/>
  <c r="I7" i="17"/>
  <c r="I20" i="17" s="1"/>
  <c r="I28" i="17"/>
  <c r="J9" i="17"/>
  <c r="J22" i="17" s="1"/>
  <c r="I8" i="17"/>
  <c r="I21" i="17" s="1"/>
  <c r="I6" i="17"/>
  <c r="I19" i="17" s="1"/>
  <c r="I26" i="17"/>
  <c r="O18" i="17"/>
  <c r="K44" i="15"/>
  <c r="O56" i="17" s="1"/>
  <c r="O122" i="11"/>
  <c r="O127" i="11" s="1"/>
  <c r="O124" i="11"/>
  <c r="O130" i="11" s="1"/>
  <c r="Q147" i="11"/>
  <c r="Q185" i="11" s="1"/>
  <c r="Q179" i="1"/>
  <c r="Q178" i="1"/>
  <c r="Q215" i="1"/>
  <c r="V70" i="6"/>
  <c r="U70" i="10"/>
  <c r="U111" i="10" s="1"/>
  <c r="U49" i="6"/>
  <c r="U111" i="6"/>
  <c r="S83" i="10"/>
  <c r="S124" i="10" s="1"/>
  <c r="T83" i="6"/>
  <c r="S123" i="6"/>
  <c r="U72" i="11"/>
  <c r="U195" i="1"/>
  <c r="U165" i="11" s="1"/>
  <c r="V73" i="1"/>
  <c r="V72" i="1"/>
  <c r="R61" i="10"/>
  <c r="R102" i="10" s="1"/>
  <c r="R102" i="6"/>
  <c r="R130" i="10"/>
  <c r="S158" i="11"/>
  <c r="S196" i="11" s="1"/>
  <c r="T188" i="1"/>
  <c r="S226" i="1"/>
  <c r="S72" i="10"/>
  <c r="S113" i="10" s="1"/>
  <c r="T72" i="6"/>
  <c r="S113" i="6"/>
  <c r="T66" i="10"/>
  <c r="T107" i="10" s="1"/>
  <c r="U66" i="6"/>
  <c r="T107" i="6"/>
  <c r="K66" i="17"/>
  <c r="K65" i="17"/>
  <c r="K64" i="17"/>
  <c r="K63" i="17"/>
  <c r="K44" i="17"/>
  <c r="N49" i="17"/>
  <c r="N62" i="17" s="1"/>
  <c r="L47" i="17"/>
  <c r="L60" i="17" s="1"/>
  <c r="M48" i="17"/>
  <c r="M61" i="17" s="1"/>
  <c r="Q41" i="12"/>
  <c r="Q84" i="12" s="1"/>
  <c r="R41" i="8"/>
  <c r="Q84" i="8"/>
  <c r="Q96" i="8" s="1"/>
  <c r="S194" i="1"/>
  <c r="S71" i="11"/>
  <c r="S109" i="11" s="1"/>
  <c r="S118" i="11" s="1"/>
  <c r="T71" i="1"/>
  <c r="S54" i="1"/>
  <c r="S109" i="1"/>
  <c r="S118" i="1" s="1"/>
  <c r="N151" i="14"/>
  <c r="M156" i="14"/>
  <c r="T59" i="10"/>
  <c r="T100" i="10" s="1"/>
  <c r="U59" i="6"/>
  <c r="T100" i="6"/>
  <c r="R32" i="11"/>
  <c r="L159" i="5"/>
  <c r="M154" i="5"/>
  <c r="Q96" i="12"/>
  <c r="N57" i="17"/>
  <c r="N45" i="17"/>
  <c r="N153" i="5"/>
  <c r="M158" i="5"/>
  <c r="Q56" i="11"/>
  <c r="Q94" i="11" s="1"/>
  <c r="Q94" i="1"/>
  <c r="S11" i="11"/>
  <c r="S25" i="11" s="1"/>
  <c r="S25" i="1"/>
  <c r="N158" i="14"/>
  <c r="O153" i="14"/>
  <c r="L157" i="5"/>
  <c r="M152" i="5"/>
  <c r="Q33" i="1"/>
  <c r="Q36" i="1"/>
  <c r="L66" i="17"/>
  <c r="L65" i="17"/>
  <c r="L64" i="17"/>
  <c r="L63" i="17"/>
  <c r="O49" i="17"/>
  <c r="O62" i="17" s="1"/>
  <c r="M47" i="17"/>
  <c r="M60" i="17" s="1"/>
  <c r="N48" i="17"/>
  <c r="N61" i="17" s="1"/>
  <c r="L44" i="17"/>
  <c r="Q125" i="6"/>
  <c r="U65" i="10"/>
  <c r="U106" i="10" s="1"/>
  <c r="V65" i="6"/>
  <c r="U106" i="6"/>
  <c r="I66" i="17"/>
  <c r="I65" i="17"/>
  <c r="I64" i="17"/>
  <c r="I63" i="17"/>
  <c r="J47" i="17"/>
  <c r="J60" i="17" s="1"/>
  <c r="K48" i="17"/>
  <c r="K61" i="17" s="1"/>
  <c r="L49" i="17"/>
  <c r="L62" i="17" s="1"/>
  <c r="I44" i="17"/>
  <c r="T143" i="11"/>
  <c r="T181" i="11" s="1"/>
  <c r="T211" i="1"/>
  <c r="N273" i="1"/>
  <c r="N275" i="1" s="1"/>
  <c r="N269" i="1"/>
  <c r="N271" i="1" s="1"/>
  <c r="N245" i="1"/>
  <c r="N253" i="1" s="1"/>
  <c r="N247" i="1"/>
  <c r="N262" i="1" s="1"/>
  <c r="O28" i="17"/>
  <c r="O27" i="17"/>
  <c r="O26" i="17"/>
  <c r="O25" i="17"/>
  <c r="R11" i="17"/>
  <c r="R24" i="17" s="1"/>
  <c r="Q10" i="17"/>
  <c r="Q23" i="17" s="1"/>
  <c r="P9" i="17"/>
  <c r="P22" i="17" s="1"/>
  <c r="O6" i="17"/>
  <c r="O19" i="17" s="1"/>
  <c r="O8" i="17"/>
  <c r="O21" i="17" s="1"/>
  <c r="O7" i="17"/>
  <c r="O20" i="17" s="1"/>
  <c r="S60" i="10"/>
  <c r="S101" i="10" s="1"/>
  <c r="T60" i="6"/>
  <c r="S101" i="6"/>
  <c r="M66" i="17"/>
  <c r="M65" i="17"/>
  <c r="M64" i="17"/>
  <c r="M63" i="17"/>
  <c r="N47" i="17"/>
  <c r="N60" i="17" s="1"/>
  <c r="O48" i="17"/>
  <c r="O61" i="17" s="1"/>
  <c r="P49" i="17"/>
  <c r="P62" i="17" s="1"/>
  <c r="M44" i="17"/>
  <c r="J57" i="17"/>
  <c r="J45" i="17"/>
  <c r="R62" i="10"/>
  <c r="R103" i="10" s="1"/>
  <c r="R103" i="6"/>
  <c r="R76" i="10"/>
  <c r="R117" i="10" s="1"/>
  <c r="R117" i="6"/>
  <c r="R164" i="11"/>
  <c r="R202" i="11" s="1"/>
  <c r="R211" i="11" s="1"/>
  <c r="R177" i="1"/>
  <c r="R232" i="1"/>
  <c r="R241" i="1" s="1"/>
  <c r="O132" i="8"/>
  <c r="O134" i="8" s="1"/>
  <c r="O104" i="8"/>
  <c r="O112" i="8" s="1"/>
  <c r="O128" i="8"/>
  <c r="O130" i="8" s="1"/>
  <c r="O106" i="8"/>
  <c r="O121" i="8" s="1"/>
  <c r="M154" i="14"/>
  <c r="L159" i="14"/>
  <c r="P117" i="11"/>
  <c r="P115" i="11"/>
  <c r="P121" i="11"/>
  <c r="P126" i="11" s="1"/>
  <c r="P123" i="11"/>
  <c r="P129" i="11" s="1"/>
  <c r="Q114" i="11"/>
  <c r="S58" i="10"/>
  <c r="S99" i="10" s="1"/>
  <c r="T58" i="6"/>
  <c r="S99" i="6"/>
  <c r="S14" i="11"/>
  <c r="S28" i="11" s="1"/>
  <c r="S28" i="1"/>
  <c r="H18" i="17"/>
  <c r="D44" i="15"/>
  <c r="H56" i="17" s="1"/>
  <c r="R35" i="6"/>
  <c r="R38" i="6"/>
  <c r="S9" i="11"/>
  <c r="S23" i="11" s="1"/>
  <c r="T9" i="1"/>
  <c r="S23" i="1"/>
  <c r="O104" i="12"/>
  <c r="O109" i="12" s="1"/>
  <c r="O106" i="12"/>
  <c r="O112" i="12" s="1"/>
  <c r="T2" i="16"/>
  <c r="T35" i="15"/>
  <c r="P270" i="1"/>
  <c r="P157" i="1"/>
  <c r="P153" i="1"/>
  <c r="P274" i="1"/>
  <c r="P37" i="1"/>
  <c r="Q126" i="10"/>
  <c r="T65" i="11"/>
  <c r="T103" i="11" s="1"/>
  <c r="U65" i="1"/>
  <c r="T103" i="1"/>
  <c r="Q162" i="6"/>
  <c r="Q158" i="6"/>
  <c r="Q39" i="6"/>
  <c r="Q133" i="8"/>
  <c r="Q129" i="8"/>
  <c r="O66" i="17"/>
  <c r="O65" i="17"/>
  <c r="O64" i="17"/>
  <c r="O63" i="17"/>
  <c r="O44" i="17"/>
  <c r="R49" i="17"/>
  <c r="R62" i="17" s="1"/>
  <c r="P47" i="17"/>
  <c r="P60" i="17" s="1"/>
  <c r="Q48" i="17"/>
  <c r="Q61" i="17" s="1"/>
  <c r="P161" i="6"/>
  <c r="P163" i="6" s="1"/>
  <c r="P157" i="6"/>
  <c r="P159" i="6" s="1"/>
  <c r="N217" i="11"/>
  <c r="N223" i="11" s="1"/>
  <c r="N215" i="11"/>
  <c r="N220" i="11" s="1"/>
  <c r="O156" i="1"/>
  <c r="O158" i="1" s="1"/>
  <c r="O152" i="1"/>
  <c r="O154" i="1" s="1"/>
  <c r="O124" i="1"/>
  <c r="O143" i="1" s="1"/>
  <c r="O122" i="1"/>
  <c r="O132" i="1" s="1"/>
  <c r="U73" i="11"/>
  <c r="U196" i="1"/>
  <c r="U166" i="11" s="1"/>
  <c r="M18" i="17"/>
  <c r="I44" i="15"/>
  <c r="M56" i="17" s="1"/>
  <c r="V74" i="11"/>
  <c r="V197" i="1"/>
  <c r="V167" i="11" s="1"/>
  <c r="T49" i="10"/>
  <c r="T90" i="10" s="1"/>
  <c r="T90" i="6"/>
  <c r="R63" i="10"/>
  <c r="R104" i="10" s="1"/>
  <c r="R104" i="6"/>
  <c r="S79" i="10"/>
  <c r="S120" i="10" s="1"/>
  <c r="S130" i="10" s="1"/>
  <c r="S76" i="6"/>
  <c r="S64" i="6"/>
  <c r="S63" i="6"/>
  <c r="S62" i="6"/>
  <c r="S61" i="6"/>
  <c r="T79" i="6"/>
  <c r="S120" i="6"/>
  <c r="S129" i="6" s="1"/>
  <c r="O240" i="1"/>
  <c r="O238" i="1"/>
  <c r="O244" i="1"/>
  <c r="O249" i="1" s="1"/>
  <c r="O246" i="1"/>
  <c r="O258" i="1" s="1"/>
  <c r="Q32" i="15"/>
  <c r="O30" i="15"/>
  <c r="P31" i="15"/>
  <c r="R33" i="15"/>
  <c r="N29" i="15"/>
  <c r="P22" i="15"/>
  <c r="O21" i="15"/>
  <c r="Q23" i="15"/>
  <c r="N20" i="15"/>
  <c r="M19" i="15"/>
  <c r="M34" i="15" s="1"/>
  <c r="S75" i="10"/>
  <c r="S116" i="10" s="1"/>
  <c r="T75" i="6"/>
  <c r="S116" i="6"/>
  <c r="G44" i="15"/>
  <c r="K56" i="17" s="1"/>
  <c r="K18" i="17"/>
  <c r="R32" i="1"/>
  <c r="U57" i="6"/>
  <c r="T57" i="10"/>
  <c r="T98" i="10" s="1"/>
  <c r="T98" i="6"/>
  <c r="R21" i="12"/>
  <c r="R64" i="12" s="1"/>
  <c r="S21" i="8"/>
  <c r="R64" i="8"/>
  <c r="R42" i="12"/>
  <c r="R85" i="12" s="1"/>
  <c r="S42" i="8"/>
  <c r="R85" i="8"/>
  <c r="Q114" i="1"/>
  <c r="T17" i="11"/>
  <c r="T31" i="11" s="1"/>
  <c r="T34" i="11" s="1"/>
  <c r="U17" i="1"/>
  <c r="T14" i="1"/>
  <c r="T11" i="1"/>
  <c r="T10" i="1"/>
  <c r="T31" i="1"/>
  <c r="T34" i="1" s="1"/>
  <c r="Q17" i="15"/>
  <c r="O15" i="15"/>
  <c r="P16" i="15"/>
  <c r="R18" i="15"/>
  <c r="N14" i="15"/>
  <c r="H28" i="17"/>
  <c r="H27" i="17"/>
  <c r="H26" i="17"/>
  <c r="H25" i="17"/>
  <c r="I9" i="17"/>
  <c r="I22" i="17" s="1"/>
  <c r="H8" i="17"/>
  <c r="H21" i="17" s="1"/>
  <c r="K11" i="17"/>
  <c r="K24" i="17" s="1"/>
  <c r="J10" i="17"/>
  <c r="J23" i="17" s="1"/>
  <c r="H7" i="17"/>
  <c r="H20" i="17" s="1"/>
  <c r="H6" i="17"/>
  <c r="H19" i="17" s="1"/>
  <c r="P148" i="11"/>
  <c r="P186" i="11" s="1"/>
  <c r="P207" i="11" s="1"/>
  <c r="P216" i="1"/>
  <c r="P237" i="1" s="1"/>
  <c r="S8" i="10"/>
  <c r="S23" i="10" s="1"/>
  <c r="S34" i="10" s="1"/>
  <c r="T8" i="6"/>
  <c r="S23" i="6"/>
  <c r="S34" i="6" s="1"/>
  <c r="S74" i="10"/>
  <c r="S115" i="10" s="1"/>
  <c r="T74" i="6"/>
  <c r="S115" i="6"/>
  <c r="S25" i="12"/>
  <c r="S68" i="12" s="1"/>
  <c r="S68" i="8"/>
  <c r="T25" i="8"/>
  <c r="L18" i="17"/>
  <c r="H44" i="15"/>
  <c r="L56" i="17" s="1"/>
  <c r="G57" i="17"/>
  <c r="G45" i="17"/>
  <c r="I18" i="17"/>
  <c r="E44" i="15"/>
  <c r="I56" i="17" s="1"/>
  <c r="U50" i="11"/>
  <c r="U88" i="11" s="1"/>
  <c r="U173" i="1"/>
  <c r="V50" i="1"/>
  <c r="U88" i="1"/>
  <c r="M152" i="14"/>
  <c r="L157" i="14"/>
  <c r="T161" i="11"/>
  <c r="T199" i="11" s="1"/>
  <c r="U191" i="1"/>
  <c r="T229" i="1"/>
  <c r="Q43" i="17" l="1"/>
  <c r="Q5" i="17"/>
  <c r="M43" i="15"/>
  <c r="P240" i="1"/>
  <c r="P238" i="1"/>
  <c r="P244" i="1"/>
  <c r="P249" i="1" s="1"/>
  <c r="P246" i="1"/>
  <c r="P258" i="1" s="1"/>
  <c r="Q97" i="8"/>
  <c r="Q99" i="8"/>
  <c r="Q103" i="8"/>
  <c r="Q108" i="8" s="1"/>
  <c r="Q105" i="8"/>
  <c r="Q117" i="8" s="1"/>
  <c r="P210" i="11"/>
  <c r="P208" i="11"/>
  <c r="P214" i="11"/>
  <c r="P219" i="11" s="1"/>
  <c r="P216" i="11"/>
  <c r="P222" i="11" s="1"/>
  <c r="R128" i="6"/>
  <c r="R126" i="6"/>
  <c r="R129" i="10"/>
  <c r="R127" i="10"/>
  <c r="U25" i="8"/>
  <c r="T25" i="12"/>
  <c r="T68" i="12" s="1"/>
  <c r="T68" i="8"/>
  <c r="T74" i="10"/>
  <c r="T115" i="10" s="1"/>
  <c r="U74" i="6"/>
  <c r="T115" i="6"/>
  <c r="U161" i="11"/>
  <c r="U199" i="11" s="1"/>
  <c r="V191" i="1"/>
  <c r="U229" i="1"/>
  <c r="T14" i="11"/>
  <c r="T28" i="11" s="1"/>
  <c r="T28" i="1"/>
  <c r="T75" i="10"/>
  <c r="T116" i="10" s="1"/>
  <c r="U75" i="6"/>
  <c r="T116" i="6"/>
  <c r="S63" i="10"/>
  <c r="S104" i="10" s="1"/>
  <c r="S104" i="6"/>
  <c r="Q129" i="10"/>
  <c r="Q127" i="10"/>
  <c r="Q135" i="10"/>
  <c r="Q141" i="10" s="1"/>
  <c r="Q133" i="10"/>
  <c r="Q138" i="10" s="1"/>
  <c r="R147" i="11"/>
  <c r="R185" i="11" s="1"/>
  <c r="R178" i="1"/>
  <c r="R179" i="1"/>
  <c r="R215" i="1"/>
  <c r="M57" i="17"/>
  <c r="M45" i="17"/>
  <c r="I57" i="17"/>
  <c r="I45" i="17"/>
  <c r="L57" i="17"/>
  <c r="L45" i="17"/>
  <c r="O153" i="5"/>
  <c r="N158" i="5"/>
  <c r="N154" i="5"/>
  <c r="M159" i="5"/>
  <c r="N156" i="14"/>
  <c r="O151" i="14"/>
  <c r="K57" i="17"/>
  <c r="K45" i="17"/>
  <c r="T158" i="11"/>
  <c r="T196" i="11" s="1"/>
  <c r="U188" i="1"/>
  <c r="T226" i="1"/>
  <c r="T56" i="10"/>
  <c r="T97" i="10" s="1"/>
  <c r="U56" i="6"/>
  <c r="T97" i="6"/>
  <c r="P18" i="17"/>
  <c r="L44" i="15"/>
  <c r="P56" i="17" s="1"/>
  <c r="S35" i="6"/>
  <c r="S38" i="6"/>
  <c r="U17" i="11"/>
  <c r="U31" i="11" s="1"/>
  <c r="U34" i="11" s="1"/>
  <c r="V17" i="1"/>
  <c r="U14" i="1"/>
  <c r="U11" i="1"/>
  <c r="U10" i="1"/>
  <c r="U31" i="1"/>
  <c r="U34" i="1" s="1"/>
  <c r="Q117" i="1"/>
  <c r="Q115" i="1"/>
  <c r="Q123" i="1"/>
  <c r="Q137" i="1" s="1"/>
  <c r="Q121" i="1"/>
  <c r="Q126" i="1" s="1"/>
  <c r="T79" i="10"/>
  <c r="T120" i="10" s="1"/>
  <c r="T64" i="6"/>
  <c r="T63" i="6"/>
  <c r="T62" i="6"/>
  <c r="T61" i="6"/>
  <c r="U79" i="6"/>
  <c r="T76" i="6"/>
  <c r="T120" i="6"/>
  <c r="S64" i="10"/>
  <c r="S105" i="10" s="1"/>
  <c r="S126" i="10" s="1"/>
  <c r="S105" i="6"/>
  <c r="O57" i="17"/>
  <c r="O45" i="17"/>
  <c r="U65" i="11"/>
  <c r="U103" i="11" s="1"/>
  <c r="V65" i="1"/>
  <c r="U103" i="1"/>
  <c r="P30" i="15"/>
  <c r="R32" i="15"/>
  <c r="Q31" i="15"/>
  <c r="S33" i="15"/>
  <c r="O29" i="15"/>
  <c r="T58" i="10"/>
  <c r="T99" i="10" s="1"/>
  <c r="U58" i="6"/>
  <c r="T99" i="6"/>
  <c r="T60" i="10"/>
  <c r="T101" i="10" s="1"/>
  <c r="U60" i="6"/>
  <c r="T101" i="6"/>
  <c r="V65" i="10"/>
  <c r="V106" i="10" s="1"/>
  <c r="V106" i="6"/>
  <c r="P153" i="14"/>
  <c r="O158" i="14"/>
  <c r="N58" i="17"/>
  <c r="N46" i="17"/>
  <c r="N59" i="17" s="1"/>
  <c r="U59" i="10"/>
  <c r="U100" i="10" s="1"/>
  <c r="V59" i="6"/>
  <c r="U100" i="6"/>
  <c r="S164" i="11"/>
  <c r="S202" i="11" s="1"/>
  <c r="S211" i="11" s="1"/>
  <c r="S177" i="1"/>
  <c r="S232" i="1"/>
  <c r="S241" i="1" s="1"/>
  <c r="T72" i="10"/>
  <c r="T113" i="10" s="1"/>
  <c r="U72" i="6"/>
  <c r="T113" i="6"/>
  <c r="V72" i="11"/>
  <c r="V195" i="1"/>
  <c r="V165" i="11" s="1"/>
  <c r="U49" i="10"/>
  <c r="U90" i="10" s="1"/>
  <c r="U90" i="6"/>
  <c r="Q148" i="11"/>
  <c r="Q186" i="11" s="1"/>
  <c r="Q216" i="1"/>
  <c r="Q237" i="1" s="1"/>
  <c r="R17" i="15"/>
  <c r="P15" i="15"/>
  <c r="Q16" i="15"/>
  <c r="S18" i="15"/>
  <c r="O14" i="15"/>
  <c r="S32" i="1"/>
  <c r="P152" i="1"/>
  <c r="P154" i="1" s="1"/>
  <c r="P156" i="1"/>
  <c r="P158" i="1" s="1"/>
  <c r="P124" i="1"/>
  <c r="P143" i="1" s="1"/>
  <c r="P122" i="1"/>
  <c r="P132" i="1" s="1"/>
  <c r="O151" i="5"/>
  <c r="N156" i="5"/>
  <c r="Q9" i="17"/>
  <c r="Q22" i="17" s="1"/>
  <c r="R10" i="17"/>
  <c r="R23" i="17" s="1"/>
  <c r="P28" i="17"/>
  <c r="P27" i="17"/>
  <c r="P26" i="17"/>
  <c r="P25" i="17"/>
  <c r="S11" i="17"/>
  <c r="S24" i="17" s="1"/>
  <c r="P7" i="17"/>
  <c r="P20" i="17" s="1"/>
  <c r="P8" i="17"/>
  <c r="P21" i="17" s="1"/>
  <c r="P6" i="17"/>
  <c r="P19" i="17" s="1"/>
  <c r="V50" i="11"/>
  <c r="V88" i="11" s="1"/>
  <c r="V173" i="1"/>
  <c r="V88" i="1"/>
  <c r="U143" i="11"/>
  <c r="U181" i="11" s="1"/>
  <c r="U211" i="1"/>
  <c r="G58" i="17"/>
  <c r="G46" i="17"/>
  <c r="G59" i="17" s="1"/>
  <c r="T8" i="10"/>
  <c r="T23" i="10" s="1"/>
  <c r="T34" i="10" s="1"/>
  <c r="U8" i="6"/>
  <c r="T23" i="6"/>
  <c r="T34" i="6" s="1"/>
  <c r="T10" i="11"/>
  <c r="T24" i="11" s="1"/>
  <c r="T24" i="1"/>
  <c r="S64" i="8"/>
  <c r="S21" i="12"/>
  <c r="S64" i="12" s="1"/>
  <c r="T21" i="8"/>
  <c r="U57" i="10"/>
  <c r="U98" i="10" s="1"/>
  <c r="V57" i="6"/>
  <c r="U98" i="6"/>
  <c r="O269" i="1"/>
  <c r="O271" i="1" s="1"/>
  <c r="O273" i="1"/>
  <c r="O275" i="1" s="1"/>
  <c r="O247" i="1"/>
  <c r="O262" i="1" s="1"/>
  <c r="O245" i="1"/>
  <c r="O253" i="1" s="1"/>
  <c r="S61" i="10"/>
  <c r="S102" i="10" s="1"/>
  <c r="S102" i="6"/>
  <c r="S76" i="10"/>
  <c r="S117" i="10" s="1"/>
  <c r="S117" i="6"/>
  <c r="R23" i="15"/>
  <c r="P21" i="15"/>
  <c r="O20" i="15"/>
  <c r="Q22" i="15"/>
  <c r="N19" i="15"/>
  <c r="N34" i="15" s="1"/>
  <c r="R158" i="6"/>
  <c r="R162" i="6"/>
  <c r="R133" i="8"/>
  <c r="R129" i="8"/>
  <c r="R39" i="6"/>
  <c r="P122" i="11"/>
  <c r="P127" i="11" s="1"/>
  <c r="P124" i="11"/>
  <c r="P130" i="11" s="1"/>
  <c r="N154" i="14"/>
  <c r="M159" i="14"/>
  <c r="J58" i="17"/>
  <c r="J46" i="17"/>
  <c r="J59" i="17" s="1"/>
  <c r="Q270" i="1"/>
  <c r="Q157" i="1"/>
  <c r="Q153" i="1"/>
  <c r="Q274" i="1"/>
  <c r="Q37" i="1"/>
  <c r="R33" i="11"/>
  <c r="R37" i="11" s="1"/>
  <c r="R36" i="11"/>
  <c r="S54" i="11"/>
  <c r="S92" i="11" s="1"/>
  <c r="S56" i="1"/>
  <c r="S55" i="1"/>
  <c r="S92" i="1"/>
  <c r="U66" i="10"/>
  <c r="U107" i="10" s="1"/>
  <c r="V66" i="6"/>
  <c r="U107" i="6"/>
  <c r="R136" i="10"/>
  <c r="R142" i="10" s="1"/>
  <c r="R135" i="10"/>
  <c r="R141" i="10" s="1"/>
  <c r="R134" i="10"/>
  <c r="R139" i="10" s="1"/>
  <c r="R133" i="10"/>
  <c r="R138" i="10" s="1"/>
  <c r="V73" i="11"/>
  <c r="V196" i="1"/>
  <c r="V166" i="11" s="1"/>
  <c r="T83" i="10"/>
  <c r="T124" i="10" s="1"/>
  <c r="U83" i="6"/>
  <c r="T123" i="6"/>
  <c r="Q149" i="11"/>
  <c r="Q187" i="11" s="1"/>
  <c r="Q217" i="1"/>
  <c r="T73" i="10"/>
  <c r="T114" i="10" s="1"/>
  <c r="U73" i="6"/>
  <c r="T114" i="6"/>
  <c r="U146" i="11"/>
  <c r="U184" i="11" s="1"/>
  <c r="V176" i="1"/>
  <c r="U214" i="1"/>
  <c r="H57" i="17"/>
  <c r="H45" i="17"/>
  <c r="T8" i="11"/>
  <c r="T22" i="11" s="1"/>
  <c r="U8" i="1"/>
  <c r="T22" i="1"/>
  <c r="R55" i="11"/>
  <c r="R93" i="11" s="1"/>
  <c r="R93" i="1"/>
  <c r="P66" i="17"/>
  <c r="P65" i="17"/>
  <c r="P64" i="17"/>
  <c r="P63" i="17"/>
  <c r="S49" i="17"/>
  <c r="S62" i="17" s="1"/>
  <c r="Q47" i="17"/>
  <c r="Q60" i="17" s="1"/>
  <c r="R48" i="17"/>
  <c r="R61" i="17" s="1"/>
  <c r="P44" i="17"/>
  <c r="N152" i="14"/>
  <c r="M157" i="14"/>
  <c r="S35" i="10"/>
  <c r="S39" i="10" s="1"/>
  <c r="S38" i="10"/>
  <c r="T11" i="11"/>
  <c r="T25" i="11" s="1"/>
  <c r="T25" i="1"/>
  <c r="S42" i="12"/>
  <c r="S85" i="12" s="1"/>
  <c r="T42" i="8"/>
  <c r="S85" i="8"/>
  <c r="R33" i="1"/>
  <c r="R36" i="1"/>
  <c r="S62" i="10"/>
  <c r="S103" i="10" s="1"/>
  <c r="S103" i="6"/>
  <c r="U2" i="16"/>
  <c r="U35" i="15"/>
  <c r="T9" i="11"/>
  <c r="T23" i="11" s="1"/>
  <c r="U9" i="1"/>
  <c r="T23" i="1"/>
  <c r="Q117" i="11"/>
  <c r="Q115" i="11"/>
  <c r="Q123" i="11"/>
  <c r="Q129" i="11" s="1"/>
  <c r="Q121" i="11"/>
  <c r="Q126" i="11" s="1"/>
  <c r="Q128" i="6"/>
  <c r="Q126" i="6"/>
  <c r="Q134" i="6"/>
  <c r="Q146" i="6" s="1"/>
  <c r="Q132" i="6"/>
  <c r="Q137" i="6" s="1"/>
  <c r="N152" i="5"/>
  <c r="M157" i="5"/>
  <c r="Q97" i="12"/>
  <c r="Q99" i="12"/>
  <c r="Q103" i="12"/>
  <c r="Q108" i="12" s="1"/>
  <c r="Q105" i="12"/>
  <c r="Q111" i="12" s="1"/>
  <c r="T194" i="1"/>
  <c r="T71" i="11"/>
  <c r="T109" i="11" s="1"/>
  <c r="T118" i="11" s="1"/>
  <c r="U71" i="1"/>
  <c r="T54" i="1"/>
  <c r="T109" i="1"/>
  <c r="T118" i="1" s="1"/>
  <c r="R41" i="12"/>
  <c r="R84" i="12" s="1"/>
  <c r="R96" i="12" s="1"/>
  <c r="S41" i="8"/>
  <c r="R84" i="8"/>
  <c r="R96" i="8" s="1"/>
  <c r="V70" i="10"/>
  <c r="V111" i="10" s="1"/>
  <c r="V49" i="6"/>
  <c r="V111" i="6"/>
  <c r="Q207" i="11"/>
  <c r="V52" i="10"/>
  <c r="V93" i="10" s="1"/>
  <c r="V93" i="6"/>
  <c r="S32" i="11"/>
  <c r="O217" i="11"/>
  <c r="O223" i="11" s="1"/>
  <c r="O215" i="11"/>
  <c r="O220" i="11" s="1"/>
  <c r="R56" i="11"/>
  <c r="R94" i="11" s="1"/>
  <c r="R114" i="11" s="1"/>
  <c r="R94" i="1"/>
  <c r="R114" i="1" s="1"/>
  <c r="R135" i="6"/>
  <c r="R150" i="6" s="1"/>
  <c r="R134" i="6"/>
  <c r="R146" i="6" s="1"/>
  <c r="R133" i="6"/>
  <c r="R141" i="6" s="1"/>
  <c r="R132" i="6"/>
  <c r="R137" i="6" s="1"/>
  <c r="P104" i="12"/>
  <c r="P109" i="12" s="1"/>
  <c r="P106" i="12"/>
  <c r="P112" i="12" s="1"/>
  <c r="P128" i="8"/>
  <c r="P130" i="8" s="1"/>
  <c r="P106" i="8"/>
  <c r="P121" i="8" s="1"/>
  <c r="P132" i="8"/>
  <c r="P134" i="8" s="1"/>
  <c r="P104" i="8"/>
  <c r="P112" i="8" s="1"/>
  <c r="R117" i="11" l="1"/>
  <c r="R115" i="11"/>
  <c r="R123" i="11"/>
  <c r="R129" i="11" s="1"/>
  <c r="R121" i="11"/>
  <c r="R126" i="11" s="1"/>
  <c r="R97" i="12"/>
  <c r="R99" i="12"/>
  <c r="R103" i="12"/>
  <c r="R108" i="12" s="1"/>
  <c r="R105" i="12"/>
  <c r="R111" i="12" s="1"/>
  <c r="Q240" i="1"/>
  <c r="Q238" i="1"/>
  <c r="Q246" i="1"/>
  <c r="Q258" i="1" s="1"/>
  <c r="Q244" i="1"/>
  <c r="Q249" i="1" s="1"/>
  <c r="R97" i="8"/>
  <c r="R99" i="8"/>
  <c r="R103" i="8"/>
  <c r="R108" i="8" s="1"/>
  <c r="R105" i="8"/>
  <c r="R117" i="8" s="1"/>
  <c r="S129" i="10"/>
  <c r="S127" i="10"/>
  <c r="S135" i="10"/>
  <c r="S141" i="10" s="1"/>
  <c r="S133" i="10"/>
  <c r="S138" i="10" s="1"/>
  <c r="R117" i="1"/>
  <c r="R115" i="1"/>
  <c r="R123" i="1"/>
  <c r="R137" i="1" s="1"/>
  <c r="R121" i="1"/>
  <c r="R126" i="1" s="1"/>
  <c r="R43" i="17"/>
  <c r="R5" i="17"/>
  <c r="N43" i="15"/>
  <c r="Q30" i="15"/>
  <c r="R31" i="15"/>
  <c r="T33" i="15"/>
  <c r="S32" i="15"/>
  <c r="P29" i="15"/>
  <c r="T164" i="11"/>
  <c r="T202" i="11" s="1"/>
  <c r="T211" i="11" s="1"/>
  <c r="T177" i="1"/>
  <c r="T232" i="1"/>
  <c r="T241" i="1" s="1"/>
  <c r="Q104" i="12"/>
  <c r="Q109" i="12" s="1"/>
  <c r="Q106" i="12"/>
  <c r="Q112" i="12" s="1"/>
  <c r="U9" i="11"/>
  <c r="U23" i="11" s="1"/>
  <c r="V9" i="1"/>
  <c r="U23" i="1"/>
  <c r="R274" i="1"/>
  <c r="R157" i="1"/>
  <c r="R270" i="1"/>
  <c r="R153" i="1"/>
  <c r="R37" i="1"/>
  <c r="P57" i="17"/>
  <c r="P45" i="17"/>
  <c r="T32" i="11"/>
  <c r="V146" i="11"/>
  <c r="V184" i="11" s="1"/>
  <c r="V214" i="1"/>
  <c r="S55" i="11"/>
  <c r="S93" i="11" s="1"/>
  <c r="S93" i="1"/>
  <c r="S17" i="15"/>
  <c r="Q15" i="15"/>
  <c r="R16" i="15"/>
  <c r="T18" i="15"/>
  <c r="P14" i="15"/>
  <c r="T35" i="6"/>
  <c r="T38" i="6"/>
  <c r="U60" i="10"/>
  <c r="U101" i="10" s="1"/>
  <c r="V60" i="6"/>
  <c r="U101" i="6"/>
  <c r="O58" i="17"/>
  <c r="O46" i="17"/>
  <c r="O59" i="17" s="1"/>
  <c r="T129" i="6"/>
  <c r="T62" i="10"/>
  <c r="T103" i="10" s="1"/>
  <c r="T103" i="6"/>
  <c r="U10" i="11"/>
  <c r="U24" i="11" s="1"/>
  <c r="U24" i="1"/>
  <c r="U56" i="10"/>
  <c r="U97" i="10" s="1"/>
  <c r="V56" i="6"/>
  <c r="U97" i="6"/>
  <c r="O154" i="5"/>
  <c r="N159" i="5"/>
  <c r="Q134" i="10"/>
  <c r="Q139" i="10" s="1"/>
  <c r="Q136" i="10"/>
  <c r="Q142" i="10" s="1"/>
  <c r="U75" i="10"/>
  <c r="U116" i="10" s="1"/>
  <c r="V75" i="6"/>
  <c r="U116" i="6"/>
  <c r="Q104" i="8"/>
  <c r="Q112" i="8" s="1"/>
  <c r="Q132" i="8"/>
  <c r="Q134" i="8" s="1"/>
  <c r="Q128" i="8"/>
  <c r="Q130" i="8" s="1"/>
  <c r="Q106" i="8"/>
  <c r="Q121" i="8" s="1"/>
  <c r="Q66" i="17"/>
  <c r="Q65" i="17"/>
  <c r="Q64" i="17"/>
  <c r="Q63" i="17"/>
  <c r="R47" i="17"/>
  <c r="R60" i="17" s="1"/>
  <c r="S48" i="17"/>
  <c r="S61" i="17" s="1"/>
  <c r="T49" i="17"/>
  <c r="T62" i="17" s="1"/>
  <c r="Q44" i="17"/>
  <c r="Q210" i="11"/>
  <c r="Q208" i="11"/>
  <c r="Q216" i="11"/>
  <c r="Q222" i="11" s="1"/>
  <c r="Q214" i="11"/>
  <c r="Q219" i="11" s="1"/>
  <c r="T54" i="11"/>
  <c r="T92" i="11" s="1"/>
  <c r="T56" i="1"/>
  <c r="T55" i="1"/>
  <c r="T92" i="1"/>
  <c r="Q161" i="6"/>
  <c r="Q163" i="6" s="1"/>
  <c r="Q157" i="6"/>
  <c r="Q159" i="6" s="1"/>
  <c r="Q135" i="6"/>
  <c r="Q150" i="6" s="1"/>
  <c r="Q133" i="6"/>
  <c r="Q141" i="6" s="1"/>
  <c r="Q124" i="11"/>
  <c r="Q130" i="11" s="1"/>
  <c r="Q122" i="11"/>
  <c r="Q127" i="11" s="1"/>
  <c r="H58" i="17"/>
  <c r="H46" i="17"/>
  <c r="H59" i="17" s="1"/>
  <c r="U83" i="10"/>
  <c r="U124" i="10" s="1"/>
  <c r="V83" i="6"/>
  <c r="U123" i="6"/>
  <c r="V66" i="10"/>
  <c r="V107" i="10" s="1"/>
  <c r="V107" i="6"/>
  <c r="S56" i="11"/>
  <c r="S94" i="11" s="1"/>
  <c r="S94" i="1"/>
  <c r="T21" i="12"/>
  <c r="T64" i="12" s="1"/>
  <c r="T64" i="8"/>
  <c r="U21" i="8"/>
  <c r="V8" i="6"/>
  <c r="U8" i="10"/>
  <c r="U23" i="10" s="1"/>
  <c r="U34" i="10" s="1"/>
  <c r="U23" i="6"/>
  <c r="U34" i="6" s="1"/>
  <c r="S33" i="1"/>
  <c r="S36" i="1"/>
  <c r="V59" i="10"/>
  <c r="V100" i="10" s="1"/>
  <c r="V100" i="6"/>
  <c r="T76" i="10"/>
  <c r="T117" i="10" s="1"/>
  <c r="T117" i="6"/>
  <c r="T63" i="10"/>
  <c r="T104" i="10" s="1"/>
  <c r="T104" i="6"/>
  <c r="Q156" i="1"/>
  <c r="Q158" i="1" s="1"/>
  <c r="Q152" i="1"/>
  <c r="Q154" i="1" s="1"/>
  <c r="Q124" i="1"/>
  <c r="Q143" i="1" s="1"/>
  <c r="Q122" i="1"/>
  <c r="Q132" i="1" s="1"/>
  <c r="U11" i="11"/>
  <c r="U25" i="11" s="1"/>
  <c r="U25" i="1"/>
  <c r="P151" i="14"/>
  <c r="O156" i="14"/>
  <c r="M58" i="17"/>
  <c r="M46" i="17"/>
  <c r="M59" i="17" s="1"/>
  <c r="R157" i="6"/>
  <c r="R159" i="6" s="1"/>
  <c r="R161" i="6"/>
  <c r="R163" i="6" s="1"/>
  <c r="S33" i="11"/>
  <c r="S37" i="11" s="1"/>
  <c r="S36" i="11"/>
  <c r="S41" i="12"/>
  <c r="S84" i="12" s="1"/>
  <c r="T41" i="8"/>
  <c r="S84" i="8"/>
  <c r="U71" i="11"/>
  <c r="U109" i="11" s="1"/>
  <c r="U118" i="11" s="1"/>
  <c r="U194" i="1"/>
  <c r="V71" i="1"/>
  <c r="U54" i="1"/>
  <c r="U109" i="1"/>
  <c r="U118" i="1" s="1"/>
  <c r="O152" i="5"/>
  <c r="N157" i="5"/>
  <c r="N157" i="14"/>
  <c r="O152" i="14"/>
  <c r="T32" i="1"/>
  <c r="S25" i="15"/>
  <c r="T26" i="15"/>
  <c r="V28" i="15"/>
  <c r="U27" i="15"/>
  <c r="R24" i="15"/>
  <c r="S114" i="11"/>
  <c r="N159" i="14"/>
  <c r="O154" i="14"/>
  <c r="S125" i="6"/>
  <c r="S96" i="12"/>
  <c r="T35" i="10"/>
  <c r="T39" i="10" s="1"/>
  <c r="T38" i="10"/>
  <c r="V143" i="11"/>
  <c r="V181" i="11" s="1"/>
  <c r="V211" i="1"/>
  <c r="S147" i="11"/>
  <c r="S185" i="11" s="1"/>
  <c r="S178" i="1"/>
  <c r="S179" i="1"/>
  <c r="S215" i="1"/>
  <c r="Q153" i="14"/>
  <c r="P158" i="14"/>
  <c r="U58" i="10"/>
  <c r="U99" i="10" s="1"/>
  <c r="V58" i="6"/>
  <c r="U99" i="6"/>
  <c r="V65" i="11"/>
  <c r="V103" i="11" s="1"/>
  <c r="V103" i="1"/>
  <c r="U79" i="10"/>
  <c r="U120" i="10" s="1"/>
  <c r="U130" i="10" s="1"/>
  <c r="U64" i="6"/>
  <c r="U63" i="6"/>
  <c r="U62" i="6"/>
  <c r="U61" i="6"/>
  <c r="V79" i="6"/>
  <c r="U76" i="6"/>
  <c r="U120" i="6"/>
  <c r="U129" i="6" s="1"/>
  <c r="T64" i="10"/>
  <c r="T105" i="10" s="1"/>
  <c r="T105" i="6"/>
  <c r="U14" i="11"/>
  <c r="U28" i="11" s="1"/>
  <c r="U28" i="1"/>
  <c r="S162" i="6"/>
  <c r="S158" i="6"/>
  <c r="S39" i="6"/>
  <c r="S133" i="8"/>
  <c r="S129" i="8"/>
  <c r="U158" i="11"/>
  <c r="U196" i="11" s="1"/>
  <c r="V188" i="1"/>
  <c r="U226" i="1"/>
  <c r="P153" i="5"/>
  <c r="O158" i="5"/>
  <c r="R149" i="11"/>
  <c r="R187" i="11" s="1"/>
  <c r="R217" i="1"/>
  <c r="U74" i="10"/>
  <c r="U115" i="10" s="1"/>
  <c r="V74" i="6"/>
  <c r="U115" i="6"/>
  <c r="U25" i="12"/>
  <c r="U68" i="12" s="1"/>
  <c r="U68" i="8"/>
  <c r="V25" i="8"/>
  <c r="P273" i="1"/>
  <c r="P275" i="1" s="1"/>
  <c r="P269" i="1"/>
  <c r="P271" i="1" s="1"/>
  <c r="P247" i="1"/>
  <c r="P262" i="1" s="1"/>
  <c r="P245" i="1"/>
  <c r="P253" i="1" s="1"/>
  <c r="Q18" i="17"/>
  <c r="M44" i="15"/>
  <c r="P20" i="15"/>
  <c r="R22" i="15"/>
  <c r="Q21" i="15"/>
  <c r="S23" i="15"/>
  <c r="O19" i="15"/>
  <c r="O34" i="15" s="1"/>
  <c r="V49" i="10"/>
  <c r="V90" i="10" s="1"/>
  <c r="V90" i="6"/>
  <c r="V2" i="16"/>
  <c r="V35" i="15"/>
  <c r="T42" i="12"/>
  <c r="T85" i="12" s="1"/>
  <c r="U42" i="8"/>
  <c r="T85" i="8"/>
  <c r="U8" i="11"/>
  <c r="U22" i="11" s="1"/>
  <c r="U32" i="11" s="1"/>
  <c r="U33" i="11" s="1"/>
  <c r="U37" i="11" s="1"/>
  <c r="V8" i="1"/>
  <c r="U22" i="1"/>
  <c r="U32" i="1" s="1"/>
  <c r="U33" i="1" s="1"/>
  <c r="U73" i="10"/>
  <c r="U114" i="10" s="1"/>
  <c r="V73" i="6"/>
  <c r="U114" i="6"/>
  <c r="S114" i="1"/>
  <c r="V57" i="10"/>
  <c r="V98" i="10" s="1"/>
  <c r="V98" i="6"/>
  <c r="S96" i="8"/>
  <c r="P151" i="5"/>
  <c r="O156" i="5"/>
  <c r="U72" i="10"/>
  <c r="U113" i="10" s="1"/>
  <c r="V72" i="6"/>
  <c r="U113" i="6"/>
  <c r="T61" i="10"/>
  <c r="T102" i="10" s="1"/>
  <c r="T126" i="10" s="1"/>
  <c r="T102" i="6"/>
  <c r="T125" i="6" s="1"/>
  <c r="T130" i="10"/>
  <c r="U274" i="1"/>
  <c r="U270" i="1"/>
  <c r="U157" i="1"/>
  <c r="U153" i="1"/>
  <c r="U37" i="1"/>
  <c r="U36" i="1"/>
  <c r="V17" i="11"/>
  <c r="V31" i="11" s="1"/>
  <c r="V34" i="11" s="1"/>
  <c r="V14" i="1"/>
  <c r="V11" i="1"/>
  <c r="V10" i="1"/>
  <c r="V31" i="1"/>
  <c r="V34" i="1" s="1"/>
  <c r="K58" i="17"/>
  <c r="K46" i="17"/>
  <c r="K59" i="17" s="1"/>
  <c r="L58" i="17"/>
  <c r="L46" i="17"/>
  <c r="L59" i="17" s="1"/>
  <c r="I58" i="17"/>
  <c r="I46" i="17"/>
  <c r="I59" i="17" s="1"/>
  <c r="R148" i="11"/>
  <c r="R186" i="11" s="1"/>
  <c r="R207" i="11" s="1"/>
  <c r="R216" i="1"/>
  <c r="R237" i="1" s="1"/>
  <c r="V161" i="11"/>
  <c r="V199" i="11" s="1"/>
  <c r="V229" i="1"/>
  <c r="P215" i="11"/>
  <c r="P220" i="11" s="1"/>
  <c r="P217" i="11"/>
  <c r="P223" i="11" s="1"/>
  <c r="S10" i="17"/>
  <c r="S23" i="17" s="1"/>
  <c r="Q28" i="17"/>
  <c r="Q27" i="17"/>
  <c r="Q26" i="17"/>
  <c r="Q25" i="17"/>
  <c r="T11" i="17"/>
  <c r="T24" i="17" s="1"/>
  <c r="Q8" i="17"/>
  <c r="Q21" i="17" s="1"/>
  <c r="Q6" i="17"/>
  <c r="Q19" i="17" s="1"/>
  <c r="R9" i="17"/>
  <c r="R22" i="17" s="1"/>
  <c r="Q7" i="17"/>
  <c r="Q20" i="17" s="1"/>
  <c r="R210" i="11" l="1"/>
  <c r="R208" i="11"/>
  <c r="R216" i="11"/>
  <c r="R222" i="11" s="1"/>
  <c r="R214" i="11"/>
  <c r="R219" i="11" s="1"/>
  <c r="R240" i="1"/>
  <c r="R238" i="1"/>
  <c r="R244" i="1"/>
  <c r="R249" i="1" s="1"/>
  <c r="R246" i="1"/>
  <c r="R258" i="1" s="1"/>
  <c r="S43" i="17"/>
  <c r="S5" i="17"/>
  <c r="O43" i="15"/>
  <c r="S22" i="15"/>
  <c r="Q20" i="15"/>
  <c r="T23" i="15"/>
  <c r="R21" i="15"/>
  <c r="P19" i="15"/>
  <c r="V14" i="11"/>
  <c r="V28" i="11" s="1"/>
  <c r="V28" i="1"/>
  <c r="T135" i="10"/>
  <c r="T141" i="10" s="1"/>
  <c r="T133" i="10"/>
  <c r="T138" i="10" s="1"/>
  <c r="V72" i="10"/>
  <c r="V113" i="10" s="1"/>
  <c r="V113" i="6"/>
  <c r="V73" i="10"/>
  <c r="V114" i="10" s="1"/>
  <c r="V114" i="6"/>
  <c r="U42" i="12"/>
  <c r="U85" i="12" s="1"/>
  <c r="V42" i="8"/>
  <c r="U85" i="8"/>
  <c r="V158" i="11"/>
  <c r="V196" i="11" s="1"/>
  <c r="V226" i="1"/>
  <c r="V76" i="6"/>
  <c r="V79" i="10"/>
  <c r="V120" i="10" s="1"/>
  <c r="V64" i="6"/>
  <c r="V63" i="6"/>
  <c r="V62" i="6"/>
  <c r="V61" i="6"/>
  <c r="V120" i="6"/>
  <c r="U64" i="10"/>
  <c r="U105" i="10" s="1"/>
  <c r="U126" i="10" s="1"/>
  <c r="U105" i="6"/>
  <c r="S148" i="11"/>
  <c r="S186" i="11" s="1"/>
  <c r="S216" i="1"/>
  <c r="S99" i="12"/>
  <c r="S97" i="12"/>
  <c r="S103" i="12"/>
  <c r="S108" i="12" s="1"/>
  <c r="S105" i="12"/>
  <c r="S111" i="12" s="1"/>
  <c r="V71" i="11"/>
  <c r="V109" i="11" s="1"/>
  <c r="V118" i="11" s="1"/>
  <c r="V194" i="1"/>
  <c r="V54" i="1"/>
  <c r="V109" i="1"/>
  <c r="V118" i="1" s="1"/>
  <c r="T41" i="12"/>
  <c r="T84" i="12" s="1"/>
  <c r="U41" i="8"/>
  <c r="T84" i="8"/>
  <c r="S157" i="1"/>
  <c r="S153" i="1"/>
  <c r="S274" i="1"/>
  <c r="S37" i="1"/>
  <c r="S270" i="1"/>
  <c r="V8" i="10"/>
  <c r="V23" i="10" s="1"/>
  <c r="V34" i="10" s="1"/>
  <c r="V23" i="6"/>
  <c r="V34" i="6" s="1"/>
  <c r="Q57" i="17"/>
  <c r="Q45" i="17"/>
  <c r="V56" i="10"/>
  <c r="V97" i="10" s="1"/>
  <c r="V97" i="6"/>
  <c r="U36" i="11"/>
  <c r="P34" i="15"/>
  <c r="R66" i="17"/>
  <c r="R65" i="17"/>
  <c r="R64" i="17"/>
  <c r="R63" i="17"/>
  <c r="T48" i="17"/>
  <c r="T61" i="17" s="1"/>
  <c r="U49" i="17"/>
  <c r="U62" i="17" s="1"/>
  <c r="S47" i="17"/>
  <c r="S60" i="17" s="1"/>
  <c r="R44" i="17"/>
  <c r="T128" i="6"/>
  <c r="T126" i="6"/>
  <c r="P156" i="5"/>
  <c r="Q151" i="5"/>
  <c r="Q56" i="17"/>
  <c r="V25" i="12"/>
  <c r="V68" i="12" s="1"/>
  <c r="V68" i="8"/>
  <c r="V74" i="10"/>
  <c r="V115" i="10" s="1"/>
  <c r="V115" i="6"/>
  <c r="U61" i="10"/>
  <c r="U102" i="10" s="1"/>
  <c r="U102" i="6"/>
  <c r="V58" i="10"/>
  <c r="V99" i="10" s="1"/>
  <c r="V99" i="6"/>
  <c r="R153" i="14"/>
  <c r="Q158" i="14"/>
  <c r="S128" i="6"/>
  <c r="S126" i="6"/>
  <c r="S134" i="6"/>
  <c r="S146" i="6" s="1"/>
  <c r="S132" i="6"/>
  <c r="S137" i="6" s="1"/>
  <c r="S117" i="11"/>
  <c r="S115" i="11"/>
  <c r="S123" i="11"/>
  <c r="S129" i="11" s="1"/>
  <c r="S121" i="11"/>
  <c r="S126" i="11" s="1"/>
  <c r="P152" i="5"/>
  <c r="O157" i="5"/>
  <c r="U164" i="11"/>
  <c r="U202" i="11" s="1"/>
  <c r="U211" i="11" s="1"/>
  <c r="U177" i="1"/>
  <c r="U232" i="1"/>
  <c r="U241" i="1" s="1"/>
  <c r="U21" i="12"/>
  <c r="U64" i="12" s="1"/>
  <c r="U64" i="8"/>
  <c r="V21" i="8"/>
  <c r="V83" i="10"/>
  <c r="V124" i="10" s="1"/>
  <c r="V123" i="6"/>
  <c r="T55" i="11"/>
  <c r="T93" i="11" s="1"/>
  <c r="T93" i="1"/>
  <c r="R25" i="15"/>
  <c r="S26" i="15"/>
  <c r="T27" i="15"/>
  <c r="U28" i="15"/>
  <c r="Q24" i="15"/>
  <c r="P154" i="5"/>
  <c r="O159" i="5"/>
  <c r="T33" i="11"/>
  <c r="T37" i="11" s="1"/>
  <c r="T36" i="11"/>
  <c r="U33" i="15"/>
  <c r="R30" i="15"/>
  <c r="T32" i="15"/>
  <c r="S31" i="15"/>
  <c r="Q29" i="15"/>
  <c r="R156" i="1"/>
  <c r="R158" i="1" s="1"/>
  <c r="R152" i="1"/>
  <c r="R154" i="1" s="1"/>
  <c r="R122" i="1"/>
  <c r="R132" i="1" s="1"/>
  <c r="R124" i="1"/>
  <c r="R143" i="1" s="1"/>
  <c r="S134" i="10"/>
  <c r="S139" i="10" s="1"/>
  <c r="S136" i="10"/>
  <c r="S142" i="10" s="1"/>
  <c r="Q273" i="1"/>
  <c r="Q275" i="1" s="1"/>
  <c r="Q269" i="1"/>
  <c r="Q271" i="1" s="1"/>
  <c r="Q247" i="1"/>
  <c r="Q262" i="1" s="1"/>
  <c r="Q245" i="1"/>
  <c r="Q253" i="1" s="1"/>
  <c r="V10" i="11"/>
  <c r="V24" i="11" s="1"/>
  <c r="V24" i="1"/>
  <c r="T129" i="10"/>
  <c r="T127" i="10"/>
  <c r="T136" i="10" s="1"/>
  <c r="T142" i="10" s="1"/>
  <c r="S117" i="1"/>
  <c r="S115" i="1"/>
  <c r="S123" i="1"/>
  <c r="S137" i="1" s="1"/>
  <c r="S121" i="1"/>
  <c r="S126" i="1" s="1"/>
  <c r="P158" i="5"/>
  <c r="Q153" i="5"/>
  <c r="U62" i="10"/>
  <c r="U103" i="10" s="1"/>
  <c r="U103" i="6"/>
  <c r="P154" i="14"/>
  <c r="O159" i="14"/>
  <c r="P152" i="14"/>
  <c r="O157" i="14"/>
  <c r="U35" i="6"/>
  <c r="U38" i="6"/>
  <c r="T96" i="8"/>
  <c r="T17" i="15"/>
  <c r="R15" i="15"/>
  <c r="S16" i="15"/>
  <c r="U18" i="15"/>
  <c r="Q14" i="15"/>
  <c r="T56" i="11"/>
  <c r="T94" i="11" s="1"/>
  <c r="T94" i="1"/>
  <c r="T114" i="1" s="1"/>
  <c r="Q215" i="11"/>
  <c r="Q220" i="11" s="1"/>
  <c r="Q217" i="11"/>
  <c r="Q223" i="11" s="1"/>
  <c r="V75" i="10"/>
  <c r="V116" i="10" s="1"/>
  <c r="V116" i="6"/>
  <c r="P58" i="17"/>
  <c r="P46" i="17"/>
  <c r="P59" i="17" s="1"/>
  <c r="V9" i="11"/>
  <c r="V23" i="11" s="1"/>
  <c r="V23" i="1"/>
  <c r="R18" i="17"/>
  <c r="N44" i="15"/>
  <c r="R56" i="17" s="1"/>
  <c r="R132" i="8"/>
  <c r="R134" i="8" s="1"/>
  <c r="R104" i="8"/>
  <c r="R112" i="8" s="1"/>
  <c r="R128" i="8"/>
  <c r="R130" i="8" s="1"/>
  <c r="R106" i="8"/>
  <c r="R121" i="8" s="1"/>
  <c r="R122" i="11"/>
  <c r="R127" i="11" s="1"/>
  <c r="R124" i="11"/>
  <c r="R130" i="11" s="1"/>
  <c r="V11" i="11"/>
  <c r="V25" i="11" s="1"/>
  <c r="V25" i="1"/>
  <c r="S97" i="8"/>
  <c r="S99" i="8"/>
  <c r="S103" i="8"/>
  <c r="S108" i="8" s="1"/>
  <c r="S105" i="8"/>
  <c r="S117" i="8" s="1"/>
  <c r="V8" i="11"/>
  <c r="V22" i="11" s="1"/>
  <c r="V32" i="11" s="1"/>
  <c r="V33" i="11" s="1"/>
  <c r="V37" i="11" s="1"/>
  <c r="V22" i="1"/>
  <c r="V32" i="1" s="1"/>
  <c r="V33" i="1" s="1"/>
  <c r="V37" i="1" s="1"/>
  <c r="W2" i="16"/>
  <c r="W35" i="15"/>
  <c r="U76" i="10"/>
  <c r="U117" i="10" s="1"/>
  <c r="U117" i="6"/>
  <c r="U63" i="10"/>
  <c r="U104" i="10" s="1"/>
  <c r="U104" i="6"/>
  <c r="S149" i="11"/>
  <c r="S187" i="11" s="1"/>
  <c r="S207" i="11" s="1"/>
  <c r="S217" i="1"/>
  <c r="S237" i="1" s="1"/>
  <c r="T33" i="1"/>
  <c r="T36" i="1"/>
  <c r="U54" i="11"/>
  <c r="U92" i="11" s="1"/>
  <c r="U56" i="1"/>
  <c r="U55" i="1"/>
  <c r="U92" i="1"/>
  <c r="Q151" i="14"/>
  <c r="P156" i="14"/>
  <c r="U35" i="10"/>
  <c r="U39" i="10" s="1"/>
  <c r="U38" i="10"/>
  <c r="T96" i="12"/>
  <c r="T114" i="11"/>
  <c r="T135" i="6"/>
  <c r="T134" i="6"/>
  <c r="T146" i="6" s="1"/>
  <c r="T133" i="6"/>
  <c r="T132" i="6"/>
  <c r="T137" i="6" s="1"/>
  <c r="V60" i="10"/>
  <c r="V101" i="10" s="1"/>
  <c r="V101" i="6"/>
  <c r="T158" i="6"/>
  <c r="T162" i="6"/>
  <c r="T129" i="8"/>
  <c r="T133" i="8"/>
  <c r="T39" i="6"/>
  <c r="T147" i="11"/>
  <c r="T185" i="11" s="1"/>
  <c r="T179" i="1"/>
  <c r="T178" i="1"/>
  <c r="T215" i="1"/>
  <c r="R28" i="17"/>
  <c r="R27" i="17"/>
  <c r="R26" i="17"/>
  <c r="R25" i="17"/>
  <c r="U11" i="17"/>
  <c r="U24" i="17" s="1"/>
  <c r="S9" i="17"/>
  <c r="S22" i="17" s="1"/>
  <c r="T10" i="17"/>
  <c r="T23" i="17" s="1"/>
  <c r="R7" i="17"/>
  <c r="R20" i="17" s="1"/>
  <c r="R8" i="17"/>
  <c r="R21" i="17" s="1"/>
  <c r="R6" i="17"/>
  <c r="R19" i="17" s="1"/>
  <c r="R104" i="12"/>
  <c r="R109" i="12" s="1"/>
  <c r="R106" i="12"/>
  <c r="R112" i="12" s="1"/>
  <c r="S210" i="11" l="1"/>
  <c r="S208" i="11"/>
  <c r="S214" i="11"/>
  <c r="S219" i="11" s="1"/>
  <c r="S216" i="11"/>
  <c r="S222" i="11" s="1"/>
  <c r="S240" i="1"/>
  <c r="S238" i="1"/>
  <c r="S244" i="1"/>
  <c r="S249" i="1" s="1"/>
  <c r="S246" i="1"/>
  <c r="S258" i="1" s="1"/>
  <c r="T117" i="1"/>
  <c r="T115" i="1"/>
  <c r="T123" i="1"/>
  <c r="T137" i="1" s="1"/>
  <c r="T121" i="1"/>
  <c r="T126" i="1" s="1"/>
  <c r="U129" i="10"/>
  <c r="U127" i="10"/>
  <c r="U133" i="10"/>
  <c r="U138" i="10" s="1"/>
  <c r="U135" i="10"/>
  <c r="U141" i="10" s="1"/>
  <c r="T141" i="6"/>
  <c r="T22" i="15"/>
  <c r="S21" i="15"/>
  <c r="U23" i="15"/>
  <c r="R20" i="15"/>
  <c r="Q19" i="15"/>
  <c r="T99" i="8"/>
  <c r="T97" i="8"/>
  <c r="T105" i="8"/>
  <c r="T117" i="8" s="1"/>
  <c r="T103" i="8"/>
  <c r="T108" i="8" s="1"/>
  <c r="R153" i="5"/>
  <c r="Q158" i="5"/>
  <c r="W28" i="15"/>
  <c r="T25" i="15"/>
  <c r="V27" i="15"/>
  <c r="U26" i="15"/>
  <c r="S24" i="15"/>
  <c r="P159" i="5"/>
  <c r="Q154" i="5"/>
  <c r="S122" i="11"/>
  <c r="S127" i="11" s="1"/>
  <c r="S124" i="11"/>
  <c r="S130" i="11" s="1"/>
  <c r="S161" i="6"/>
  <c r="S163" i="6" s="1"/>
  <c r="S157" i="6"/>
  <c r="S159" i="6" s="1"/>
  <c r="S133" i="6"/>
  <c r="S141" i="6" s="1"/>
  <c r="S135" i="6"/>
  <c r="S150" i="6" s="1"/>
  <c r="R158" i="14"/>
  <c r="S153" i="14"/>
  <c r="V157" i="1"/>
  <c r="R57" i="17"/>
  <c r="R45" i="17"/>
  <c r="T43" i="17"/>
  <c r="T5" i="17"/>
  <c r="P43" i="15"/>
  <c r="V35" i="6"/>
  <c r="V38" i="6"/>
  <c r="U41" i="12"/>
  <c r="U84" i="12" s="1"/>
  <c r="U96" i="12" s="1"/>
  <c r="V41" i="8"/>
  <c r="U84" i="8"/>
  <c r="V164" i="11"/>
  <c r="V202" i="11" s="1"/>
  <c r="V211" i="11" s="1"/>
  <c r="V177" i="1"/>
  <c r="V232" i="1"/>
  <c r="V241" i="1" s="1"/>
  <c r="S104" i="12"/>
  <c r="S109" i="12" s="1"/>
  <c r="S106" i="12"/>
  <c r="S112" i="12" s="1"/>
  <c r="V62" i="10"/>
  <c r="V103" i="10" s="1"/>
  <c r="V103" i="6"/>
  <c r="V76" i="10"/>
  <c r="V117" i="10" s="1"/>
  <c r="V117" i="6"/>
  <c r="R217" i="11"/>
  <c r="R223" i="11" s="1"/>
  <c r="R215" i="11"/>
  <c r="R220" i="11" s="1"/>
  <c r="U32" i="15"/>
  <c r="S30" i="15"/>
  <c r="T31" i="15"/>
  <c r="V33" i="15"/>
  <c r="R29" i="15"/>
  <c r="T148" i="11"/>
  <c r="T186" i="11" s="1"/>
  <c r="T216" i="1"/>
  <c r="T237" i="1" s="1"/>
  <c r="U55" i="11"/>
  <c r="U93" i="11" s="1"/>
  <c r="U93" i="1"/>
  <c r="T270" i="1"/>
  <c r="T153" i="1"/>
  <c r="T157" i="1"/>
  <c r="T274" i="1"/>
  <c r="T37" i="1"/>
  <c r="S128" i="8"/>
  <c r="S130" i="8" s="1"/>
  <c r="S106" i="8"/>
  <c r="S121" i="8" s="1"/>
  <c r="S132" i="8"/>
  <c r="S134" i="8" s="1"/>
  <c r="S104" i="8"/>
  <c r="S112" i="8" s="1"/>
  <c r="Q152" i="14"/>
  <c r="P157" i="14"/>
  <c r="P157" i="5"/>
  <c r="Q152" i="5"/>
  <c r="T161" i="6"/>
  <c r="T163" i="6" s="1"/>
  <c r="T157" i="6"/>
  <c r="T159" i="6" s="1"/>
  <c r="V153" i="1"/>
  <c r="V270" i="1"/>
  <c r="Q58" i="17"/>
  <c r="Q46" i="17"/>
  <c r="Q59" i="17" s="1"/>
  <c r="V35" i="10"/>
  <c r="V39" i="10" s="1"/>
  <c r="V38" i="10"/>
  <c r="V63" i="10"/>
  <c r="V104" i="10" s="1"/>
  <c r="V104" i="6"/>
  <c r="V42" i="12"/>
  <c r="V85" i="12" s="1"/>
  <c r="V85" i="8"/>
  <c r="T134" i="10"/>
  <c r="T139" i="10" s="1"/>
  <c r="S18" i="17"/>
  <c r="O44" i="15"/>
  <c r="S56" i="17" s="1"/>
  <c r="T117" i="11"/>
  <c r="T115" i="11"/>
  <c r="T123" i="11"/>
  <c r="T129" i="11" s="1"/>
  <c r="T121" i="11"/>
  <c r="T126" i="11" s="1"/>
  <c r="T149" i="11"/>
  <c r="T187" i="11" s="1"/>
  <c r="T217" i="1"/>
  <c r="T150" i="6"/>
  <c r="T97" i="12"/>
  <c r="T99" i="12"/>
  <c r="T105" i="12"/>
  <c r="T111" i="12" s="1"/>
  <c r="T103" i="12"/>
  <c r="T108" i="12" s="1"/>
  <c r="U56" i="11"/>
  <c r="U94" i="11" s="1"/>
  <c r="U94" i="1"/>
  <c r="U114" i="1" s="1"/>
  <c r="U162" i="6"/>
  <c r="U158" i="6"/>
  <c r="U129" i="8"/>
  <c r="U39" i="6"/>
  <c r="U133" i="8"/>
  <c r="S156" i="1"/>
  <c r="S158" i="1" s="1"/>
  <c r="S152" i="1"/>
  <c r="S154" i="1" s="1"/>
  <c r="S124" i="1"/>
  <c r="S143" i="1" s="1"/>
  <c r="S122" i="1"/>
  <c r="S132" i="1" s="1"/>
  <c r="V21" i="12"/>
  <c r="V64" i="12" s="1"/>
  <c r="V64" i="8"/>
  <c r="U147" i="11"/>
  <c r="U185" i="11" s="1"/>
  <c r="U179" i="1"/>
  <c r="U178" i="1"/>
  <c r="U215" i="1"/>
  <c r="V36" i="1"/>
  <c r="V274" i="1"/>
  <c r="V129" i="6"/>
  <c r="V64" i="10"/>
  <c r="V105" i="10" s="1"/>
  <c r="V126" i="10" s="1"/>
  <c r="V105" i="6"/>
  <c r="S28" i="17"/>
  <c r="S27" i="17"/>
  <c r="S26" i="17"/>
  <c r="S25" i="17"/>
  <c r="V11" i="17"/>
  <c r="V24" i="17" s="1"/>
  <c r="U10" i="17"/>
  <c r="U23" i="17" s="1"/>
  <c r="S8" i="17"/>
  <c r="S21" i="17" s="1"/>
  <c r="T9" i="17"/>
  <c r="T22" i="17" s="1"/>
  <c r="S6" i="17"/>
  <c r="S19" i="17" s="1"/>
  <c r="S7" i="17"/>
  <c r="S20" i="17" s="1"/>
  <c r="R273" i="1"/>
  <c r="R275" i="1" s="1"/>
  <c r="R269" i="1"/>
  <c r="R271" i="1" s="1"/>
  <c r="R247" i="1"/>
  <c r="R262" i="1" s="1"/>
  <c r="R245" i="1"/>
  <c r="R253" i="1" s="1"/>
  <c r="T207" i="11"/>
  <c r="R151" i="14"/>
  <c r="Q156" i="14"/>
  <c r="U114" i="11"/>
  <c r="X2" i="16"/>
  <c r="X35" i="15"/>
  <c r="U17" i="15"/>
  <c r="S15" i="15"/>
  <c r="T16" i="15"/>
  <c r="V18" i="15"/>
  <c r="R14" i="15"/>
  <c r="Q34" i="15"/>
  <c r="Q154" i="14"/>
  <c r="P159" i="14"/>
  <c r="U96" i="8"/>
  <c r="U125" i="6"/>
  <c r="R151" i="5"/>
  <c r="Q156" i="5"/>
  <c r="V36" i="11"/>
  <c r="V54" i="11"/>
  <c r="V92" i="11" s="1"/>
  <c r="V56" i="1"/>
  <c r="V55" i="1"/>
  <c r="V92" i="1"/>
  <c r="V61" i="10"/>
  <c r="V102" i="10" s="1"/>
  <c r="V102" i="6"/>
  <c r="V130" i="10"/>
  <c r="S66" i="17"/>
  <c r="S65" i="17"/>
  <c r="S64" i="17"/>
  <c r="S63" i="17"/>
  <c r="S44" i="17"/>
  <c r="V49" i="17"/>
  <c r="V62" i="17" s="1"/>
  <c r="T47" i="17"/>
  <c r="T60" i="17" s="1"/>
  <c r="U48" i="17"/>
  <c r="U61" i="17" s="1"/>
  <c r="T240" i="1" l="1"/>
  <c r="T238" i="1"/>
  <c r="T244" i="1"/>
  <c r="T249" i="1" s="1"/>
  <c r="T246" i="1"/>
  <c r="T258" i="1" s="1"/>
  <c r="U97" i="12"/>
  <c r="U99" i="12"/>
  <c r="U105" i="12"/>
  <c r="U111" i="12" s="1"/>
  <c r="U103" i="12"/>
  <c r="U108" i="12" s="1"/>
  <c r="U117" i="1"/>
  <c r="U115" i="1"/>
  <c r="U123" i="1"/>
  <c r="U137" i="1" s="1"/>
  <c r="U121" i="1"/>
  <c r="U126" i="1" s="1"/>
  <c r="V129" i="10"/>
  <c r="V127" i="10"/>
  <c r="V56" i="11"/>
  <c r="V94" i="11" s="1"/>
  <c r="V94" i="1"/>
  <c r="U97" i="8"/>
  <c r="U99" i="8"/>
  <c r="U105" i="8"/>
  <c r="U117" i="8" s="1"/>
  <c r="U103" i="8"/>
  <c r="U108" i="8" s="1"/>
  <c r="U148" i="11"/>
  <c r="U186" i="11" s="1"/>
  <c r="U216" i="1"/>
  <c r="T106" i="12"/>
  <c r="T112" i="12" s="1"/>
  <c r="T104" i="12"/>
  <c r="T109" i="12" s="1"/>
  <c r="U25" i="15"/>
  <c r="V26" i="15"/>
  <c r="W27" i="15"/>
  <c r="X28" i="15"/>
  <c r="T24" i="15"/>
  <c r="V147" i="11"/>
  <c r="V185" i="11" s="1"/>
  <c r="V178" i="1"/>
  <c r="V179" i="1"/>
  <c r="V215" i="1"/>
  <c r="U9" i="17"/>
  <c r="U22" i="17" s="1"/>
  <c r="T8" i="17"/>
  <c r="T21" i="17" s="1"/>
  <c r="V10" i="17"/>
  <c r="V23" i="17" s="1"/>
  <c r="T28" i="17"/>
  <c r="T26" i="17"/>
  <c r="T25" i="17"/>
  <c r="T27" i="17"/>
  <c r="W11" i="17"/>
  <c r="W24" i="17" s="1"/>
  <c r="T7" i="17"/>
  <c r="T20" i="17" s="1"/>
  <c r="T6" i="17"/>
  <c r="T19" i="17" s="1"/>
  <c r="R58" i="17"/>
  <c r="R46" i="17"/>
  <c r="R59" i="17" s="1"/>
  <c r="R154" i="5"/>
  <c r="Q159" i="5"/>
  <c r="S217" i="11"/>
  <c r="S223" i="11" s="1"/>
  <c r="S215" i="11"/>
  <c r="S220" i="11" s="1"/>
  <c r="S151" i="5"/>
  <c r="R156" i="5"/>
  <c r="R156" i="14"/>
  <c r="S151" i="14"/>
  <c r="V125" i="6"/>
  <c r="U149" i="11"/>
  <c r="U187" i="11" s="1"/>
  <c r="U217" i="1"/>
  <c r="R152" i="14"/>
  <c r="Q157" i="14"/>
  <c r="V23" i="15"/>
  <c r="T21" i="15"/>
  <c r="U22" i="15"/>
  <c r="S20" i="15"/>
  <c r="R19" i="15"/>
  <c r="R34" i="15" s="1"/>
  <c r="T65" i="17"/>
  <c r="T64" i="17"/>
  <c r="T63" i="17"/>
  <c r="T66" i="17"/>
  <c r="W49" i="17"/>
  <c r="W62" i="17" s="1"/>
  <c r="U47" i="17"/>
  <c r="U60" i="17" s="1"/>
  <c r="V48" i="17"/>
  <c r="V61" i="17" s="1"/>
  <c r="T44" i="17"/>
  <c r="T104" i="8"/>
  <c r="T112" i="8" s="1"/>
  <c r="T128" i="8"/>
  <c r="T130" i="8" s="1"/>
  <c r="T106" i="8"/>
  <c r="T121" i="8" s="1"/>
  <c r="T132" i="8"/>
  <c r="T134" i="8" s="1"/>
  <c r="U136" i="10"/>
  <c r="U142" i="10" s="1"/>
  <c r="U134" i="10"/>
  <c r="U139" i="10" s="1"/>
  <c r="T156" i="1"/>
  <c r="T158" i="1" s="1"/>
  <c r="T152" i="1"/>
  <c r="T154" i="1" s="1"/>
  <c r="T122" i="1"/>
  <c r="T132" i="1" s="1"/>
  <c r="T124" i="1"/>
  <c r="T143" i="1" s="1"/>
  <c r="S269" i="1"/>
  <c r="S271" i="1" s="1"/>
  <c r="S273" i="1"/>
  <c r="S275" i="1" s="1"/>
  <c r="S245" i="1"/>
  <c r="S253" i="1" s="1"/>
  <c r="S247" i="1"/>
  <c r="S262" i="1" s="1"/>
  <c r="S45" i="17"/>
  <c r="S57" i="17"/>
  <c r="R154" i="14"/>
  <c r="Q159" i="14"/>
  <c r="Y2" i="16"/>
  <c r="Y35" i="15"/>
  <c r="T210" i="11"/>
  <c r="T208" i="11"/>
  <c r="T216" i="11"/>
  <c r="T222" i="11" s="1"/>
  <c r="T214" i="11"/>
  <c r="T219" i="11" s="1"/>
  <c r="U207" i="11"/>
  <c r="T124" i="11"/>
  <c r="T130" i="11" s="1"/>
  <c r="T122" i="11"/>
  <c r="T127" i="11" s="1"/>
  <c r="R152" i="5"/>
  <c r="Q157" i="5"/>
  <c r="T30" i="15"/>
  <c r="U31" i="15"/>
  <c r="W33" i="15"/>
  <c r="V32" i="15"/>
  <c r="S29" i="15"/>
  <c r="V158" i="6"/>
  <c r="V162" i="6"/>
  <c r="V39" i="6"/>
  <c r="V133" i="8"/>
  <c r="V129" i="8"/>
  <c r="V17" i="15"/>
  <c r="T15" i="15"/>
  <c r="U16" i="15"/>
  <c r="W18" i="15"/>
  <c r="S14" i="15"/>
  <c r="S153" i="5"/>
  <c r="R158" i="5"/>
  <c r="V136" i="10"/>
  <c r="V142" i="10" s="1"/>
  <c r="V135" i="10"/>
  <c r="V141" i="10" s="1"/>
  <c r="V134" i="10"/>
  <c r="V139" i="10" s="1"/>
  <c r="V133" i="10"/>
  <c r="V138" i="10" s="1"/>
  <c r="V55" i="11"/>
  <c r="V93" i="11" s="1"/>
  <c r="V114" i="11" s="1"/>
  <c r="V93" i="1"/>
  <c r="V114" i="1" s="1"/>
  <c r="U128" i="6"/>
  <c r="U126" i="6"/>
  <c r="U132" i="6"/>
  <c r="U137" i="6" s="1"/>
  <c r="U134" i="6"/>
  <c r="U146" i="6" s="1"/>
  <c r="U43" i="17"/>
  <c r="U5" i="17"/>
  <c r="Q43" i="15"/>
  <c r="U117" i="11"/>
  <c r="U115" i="11"/>
  <c r="U123" i="11"/>
  <c r="U129" i="11" s="1"/>
  <c r="U121" i="11"/>
  <c r="U126" i="11" s="1"/>
  <c r="V134" i="6"/>
  <c r="V146" i="6" s="1"/>
  <c r="V132" i="6"/>
  <c r="V137" i="6" s="1"/>
  <c r="U237" i="1"/>
  <c r="V96" i="8"/>
  <c r="V41" i="12"/>
  <c r="V84" i="12" s="1"/>
  <c r="V96" i="12" s="1"/>
  <c r="V84" i="8"/>
  <c r="T18" i="17"/>
  <c r="P44" i="15"/>
  <c r="T153" i="14"/>
  <c r="S158" i="14"/>
  <c r="V117" i="1" l="1"/>
  <c r="V115" i="1"/>
  <c r="V123" i="1"/>
  <c r="V137" i="1" s="1"/>
  <c r="V121" i="1"/>
  <c r="V126" i="1" s="1"/>
  <c r="V97" i="12"/>
  <c r="V99" i="12"/>
  <c r="V103" i="12"/>
  <c r="V108" i="12" s="1"/>
  <c r="V105" i="12"/>
  <c r="V111" i="12" s="1"/>
  <c r="V43" i="17"/>
  <c r="V5" i="17"/>
  <c r="R43" i="15"/>
  <c r="V117" i="11"/>
  <c r="V115" i="11"/>
  <c r="V121" i="11"/>
  <c r="V126" i="11" s="1"/>
  <c r="V123" i="11"/>
  <c r="V129" i="11" s="1"/>
  <c r="B149" i="6"/>
  <c r="B147" i="6"/>
  <c r="B148" i="6" s="1"/>
  <c r="U240" i="1"/>
  <c r="U238" i="1"/>
  <c r="U246" i="1"/>
  <c r="U258" i="1" s="1"/>
  <c r="U244" i="1"/>
  <c r="U249" i="1" s="1"/>
  <c r="U124" i="11"/>
  <c r="U130" i="11" s="1"/>
  <c r="U122" i="11"/>
  <c r="U127" i="11" s="1"/>
  <c r="U66" i="17"/>
  <c r="U65" i="17"/>
  <c r="U64" i="17"/>
  <c r="U63" i="17"/>
  <c r="V47" i="17"/>
  <c r="V60" i="17" s="1"/>
  <c r="W48" i="17"/>
  <c r="W61" i="17" s="1"/>
  <c r="X49" i="17"/>
  <c r="X62" i="17" s="1"/>
  <c r="U44" i="17"/>
  <c r="Z28" i="15"/>
  <c r="W25" i="15"/>
  <c r="Y27" i="15"/>
  <c r="X26" i="15"/>
  <c r="V24" i="15"/>
  <c r="T153" i="5"/>
  <c r="S158" i="5"/>
  <c r="S152" i="5"/>
  <c r="R157" i="5"/>
  <c r="V128" i="6"/>
  <c r="V126" i="6"/>
  <c r="T151" i="5"/>
  <c r="S156" i="5"/>
  <c r="U106" i="12"/>
  <c r="U112" i="12" s="1"/>
  <c r="U104" i="12"/>
  <c r="U109" i="12" s="1"/>
  <c r="B140" i="6"/>
  <c r="B138" i="6"/>
  <c r="B139" i="6" s="1"/>
  <c r="U15" i="15"/>
  <c r="W17" i="15"/>
  <c r="V16" i="15"/>
  <c r="X18" i="15"/>
  <c r="T14" i="15"/>
  <c r="Z2" i="16"/>
  <c r="Z35" i="15"/>
  <c r="T57" i="17"/>
  <c r="T45" i="17"/>
  <c r="T151" i="14"/>
  <c r="S156" i="14"/>
  <c r="V149" i="11"/>
  <c r="V187" i="11" s="1"/>
  <c r="V217" i="1"/>
  <c r="V31" i="15"/>
  <c r="X33" i="15"/>
  <c r="W32" i="15"/>
  <c r="U30" i="15"/>
  <c r="T29" i="15"/>
  <c r="T56" i="17"/>
  <c r="U153" i="14"/>
  <c r="T158" i="14"/>
  <c r="U18" i="17"/>
  <c r="Q44" i="15"/>
  <c r="U56" i="17" s="1"/>
  <c r="T217" i="11"/>
  <c r="T223" i="11" s="1"/>
  <c r="T215" i="11"/>
  <c r="T220" i="11" s="1"/>
  <c r="S58" i="17"/>
  <c r="S46" i="17"/>
  <c r="S59" i="17" s="1"/>
  <c r="V22" i="15"/>
  <c r="U21" i="15"/>
  <c r="T20" i="15"/>
  <c r="W23" i="15"/>
  <c r="S19" i="15"/>
  <c r="S34" i="15" s="1"/>
  <c r="S154" i="5"/>
  <c r="R159" i="5"/>
  <c r="V148" i="11"/>
  <c r="V186" i="11" s="1"/>
  <c r="V216" i="1"/>
  <c r="V237" i="1" s="1"/>
  <c r="U104" i="8"/>
  <c r="U112" i="8" s="1"/>
  <c r="U128" i="8"/>
  <c r="U130" i="8" s="1"/>
  <c r="U132" i="8"/>
  <c r="U134" i="8" s="1"/>
  <c r="U106" i="8"/>
  <c r="U121" i="8" s="1"/>
  <c r="V97" i="8"/>
  <c r="V99" i="8"/>
  <c r="V103" i="8"/>
  <c r="V108" i="8" s="1"/>
  <c r="V105" i="8"/>
  <c r="V117" i="8" s="1"/>
  <c r="W10" i="17"/>
  <c r="W23" i="17" s="1"/>
  <c r="U28" i="17"/>
  <c r="U27" i="17"/>
  <c r="U26" i="17"/>
  <c r="U25" i="17"/>
  <c r="X11" i="17"/>
  <c r="X24" i="17" s="1"/>
  <c r="V9" i="17"/>
  <c r="V22" i="17" s="1"/>
  <c r="U7" i="17"/>
  <c r="U20" i="17" s="1"/>
  <c r="U8" i="17"/>
  <c r="U21" i="17" s="1"/>
  <c r="U6" i="17"/>
  <c r="U19" i="17" s="1"/>
  <c r="U161" i="6"/>
  <c r="U163" i="6" s="1"/>
  <c r="U157" i="6"/>
  <c r="U159" i="6" s="1"/>
  <c r="U135" i="6"/>
  <c r="U150" i="6" s="1"/>
  <c r="U133" i="6"/>
  <c r="U141" i="6" s="1"/>
  <c r="U210" i="11"/>
  <c r="U208" i="11"/>
  <c r="U216" i="11"/>
  <c r="U222" i="11" s="1"/>
  <c r="U214" i="11"/>
  <c r="U219" i="11" s="1"/>
  <c r="R159" i="14"/>
  <c r="S154" i="14"/>
  <c r="Y28" i="15"/>
  <c r="V25" i="15"/>
  <c r="W26" i="15"/>
  <c r="X27" i="15"/>
  <c r="U24" i="15"/>
  <c r="R157" i="14"/>
  <c r="S152" i="14"/>
  <c r="V207" i="11"/>
  <c r="U156" i="1"/>
  <c r="U158" i="1" s="1"/>
  <c r="U152" i="1"/>
  <c r="U154" i="1" s="1"/>
  <c r="U124" i="1"/>
  <c r="U143" i="1" s="1"/>
  <c r="U122" i="1"/>
  <c r="U132" i="1" s="1"/>
  <c r="T273" i="1"/>
  <c r="T275" i="1" s="1"/>
  <c r="T269" i="1"/>
  <c r="T271" i="1" s="1"/>
  <c r="T247" i="1"/>
  <c r="T262" i="1" s="1"/>
  <c r="T245" i="1"/>
  <c r="T253" i="1" s="1"/>
  <c r="V240" i="1" l="1"/>
  <c r="V238" i="1"/>
  <c r="V246" i="1"/>
  <c r="V258" i="1" s="1"/>
  <c r="V244" i="1"/>
  <c r="V249" i="1" s="1"/>
  <c r="W43" i="17"/>
  <c r="W5" i="17"/>
  <c r="S43" i="15"/>
  <c r="V210" i="11"/>
  <c r="V208" i="11"/>
  <c r="V216" i="11"/>
  <c r="V222" i="11" s="1"/>
  <c r="V214" i="11"/>
  <c r="V219" i="11" s="1"/>
  <c r="U217" i="11"/>
  <c r="U223" i="11" s="1"/>
  <c r="U215" i="11"/>
  <c r="U220" i="11" s="1"/>
  <c r="T156" i="5"/>
  <c r="U151" i="5"/>
  <c r="T152" i="5"/>
  <c r="S157" i="5"/>
  <c r="U57" i="17"/>
  <c r="U45" i="17"/>
  <c r="X17" i="15"/>
  <c r="V15" i="15"/>
  <c r="W16" i="15"/>
  <c r="Y18" i="15"/>
  <c r="U14" i="15"/>
  <c r="U273" i="1"/>
  <c r="U275" i="1" s="1"/>
  <c r="U269" i="1"/>
  <c r="U271" i="1" s="1"/>
  <c r="U247" i="1"/>
  <c r="U262" i="1" s="1"/>
  <c r="U245" i="1"/>
  <c r="U253" i="1" s="1"/>
  <c r="T152" i="14"/>
  <c r="S157" i="14"/>
  <c r="B109" i="8"/>
  <c r="B110" i="8" s="1"/>
  <c r="B111" i="8"/>
  <c r="T58" i="17"/>
  <c r="T46" i="17"/>
  <c r="T59" i="17" s="1"/>
  <c r="V157" i="6"/>
  <c r="V159" i="6" s="1"/>
  <c r="B160" i="6" s="1"/>
  <c r="V161" i="6"/>
  <c r="V163" i="6" s="1"/>
  <c r="B164" i="6" s="1"/>
  <c r="V133" i="6"/>
  <c r="V141" i="6" s="1"/>
  <c r="V135" i="6"/>
  <c r="V150" i="6" s="1"/>
  <c r="V18" i="17"/>
  <c r="R44" i="15"/>
  <c r="V56" i="17" s="1"/>
  <c r="B127" i="1"/>
  <c r="B128" i="1" s="1"/>
  <c r="B129" i="1"/>
  <c r="T158" i="5"/>
  <c r="U153" i="5"/>
  <c r="V28" i="17"/>
  <c r="V27" i="17"/>
  <c r="V26" i="17"/>
  <c r="V25" i="17"/>
  <c r="Y11" i="17"/>
  <c r="Y24" i="17" s="1"/>
  <c r="W9" i="17"/>
  <c r="W22" i="17" s="1"/>
  <c r="X10" i="17"/>
  <c r="X23" i="17" s="1"/>
  <c r="V6" i="17"/>
  <c r="V19" i="17" s="1"/>
  <c r="V8" i="17"/>
  <c r="V21" i="17" s="1"/>
  <c r="V7" i="17"/>
  <c r="V20" i="17" s="1"/>
  <c r="B138" i="1"/>
  <c r="B139" i="1" s="1"/>
  <c r="B140" i="1"/>
  <c r="T154" i="14"/>
  <c r="S159" i="14"/>
  <c r="B120" i="8"/>
  <c r="B118" i="8"/>
  <c r="B119" i="8" s="1"/>
  <c r="V153" i="14"/>
  <c r="U158" i="14"/>
  <c r="U151" i="14"/>
  <c r="T156" i="14"/>
  <c r="V128" i="8"/>
  <c r="V130" i="8" s="1"/>
  <c r="B131" i="8" s="1"/>
  <c r="V106" i="8"/>
  <c r="V121" i="8" s="1"/>
  <c r="V132" i="8"/>
  <c r="V134" i="8" s="1"/>
  <c r="B135" i="8" s="1"/>
  <c r="V104" i="8"/>
  <c r="V112" i="8" s="1"/>
  <c r="T154" i="5"/>
  <c r="S159" i="5"/>
  <c r="U20" i="15"/>
  <c r="X23" i="15"/>
  <c r="V21" i="15"/>
  <c r="W22" i="15"/>
  <c r="T19" i="15"/>
  <c r="T34" i="15" s="1"/>
  <c r="AA2" i="16"/>
  <c r="AA35" i="15"/>
  <c r="V30" i="15"/>
  <c r="Y33" i="15"/>
  <c r="X32" i="15"/>
  <c r="W31" i="15"/>
  <c r="U29" i="15"/>
  <c r="V122" i="11"/>
  <c r="V127" i="11" s="1"/>
  <c r="V124" i="11"/>
  <c r="V130" i="11" s="1"/>
  <c r="V66" i="17"/>
  <c r="X48" i="17"/>
  <c r="X61" i="17" s="1"/>
  <c r="Y49" i="17"/>
  <c r="Y62" i="17" s="1"/>
  <c r="V65" i="17"/>
  <c r="V63" i="17"/>
  <c r="W47" i="17"/>
  <c r="W60" i="17" s="1"/>
  <c r="V64" i="17"/>
  <c r="V44" i="17"/>
  <c r="V104" i="12"/>
  <c r="V109" i="12" s="1"/>
  <c r="V106" i="12"/>
  <c r="V112" i="12" s="1"/>
  <c r="V156" i="1"/>
  <c r="V158" i="1" s="1"/>
  <c r="B159" i="1" s="1"/>
  <c r="V152" i="1"/>
  <c r="V154" i="1" s="1"/>
  <c r="B155" i="1" s="1"/>
  <c r="V124" i="1"/>
  <c r="V143" i="1" s="1"/>
  <c r="V122" i="1"/>
  <c r="V132" i="1" s="1"/>
  <c r="X43" i="17" l="1"/>
  <c r="X5" i="17"/>
  <c r="T43" i="15"/>
  <c r="B124" i="8"/>
  <c r="B122" i="8"/>
  <c r="W18" i="17"/>
  <c r="S44" i="15"/>
  <c r="W56" i="17" s="1"/>
  <c r="B250" i="1"/>
  <c r="B251" i="1" s="1"/>
  <c r="B252" i="1"/>
  <c r="B133" i="1"/>
  <c r="B135" i="1"/>
  <c r="Y32" i="15"/>
  <c r="W30" i="15"/>
  <c r="X31" i="15"/>
  <c r="Z33" i="15"/>
  <c r="V29" i="15"/>
  <c r="AE43" i="17"/>
  <c r="AA44" i="15"/>
  <c r="AE56" i="17" s="1"/>
  <c r="T159" i="5"/>
  <c r="U154" i="5"/>
  <c r="V158" i="14"/>
  <c r="W153" i="14"/>
  <c r="B153" i="6"/>
  <c r="B151" i="6"/>
  <c r="U152" i="14"/>
  <c r="T157" i="14"/>
  <c r="W28" i="17"/>
  <c r="W27" i="17"/>
  <c r="W26" i="17"/>
  <c r="W25" i="17"/>
  <c r="Z11" i="17"/>
  <c r="Z24" i="17" s="1"/>
  <c r="Y10" i="17"/>
  <c r="Y23" i="17" s="1"/>
  <c r="X9" i="17"/>
  <c r="X22" i="17" s="1"/>
  <c r="W8" i="17"/>
  <c r="W21" i="17" s="1"/>
  <c r="W7" i="17"/>
  <c r="W20" i="17" s="1"/>
  <c r="W6" i="17"/>
  <c r="W19" i="17" s="1"/>
  <c r="B261" i="1"/>
  <c r="B259" i="1"/>
  <c r="B260" i="1" s="1"/>
  <c r="B144" i="1"/>
  <c r="B146" i="1"/>
  <c r="V57" i="17"/>
  <c r="V45" i="17"/>
  <c r="AB2" i="16"/>
  <c r="AB35" i="15"/>
  <c r="B113" i="8"/>
  <c r="B115" i="8"/>
  <c r="U154" i="14"/>
  <c r="T159" i="14"/>
  <c r="B142" i="6"/>
  <c r="B144" i="6"/>
  <c r="T157" i="5"/>
  <c r="U152" i="5"/>
  <c r="Y23" i="15"/>
  <c r="V20" i="15"/>
  <c r="X22" i="15"/>
  <c r="W21" i="15"/>
  <c r="U19" i="15"/>
  <c r="U34" i="15" s="1"/>
  <c r="V215" i="11"/>
  <c r="V220" i="11" s="1"/>
  <c r="V217" i="11"/>
  <c r="V223" i="11" s="1"/>
  <c r="W66" i="17"/>
  <c r="W65" i="17"/>
  <c r="W64" i="17"/>
  <c r="W63" i="17"/>
  <c r="W44" i="17"/>
  <c r="Z49" i="17"/>
  <c r="Z62" i="17" s="1"/>
  <c r="X47" i="17"/>
  <c r="X60" i="17" s="1"/>
  <c r="Y48" i="17"/>
  <c r="Y61" i="17" s="1"/>
  <c r="V273" i="1"/>
  <c r="V275" i="1" s="1"/>
  <c r="B276" i="1" s="1"/>
  <c r="V269" i="1"/>
  <c r="V271" i="1" s="1"/>
  <c r="B272" i="1" s="1"/>
  <c r="V247" i="1"/>
  <c r="V262" i="1" s="1"/>
  <c r="V245" i="1"/>
  <c r="V253" i="1" s="1"/>
  <c r="W15" i="15"/>
  <c r="Y17" i="15"/>
  <c r="X16" i="15"/>
  <c r="Z18" i="15"/>
  <c r="V14" i="15"/>
  <c r="V151" i="14"/>
  <c r="U156" i="14"/>
  <c r="V153" i="5"/>
  <c r="U158" i="5"/>
  <c r="U58" i="17"/>
  <c r="U46" i="17"/>
  <c r="U59" i="17" s="1"/>
  <c r="V151" i="5"/>
  <c r="U156" i="5"/>
  <c r="Y43" i="17" l="1"/>
  <c r="Y5" i="17"/>
  <c r="U43" i="15"/>
  <c r="V58" i="17"/>
  <c r="V46" i="17"/>
  <c r="V59" i="17" s="1"/>
  <c r="X153" i="14"/>
  <c r="W158" i="14"/>
  <c r="W57" i="17"/>
  <c r="W45" i="17"/>
  <c r="V152" i="5"/>
  <c r="U157" i="5"/>
  <c r="F6" i="18"/>
  <c r="B143" i="6"/>
  <c r="F7" i="18"/>
  <c r="B114" i="8"/>
  <c r="V152" i="14"/>
  <c r="U157" i="14"/>
  <c r="AE66" i="17"/>
  <c r="AE65" i="17"/>
  <c r="AE64" i="17"/>
  <c r="AE63" i="17"/>
  <c r="AE44" i="17"/>
  <c r="AH49" i="17"/>
  <c r="AH62" i="17" s="1"/>
  <c r="AF47" i="17"/>
  <c r="AF60" i="17" s="1"/>
  <c r="AG48" i="17"/>
  <c r="AG61" i="17" s="1"/>
  <c r="F5" i="18"/>
  <c r="B134" i="1"/>
  <c r="X18" i="17"/>
  <c r="T44" i="15"/>
  <c r="X56" i="17" s="1"/>
  <c r="W151" i="5"/>
  <c r="V156" i="5"/>
  <c r="W153" i="5"/>
  <c r="V158" i="5"/>
  <c r="B254" i="1"/>
  <c r="B256" i="1"/>
  <c r="AF43" i="17"/>
  <c r="AB44" i="15"/>
  <c r="AF56" i="17" s="1"/>
  <c r="G6" i="18"/>
  <c r="B152" i="6"/>
  <c r="V154" i="5"/>
  <c r="U159" i="5"/>
  <c r="X28" i="17"/>
  <c r="X27" i="17"/>
  <c r="X26" i="17"/>
  <c r="X25" i="17"/>
  <c r="Y9" i="17"/>
  <c r="Y22" i="17" s="1"/>
  <c r="X8" i="17"/>
  <c r="X21" i="17" s="1"/>
  <c r="Z10" i="17"/>
  <c r="Z23" i="17" s="1"/>
  <c r="AA11" i="17"/>
  <c r="AA24" i="17" s="1"/>
  <c r="X7" i="17"/>
  <c r="X20" i="17" s="1"/>
  <c r="X6" i="17"/>
  <c r="X19" i="17" s="1"/>
  <c r="V156" i="14"/>
  <c r="W151" i="14"/>
  <c r="C62" i="17"/>
  <c r="D33" i="18" s="1"/>
  <c r="D62" i="17"/>
  <c r="E33" i="18" s="1"/>
  <c r="B265" i="1"/>
  <c r="B263" i="1"/>
  <c r="Y22" i="15"/>
  <c r="Y34" i="15" s="1"/>
  <c r="W20" i="15"/>
  <c r="W34" i="15" s="1"/>
  <c r="X21" i="15"/>
  <c r="X34" i="15" s="1"/>
  <c r="Z23" i="15"/>
  <c r="Z34" i="15" s="1"/>
  <c r="V19" i="15"/>
  <c r="V34" i="15" s="1"/>
  <c r="V154" i="14"/>
  <c r="U159" i="14"/>
  <c r="AC2" i="16"/>
  <c r="AD35" i="15" s="1"/>
  <c r="AC35" i="15"/>
  <c r="G5" i="18"/>
  <c r="B145" i="1"/>
  <c r="C24" i="17"/>
  <c r="B33" i="18" s="1"/>
  <c r="D24" i="17"/>
  <c r="C33" i="18" s="1"/>
  <c r="G7" i="18"/>
  <c r="B123" i="8"/>
  <c r="X65" i="17"/>
  <c r="X64" i="17"/>
  <c r="X63" i="17"/>
  <c r="AA49" i="17"/>
  <c r="AA62" i="17" s="1"/>
  <c r="Y47" i="17"/>
  <c r="Y60" i="17" s="1"/>
  <c r="Z48" i="17"/>
  <c r="Z61" i="17" s="1"/>
  <c r="X44" i="17"/>
  <c r="X66" i="17"/>
  <c r="AB43" i="17" l="1"/>
  <c r="AB5" i="17"/>
  <c r="X43" i="15"/>
  <c r="Z43" i="17"/>
  <c r="Z5" i="17"/>
  <c r="V43" i="15"/>
  <c r="AA43" i="17"/>
  <c r="AA5" i="17"/>
  <c r="W43" i="15"/>
  <c r="AC5" i="17"/>
  <c r="Y43" i="15"/>
  <c r="AC43" i="17"/>
  <c r="AD43" i="17"/>
  <c r="AD5" i="17"/>
  <c r="Z43" i="15"/>
  <c r="C61" i="17"/>
  <c r="D32" i="18" s="1"/>
  <c r="D61" i="17"/>
  <c r="E32" i="18" s="1"/>
  <c r="G4" i="18"/>
  <c r="B264" i="1"/>
  <c r="X57" i="17"/>
  <c r="X45" i="17"/>
  <c r="V159" i="14"/>
  <c r="W154" i="14"/>
  <c r="X151" i="14"/>
  <c r="W156" i="14"/>
  <c r="W58" i="17"/>
  <c r="W46" i="17"/>
  <c r="W59" i="17" s="1"/>
  <c r="AG43" i="17"/>
  <c r="AC44" i="15"/>
  <c r="AG56" i="17" s="1"/>
  <c r="C23" i="17"/>
  <c r="B32" i="18" s="1"/>
  <c r="D23" i="17"/>
  <c r="C32" i="18" s="1"/>
  <c r="W154" i="5"/>
  <c r="V159" i="5"/>
  <c r="AF66" i="17"/>
  <c r="AF65" i="17"/>
  <c r="AF64" i="17"/>
  <c r="AF63" i="17"/>
  <c r="AG47" i="17"/>
  <c r="AG60" i="17" s="1"/>
  <c r="AH48" i="17"/>
  <c r="AH61" i="17" s="1"/>
  <c r="AF44" i="17"/>
  <c r="X153" i="5"/>
  <c r="W158" i="5"/>
  <c r="V157" i="14"/>
  <c r="W152" i="14"/>
  <c r="Y18" i="17"/>
  <c r="U44" i="15"/>
  <c r="Y56" i="17" s="1"/>
  <c r="Y153" i="14"/>
  <c r="X158" i="14"/>
  <c r="AA10" i="17"/>
  <c r="AA23" i="17" s="1"/>
  <c r="AB11" i="17"/>
  <c r="AB24" i="17" s="1"/>
  <c r="Y28" i="17"/>
  <c r="Y26" i="17"/>
  <c r="Y8" i="17"/>
  <c r="Y21" i="17" s="1"/>
  <c r="Y27" i="17"/>
  <c r="Y25" i="17"/>
  <c r="Z9" i="17"/>
  <c r="Z22" i="17" s="1"/>
  <c r="Y7" i="17"/>
  <c r="Y20" i="17" s="1"/>
  <c r="Y6" i="17"/>
  <c r="Y19" i="17" s="1"/>
  <c r="AH43" i="17"/>
  <c r="AD44" i="15"/>
  <c r="F4" i="18"/>
  <c r="B255" i="1"/>
  <c r="X151" i="5"/>
  <c r="W156" i="5"/>
  <c r="AE57" i="17"/>
  <c r="AE45" i="17"/>
  <c r="W152" i="5"/>
  <c r="V157" i="5"/>
  <c r="Y66" i="17"/>
  <c r="Y65" i="17"/>
  <c r="Y64" i="17"/>
  <c r="Y63" i="17"/>
  <c r="Z47" i="17"/>
  <c r="Z60" i="17" s="1"/>
  <c r="AA48" i="17"/>
  <c r="AA61" i="17" s="1"/>
  <c r="AB49" i="17"/>
  <c r="AB62" i="17" s="1"/>
  <c r="Y44" i="17"/>
  <c r="X156" i="5" l="1"/>
  <c r="Y151" i="5"/>
  <c r="AE58" i="17"/>
  <c r="AE46" i="17"/>
  <c r="AE59" i="17" s="1"/>
  <c r="X152" i="14"/>
  <c r="W157" i="14"/>
  <c r="AF57" i="17"/>
  <c r="AF45" i="17"/>
  <c r="X154" i="5"/>
  <c r="W159" i="5"/>
  <c r="AG66" i="17"/>
  <c r="AG65" i="17"/>
  <c r="AG64" i="17"/>
  <c r="AG63" i="17"/>
  <c r="AH47" i="17"/>
  <c r="AH60" i="17" s="1"/>
  <c r="AG44" i="17"/>
  <c r="Y151" i="14"/>
  <c r="X156" i="14"/>
  <c r="AC65" i="17"/>
  <c r="AC64" i="17"/>
  <c r="AC63" i="17"/>
  <c r="AD47" i="17"/>
  <c r="AD60" i="17" s="1"/>
  <c r="AE48" i="17"/>
  <c r="AE61" i="17" s="1"/>
  <c r="AC66" i="17"/>
  <c r="AF49" i="17"/>
  <c r="AF62" i="17" s="1"/>
  <c r="AC44" i="17"/>
  <c r="AA28" i="17"/>
  <c r="AA27" i="17"/>
  <c r="AA26" i="17"/>
  <c r="AA25" i="17"/>
  <c r="AD11" i="17"/>
  <c r="AD24" i="17" s="1"/>
  <c r="AC10" i="17"/>
  <c r="AC23" i="17" s="1"/>
  <c r="AA8" i="17"/>
  <c r="AA21" i="17" s="1"/>
  <c r="AB9" i="17"/>
  <c r="AB22" i="17" s="1"/>
  <c r="AA6" i="17"/>
  <c r="AA19" i="17" s="1"/>
  <c r="AA7" i="17"/>
  <c r="AA20" i="17" s="1"/>
  <c r="Z66" i="17"/>
  <c r="AB48" i="17"/>
  <c r="AB61" i="17" s="1"/>
  <c r="Z65" i="17"/>
  <c r="Z64" i="17"/>
  <c r="Z63" i="17"/>
  <c r="AC49" i="17"/>
  <c r="AC62" i="17" s="1"/>
  <c r="AA47" i="17"/>
  <c r="AA60" i="17" s="1"/>
  <c r="Z44" i="17"/>
  <c r="X154" i="14"/>
  <c r="W159" i="14"/>
  <c r="AD18" i="17"/>
  <c r="Z44" i="15"/>
  <c r="AD56" i="17" s="1"/>
  <c r="C51" i="15"/>
  <c r="E20" i="18" s="1"/>
  <c r="C52" i="15"/>
  <c r="E21" i="18" s="1"/>
  <c r="AC18" i="17"/>
  <c r="Y44" i="15"/>
  <c r="AC56" i="17" s="1"/>
  <c r="AA66" i="17"/>
  <c r="AA65" i="17"/>
  <c r="AA64" i="17"/>
  <c r="AA63" i="17"/>
  <c r="AA44" i="17"/>
  <c r="AD49" i="17"/>
  <c r="AD62" i="17" s="1"/>
  <c r="AB47" i="17"/>
  <c r="AB60" i="17" s="1"/>
  <c r="AC48" i="17"/>
  <c r="AC61" i="17" s="1"/>
  <c r="AB18" i="17"/>
  <c r="X44" i="15"/>
  <c r="AB56" i="17" s="1"/>
  <c r="Y57" i="17"/>
  <c r="Y45" i="17"/>
  <c r="AH56" i="17"/>
  <c r="C22" i="17"/>
  <c r="B31" i="18" s="1"/>
  <c r="D22" i="17"/>
  <c r="C31" i="18" s="1"/>
  <c r="AG11" i="17"/>
  <c r="AG24" i="17" s="1"/>
  <c r="AE9" i="17"/>
  <c r="AE22" i="17" s="1"/>
  <c r="AD27" i="17"/>
  <c r="AD25" i="17"/>
  <c r="AD26" i="17"/>
  <c r="AD28" i="17"/>
  <c r="AF10" i="17"/>
  <c r="AF23" i="17" s="1"/>
  <c r="AD7" i="17"/>
  <c r="AD20" i="17" s="1"/>
  <c r="AD6" i="17"/>
  <c r="AD19" i="17" s="1"/>
  <c r="AD8" i="17"/>
  <c r="AD21" i="17" s="1"/>
  <c r="AC28" i="17"/>
  <c r="AC27" i="17"/>
  <c r="AC26" i="17"/>
  <c r="AC25" i="17"/>
  <c r="AE10" i="17"/>
  <c r="AE23" i="17" s="1"/>
  <c r="AF11" i="17"/>
  <c r="AF24" i="17" s="1"/>
  <c r="AD9" i="17"/>
  <c r="AD22" i="17" s="1"/>
  <c r="AC8" i="17"/>
  <c r="AC21" i="17" s="1"/>
  <c r="AC7" i="17"/>
  <c r="AC20" i="17" s="1"/>
  <c r="AC6" i="17"/>
  <c r="AC19" i="17" s="1"/>
  <c r="Z18" i="17"/>
  <c r="V44" i="15"/>
  <c r="C49" i="15"/>
  <c r="D21" i="18" s="1"/>
  <c r="C48" i="15"/>
  <c r="D20" i="18" s="1"/>
  <c r="AC9" i="17"/>
  <c r="AC22" i="17" s="1"/>
  <c r="AB8" i="17"/>
  <c r="AB21" i="17" s="1"/>
  <c r="AB28" i="17"/>
  <c r="AB27" i="17"/>
  <c r="AB26" i="17"/>
  <c r="AB25" i="17"/>
  <c r="AD10" i="17"/>
  <c r="AD23" i="17" s="1"/>
  <c r="AE11" i="17"/>
  <c r="AE24" i="17" s="1"/>
  <c r="AB7" i="17"/>
  <c r="AB20" i="17" s="1"/>
  <c r="AB6" i="17"/>
  <c r="AB19" i="17" s="1"/>
  <c r="C60" i="17"/>
  <c r="D31" i="18" s="1"/>
  <c r="D60" i="17"/>
  <c r="E31" i="18" s="1"/>
  <c r="X152" i="5"/>
  <c r="W157" i="5"/>
  <c r="AH65" i="17"/>
  <c r="AH64" i="17"/>
  <c r="AH63" i="17"/>
  <c r="AH66" i="17"/>
  <c r="AH44" i="17"/>
  <c r="Z153" i="14"/>
  <c r="Z158" i="14" s="1"/>
  <c r="Y158" i="14"/>
  <c r="X158" i="5"/>
  <c r="Y153" i="5"/>
  <c r="X58" i="17"/>
  <c r="X46" i="17"/>
  <c r="X59" i="17" s="1"/>
  <c r="AD66" i="17"/>
  <c r="AF48" i="17"/>
  <c r="AF61" i="17" s="1"/>
  <c r="AD65" i="17"/>
  <c r="AD64" i="17"/>
  <c r="AD63" i="17"/>
  <c r="AG49" i="17"/>
  <c r="AG62" i="17" s="1"/>
  <c r="AE47" i="17"/>
  <c r="AE60" i="17" s="1"/>
  <c r="AD44" i="17"/>
  <c r="W44" i="15"/>
  <c r="AA56" i="17" s="1"/>
  <c r="AA18" i="17"/>
  <c r="AC11" i="17"/>
  <c r="AC24" i="17" s="1"/>
  <c r="Z28" i="17"/>
  <c r="Z27" i="17"/>
  <c r="Z26" i="17"/>
  <c r="Z25" i="17"/>
  <c r="AA9" i="17"/>
  <c r="AA22" i="17" s="1"/>
  <c r="AB10" i="17"/>
  <c r="AB23" i="17" s="1"/>
  <c r="Z7" i="17"/>
  <c r="Z20" i="17" s="1"/>
  <c r="Z6" i="17"/>
  <c r="Z19" i="17" s="1"/>
  <c r="Z8" i="17"/>
  <c r="Z21" i="17" s="1"/>
  <c r="AB65" i="17"/>
  <c r="AB64" i="17"/>
  <c r="AB63" i="17"/>
  <c r="AB66" i="17"/>
  <c r="AE49" i="17"/>
  <c r="AE62" i="17" s="1"/>
  <c r="AC47" i="17"/>
  <c r="AC60" i="17" s="1"/>
  <c r="AD48" i="17"/>
  <c r="AD61" i="17" s="1"/>
  <c r="AB44" i="17"/>
  <c r="E61" i="17" l="1"/>
  <c r="E20" i="17"/>
  <c r="F20" i="17"/>
  <c r="E25" i="17"/>
  <c r="F25" i="17"/>
  <c r="AA57" i="17"/>
  <c r="AA45" i="17"/>
  <c r="Y154" i="14"/>
  <c r="X159" i="14"/>
  <c r="C63" i="17"/>
  <c r="D34" i="18" s="1"/>
  <c r="D63" i="17"/>
  <c r="C66" i="17"/>
  <c r="D37" i="18" s="1"/>
  <c r="D66" i="17"/>
  <c r="Z151" i="14"/>
  <c r="Z156" i="14" s="1"/>
  <c r="Y156" i="14"/>
  <c r="X159" i="5"/>
  <c r="Y154" i="5"/>
  <c r="Y152" i="14"/>
  <c r="X157" i="14"/>
  <c r="AB57" i="17"/>
  <c r="AB45" i="17"/>
  <c r="C19" i="17"/>
  <c r="B28" i="18" s="1"/>
  <c r="D19" i="17"/>
  <c r="C28" i="18" s="1"/>
  <c r="C25" i="17"/>
  <c r="D25" i="17"/>
  <c r="E64" i="17"/>
  <c r="F64" i="17"/>
  <c r="E35" i="18" s="1"/>
  <c r="D20" i="17"/>
  <c r="C29" i="18" s="1"/>
  <c r="C20" i="17"/>
  <c r="B29" i="18" s="1"/>
  <c r="F23" i="17"/>
  <c r="E23" i="17"/>
  <c r="E27" i="17"/>
  <c r="F27" i="17"/>
  <c r="Y58" i="17"/>
  <c r="Y46" i="17"/>
  <c r="Y59" i="17" s="1"/>
  <c r="Z57" i="17"/>
  <c r="Z45" i="17"/>
  <c r="D64" i="17"/>
  <c r="C64" i="17"/>
  <c r="D35" i="18" s="1"/>
  <c r="AG57" i="17"/>
  <c r="AG45" i="17"/>
  <c r="AF58" i="17"/>
  <c r="AF46" i="17"/>
  <c r="AF59" i="17" s="1"/>
  <c r="F61" i="17"/>
  <c r="C26" i="17"/>
  <c r="D26" i="17"/>
  <c r="Z153" i="5"/>
  <c r="Z158" i="5" s="1"/>
  <c r="Y158" i="5"/>
  <c r="AH57" i="17"/>
  <c r="AH45" i="17"/>
  <c r="F65" i="17"/>
  <c r="E36" i="18" s="1"/>
  <c r="E65" i="17"/>
  <c r="D27" i="17"/>
  <c r="C27" i="17"/>
  <c r="E66" i="17"/>
  <c r="F66" i="17"/>
  <c r="E37" i="18" s="1"/>
  <c r="Z56" i="17"/>
  <c r="C55" i="15"/>
  <c r="B20" i="18" s="1"/>
  <c r="C56" i="15"/>
  <c r="B21" i="18" s="1"/>
  <c r="E21" i="17"/>
  <c r="F21" i="17"/>
  <c r="E28" i="17"/>
  <c r="F28" i="17"/>
  <c r="E22" i="17"/>
  <c r="F22" i="17"/>
  <c r="C59" i="15"/>
  <c r="C21" i="18" s="1"/>
  <c r="E18" i="17"/>
  <c r="F18" i="17"/>
  <c r="C65" i="17"/>
  <c r="D36" i="18" s="1"/>
  <c r="D65" i="17"/>
  <c r="E60" i="17"/>
  <c r="F60" i="17"/>
  <c r="C21" i="17"/>
  <c r="B30" i="18" s="1"/>
  <c r="D21" i="17"/>
  <c r="C30" i="18" s="1"/>
  <c r="C28" i="17"/>
  <c r="D28" i="17"/>
  <c r="AD57" i="17"/>
  <c r="AD45" i="17"/>
  <c r="E63" i="17"/>
  <c r="F63" i="17"/>
  <c r="E34" i="18" s="1"/>
  <c r="X157" i="5"/>
  <c r="Y152" i="5"/>
  <c r="C18" i="17"/>
  <c r="B27" i="18" s="1"/>
  <c r="D18" i="17"/>
  <c r="C27" i="18" s="1"/>
  <c r="E19" i="17"/>
  <c r="F19" i="17"/>
  <c r="F26" i="17"/>
  <c r="E26" i="17"/>
  <c r="E24" i="17"/>
  <c r="F24" i="17"/>
  <c r="C58" i="15"/>
  <c r="C20" i="18" s="1"/>
  <c r="E62" i="17"/>
  <c r="AC57" i="17"/>
  <c r="AC45" i="17"/>
  <c r="Z151" i="5"/>
  <c r="Z156" i="5" s="1"/>
  <c r="Y156" i="5"/>
  <c r="F62" i="17"/>
  <c r="AA58" i="17" l="1"/>
  <c r="AA46" i="17"/>
  <c r="AA59" i="17" s="1"/>
  <c r="Z152" i="5"/>
  <c r="Z157" i="5" s="1"/>
  <c r="Y157" i="5"/>
  <c r="AD58" i="17"/>
  <c r="AD46" i="17"/>
  <c r="AD59" i="17" s="1"/>
  <c r="AH58" i="17"/>
  <c r="AH46" i="17"/>
  <c r="AH59" i="17" s="1"/>
  <c r="Z152" i="14"/>
  <c r="Z157" i="14" s="1"/>
  <c r="Y157" i="14"/>
  <c r="C56" i="17"/>
  <c r="D27" i="18" s="1"/>
  <c r="D56" i="17"/>
  <c r="E27" i="18" s="1"/>
  <c r="E57" i="17"/>
  <c r="F57" i="17"/>
  <c r="AG58" i="17"/>
  <c r="AG46" i="17"/>
  <c r="AG59" i="17" s="1"/>
  <c r="Z58" i="17"/>
  <c r="Z46" i="17"/>
  <c r="Z59" i="17" s="1"/>
  <c r="AB58" i="17"/>
  <c r="AB46" i="17"/>
  <c r="AB59" i="17" s="1"/>
  <c r="Z154" i="5"/>
  <c r="Y159" i="5"/>
  <c r="F56" i="17"/>
  <c r="AC58" i="17"/>
  <c r="AC46" i="17"/>
  <c r="AC59" i="17" s="1"/>
  <c r="C57" i="17"/>
  <c r="D28" i="18" s="1"/>
  <c r="D57" i="17"/>
  <c r="E28" i="18" s="1"/>
  <c r="Z154" i="14"/>
  <c r="Z159" i="14" s="1"/>
  <c r="Y159" i="14"/>
  <c r="E56" i="17"/>
  <c r="E59" i="17" l="1"/>
  <c r="F59" i="17"/>
  <c r="E58" i="17"/>
  <c r="F58" i="17"/>
  <c r="C59" i="17"/>
  <c r="D30" i="18" s="1"/>
  <c r="D59" i="17"/>
  <c r="E30" i="18" s="1"/>
  <c r="Z159" i="5"/>
  <c r="B175" i="5"/>
  <c r="C58" i="17"/>
  <c r="D29" i="18" s="1"/>
  <c r="D58" i="17"/>
  <c r="E29" i="18" s="1"/>
</calcChain>
</file>

<file path=xl/comments1.xml><?xml version="1.0" encoding="utf-8"?>
<comments xmlns="http://schemas.openxmlformats.org/spreadsheetml/2006/main">
  <authors>
    <author>Matteo Borzoni</author>
  </authors>
  <commentList>
    <comment ref="C84" authorId="0" shapeId="0">
      <text>
        <r>
          <rPr>
            <b/>
            <sz val="9"/>
            <color indexed="81"/>
            <rFont val="Tahoma"/>
            <family val="2"/>
          </rPr>
          <t>Matteo Borzoni:</t>
        </r>
        <r>
          <rPr>
            <sz val="9"/>
            <color indexed="81"/>
            <rFont val="Tahoma"/>
            <family val="2"/>
          </rPr>
          <t xml:space="preserve">
It is subsidized by the government</t>
        </r>
      </text>
    </comment>
    <comment ref="C114" authorId="0" shapeId="0">
      <text>
        <r>
          <rPr>
            <b/>
            <sz val="9"/>
            <color indexed="81"/>
            <rFont val="Tahoma"/>
            <family val="2"/>
          </rPr>
          <t>Matteo Borzoni:</t>
        </r>
        <r>
          <rPr>
            <sz val="9"/>
            <color indexed="81"/>
            <rFont val="Tahoma"/>
            <family val="2"/>
          </rPr>
          <t xml:space="preserve">
A 10-year government bond yield 5.75%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</rPr>
          <t>Matteo Borzoni:</t>
        </r>
        <r>
          <rPr>
            <sz val="9"/>
            <color indexed="81"/>
            <rFont val="Tahoma"/>
            <family val="2"/>
          </rPr>
          <t xml:space="preserve">
On agricultural inputs there is 2% tax</t>
        </r>
      </text>
    </comment>
    <comment ref="B120" authorId="0" shapeId="0">
      <text>
        <r>
          <rPr>
            <b/>
            <sz val="9"/>
            <color indexed="81"/>
            <rFont val="Tahoma"/>
            <family val="2"/>
          </rPr>
          <t>Matteo Borzoni:</t>
        </r>
        <r>
          <rPr>
            <sz val="9"/>
            <color indexed="81"/>
            <rFont val="Tahoma"/>
            <family val="2"/>
          </rPr>
          <t xml:space="preserve">
It is obtained by using the most recent (year 2017) figure for the "combined rate of time-related underemployment and employment in rural areas" in Cote D'Ivoire  as reported by ILO: 6.4%
Rate in 2016: 11.3%</t>
        </r>
      </text>
    </comment>
    <comment ref="B125" authorId="0" shapeId="0">
      <text>
        <r>
          <rPr>
            <b/>
            <sz val="9"/>
            <color indexed="81"/>
            <rFont val="Tahoma"/>
            <family val="2"/>
          </rPr>
          <t>Matteo Borzoni:</t>
        </r>
        <r>
          <rPr>
            <sz val="9"/>
            <color indexed="81"/>
            <rFont val="Tahoma"/>
            <family val="2"/>
          </rPr>
          <t xml:space="preserve">
rubber is bought o the black market fro 180 FCFA/Kg</t>
        </r>
      </text>
    </comment>
  </commentList>
</comments>
</file>

<file path=xl/comments2.xml><?xml version="1.0" encoding="utf-8"?>
<comments xmlns="http://schemas.openxmlformats.org/spreadsheetml/2006/main">
  <authors>
    <author>Matteo Borzoni</author>
  </authors>
  <commentList>
    <comment ref="R35" authorId="0" shapeId="0">
      <text>
        <r>
          <rPr>
            <b/>
            <sz val="9"/>
            <color indexed="81"/>
            <rFont val="Tahoma"/>
            <family val="2"/>
          </rPr>
          <t>Matteo Borzoni:</t>
        </r>
        <r>
          <rPr>
            <sz val="9"/>
            <color indexed="81"/>
            <rFont val="Tahoma"/>
            <family val="2"/>
          </rPr>
          <t xml:space="preserve">
It is paid by buyer</t>
        </r>
      </text>
    </comment>
    <comment ref="Z36" authorId="0" shapeId="0">
      <text>
        <r>
          <rPr>
            <b/>
            <sz val="9"/>
            <color indexed="81"/>
            <rFont val="Tahoma"/>
            <family val="2"/>
          </rPr>
          <t>Matteo Borzoni:</t>
        </r>
        <r>
          <rPr>
            <sz val="9"/>
            <color indexed="81"/>
            <rFont val="Tahoma"/>
            <family val="2"/>
          </rPr>
          <t xml:space="preserve">
It is paid by buyer</t>
        </r>
      </text>
    </comment>
    <comment ref="R41" authorId="0" shapeId="0">
      <text>
        <r>
          <rPr>
            <b/>
            <sz val="9"/>
            <color indexed="81"/>
            <rFont val="Tahoma"/>
            <family val="2"/>
          </rPr>
          <t>Matteo Borzoni:</t>
        </r>
        <r>
          <rPr>
            <sz val="9"/>
            <color indexed="81"/>
            <rFont val="Tahoma"/>
            <family val="2"/>
          </rPr>
          <t xml:space="preserve">
It is paid by buyer</t>
        </r>
      </text>
    </comment>
    <comment ref="Z42" authorId="0" shapeId="0">
      <text>
        <r>
          <rPr>
            <b/>
            <sz val="9"/>
            <color indexed="81"/>
            <rFont val="Tahoma"/>
            <family val="2"/>
          </rPr>
          <t>Matteo Borzoni:</t>
        </r>
        <r>
          <rPr>
            <sz val="9"/>
            <color indexed="81"/>
            <rFont val="Tahoma"/>
            <family val="2"/>
          </rPr>
          <t xml:space="preserve">
It is paid by buyer</t>
        </r>
      </text>
    </comment>
  </commentList>
</comments>
</file>

<file path=xl/comments3.xml><?xml version="1.0" encoding="utf-8"?>
<comments xmlns="http://schemas.openxmlformats.org/spreadsheetml/2006/main">
  <authors>
    <author>Matteo Borzoni</author>
  </authors>
  <commentList>
    <comment ref="R41" authorId="0" shapeId="0">
      <text>
        <r>
          <rPr>
            <b/>
            <sz val="9"/>
            <color indexed="81"/>
            <rFont val="Tahoma"/>
            <family val="2"/>
          </rPr>
          <t>Matteo Borzoni:</t>
        </r>
        <r>
          <rPr>
            <sz val="9"/>
            <color indexed="81"/>
            <rFont val="Tahoma"/>
            <family val="2"/>
          </rPr>
          <t xml:space="preserve">
It is paid by buyer</t>
        </r>
      </text>
    </comment>
    <comment ref="Z42" authorId="0" shapeId="0">
      <text>
        <r>
          <rPr>
            <b/>
            <sz val="9"/>
            <color indexed="81"/>
            <rFont val="Tahoma"/>
            <family val="2"/>
          </rPr>
          <t>Matteo Borzoni:</t>
        </r>
        <r>
          <rPr>
            <sz val="9"/>
            <color indexed="81"/>
            <rFont val="Tahoma"/>
            <family val="2"/>
          </rPr>
          <t xml:space="preserve">
It is paid by buyer</t>
        </r>
      </text>
    </comment>
  </commentList>
</comments>
</file>

<file path=xl/comments4.xml><?xml version="1.0" encoding="utf-8"?>
<comments xmlns="http://schemas.openxmlformats.org/spreadsheetml/2006/main">
  <authors>
    <author>Matteo Borzoni</author>
  </authors>
  <commentList>
    <comment ref="R54" authorId="0" shapeId="0">
      <text>
        <r>
          <rPr>
            <b/>
            <sz val="9"/>
            <color indexed="81"/>
            <rFont val="Tahoma"/>
            <family val="2"/>
          </rPr>
          <t>Matteo Borzoni:</t>
        </r>
        <r>
          <rPr>
            <sz val="9"/>
            <color indexed="81"/>
            <rFont val="Tahoma"/>
            <family val="2"/>
          </rPr>
          <t xml:space="preserve">
It is paid by buyer</t>
        </r>
      </text>
    </comment>
    <comment ref="Z55" authorId="0" shapeId="0">
      <text>
        <r>
          <rPr>
            <b/>
            <sz val="9"/>
            <color indexed="81"/>
            <rFont val="Tahoma"/>
            <family val="2"/>
          </rPr>
          <t>Matteo Borzoni:</t>
        </r>
        <r>
          <rPr>
            <sz val="9"/>
            <color indexed="81"/>
            <rFont val="Tahoma"/>
            <family val="2"/>
          </rPr>
          <t xml:space="preserve">
It is paid by buyer</t>
        </r>
      </text>
    </comment>
    <comment ref="R60" authorId="0" shapeId="0">
      <text>
        <r>
          <rPr>
            <b/>
            <sz val="9"/>
            <color indexed="81"/>
            <rFont val="Tahoma"/>
            <family val="2"/>
          </rPr>
          <t>Matteo Borzoni:</t>
        </r>
        <r>
          <rPr>
            <sz val="9"/>
            <color indexed="81"/>
            <rFont val="Tahoma"/>
            <family val="2"/>
          </rPr>
          <t xml:space="preserve">
It is paid by buyer</t>
        </r>
      </text>
    </comment>
    <comment ref="Z61" authorId="0" shapeId="0">
      <text>
        <r>
          <rPr>
            <b/>
            <sz val="9"/>
            <color indexed="81"/>
            <rFont val="Tahoma"/>
            <family val="2"/>
          </rPr>
          <t>Matteo Borzoni:</t>
        </r>
        <r>
          <rPr>
            <sz val="9"/>
            <color indexed="81"/>
            <rFont val="Tahoma"/>
            <family val="2"/>
          </rPr>
          <t xml:space="preserve">
It is paid by buyer</t>
        </r>
      </text>
    </comment>
  </commentList>
</comments>
</file>

<file path=xl/comments5.xml><?xml version="1.0" encoding="utf-8"?>
<comments xmlns="http://schemas.openxmlformats.org/spreadsheetml/2006/main">
  <authors>
    <author>Matteo Borzoni</author>
  </authors>
  <commentList>
    <comment ref="Z61" authorId="0" shapeId="0">
      <text>
        <r>
          <rPr>
            <b/>
            <sz val="9"/>
            <color indexed="81"/>
            <rFont val="Tahoma"/>
            <family val="2"/>
          </rPr>
          <t>Matteo Borzoni:</t>
        </r>
        <r>
          <rPr>
            <sz val="9"/>
            <color indexed="81"/>
            <rFont val="Tahoma"/>
            <family val="2"/>
          </rPr>
          <t xml:space="preserve">
It is paid by buyer</t>
        </r>
      </text>
    </comment>
  </commentList>
</comments>
</file>

<file path=xl/sharedStrings.xml><?xml version="1.0" encoding="utf-8"?>
<sst xmlns="http://schemas.openxmlformats.org/spreadsheetml/2006/main" count="2471" uniqueCount="481">
  <si>
    <t>Weeding</t>
  </si>
  <si>
    <t>ls</t>
  </si>
  <si>
    <t>Agricultural operations</t>
  </si>
  <si>
    <t>FCFA/Ha</t>
  </si>
  <si>
    <t>Labor</t>
  </si>
  <si>
    <t>FCFA/md</t>
  </si>
  <si>
    <t>Production</t>
  </si>
  <si>
    <t>Yields and inputs</t>
  </si>
  <si>
    <t xml:space="preserve">  Weeding</t>
  </si>
  <si>
    <t xml:space="preserve">  Harvest</t>
  </si>
  <si>
    <t>Kg</t>
  </si>
  <si>
    <t>Unit</t>
  </si>
  <si>
    <t>Price</t>
  </si>
  <si>
    <t>Output</t>
  </si>
  <si>
    <t>Cocoa</t>
  </si>
  <si>
    <t>FCFA/Kg</t>
  </si>
  <si>
    <t>Inputs</t>
  </si>
  <si>
    <t xml:space="preserve">  Bags</t>
  </si>
  <si>
    <t>Cocoa harvest</t>
  </si>
  <si>
    <t>Bags</t>
  </si>
  <si>
    <t>FCFA/unit</t>
  </si>
  <si>
    <t>Total costs</t>
  </si>
  <si>
    <t>FCFA/Lt</t>
  </si>
  <si>
    <t>FCFA/lt</t>
  </si>
  <si>
    <t>Akpi</t>
  </si>
  <si>
    <t>Conversion factors</t>
  </si>
  <si>
    <t>Agricultural inputs</t>
  </si>
  <si>
    <t>NPK</t>
  </si>
  <si>
    <t>Exchange rate</t>
  </si>
  <si>
    <t>FCFA/USD</t>
  </si>
  <si>
    <t>Other</t>
  </si>
  <si>
    <t xml:space="preserve">  Marking out</t>
  </si>
  <si>
    <t>Marking out</t>
  </si>
  <si>
    <t xml:space="preserve">  Undergrowth clearing</t>
  </si>
  <si>
    <t>Undergrowth clearing</t>
  </si>
  <si>
    <t xml:space="preserve">  Cutting old trees</t>
  </si>
  <si>
    <t>Cutting old trees</t>
  </si>
  <si>
    <t xml:space="preserve">  Fire breaking</t>
  </si>
  <si>
    <t>Fire braking</t>
  </si>
  <si>
    <t>Pruning</t>
  </si>
  <si>
    <t>FCFA/ha</t>
  </si>
  <si>
    <t xml:space="preserve">  Fertilizer application</t>
  </si>
  <si>
    <t>m/d</t>
  </si>
  <si>
    <t>Cacao</t>
  </si>
  <si>
    <t>Superphosphate</t>
  </si>
  <si>
    <t>Lt</t>
  </si>
  <si>
    <t>Plant protection chemicals for cocoa</t>
  </si>
  <si>
    <t xml:space="preserve">  Akpi seedling</t>
  </si>
  <si>
    <t xml:space="preserve">  Teck seedling</t>
  </si>
  <si>
    <t xml:space="preserve">  Digging holes</t>
  </si>
  <si>
    <t xml:space="preserve">  Planting seedlings</t>
  </si>
  <si>
    <t>Digging holes</t>
  </si>
  <si>
    <t>Planting seedlings</t>
  </si>
  <si>
    <t xml:space="preserve">  Akpi</t>
  </si>
  <si>
    <t>Acacia</t>
  </si>
  <si>
    <t xml:space="preserve">  Acacia</t>
  </si>
  <si>
    <t xml:space="preserve">  Firewood</t>
  </si>
  <si>
    <t>Stacked cubic meter</t>
  </si>
  <si>
    <t>Firewood</t>
  </si>
  <si>
    <t>FCFA/stacked cubic meter</t>
  </si>
  <si>
    <t xml:space="preserve">  Acacia seedling</t>
  </si>
  <si>
    <t>Tree</t>
  </si>
  <si>
    <t>Cutting firewood</t>
  </si>
  <si>
    <t>FCFA/tree</t>
  </si>
  <si>
    <t xml:space="preserve">  Timber</t>
  </si>
  <si>
    <t>Revenues</t>
  </si>
  <si>
    <t>Cocoa organic fair trade certification</t>
  </si>
  <si>
    <t>Certification</t>
  </si>
  <si>
    <t>Discount rates</t>
  </si>
  <si>
    <t>D.R for financial analysis</t>
  </si>
  <si>
    <t xml:space="preserve">  Transport of seedlings</t>
  </si>
  <si>
    <t>cocoa: 1 Hectare</t>
  </si>
  <si>
    <t xml:space="preserve">  cocoa</t>
  </si>
  <si>
    <t xml:space="preserve">  cocoa seedlings</t>
  </si>
  <si>
    <t xml:space="preserve">  cocoa - old plants</t>
  </si>
  <si>
    <t xml:space="preserve">  Transport of beans</t>
  </si>
  <si>
    <t xml:space="preserve">  Transport</t>
  </si>
  <si>
    <t>Cocoa post-harvest processes</t>
  </si>
  <si>
    <t xml:space="preserve">  Post-harvest processes</t>
  </si>
  <si>
    <t xml:space="preserve">Revenues </t>
  </si>
  <si>
    <t>Net benefit over total costs</t>
  </si>
  <si>
    <t>Net benefits excluding family labor</t>
  </si>
  <si>
    <t xml:space="preserve">  Plant protection chemicals application</t>
  </si>
  <si>
    <t xml:space="preserve">  cocoa production of plants replanted f1st year</t>
  </si>
  <si>
    <t>Nursery</t>
  </si>
  <si>
    <t xml:space="preserve">  Seeds</t>
  </si>
  <si>
    <t>Forest seeds</t>
  </si>
  <si>
    <t xml:space="preserve">  Tools</t>
  </si>
  <si>
    <t>Bags for seedlings</t>
  </si>
  <si>
    <t>Variable inputs</t>
  </si>
  <si>
    <t>Ls</t>
  </si>
  <si>
    <t>FCFA/seedling</t>
  </si>
  <si>
    <t xml:space="preserve">  Agro-chemicals</t>
  </si>
  <si>
    <t>Seedling</t>
  </si>
  <si>
    <t>Area cleaning for nursery</t>
  </si>
  <si>
    <t xml:space="preserve">  Bag filling</t>
  </si>
  <si>
    <t>Nursery bag filling</t>
  </si>
  <si>
    <t>Survey for plantation establishment</t>
  </si>
  <si>
    <t xml:space="preserve">  Surveying</t>
  </si>
  <si>
    <t xml:space="preserve">  Area clearing</t>
  </si>
  <si>
    <t xml:space="preserve">  Planting</t>
  </si>
  <si>
    <t xml:space="preserve">  Compensatory planting (including transport)</t>
  </si>
  <si>
    <t>seedling</t>
  </si>
  <si>
    <t xml:space="preserve">  Thinning</t>
  </si>
  <si>
    <t xml:space="preserve">  Shape pruning</t>
  </si>
  <si>
    <t>Shape pruning</t>
  </si>
  <si>
    <t>Fixed inputs</t>
  </si>
  <si>
    <t>Taxes</t>
  </si>
  <si>
    <t>Cuts</t>
  </si>
  <si>
    <t xml:space="preserve">  Firewood cut</t>
  </si>
  <si>
    <t xml:space="preserve">  First cut</t>
  </si>
  <si>
    <t xml:space="preserve">  Pruning</t>
  </si>
  <si>
    <t xml:space="preserve">  Trees before cut</t>
  </si>
  <si>
    <t xml:space="preserve">  Tress after cut</t>
  </si>
  <si>
    <t xml:space="preserve">  Tress to cut</t>
  </si>
  <si>
    <t xml:space="preserve">  Second cut</t>
  </si>
  <si>
    <t xml:space="preserve">  Third cut</t>
  </si>
  <si>
    <t xml:space="preserve">  Fourth cut</t>
  </si>
  <si>
    <t>Tools for nursery</t>
  </si>
  <si>
    <t xml:space="preserve">  Trees 11 cm diameter</t>
  </si>
  <si>
    <t xml:space="preserve">  Trees 16 cm diameter</t>
  </si>
  <si>
    <t xml:space="preserve">  Trees 23 cm diameter</t>
  </si>
  <si>
    <t xml:space="preserve">  Trees 30 cm diameter</t>
  </si>
  <si>
    <t>Total revenues</t>
  </si>
  <si>
    <t>Net benefit</t>
  </si>
  <si>
    <t>NPV</t>
  </si>
  <si>
    <t>IRR</t>
  </si>
  <si>
    <t xml:space="preserve">  Area  clearing</t>
  </si>
  <si>
    <t xml:space="preserve">  Transport to buy agricultural inputs</t>
  </si>
  <si>
    <t>man/day</t>
  </si>
  <si>
    <t xml:space="preserve">  Herbicide application</t>
  </si>
  <si>
    <t xml:space="preserve">  Other post-harvest operations</t>
  </si>
  <si>
    <t xml:space="preserve">  NPK</t>
  </si>
  <si>
    <t xml:space="preserve">  Urea</t>
  </si>
  <si>
    <t>Annual crops inputs</t>
  </si>
  <si>
    <t>Urea</t>
  </si>
  <si>
    <t>lt</t>
  </si>
  <si>
    <t xml:space="preserve">  Maize</t>
  </si>
  <si>
    <t>Maize seeds</t>
  </si>
  <si>
    <t>Maize</t>
  </si>
  <si>
    <t>Market prices</t>
  </si>
  <si>
    <t xml:space="preserve">Coffee </t>
  </si>
  <si>
    <t>Banana sucker</t>
  </si>
  <si>
    <t>Pruning new trees (taile de formation)</t>
  </si>
  <si>
    <t xml:space="preserve">  Pruning new trees</t>
  </si>
  <si>
    <t>No allowance made for costs covered by the project</t>
  </si>
  <si>
    <t xml:space="preserve">  Incremental net benefit over total costs</t>
  </si>
  <si>
    <t xml:space="preserve">    NPV (FCFA)</t>
  </si>
  <si>
    <t xml:space="preserve">    NPV (USD)</t>
  </si>
  <si>
    <t xml:space="preserve">    IRR</t>
  </si>
  <si>
    <t>Allowance made for costs covered by the project</t>
  </si>
  <si>
    <t>Net benefits</t>
  </si>
  <si>
    <t xml:space="preserve">  Over total costs</t>
  </si>
  <si>
    <t xml:space="preserve">  Over total cost excluding family labor</t>
  </si>
  <si>
    <t>Performance</t>
  </si>
  <si>
    <t xml:space="preserve">  Certification</t>
  </si>
  <si>
    <t>Costs</t>
  </si>
  <si>
    <t xml:space="preserve">  Total</t>
  </si>
  <si>
    <t xml:space="preserve">  Total excluding family labor</t>
  </si>
  <si>
    <t xml:space="preserve">  Covered by the project</t>
  </si>
  <si>
    <t xml:space="preserve">  Covered by farmers</t>
  </si>
  <si>
    <t xml:space="preserve">  Weeding over lines</t>
  </si>
  <si>
    <t xml:space="preserve">  Weeding over total areas</t>
  </si>
  <si>
    <t xml:space="preserve">  Cassava</t>
  </si>
  <si>
    <t>General herbicide</t>
  </si>
  <si>
    <t>Selective herbicide</t>
  </si>
  <si>
    <t xml:space="preserve">  Maize seeds</t>
  </si>
  <si>
    <t xml:space="preserve">  Cassava cuttings</t>
  </si>
  <si>
    <t>Cassava cuttings</t>
  </si>
  <si>
    <t xml:space="preserve">  Selective herbicide</t>
  </si>
  <si>
    <t xml:space="preserve">  Seeding/planting</t>
  </si>
  <si>
    <t>Weeding over total area</t>
  </si>
  <si>
    <t xml:space="preserve">  Additional weeding</t>
  </si>
  <si>
    <t xml:space="preserve">  Ridging</t>
  </si>
  <si>
    <t xml:space="preserve">  Transport to sell produce</t>
  </si>
  <si>
    <t>FCFA/trip/ton</t>
  </si>
  <si>
    <t>Cassava</t>
  </si>
  <si>
    <t xml:space="preserve">  Self protection equipment</t>
  </si>
  <si>
    <t>x</t>
  </si>
  <si>
    <t>Annual net benefits</t>
  </si>
  <si>
    <t>Cumulative net benefits</t>
  </si>
  <si>
    <t>Cumulative discounted net benefits</t>
  </si>
  <si>
    <t>No allowance made for costs covered by the project and over total costs</t>
  </si>
  <si>
    <t>Allowance made for costs covered by the project and over total costs</t>
  </si>
  <si>
    <t>Allowance made for costs covered by the project and excluding family labor</t>
  </si>
  <si>
    <t>Coffee: 1 Hectare</t>
  </si>
  <si>
    <t xml:space="preserve">  Coffee</t>
  </si>
  <si>
    <t xml:space="preserve">  Harvest and drying</t>
  </si>
  <si>
    <t xml:space="preserve">  Transport and marketing</t>
  </si>
  <si>
    <t>Cocoa/coffee beans transport</t>
  </si>
  <si>
    <t>Coffee</t>
  </si>
  <si>
    <t>Coffee husking</t>
  </si>
  <si>
    <t xml:space="preserve">  Husking</t>
  </si>
  <si>
    <t xml:space="preserve">  Coffee seedlings</t>
  </si>
  <si>
    <t xml:space="preserve">  Glyricidia cuts</t>
  </si>
  <si>
    <t xml:space="preserve">  Transport of cuts</t>
  </si>
  <si>
    <t xml:space="preserve">  Pruning  coffee</t>
  </si>
  <si>
    <t>FCFA/kg</t>
  </si>
  <si>
    <t xml:space="preserve">  Cutting old trees and stumping</t>
  </si>
  <si>
    <t xml:space="preserve">  Old coffee plants</t>
  </si>
  <si>
    <t>Bunch</t>
  </si>
  <si>
    <t xml:space="preserve">  Coffee harvest and drying</t>
  </si>
  <si>
    <t xml:space="preserve">  Transport and marketing of coffee</t>
  </si>
  <si>
    <t xml:space="preserve">  Transport of coffee</t>
  </si>
  <si>
    <t>Banana</t>
  </si>
  <si>
    <t>FCFA/bunch</t>
  </si>
  <si>
    <t xml:space="preserve">  Mulching</t>
  </si>
  <si>
    <t xml:space="preserve">  Herbicide</t>
  </si>
  <si>
    <t xml:space="preserve">  Transport of seedlings and suckers</t>
  </si>
  <si>
    <t>Gyricidia cuts</t>
  </si>
  <si>
    <t xml:space="preserve">  Excluding family labor</t>
  </si>
  <si>
    <t xml:space="preserve">  Coffee production of plants replanted f1st year</t>
  </si>
  <si>
    <t xml:space="preserve">  Coffee production of plants replanted 2nd  year</t>
  </si>
  <si>
    <t xml:space="preserve">  Over costs covered by farmers and excluding family labor</t>
  </si>
  <si>
    <t xml:space="preserve">  Incremental net benefit not accounting for family labor</t>
  </si>
  <si>
    <t xml:space="preserve">  Over total costs covered by farmers only</t>
  </si>
  <si>
    <t xml:space="preserve">  Post-harvest operations</t>
  </si>
  <si>
    <t>Total costs excluding family labor</t>
  </si>
  <si>
    <t xml:space="preserve">  Weeding other maintenance operations</t>
  </si>
  <si>
    <t xml:space="preserve">  Triple phosphate</t>
  </si>
  <si>
    <t xml:space="preserve">  Plant protection chemicals</t>
  </si>
  <si>
    <t xml:space="preserve">  cocoa production of plants replanted 2nd year </t>
  </si>
  <si>
    <t xml:space="preserve">  cocoa production of plants replanted 3rd year </t>
  </si>
  <si>
    <t>Plantation density</t>
  </si>
  <si>
    <t xml:space="preserve">  Establishment of shadow area</t>
  </si>
  <si>
    <t>Land preparation and plantation</t>
  </si>
  <si>
    <t xml:space="preserve">  Stump extraction, controlled fire and marking out</t>
  </si>
  <si>
    <t>Maintenance</t>
  </si>
  <si>
    <t>No allowance made for costs covered by the project and excluding family labor</t>
  </si>
  <si>
    <t>Reforestation on smallholder land (1 Ha) + annual crop</t>
  </si>
  <si>
    <t xml:space="preserve">Forest maintenance </t>
  </si>
  <si>
    <t>Annual crops operations</t>
  </si>
  <si>
    <t>Establishment of shadow area</t>
  </si>
  <si>
    <t>Stump extraction, controlled fire and marking out for reforestation</t>
  </si>
  <si>
    <t>Thinning forest plantation</t>
  </si>
  <si>
    <t>Cutting 11 cm teak tree</t>
  </si>
  <si>
    <t>Cutting 16 cm teak trees</t>
  </si>
  <si>
    <t>Cutting 24 cm teak trees</t>
  </si>
  <si>
    <t>Cutting 32 cm teak trees</t>
  </si>
  <si>
    <t>Cutting 40 cm teak trees</t>
  </si>
  <si>
    <t>Cutting 50 cm teak trees</t>
  </si>
  <si>
    <t>Potassium chloride</t>
  </si>
  <si>
    <t>Self protection equipment</t>
  </si>
  <si>
    <t>Agrochemicals of forestry nursery</t>
  </si>
  <si>
    <t>Taxes for teak tree cut 11 cm</t>
  </si>
  <si>
    <t>Taxes for teak tree cut 16 cm</t>
  </si>
  <si>
    <t>Taxes for teak tree cut 23 cm</t>
  </si>
  <si>
    <t>Taxes for teak tree cut 30 cm</t>
  </si>
  <si>
    <t>Organic and fair trade certification</t>
  </si>
  <si>
    <t xml:space="preserve">  Coffee production of plants replanted 3rd year</t>
  </si>
  <si>
    <t>Introduction of rubber in old coffee plantation (with project)</t>
  </si>
  <si>
    <t>Plants/ha</t>
  </si>
  <si>
    <t xml:space="preserve">  Rubber</t>
  </si>
  <si>
    <t>Density - monoculture</t>
  </si>
  <si>
    <t>unit</t>
  </si>
  <si>
    <t>Transport</t>
  </si>
  <si>
    <t>Of agricultural inputs for annual crops</t>
  </si>
  <si>
    <t>Of produce</t>
  </si>
  <si>
    <t>Of seedling from village nursery</t>
  </si>
  <si>
    <t xml:space="preserve">  Rubber seedlings</t>
  </si>
  <si>
    <t>Teck</t>
  </si>
  <si>
    <t>Seedlings/cuts/suckers</t>
  </si>
  <si>
    <t>Rubber</t>
  </si>
  <si>
    <t xml:space="preserve">  Shaping basins around seedlings</t>
  </si>
  <si>
    <t>Shaping basins around seedlings</t>
  </si>
  <si>
    <t>Weeding over lines</t>
  </si>
  <si>
    <t xml:space="preserve">  Weeding rubber over lines</t>
  </si>
  <si>
    <t xml:space="preserve">  Weeding rubber within lines</t>
  </si>
  <si>
    <t xml:space="preserve">  Bud pruning</t>
  </si>
  <si>
    <t xml:space="preserve">  Potassium chloride</t>
  </si>
  <si>
    <t xml:space="preserve">  Cleaning from pueraria (delianage)</t>
  </si>
  <si>
    <t>Cleaning from pueraria</t>
  </si>
  <si>
    <t xml:space="preserve">  Pueraria seeds</t>
  </si>
  <si>
    <t>Pueraria seeds</t>
  </si>
  <si>
    <t xml:space="preserve">  Seeding pueraria</t>
  </si>
  <si>
    <t xml:space="preserve">  Compensatory planting</t>
  </si>
  <si>
    <t xml:space="preserve">  Fungicide</t>
  </si>
  <si>
    <t>Fungicide against Polyporaceae</t>
  </si>
  <si>
    <t>FCFA/plant</t>
  </si>
  <si>
    <t>Plant</t>
  </si>
  <si>
    <t xml:space="preserve">  Cups</t>
  </si>
  <si>
    <t>Cups for rubber harvest</t>
  </si>
  <si>
    <t>Strings for rubber harvests</t>
  </si>
  <si>
    <t xml:space="preserve">  Strings fro rubber harvest</t>
  </si>
  <si>
    <t>Support for cups for rubber harvest</t>
  </si>
  <si>
    <t>Gutters for rubber harvest</t>
  </si>
  <si>
    <t xml:space="preserve">  Rubber harvest</t>
  </si>
  <si>
    <t>Rubber harvest</t>
  </si>
  <si>
    <t xml:space="preserve">  Gutters</t>
  </si>
  <si>
    <t xml:space="preserve">  Supports for cups</t>
  </si>
  <si>
    <t xml:space="preserve">  Coffee husking</t>
  </si>
  <si>
    <t xml:space="preserve">  Rubber transport </t>
  </si>
  <si>
    <t xml:space="preserve">  Coffee transport and marketing</t>
  </si>
  <si>
    <t xml:space="preserve">  Bags for coffee</t>
  </si>
  <si>
    <t xml:space="preserve">  Coffee transport</t>
  </si>
  <si>
    <t>Standard conversion factor</t>
  </si>
  <si>
    <t>D.R for economic analysis</t>
  </si>
  <si>
    <t>Products subject to VAT</t>
  </si>
  <si>
    <t>USD</t>
  </si>
  <si>
    <t>Seedlings</t>
  </si>
  <si>
    <t>Timber</t>
  </si>
  <si>
    <t>Shadow price</t>
  </si>
  <si>
    <t>Costs rand revenues</t>
  </si>
  <si>
    <t>Cash flow (FCFA) at shadow prices</t>
  </si>
  <si>
    <t>Cash flow (FCFA) at market prices</t>
  </si>
  <si>
    <t>Reforestation on gazetted forests (1 Ha)</t>
  </si>
  <si>
    <t xml:space="preserve">  Cocoa - organic and fair trade</t>
  </si>
  <si>
    <t xml:space="preserve">  Coffee - rubber</t>
  </si>
  <si>
    <t xml:space="preserve">  Cocoa - conventional</t>
  </si>
  <si>
    <t xml:space="preserve">  Gazetted forests</t>
  </si>
  <si>
    <t xml:space="preserve">  Smallholder farms</t>
  </si>
  <si>
    <t>Ha</t>
  </si>
  <si>
    <t>Forest restoration on smallholder farms</t>
  </si>
  <si>
    <t>Organic and fair trade cocoa</t>
  </si>
  <si>
    <t>Total forest restoration</t>
  </si>
  <si>
    <t xml:space="preserve">Inflow </t>
  </si>
  <si>
    <t>Forest restoration of gazetted forests</t>
  </si>
  <si>
    <t>Conventional cocoa</t>
  </si>
  <si>
    <t>Incr. net benefits - forest restoration</t>
  </si>
  <si>
    <t xml:space="preserve">  Cocoa conventional</t>
  </si>
  <si>
    <t xml:space="preserve">  Organic cocoa</t>
  </si>
  <si>
    <t xml:space="preserve">  Coffee- rubber</t>
  </si>
  <si>
    <t>Total inflow</t>
  </si>
  <si>
    <t xml:space="preserve">Outflow </t>
  </si>
  <si>
    <t>Total outflow</t>
  </si>
  <si>
    <t xml:space="preserve">  Forest restoration on gazetted forests</t>
  </si>
  <si>
    <t xml:space="preserve">  ENPV</t>
  </si>
  <si>
    <t xml:space="preserve">  EIRR</t>
  </si>
  <si>
    <t>Over 20-year time horizon</t>
  </si>
  <si>
    <t>Over 28-year time horizon</t>
  </si>
  <si>
    <t>Value of CO2 emissions saved</t>
  </si>
  <si>
    <t>CO2eq saved</t>
  </si>
  <si>
    <t>USD/Ton</t>
  </si>
  <si>
    <t>Over 20 years</t>
  </si>
  <si>
    <t>Annuities</t>
  </si>
  <si>
    <t>ENPV</t>
  </si>
  <si>
    <t>EIRR</t>
  </si>
  <si>
    <t>Benefits  (baseline)</t>
  </si>
  <si>
    <t>Over 28 years</t>
  </si>
  <si>
    <t>Benefits reduced by</t>
  </si>
  <si>
    <t>Benefits delayed by 1 year</t>
  </si>
  <si>
    <t>Benefits delayed by 2 year</t>
  </si>
  <si>
    <t>Benefits delayed by 3 year</t>
  </si>
  <si>
    <t>Costs  (baseline)</t>
  </si>
  <si>
    <t>Costs increased by</t>
  </si>
  <si>
    <t>Cash flow</t>
  </si>
  <si>
    <t xml:space="preserve">Cost increased by </t>
  </si>
  <si>
    <t>Increase in price of purchased inputs by</t>
  </si>
  <si>
    <t>Forest restoration operations</t>
  </si>
  <si>
    <t>Reduction in forest restoration area uniformly by 20%</t>
  </si>
  <si>
    <t>Reduction in forest restoration area uniformly by 10%</t>
  </si>
  <si>
    <t>Reduction in forest restoration area uniformly by 30%</t>
  </si>
  <si>
    <t>Baseline</t>
  </si>
  <si>
    <t xml:space="preserve">    Payback period</t>
  </si>
  <si>
    <t xml:space="preserve">    Discounted payback period</t>
  </si>
  <si>
    <t>Without project support</t>
  </si>
  <si>
    <t>With project support</t>
  </si>
  <si>
    <t>Incremental net benefits</t>
  </si>
  <si>
    <t>Organic and fair trade cocoa-based system</t>
  </si>
  <si>
    <t>Conventional cocoa-based system</t>
  </si>
  <si>
    <t>Coffee- rubber based system</t>
  </si>
  <si>
    <t>Gazetted forests</t>
  </si>
  <si>
    <t>Smallholders' land</t>
  </si>
  <si>
    <t>ENPV (million)</t>
  </si>
  <si>
    <t>With GHG accounting</t>
  </si>
  <si>
    <t>Without GHG accounting</t>
  </si>
  <si>
    <t>20-yr time horizon</t>
  </si>
  <si>
    <t>28-yr time horizon</t>
  </si>
  <si>
    <t>With GHG emission accounting</t>
  </si>
  <si>
    <t>Without GHG emission accounting</t>
  </si>
  <si>
    <t>Financial performance of modelled agro-forestry interventions (USD)</t>
  </si>
  <si>
    <t>Coffee-plantain based system</t>
  </si>
  <si>
    <t>Financial performance of forest restoration models (USD)</t>
  </si>
  <si>
    <t>Economic performance of the project</t>
  </si>
  <si>
    <t>Benefits delayed by 2 years</t>
  </si>
  <si>
    <t>Benefits delayed by 3 years</t>
  </si>
  <si>
    <t>Reduction in agroforestry area uniformly by 10%</t>
  </si>
  <si>
    <t>Reduction in agroforestry area uniformly by 20%</t>
  </si>
  <si>
    <t>Reduction in agroforestry area uniformly by 30%</t>
  </si>
  <si>
    <t>Reduction in forest restoration area by 10%</t>
  </si>
  <si>
    <t>Reduction in forest restoration area by 30%</t>
  </si>
  <si>
    <t>Reduction in forest restoration area by 20%</t>
  </si>
  <si>
    <t>Hectares</t>
  </si>
  <si>
    <t>Revenues WOP reduced by</t>
  </si>
  <si>
    <t>Incremental net benefit</t>
  </si>
  <si>
    <t>Cost WOP increased by</t>
  </si>
  <si>
    <t>Revenues WIP reduced by</t>
  </si>
  <si>
    <t>Cost WIP increased by</t>
  </si>
  <si>
    <t>Switching values</t>
  </si>
  <si>
    <t>Revenues reduced by</t>
  </si>
  <si>
    <t>Other hypotheses (for sensitivity analysis)</t>
  </si>
  <si>
    <t>Cost of agricultural inputs</t>
  </si>
  <si>
    <t>Specialized or heavy agricultural work</t>
  </si>
  <si>
    <t>Teck trees 11 cm diameter</t>
  </si>
  <si>
    <t>Teck trees 16 cm diameter</t>
  </si>
  <si>
    <t>Teck trees 23 cm diameter</t>
  </si>
  <si>
    <t>Teck trees 30 cm diameter</t>
  </si>
  <si>
    <t>Teck tree 50 cm diameter</t>
  </si>
  <si>
    <t>Physical flow</t>
  </si>
  <si>
    <t>Yr. 1</t>
  </si>
  <si>
    <t>Yr. 2</t>
  </si>
  <si>
    <t>Yr. 3</t>
  </si>
  <si>
    <t>Yr. 4</t>
  </si>
  <si>
    <t>Yr. 5</t>
  </si>
  <si>
    <t>Yr. 6</t>
  </si>
  <si>
    <t>Yr. 7</t>
  </si>
  <si>
    <t>Yr. 8</t>
  </si>
  <si>
    <t>Yr. 9</t>
  </si>
  <si>
    <t>Yr. 10</t>
  </si>
  <si>
    <t>Yr. 11</t>
  </si>
  <si>
    <t>Yr. 12</t>
  </si>
  <si>
    <t>Yr. 13</t>
  </si>
  <si>
    <t>Yr. 14</t>
  </si>
  <si>
    <t>Yr. 15</t>
  </si>
  <si>
    <t>Yr. 16</t>
  </si>
  <si>
    <t>Yr. 17</t>
  </si>
  <si>
    <t>Yr. 18</t>
  </si>
  <si>
    <t>Yr. 19</t>
  </si>
  <si>
    <t>Yr. 20</t>
  </si>
  <si>
    <t xml:space="preserve">  Propping of plantain suckers</t>
  </si>
  <si>
    <t xml:space="preserve">  Pruning of plantain suckers</t>
  </si>
  <si>
    <t xml:space="preserve">  Plantain harvest and marketing</t>
  </si>
  <si>
    <t xml:space="preserve">  Transport of plantain</t>
  </si>
  <si>
    <t xml:space="preserve">  Plantain suckers</t>
  </si>
  <si>
    <t xml:space="preserve">  Plantain</t>
  </si>
  <si>
    <t>Yr. 21</t>
  </si>
  <si>
    <t>Density - association</t>
  </si>
  <si>
    <t xml:space="preserve">  Superphosphate</t>
  </si>
  <si>
    <t>Yr. 22</t>
  </si>
  <si>
    <t>Yr. 23</t>
  </si>
  <si>
    <t>Yr. 24</t>
  </si>
  <si>
    <t>Yr. 25</t>
  </si>
  <si>
    <t>Yr. 26</t>
  </si>
  <si>
    <t>Yr. 27</t>
  </si>
  <si>
    <t>Coffee - rubber</t>
  </si>
  <si>
    <t>Total agro-forestry systems</t>
  </si>
  <si>
    <t xml:space="preserve">  Coffee - plantain</t>
  </si>
  <si>
    <t>Coffee - plantain</t>
  </si>
  <si>
    <t>Yr. 28</t>
  </si>
  <si>
    <t xml:space="preserve">  Forest restoration on smallholder farms</t>
  </si>
  <si>
    <t xml:space="preserve">  Coffee- plantain</t>
  </si>
  <si>
    <t xml:space="preserve">  Additional O&amp;M</t>
  </si>
  <si>
    <t>Total net benefit</t>
  </si>
  <si>
    <t>Total net benefit including CO2 emissions saved</t>
  </si>
  <si>
    <t>Without accounting of GHG emissions</t>
  </si>
  <si>
    <t>With accounting of GHG emissions</t>
  </si>
  <si>
    <t>Sensitivity analysis (USD) - Without accounting for CO2 emissions</t>
  </si>
  <si>
    <t>Sensitivity analysis (USD) -  Accounting for CO2 emissions</t>
  </si>
  <si>
    <t>Yr. 1 without project support</t>
  </si>
  <si>
    <t>Yr. 1 with project support</t>
  </si>
  <si>
    <t>Yr. 1 total costs</t>
  </si>
  <si>
    <t>Benefits reduced by 10%</t>
  </si>
  <si>
    <t>Benefits reduced by 20%</t>
  </si>
  <si>
    <t>Benefits reduced by 30%</t>
  </si>
  <si>
    <t>Increase in purchase price of agr. inputs by 10%</t>
  </si>
  <si>
    <t>Increase in purchase price of agr. inputs by 20%</t>
  </si>
  <si>
    <t>Increase in purchase price of agr. inputs by 30%</t>
  </si>
  <si>
    <t>GHG emissions avoided (Ton CO2eq)</t>
  </si>
  <si>
    <t xml:space="preserve">Sensitivity analysis </t>
  </si>
  <si>
    <t xml:space="preserve">  Reduction in agroforestry area uniformly by 10%</t>
  </si>
  <si>
    <t xml:space="preserve">  Reduction in agroforestry area uniformly by 20%</t>
  </si>
  <si>
    <t xml:space="preserve">  Reduction in agroforestry area uniformly by 30%</t>
  </si>
  <si>
    <t xml:space="preserve">  Reduction in forest restoration area by 10%</t>
  </si>
  <si>
    <t xml:space="preserve">  Reduction in forest restoration area by 20%</t>
  </si>
  <si>
    <t xml:space="preserve">  Reduction in forest restoration area by 30%</t>
  </si>
  <si>
    <t>Renewable of old plantation with plantain introduction (with project)</t>
  </si>
  <si>
    <t>Old plantation (without project)</t>
  </si>
  <si>
    <t>Old plantation  (without project)</t>
  </si>
  <si>
    <t>Renewal of old plantation - fair trade and organic certified  (with project)</t>
  </si>
  <si>
    <t>Renewal of old plantation - fair trade and organic certified (with project)</t>
  </si>
  <si>
    <t>Forest restoration</t>
  </si>
  <si>
    <t>Agro-forestry</t>
  </si>
  <si>
    <t>Perc. distribution in time</t>
  </si>
  <si>
    <t xml:space="preserve">  Project cost comp 2 and PMC</t>
  </si>
  <si>
    <t>Sensitivity analysis over a 20-year time horizon</t>
  </si>
  <si>
    <t>Switching values  (sensitivity analysis over 20 years)</t>
  </si>
  <si>
    <t>NPV (FCFA)</t>
  </si>
  <si>
    <t>NPV (USD)</t>
  </si>
  <si>
    <t xml:space="preserve">  Less forest restoration project costs for gazetted forests (already included in net incremental benefits)</t>
  </si>
  <si>
    <t>Total</t>
  </si>
  <si>
    <t>Renewal of old plantation - sustainable agriculture (with project)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</si>
</sst>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&quot;$&quot;#,##0.00_);[Red]\(&quot;$&quot;#,##0.00\)"/>
    <numFmt numFmtId="165" formatCode="#,##0.0"/>
    <numFmt numFmtId="166" formatCode="0.0"/>
    <numFmt numFmtId="167" formatCode="0.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0" fillId="0" borderId="0"/>
    <xf numFmtId="43" fontId="2" fillId="0" borderId="0" applyFont="0" applyFill="0" applyBorder="0" applyAlignment="0" applyProtection="0"/>
  </cellStyleXfs>
  <cellXfs count="158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0" borderId="0" xfId="0" applyBorder="1"/>
    <xf numFmtId="165" fontId="0" fillId="0" borderId="0" xfId="0" applyNumberFormat="1"/>
    <xf numFmtId="1" fontId="0" fillId="0" borderId="0" xfId="0" applyNumberFormat="1"/>
    <xf numFmtId="0" fontId="0" fillId="0" borderId="2" xfId="0" applyBorder="1"/>
    <xf numFmtId="0" fontId="0" fillId="0" borderId="2" xfId="0" applyFill="1" applyBorder="1"/>
    <xf numFmtId="0" fontId="0" fillId="0" borderId="3" xfId="0" applyBorder="1"/>
    <xf numFmtId="0" fontId="0" fillId="0" borderId="4" xfId="0" applyFont="1" applyBorder="1"/>
    <xf numFmtId="0" fontId="0" fillId="0" borderId="5" xfId="0" applyBorder="1"/>
    <xf numFmtId="0" fontId="0" fillId="0" borderId="1" xfId="0" applyBorder="1"/>
    <xf numFmtId="0" fontId="0" fillId="0" borderId="4" xfId="0" applyBorder="1"/>
    <xf numFmtId="3" fontId="0" fillId="0" borderId="3" xfId="0" applyNumberFormat="1" applyBorder="1"/>
    <xf numFmtId="3" fontId="0" fillId="0" borderId="1" xfId="0" applyNumberFormat="1" applyBorder="1"/>
    <xf numFmtId="0" fontId="0" fillId="0" borderId="6" xfId="0" applyBorder="1"/>
    <xf numFmtId="4" fontId="0" fillId="0" borderId="0" xfId="0" applyNumberFormat="1"/>
    <xf numFmtId="0" fontId="0" fillId="0" borderId="2" xfId="0" applyFont="1" applyBorder="1"/>
    <xf numFmtId="0" fontId="0" fillId="0" borderId="2" xfId="0" applyFont="1" applyFill="1" applyBorder="1"/>
    <xf numFmtId="0" fontId="0" fillId="0" borderId="0" xfId="0" applyFont="1" applyFill="1" applyBorder="1"/>
    <xf numFmtId="0" fontId="0" fillId="0" borderId="0" xfId="0" applyFont="1"/>
    <xf numFmtId="166" fontId="0" fillId="0" borderId="0" xfId="0" applyNumberFormat="1"/>
    <xf numFmtId="3" fontId="0" fillId="0" borderId="5" xfId="0" applyNumberFormat="1" applyBorder="1"/>
    <xf numFmtId="9" fontId="0" fillId="0" borderId="0" xfId="0" applyNumberFormat="1"/>
    <xf numFmtId="38" fontId="0" fillId="0" borderId="0" xfId="0" applyNumberFormat="1"/>
    <xf numFmtId="0" fontId="0" fillId="0" borderId="7" xfId="0" applyFont="1" applyFill="1" applyBorder="1"/>
    <xf numFmtId="0" fontId="0" fillId="0" borderId="0" xfId="0" applyFill="1" applyBorder="1"/>
    <xf numFmtId="3" fontId="0" fillId="0" borderId="0" xfId="0" applyNumberFormat="1" applyFont="1" applyFill="1" applyBorder="1"/>
    <xf numFmtId="1" fontId="0" fillId="0" borderId="3" xfId="0" applyNumberFormat="1" applyBorder="1"/>
    <xf numFmtId="3" fontId="0" fillId="0" borderId="3" xfId="0" applyNumberFormat="1" applyFill="1" applyBorder="1"/>
    <xf numFmtId="3" fontId="0" fillId="0" borderId="0" xfId="0" applyNumberFormat="1" applyFill="1"/>
    <xf numFmtId="0" fontId="0" fillId="0" borderId="4" xfId="0" applyFill="1" applyBorder="1"/>
    <xf numFmtId="3" fontId="0" fillId="0" borderId="5" xfId="0" applyNumberFormat="1" applyFill="1" applyBorder="1"/>
    <xf numFmtId="3" fontId="0" fillId="0" borderId="1" xfId="0" applyNumberFormat="1" applyFill="1" applyBorder="1"/>
    <xf numFmtId="0" fontId="0" fillId="0" borderId="1" xfId="0" applyFont="1" applyBorder="1"/>
    <xf numFmtId="0" fontId="5" fillId="0" borderId="0" xfId="0" applyFont="1" applyFill="1" applyBorder="1"/>
    <xf numFmtId="0" fontId="5" fillId="0" borderId="3" xfId="0" applyFont="1" applyBorder="1"/>
    <xf numFmtId="0" fontId="5" fillId="0" borderId="0" xfId="0" applyFont="1"/>
    <xf numFmtId="0" fontId="0" fillId="0" borderId="8" xfId="0" applyFont="1" applyFill="1" applyBorder="1"/>
    <xf numFmtId="0" fontId="0" fillId="0" borderId="8" xfId="0" applyBorder="1"/>
    <xf numFmtId="0" fontId="0" fillId="0" borderId="1" xfId="0" applyFont="1" applyFill="1" applyBorder="1"/>
    <xf numFmtId="0" fontId="0" fillId="0" borderId="5" xfId="0" applyFont="1" applyFill="1" applyBorder="1"/>
    <xf numFmtId="3" fontId="0" fillId="0" borderId="9" xfId="0" applyNumberFormat="1" applyBorder="1"/>
    <xf numFmtId="0" fontId="0" fillId="0" borderId="3" xfId="0" applyFont="1" applyFill="1" applyBorder="1"/>
    <xf numFmtId="0" fontId="0" fillId="0" borderId="0" xfId="0" applyFill="1"/>
    <xf numFmtId="0" fontId="6" fillId="0" borderId="0" xfId="0" applyFont="1" applyBorder="1"/>
    <xf numFmtId="0" fontId="1" fillId="2" borderId="0" xfId="0" applyFont="1" applyFill="1" applyBorder="1"/>
    <xf numFmtId="0" fontId="0" fillId="2" borderId="0" xfId="0" applyFill="1"/>
    <xf numFmtId="0" fontId="1" fillId="2" borderId="0" xfId="0" applyFont="1" applyFill="1"/>
    <xf numFmtId="0" fontId="6" fillId="0" borderId="0" xfId="0" applyFont="1"/>
    <xf numFmtId="0" fontId="5" fillId="0" borderId="7" xfId="0" applyFont="1" applyFill="1" applyBorder="1"/>
    <xf numFmtId="0" fontId="5" fillId="0" borderId="2" xfId="0" applyFont="1" applyBorder="1"/>
    <xf numFmtId="1" fontId="0" fillId="0" borderId="0" xfId="0" applyNumberFormat="1" applyFont="1"/>
    <xf numFmtId="0" fontId="5" fillId="0" borderId="10" xfId="0" applyFont="1" applyFill="1" applyBorder="1"/>
    <xf numFmtId="0" fontId="0" fillId="0" borderId="3" xfId="0" applyFill="1" applyBorder="1"/>
    <xf numFmtId="3" fontId="0" fillId="0" borderId="0" xfId="0" applyNumberFormat="1" applyFill="1" applyBorder="1"/>
    <xf numFmtId="0" fontId="1" fillId="3" borderId="0" xfId="0" applyFont="1" applyFill="1"/>
    <xf numFmtId="0" fontId="0" fillId="3" borderId="0" xfId="0" applyFill="1"/>
    <xf numFmtId="0" fontId="0" fillId="0" borderId="0" xfId="0" applyFont="1" applyFill="1"/>
    <xf numFmtId="1" fontId="0" fillId="0" borderId="0" xfId="0" applyNumberFormat="1" applyFill="1"/>
    <xf numFmtId="3" fontId="0" fillId="0" borderId="8" xfId="0" applyNumberFormat="1" applyFill="1" applyBorder="1"/>
    <xf numFmtId="2" fontId="0" fillId="0" borderId="0" xfId="0" applyNumberFormat="1" applyFill="1"/>
    <xf numFmtId="3" fontId="0" fillId="0" borderId="0" xfId="0" applyNumberFormat="1" applyBorder="1"/>
    <xf numFmtId="1" fontId="0" fillId="0" borderId="1" xfId="0" applyNumberFormat="1" applyFill="1" applyBorder="1"/>
    <xf numFmtId="0" fontId="0" fillId="0" borderId="5" xfId="0" applyFill="1" applyBorder="1"/>
    <xf numFmtId="2" fontId="0" fillId="0" borderId="0" xfId="0" applyNumberFormat="1"/>
    <xf numFmtId="167" fontId="0" fillId="0" borderId="0" xfId="0" applyNumberFormat="1"/>
    <xf numFmtId="0" fontId="0" fillId="0" borderId="0" xfId="0" applyAlignment="1"/>
    <xf numFmtId="0" fontId="1" fillId="0" borderId="1" xfId="0" applyFont="1" applyBorder="1"/>
    <xf numFmtId="0" fontId="1" fillId="0" borderId="0" xfId="0" applyFont="1" applyFill="1"/>
    <xf numFmtId="0" fontId="0" fillId="0" borderId="11" xfId="0" applyBorder="1"/>
    <xf numFmtId="0" fontId="0" fillId="0" borderId="12" xfId="0" applyBorder="1"/>
    <xf numFmtId="0" fontId="0" fillId="0" borderId="9" xfId="0" applyBorder="1"/>
    <xf numFmtId="1" fontId="0" fillId="0" borderId="9" xfId="0" applyNumberFormat="1" applyBorder="1"/>
    <xf numFmtId="1" fontId="0" fillId="0" borderId="1" xfId="0" applyNumberFormat="1" applyBorder="1"/>
    <xf numFmtId="0" fontId="1" fillId="0" borderId="0" xfId="0" applyFont="1" applyFill="1" applyBorder="1"/>
    <xf numFmtId="3" fontId="5" fillId="0" borderId="0" xfId="0" applyNumberFormat="1" applyFont="1"/>
    <xf numFmtId="0" fontId="0" fillId="0" borderId="13" xfId="0" applyBorder="1"/>
    <xf numFmtId="0" fontId="0" fillId="0" borderId="10" xfId="0" applyBorder="1"/>
    <xf numFmtId="0" fontId="0" fillId="0" borderId="7" xfId="0" applyBorder="1"/>
    <xf numFmtId="9" fontId="0" fillId="0" borderId="0" xfId="1" applyFont="1" applyBorder="1"/>
    <xf numFmtId="0" fontId="7" fillId="0" borderId="0" xfId="0" applyNumberFormat="1" applyFont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3" fontId="9" fillId="0" borderId="0" xfId="0" applyNumberFormat="1" applyFont="1" applyBorder="1" applyAlignment="1">
      <alignment horizontal="center"/>
    </xf>
    <xf numFmtId="3" fontId="7" fillId="0" borderId="0" xfId="0" applyNumberFormat="1" applyFont="1" applyBorder="1"/>
    <xf numFmtId="3" fontId="7" fillId="0" borderId="0" xfId="0" applyNumberFormat="1" applyFont="1"/>
    <xf numFmtId="0" fontId="7" fillId="0" borderId="0" xfId="0" applyFont="1"/>
    <xf numFmtId="0" fontId="9" fillId="0" borderId="0" xfId="0" applyFont="1"/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7" fillId="0" borderId="0" xfId="0" applyNumberFormat="1" applyFont="1"/>
    <xf numFmtId="9" fontId="7" fillId="0" borderId="0" xfId="0" applyNumberFormat="1" applyFont="1"/>
    <xf numFmtId="38" fontId="7" fillId="0" borderId="0" xfId="0" applyNumberFormat="1" applyFont="1"/>
    <xf numFmtId="0" fontId="11" fillId="0" borderId="0" xfId="0" applyFont="1"/>
    <xf numFmtId="0" fontId="7" fillId="0" borderId="2" xfId="0" applyFont="1" applyBorder="1"/>
    <xf numFmtId="0" fontId="7" fillId="0" borderId="0" xfId="0" applyFont="1" applyBorder="1"/>
    <xf numFmtId="3" fontId="8" fillId="2" borderId="8" xfId="2" applyNumberFormat="1" applyFont="1" applyFill="1" applyBorder="1"/>
    <xf numFmtId="0" fontId="7" fillId="2" borderId="2" xfId="0" applyFont="1" applyFill="1" applyBorder="1"/>
    <xf numFmtId="0" fontId="7" fillId="2" borderId="8" xfId="0" applyFont="1" applyFill="1" applyBorder="1"/>
    <xf numFmtId="0" fontId="7" fillId="2" borderId="0" xfId="0" applyFont="1" applyFill="1" applyBorder="1"/>
    <xf numFmtId="3" fontId="7" fillId="2" borderId="0" xfId="0" applyNumberFormat="1" applyFont="1" applyFill="1"/>
    <xf numFmtId="9" fontId="7" fillId="0" borderId="0" xfId="0" applyNumberFormat="1" applyFont="1" applyFill="1"/>
    <xf numFmtId="3" fontId="7" fillId="0" borderId="0" xfId="0" applyNumberFormat="1" applyFont="1" applyFill="1"/>
    <xf numFmtId="167" fontId="7" fillId="0" borderId="0" xfId="0" applyNumberFormat="1" applyFont="1"/>
    <xf numFmtId="38" fontId="7" fillId="2" borderId="8" xfId="0" applyNumberFormat="1" applyFont="1" applyFill="1" applyBorder="1"/>
    <xf numFmtId="38" fontId="7" fillId="2" borderId="0" xfId="0" applyNumberFormat="1" applyFont="1" applyFill="1" applyBorder="1"/>
    <xf numFmtId="38" fontId="7" fillId="0" borderId="8" xfId="0" applyNumberFormat="1" applyFont="1" applyFill="1" applyBorder="1"/>
    <xf numFmtId="38" fontId="7" fillId="0" borderId="0" xfId="0" applyNumberFormat="1" applyFont="1" applyFill="1" applyBorder="1"/>
    <xf numFmtId="0" fontId="7" fillId="0" borderId="1" xfId="0" applyFont="1" applyBorder="1"/>
    <xf numFmtId="0" fontId="7" fillId="0" borderId="4" xfId="0" applyFont="1" applyBorder="1"/>
    <xf numFmtId="9" fontId="7" fillId="2" borderId="0" xfId="0" applyNumberFormat="1" applyFont="1" applyFill="1" applyBorder="1"/>
    <xf numFmtId="9" fontId="7" fillId="0" borderId="0" xfId="0" applyNumberFormat="1" applyFont="1" applyFill="1" applyBorder="1"/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Border="1"/>
    <xf numFmtId="0" fontId="12" fillId="0" borderId="0" xfId="0" applyFont="1"/>
    <xf numFmtId="3" fontId="12" fillId="0" borderId="0" xfId="0" applyNumberFormat="1" applyFont="1"/>
    <xf numFmtId="1" fontId="12" fillId="0" borderId="0" xfId="0" applyNumberFormat="1" applyFont="1"/>
    <xf numFmtId="0" fontId="12" fillId="0" borderId="0" xfId="0" applyFont="1" applyAlignment="1">
      <alignment horizontal="center" vertical="center" wrapText="1"/>
    </xf>
    <xf numFmtId="0" fontId="0" fillId="0" borderId="0" xfId="0" quotePrefix="1"/>
    <xf numFmtId="167" fontId="7" fillId="2" borderId="2" xfId="0" applyNumberFormat="1" applyFont="1" applyFill="1" applyBorder="1"/>
    <xf numFmtId="167" fontId="7" fillId="2" borderId="0" xfId="0" applyNumberFormat="1" applyFont="1" applyFill="1" applyBorder="1"/>
    <xf numFmtId="167" fontId="7" fillId="0" borderId="0" xfId="0" applyNumberFormat="1" applyFont="1" applyFill="1" applyBorder="1"/>
    <xf numFmtId="10" fontId="7" fillId="0" borderId="2" xfId="0" applyNumberFormat="1" applyFont="1" applyFill="1" applyBorder="1"/>
    <xf numFmtId="167" fontId="7" fillId="0" borderId="2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/>
    <xf numFmtId="0" fontId="7" fillId="0" borderId="1" xfId="0" applyFont="1" applyFill="1" applyBorder="1"/>
    <xf numFmtId="9" fontId="7" fillId="0" borderId="0" xfId="0" applyNumberFormat="1" applyFont="1" applyBorder="1"/>
    <xf numFmtId="0" fontId="7" fillId="0" borderId="8" xfId="0" applyFont="1" applyFill="1" applyBorder="1"/>
    <xf numFmtId="0" fontId="7" fillId="0" borderId="9" xfId="0" applyFont="1" applyFill="1" applyBorder="1"/>
    <xf numFmtId="40" fontId="12" fillId="0" borderId="0" xfId="0" applyNumberFormat="1" applyFont="1"/>
    <xf numFmtId="9" fontId="12" fillId="0" borderId="0" xfId="0" applyNumberFormat="1" applyFont="1"/>
    <xf numFmtId="2" fontId="12" fillId="0" borderId="0" xfId="0" applyNumberFormat="1" applyFont="1"/>
    <xf numFmtId="167" fontId="12" fillId="0" borderId="0" xfId="1" applyNumberFormat="1" applyFont="1"/>
    <xf numFmtId="0" fontId="12" fillId="0" borderId="0" xfId="0" applyFont="1" applyAlignment="1">
      <alignment horizontal="center" vertical="center" wrapText="1"/>
    </xf>
    <xf numFmtId="164" fontId="7" fillId="0" borderId="0" xfId="0" applyNumberFormat="1" applyFont="1"/>
    <xf numFmtId="9" fontId="12" fillId="0" borderId="0" xfId="1" applyFont="1"/>
    <xf numFmtId="9" fontId="12" fillId="0" borderId="0" xfId="1" applyNumberFormat="1" applyFont="1"/>
    <xf numFmtId="9" fontId="0" fillId="0" borderId="0" xfId="0" applyNumberFormat="1" applyBorder="1"/>
    <xf numFmtId="9" fontId="0" fillId="0" borderId="2" xfId="0" applyNumberFormat="1" applyBorder="1"/>
    <xf numFmtId="9" fontId="0" fillId="0" borderId="1" xfId="1" applyFont="1" applyBorder="1"/>
    <xf numFmtId="167" fontId="12" fillId="0" borderId="0" xfId="0" applyNumberFormat="1" applyFont="1"/>
    <xf numFmtId="2" fontId="7" fillId="0" borderId="0" xfId="0" applyNumberFormat="1" applyFont="1"/>
    <xf numFmtId="166" fontId="7" fillId="0" borderId="0" xfId="0" applyNumberFormat="1" applyFont="1"/>
    <xf numFmtId="166" fontId="0" fillId="0" borderId="0" xfId="0" applyNumberFormat="1" applyBorder="1" applyAlignment="1">
      <alignment horizontal="center"/>
    </xf>
    <xf numFmtId="164" fontId="0" fillId="0" borderId="0" xfId="0" applyNumberFormat="1"/>
    <xf numFmtId="43" fontId="7" fillId="0" borderId="0" xfId="3" applyFont="1"/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</cellXfs>
  <cellStyles count="4">
    <cellStyle name="Comma" xfId="3" builtinId="3"/>
    <cellStyle name="Normal" xfId="0" builtinId="0"/>
    <cellStyle name="Normal_Sensitivity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29"/>
  <sheetViews>
    <sheetView workbookViewId="0">
      <selection activeCell="D129" sqref="D129"/>
    </sheetView>
  </sheetViews>
  <sheetFormatPr defaultRowHeight="14.5" x14ac:dyDescent="0.35"/>
  <cols>
    <col min="1" max="1" width="25.81640625" customWidth="1"/>
    <col min="3" max="3" width="13.26953125" customWidth="1"/>
    <col min="4" max="4" width="12.54296875" customWidth="1"/>
  </cols>
  <sheetData>
    <row r="1" spans="1:4" x14ac:dyDescent="0.35">
      <c r="B1" t="s">
        <v>11</v>
      </c>
    </row>
    <row r="2" spans="1:4" x14ac:dyDescent="0.35">
      <c r="A2" s="1" t="s">
        <v>2</v>
      </c>
      <c r="C2" s="67" t="s">
        <v>140</v>
      </c>
      <c r="D2" s="67" t="s">
        <v>301</v>
      </c>
    </row>
    <row r="3" spans="1:4" x14ac:dyDescent="0.35">
      <c r="A3" t="s">
        <v>4</v>
      </c>
      <c r="B3" t="s">
        <v>5</v>
      </c>
      <c r="C3" s="2">
        <v>2500</v>
      </c>
      <c r="D3">
        <f>C3*CF_labor</f>
        <v>2340</v>
      </c>
    </row>
    <row r="4" spans="1:4" x14ac:dyDescent="0.35">
      <c r="A4" t="s">
        <v>392</v>
      </c>
      <c r="B4" t="s">
        <v>5</v>
      </c>
      <c r="C4" s="2">
        <v>4000</v>
      </c>
      <c r="D4">
        <f>C4*CF_labor</f>
        <v>3744</v>
      </c>
    </row>
    <row r="5" spans="1:4" x14ac:dyDescent="0.35">
      <c r="A5" t="s">
        <v>0</v>
      </c>
      <c r="B5" t="s">
        <v>3</v>
      </c>
      <c r="C5" s="2">
        <v>25000</v>
      </c>
      <c r="D5">
        <f>C5*CF_labor</f>
        <v>23400</v>
      </c>
    </row>
    <row r="6" spans="1:4" x14ac:dyDescent="0.35">
      <c r="A6" t="s">
        <v>271</v>
      </c>
      <c r="B6" t="s">
        <v>3</v>
      </c>
      <c r="C6" s="2">
        <v>5000</v>
      </c>
      <c r="D6">
        <f>C6*CF_labor</f>
        <v>4680</v>
      </c>
    </row>
    <row r="7" spans="1:4" x14ac:dyDescent="0.35">
      <c r="A7" t="s">
        <v>32</v>
      </c>
      <c r="B7" t="s">
        <v>3</v>
      </c>
      <c r="C7" s="2">
        <v>25000</v>
      </c>
      <c r="D7">
        <f>C7*1</f>
        <v>25000</v>
      </c>
    </row>
    <row r="8" spans="1:4" x14ac:dyDescent="0.35">
      <c r="A8" t="s">
        <v>51</v>
      </c>
      <c r="B8" t="s">
        <v>20</v>
      </c>
      <c r="C8" s="2">
        <f>30</f>
        <v>30</v>
      </c>
      <c r="D8">
        <f>C8*CF_labor</f>
        <v>28.08</v>
      </c>
    </row>
    <row r="9" spans="1:4" x14ac:dyDescent="0.35">
      <c r="A9" t="s">
        <v>52</v>
      </c>
      <c r="B9" t="s">
        <v>20</v>
      </c>
      <c r="C9" s="2">
        <v>30</v>
      </c>
      <c r="D9">
        <f>C9*CF_labor</f>
        <v>28.08</v>
      </c>
    </row>
    <row r="10" spans="1:4" x14ac:dyDescent="0.35">
      <c r="A10" t="s">
        <v>34</v>
      </c>
      <c r="B10" t="s">
        <v>3</v>
      </c>
      <c r="C10" s="2">
        <v>30000</v>
      </c>
      <c r="D10">
        <f>C10*CF_labor</f>
        <v>28080</v>
      </c>
    </row>
    <row r="11" spans="1:4" x14ac:dyDescent="0.35">
      <c r="A11" t="s">
        <v>36</v>
      </c>
      <c r="B11" t="s">
        <v>3</v>
      </c>
      <c r="C11" s="2">
        <v>50000</v>
      </c>
      <c r="D11">
        <f>C11*CF_labor</f>
        <v>46800</v>
      </c>
    </row>
    <row r="12" spans="1:4" x14ac:dyDescent="0.35">
      <c r="A12" t="s">
        <v>264</v>
      </c>
      <c r="B12" t="s">
        <v>20</v>
      </c>
      <c r="C12" s="2">
        <v>25</v>
      </c>
      <c r="D12">
        <f>C12*CF_labor</f>
        <v>23.4</v>
      </c>
    </row>
    <row r="13" spans="1:4" x14ac:dyDescent="0.35">
      <c r="A13" t="s">
        <v>143</v>
      </c>
      <c r="B13" t="s">
        <v>40</v>
      </c>
      <c r="C13" s="2">
        <v>2000</v>
      </c>
      <c r="D13">
        <f>C13*1</f>
        <v>2000</v>
      </c>
    </row>
    <row r="14" spans="1:4" x14ac:dyDescent="0.35">
      <c r="A14" t="s">
        <v>38</v>
      </c>
      <c r="B14" t="s">
        <v>3</v>
      </c>
      <c r="C14" s="2">
        <v>10000</v>
      </c>
      <c r="D14">
        <f>C14*CF_labor</f>
        <v>9360</v>
      </c>
    </row>
    <row r="15" spans="1:4" x14ac:dyDescent="0.35">
      <c r="A15" t="s">
        <v>39</v>
      </c>
      <c r="B15" t="s">
        <v>40</v>
      </c>
      <c r="C15" s="2">
        <f>C7</f>
        <v>25000</v>
      </c>
      <c r="D15" s="2">
        <f>C15*1</f>
        <v>25000</v>
      </c>
    </row>
    <row r="16" spans="1:4" x14ac:dyDescent="0.35">
      <c r="A16" t="s">
        <v>18</v>
      </c>
      <c r="B16" s="2" t="s">
        <v>15</v>
      </c>
      <c r="C16">
        <f>20*1.56</f>
        <v>31.200000000000003</v>
      </c>
      <c r="D16">
        <f>C16*CF_labor</f>
        <v>29.203200000000002</v>
      </c>
    </row>
    <row r="17" spans="1:4" x14ac:dyDescent="0.35">
      <c r="A17" t="s">
        <v>77</v>
      </c>
      <c r="B17" s="2" t="s">
        <v>15</v>
      </c>
      <c r="C17" s="2">
        <f>30*1.56</f>
        <v>46.800000000000004</v>
      </c>
      <c r="D17">
        <f>C17*scf</f>
        <v>46.332000000000001</v>
      </c>
    </row>
    <row r="18" spans="1:4" x14ac:dyDescent="0.35">
      <c r="A18" t="s">
        <v>189</v>
      </c>
      <c r="B18" s="2" t="s">
        <v>15</v>
      </c>
      <c r="C18" s="2">
        <v>10</v>
      </c>
      <c r="D18">
        <f>C18*scf</f>
        <v>9.9</v>
      </c>
    </row>
    <row r="19" spans="1:4" x14ac:dyDescent="0.35">
      <c r="A19" t="s">
        <v>191</v>
      </c>
      <c r="B19" s="2" t="s">
        <v>15</v>
      </c>
      <c r="C19" s="2">
        <v>60</v>
      </c>
      <c r="D19">
        <f>C19*scf</f>
        <v>59.4</v>
      </c>
    </row>
    <row r="20" spans="1:4" x14ac:dyDescent="0.35">
      <c r="A20" t="s">
        <v>62</v>
      </c>
      <c r="B20" s="2" t="s">
        <v>63</v>
      </c>
      <c r="C20" s="2">
        <v>150</v>
      </c>
      <c r="D20">
        <f>C20*CF_labor</f>
        <v>140.39999999999998</v>
      </c>
    </row>
    <row r="21" spans="1:4" x14ac:dyDescent="0.35">
      <c r="A21" t="s">
        <v>287</v>
      </c>
      <c r="B21" s="2" t="s">
        <v>197</v>
      </c>
      <c r="C21" s="2">
        <v>50</v>
      </c>
      <c r="D21">
        <f>C21*CF_labor</f>
        <v>46.8</v>
      </c>
    </row>
    <row r="23" spans="1:4" x14ac:dyDescent="0.35">
      <c r="B23" s="2"/>
      <c r="C23" s="2"/>
    </row>
    <row r="24" spans="1:4" x14ac:dyDescent="0.35">
      <c r="A24" s="1" t="s">
        <v>255</v>
      </c>
      <c r="B24" s="2"/>
      <c r="C24" s="2"/>
    </row>
    <row r="25" spans="1:4" x14ac:dyDescent="0.35">
      <c r="A25" t="s">
        <v>256</v>
      </c>
      <c r="B25" s="2" t="s">
        <v>40</v>
      </c>
      <c r="C25" s="2">
        <v>30000</v>
      </c>
      <c r="D25">
        <f>C25*scf</f>
        <v>29700</v>
      </c>
    </row>
    <row r="26" spans="1:4" x14ac:dyDescent="0.35">
      <c r="A26" t="s">
        <v>257</v>
      </c>
      <c r="B26" s="2" t="s">
        <v>175</v>
      </c>
      <c r="C26" s="2">
        <v>10000</v>
      </c>
      <c r="D26">
        <f>C26*scf</f>
        <v>9900</v>
      </c>
    </row>
    <row r="27" spans="1:4" x14ac:dyDescent="0.35">
      <c r="A27" t="s">
        <v>258</v>
      </c>
      <c r="B27" s="2" t="s">
        <v>20</v>
      </c>
      <c r="C27" s="2">
        <v>7</v>
      </c>
      <c r="D27">
        <f>C27*scf</f>
        <v>6.93</v>
      </c>
    </row>
    <row r="28" spans="1:4" x14ac:dyDescent="0.35">
      <c r="B28" s="2"/>
      <c r="C28" s="2"/>
    </row>
    <row r="29" spans="1:4" x14ac:dyDescent="0.35">
      <c r="A29" s="1" t="s">
        <v>348</v>
      </c>
      <c r="B29" s="2"/>
      <c r="C29" s="2"/>
    </row>
    <row r="30" spans="1:4" x14ac:dyDescent="0.35">
      <c r="A30" t="s">
        <v>94</v>
      </c>
      <c r="B30" s="2" t="s">
        <v>91</v>
      </c>
      <c r="C30" s="2">
        <f>50000/7000</f>
        <v>7.1428571428571432</v>
      </c>
      <c r="D30">
        <f>C30*CF_labor</f>
        <v>6.6857142857142859</v>
      </c>
    </row>
    <row r="31" spans="1:4" x14ac:dyDescent="0.35">
      <c r="A31" t="s">
        <v>232</v>
      </c>
      <c r="B31" s="2" t="s">
        <v>91</v>
      </c>
      <c r="C31" s="2">
        <f>80000/7000</f>
        <v>11.428571428571429</v>
      </c>
      <c r="D31">
        <f>C31*CF_inputs</f>
        <v>11.2</v>
      </c>
    </row>
    <row r="32" spans="1:4" x14ac:dyDescent="0.35">
      <c r="A32" t="s">
        <v>96</v>
      </c>
      <c r="B32" s="2" t="s">
        <v>91</v>
      </c>
      <c r="C32" s="2">
        <v>10</v>
      </c>
      <c r="D32">
        <f>C32*CF_labor</f>
        <v>9.36</v>
      </c>
    </row>
    <row r="33" spans="1:4" x14ac:dyDescent="0.35">
      <c r="A33" t="s">
        <v>97</v>
      </c>
      <c r="B33" s="2" t="s">
        <v>3</v>
      </c>
      <c r="C33" s="2">
        <v>3000</v>
      </c>
      <c r="D33">
        <f>C33*1</f>
        <v>3000</v>
      </c>
    </row>
    <row r="34" spans="1:4" x14ac:dyDescent="0.35">
      <c r="A34" s="19" t="s">
        <v>233</v>
      </c>
      <c r="B34" s="2" t="s">
        <v>3</v>
      </c>
      <c r="C34" s="2">
        <v>30000</v>
      </c>
      <c r="D34">
        <f>C34*CF_labor</f>
        <v>28080</v>
      </c>
    </row>
    <row r="35" spans="1:4" x14ac:dyDescent="0.35">
      <c r="A35" s="19" t="s">
        <v>171</v>
      </c>
      <c r="B35" s="2" t="s">
        <v>3</v>
      </c>
      <c r="C35" s="2">
        <v>25000</v>
      </c>
      <c r="D35">
        <f>C35*CF_labor</f>
        <v>23400</v>
      </c>
    </row>
    <row r="36" spans="1:4" x14ac:dyDescent="0.35">
      <c r="A36" s="19" t="s">
        <v>265</v>
      </c>
      <c r="B36" s="2" t="s">
        <v>3</v>
      </c>
      <c r="C36" s="2">
        <v>15000</v>
      </c>
      <c r="D36">
        <f>C36*CF_labor</f>
        <v>14040</v>
      </c>
    </row>
    <row r="37" spans="1:4" s="2" customFormat="1" x14ac:dyDescent="0.35">
      <c r="A37" s="27" t="s">
        <v>105</v>
      </c>
      <c r="B37" s="2" t="s">
        <v>3</v>
      </c>
      <c r="C37" s="2">
        <v>2000</v>
      </c>
      <c r="D37" s="2">
        <f>C37*1</f>
        <v>2000</v>
      </c>
    </row>
    <row r="38" spans="1:4" x14ac:dyDescent="0.35">
      <c r="A38" s="19" t="s">
        <v>234</v>
      </c>
      <c r="B38" s="2" t="s">
        <v>3</v>
      </c>
      <c r="C38" s="2">
        <v>20000</v>
      </c>
      <c r="D38">
        <f>C38*CF_labor</f>
        <v>18720</v>
      </c>
    </row>
    <row r="39" spans="1:4" x14ac:dyDescent="0.35">
      <c r="A39" s="19" t="s">
        <v>235</v>
      </c>
      <c r="B39" s="2" t="s">
        <v>63</v>
      </c>
      <c r="C39" s="2">
        <v>150</v>
      </c>
      <c r="D39">
        <f>C39*1</f>
        <v>150</v>
      </c>
    </row>
    <row r="40" spans="1:4" x14ac:dyDescent="0.35">
      <c r="A40" s="19" t="s">
        <v>236</v>
      </c>
      <c r="B40" s="2" t="s">
        <v>63</v>
      </c>
      <c r="C40" s="2">
        <v>270</v>
      </c>
      <c r="D40">
        <f>C40*1</f>
        <v>270</v>
      </c>
    </row>
    <row r="41" spans="1:4" x14ac:dyDescent="0.35">
      <c r="A41" s="19" t="s">
        <v>237</v>
      </c>
      <c r="B41" s="2" t="s">
        <v>63</v>
      </c>
      <c r="C41" s="2">
        <v>2740</v>
      </c>
      <c r="D41">
        <f>C41*1</f>
        <v>2740</v>
      </c>
    </row>
    <row r="42" spans="1:4" x14ac:dyDescent="0.35">
      <c r="A42" s="19" t="s">
        <v>238</v>
      </c>
      <c r="B42" s="2" t="s">
        <v>63</v>
      </c>
      <c r="C42" s="2">
        <v>6500</v>
      </c>
      <c r="D42">
        <f>C42*1</f>
        <v>6500</v>
      </c>
    </row>
    <row r="43" spans="1:4" x14ac:dyDescent="0.35">
      <c r="A43" s="19" t="s">
        <v>239</v>
      </c>
      <c r="B43" s="2" t="s">
        <v>63</v>
      </c>
      <c r="C43" s="2">
        <v>12000</v>
      </c>
      <c r="D43">
        <f>C43*1</f>
        <v>12000</v>
      </c>
    </row>
    <row r="44" spans="1:4" hidden="1" x14ac:dyDescent="0.35">
      <c r="A44" s="19" t="s">
        <v>240</v>
      </c>
      <c r="B44" s="2" t="s">
        <v>63</v>
      </c>
      <c r="C44" s="2"/>
    </row>
    <row r="45" spans="1:4" x14ac:dyDescent="0.35">
      <c r="A45" s="19"/>
      <c r="B45" s="2"/>
      <c r="C45" s="2"/>
    </row>
    <row r="46" spans="1:4" x14ac:dyDescent="0.35">
      <c r="A46" s="19"/>
      <c r="B46" s="2"/>
      <c r="C46" s="2"/>
    </row>
    <row r="47" spans="1:4" x14ac:dyDescent="0.35">
      <c r="A47" s="1" t="s">
        <v>89</v>
      </c>
      <c r="B47" s="2"/>
      <c r="C47" s="2"/>
    </row>
    <row r="48" spans="1:4" x14ac:dyDescent="0.35">
      <c r="A48" s="20" t="s">
        <v>46</v>
      </c>
      <c r="B48" s="2" t="s">
        <v>22</v>
      </c>
      <c r="C48" s="2">
        <f>3500*B129</f>
        <v>3500</v>
      </c>
      <c r="D48">
        <f>C48*CF_inputs</f>
        <v>3430</v>
      </c>
    </row>
    <row r="49" spans="1:13" x14ac:dyDescent="0.35">
      <c r="A49" s="20" t="s">
        <v>277</v>
      </c>
      <c r="B49" s="2" t="s">
        <v>278</v>
      </c>
      <c r="C49" s="2">
        <f>B129*18000/600</f>
        <v>30</v>
      </c>
      <c r="D49">
        <f>C49*CF_inputs</f>
        <v>29.4</v>
      </c>
    </row>
    <row r="50" spans="1:13" x14ac:dyDescent="0.35">
      <c r="A50" t="s">
        <v>19</v>
      </c>
      <c r="B50" s="2" t="s">
        <v>20</v>
      </c>
      <c r="C50" s="2">
        <f>B129*300</f>
        <v>300</v>
      </c>
      <c r="D50">
        <f>C50*CF_vat</f>
        <v>245.99999999999997</v>
      </c>
    </row>
    <row r="51" spans="1:13" x14ac:dyDescent="0.35">
      <c r="A51" t="s">
        <v>281</v>
      </c>
      <c r="B51" s="2" t="s">
        <v>20</v>
      </c>
      <c r="C51" s="2">
        <f>B129*100</f>
        <v>100</v>
      </c>
      <c r="D51">
        <f>C51*CF_vat</f>
        <v>82</v>
      </c>
    </row>
    <row r="52" spans="1:13" x14ac:dyDescent="0.35">
      <c r="A52" t="s">
        <v>282</v>
      </c>
      <c r="B52" s="2" t="s">
        <v>20</v>
      </c>
      <c r="C52" s="2">
        <f>B129*40</f>
        <v>40</v>
      </c>
      <c r="D52">
        <f>C52*CF_vat</f>
        <v>32.799999999999997</v>
      </c>
    </row>
    <row r="53" spans="1:13" x14ac:dyDescent="0.35">
      <c r="A53" t="s">
        <v>284</v>
      </c>
      <c r="B53" s="2" t="s">
        <v>20</v>
      </c>
      <c r="C53" s="2">
        <f>B129*50</f>
        <v>50</v>
      </c>
      <c r="D53">
        <f>C53*CF_vat</f>
        <v>41</v>
      </c>
    </row>
    <row r="54" spans="1:13" x14ac:dyDescent="0.35">
      <c r="A54" t="s">
        <v>285</v>
      </c>
      <c r="B54" s="2" t="s">
        <v>20</v>
      </c>
      <c r="C54" s="2">
        <f>B129*20</f>
        <v>20</v>
      </c>
      <c r="D54">
        <f>C54*CF_vat</f>
        <v>16.399999999999999</v>
      </c>
    </row>
    <row r="55" spans="1:13" x14ac:dyDescent="0.35">
      <c r="A55" t="s">
        <v>27</v>
      </c>
      <c r="B55" s="2" t="s">
        <v>15</v>
      </c>
      <c r="C55" s="2">
        <f>B129*500</f>
        <v>500</v>
      </c>
      <c r="D55">
        <f t="shared" ref="D55:D60" si="0">C55*CF_inputs</f>
        <v>490</v>
      </c>
      <c r="M55" s="2"/>
    </row>
    <row r="56" spans="1:13" x14ac:dyDescent="0.35">
      <c r="A56" t="s">
        <v>135</v>
      </c>
      <c r="B56" s="2" t="s">
        <v>15</v>
      </c>
      <c r="C56" s="2">
        <f>B129*500</f>
        <v>500</v>
      </c>
      <c r="D56">
        <f t="shared" si="0"/>
        <v>490</v>
      </c>
      <c r="M56" s="2"/>
    </row>
    <row r="57" spans="1:13" x14ac:dyDescent="0.35">
      <c r="A57" s="20" t="s">
        <v>44</v>
      </c>
      <c r="B57" s="2" t="s">
        <v>15</v>
      </c>
      <c r="C57">
        <f>B129*500</f>
        <v>500</v>
      </c>
      <c r="D57">
        <f t="shared" si="0"/>
        <v>490</v>
      </c>
      <c r="M57" s="2"/>
    </row>
    <row r="58" spans="1:13" x14ac:dyDescent="0.35">
      <c r="A58" t="s">
        <v>241</v>
      </c>
      <c r="B58" s="2" t="s">
        <v>197</v>
      </c>
      <c r="C58" s="2">
        <f>B129*400</f>
        <v>400</v>
      </c>
      <c r="D58">
        <f t="shared" si="0"/>
        <v>392</v>
      </c>
      <c r="M58" s="2"/>
    </row>
    <row r="59" spans="1:13" x14ac:dyDescent="0.35">
      <c r="A59" t="s">
        <v>164</v>
      </c>
      <c r="B59" s="2" t="s">
        <v>23</v>
      </c>
      <c r="C59" s="2">
        <f>B129*5000</f>
        <v>5000</v>
      </c>
      <c r="D59">
        <f t="shared" si="0"/>
        <v>4900</v>
      </c>
      <c r="M59" s="2"/>
    </row>
    <row r="60" spans="1:13" x14ac:dyDescent="0.35">
      <c r="A60" t="s">
        <v>165</v>
      </c>
      <c r="B60" s="2" t="s">
        <v>23</v>
      </c>
      <c r="C60" s="2">
        <f>B129*3000</f>
        <v>3000</v>
      </c>
      <c r="D60">
        <f t="shared" si="0"/>
        <v>2940</v>
      </c>
      <c r="M60" s="2"/>
    </row>
    <row r="61" spans="1:13" x14ac:dyDescent="0.35">
      <c r="A61" t="s">
        <v>86</v>
      </c>
      <c r="B61" s="2" t="s">
        <v>15</v>
      </c>
      <c r="C61" s="2">
        <f>B129*6600</f>
        <v>6600</v>
      </c>
      <c r="D61">
        <f>C61*1</f>
        <v>6600</v>
      </c>
      <c r="M61" s="2"/>
    </row>
    <row r="62" spans="1:13" x14ac:dyDescent="0.35">
      <c r="A62" t="s">
        <v>88</v>
      </c>
      <c r="B62" s="2" t="s">
        <v>20</v>
      </c>
      <c r="C62" s="2">
        <f>B129*25</f>
        <v>25</v>
      </c>
      <c r="D62">
        <f>C62*CF_vat</f>
        <v>20.5</v>
      </c>
    </row>
    <row r="63" spans="1:13" x14ac:dyDescent="0.35">
      <c r="A63" t="s">
        <v>242</v>
      </c>
      <c r="B63" s="2" t="s">
        <v>40</v>
      </c>
      <c r="C63" s="2">
        <f>B129*17300</f>
        <v>17300</v>
      </c>
      <c r="D63">
        <f>C63*CF_vat</f>
        <v>14186</v>
      </c>
      <c r="L63" s="2"/>
      <c r="M63" s="2"/>
    </row>
    <row r="64" spans="1:13" x14ac:dyDescent="0.35">
      <c r="A64" t="s">
        <v>243</v>
      </c>
      <c r="B64" s="2" t="s">
        <v>91</v>
      </c>
      <c r="C64" s="2">
        <f>B129*180000/7000</f>
        <v>25.714285714285715</v>
      </c>
      <c r="D64">
        <f t="shared" ref="D64:D67" si="1">C64*CF_inputs</f>
        <v>25.2</v>
      </c>
    </row>
    <row r="65" spans="1:13" x14ac:dyDescent="0.35">
      <c r="A65" t="s">
        <v>138</v>
      </c>
      <c r="B65" s="2" t="s">
        <v>15</v>
      </c>
      <c r="C65" s="2">
        <f>B129*500</f>
        <v>500</v>
      </c>
      <c r="D65">
        <f t="shared" si="1"/>
        <v>490</v>
      </c>
    </row>
    <row r="66" spans="1:13" x14ac:dyDescent="0.35">
      <c r="A66" t="s">
        <v>168</v>
      </c>
      <c r="B66" s="2" t="s">
        <v>3</v>
      </c>
      <c r="C66" s="2">
        <f>B129*60000</f>
        <v>60000</v>
      </c>
      <c r="D66">
        <f t="shared" si="1"/>
        <v>58800</v>
      </c>
    </row>
    <row r="67" spans="1:13" x14ac:dyDescent="0.35">
      <c r="A67" t="s">
        <v>273</v>
      </c>
      <c r="B67" s="2" t="s">
        <v>15</v>
      </c>
      <c r="C67" s="2">
        <f>B129*1500</f>
        <v>1500</v>
      </c>
      <c r="D67">
        <f t="shared" si="1"/>
        <v>1470</v>
      </c>
    </row>
    <row r="68" spans="1:13" x14ac:dyDescent="0.35">
      <c r="B68" s="2"/>
      <c r="C68" s="2"/>
    </row>
    <row r="69" spans="1:13" x14ac:dyDescent="0.35">
      <c r="B69" s="2"/>
    </row>
    <row r="70" spans="1:13" x14ac:dyDescent="0.35">
      <c r="A70" s="1" t="s">
        <v>106</v>
      </c>
      <c r="B70" s="2"/>
    </row>
    <row r="71" spans="1:13" x14ac:dyDescent="0.35">
      <c r="A71" t="s">
        <v>118</v>
      </c>
      <c r="B71" s="2" t="s">
        <v>90</v>
      </c>
      <c r="C71" s="2">
        <f>B129*117350*0.22</f>
        <v>25817</v>
      </c>
      <c r="D71">
        <f>C71*CF_inputs</f>
        <v>25300.66</v>
      </c>
      <c r="L71" s="2"/>
      <c r="M71" s="2"/>
    </row>
    <row r="72" spans="1:13" x14ac:dyDescent="0.35">
      <c r="B72" s="2"/>
      <c r="C72" s="2"/>
    </row>
    <row r="73" spans="1:13" x14ac:dyDescent="0.35">
      <c r="A73" s="1" t="s">
        <v>107</v>
      </c>
      <c r="B73" s="2"/>
      <c r="C73" s="2"/>
    </row>
    <row r="74" spans="1:13" x14ac:dyDescent="0.35">
      <c r="A74" t="s">
        <v>244</v>
      </c>
      <c r="B74" s="2" t="s">
        <v>63</v>
      </c>
      <c r="C74">
        <v>1000</v>
      </c>
      <c r="D74">
        <f>C74*0</f>
        <v>0</v>
      </c>
    </row>
    <row r="75" spans="1:13" x14ac:dyDescent="0.35">
      <c r="A75" t="s">
        <v>245</v>
      </c>
      <c r="B75" s="2" t="s">
        <v>63</v>
      </c>
      <c r="C75">
        <v>1500</v>
      </c>
      <c r="D75">
        <f>C75*0</f>
        <v>0</v>
      </c>
    </row>
    <row r="76" spans="1:13" x14ac:dyDescent="0.35">
      <c r="A76" t="s">
        <v>246</v>
      </c>
      <c r="B76" s="2" t="s">
        <v>63</v>
      </c>
      <c r="C76">
        <f>5000</f>
        <v>5000</v>
      </c>
      <c r="D76">
        <f>C76*0</f>
        <v>0</v>
      </c>
    </row>
    <row r="77" spans="1:13" x14ac:dyDescent="0.35">
      <c r="A77" t="s">
        <v>247</v>
      </c>
      <c r="B77" s="2" t="s">
        <v>63</v>
      </c>
      <c r="C77">
        <f>10000</f>
        <v>10000</v>
      </c>
      <c r="D77">
        <f>C77*0</f>
        <v>0</v>
      </c>
    </row>
    <row r="78" spans="1:13" x14ac:dyDescent="0.35">
      <c r="B78" s="2"/>
    </row>
    <row r="79" spans="1:13" x14ac:dyDescent="0.35">
      <c r="A79" s="1" t="s">
        <v>261</v>
      </c>
      <c r="B79" s="2"/>
    </row>
    <row r="80" spans="1:13" x14ac:dyDescent="0.35">
      <c r="A80" t="s">
        <v>24</v>
      </c>
      <c r="B80" s="2" t="s">
        <v>20</v>
      </c>
      <c r="C80" s="2">
        <f>B129*1000</f>
        <v>1000</v>
      </c>
      <c r="D80">
        <f>C80*CF_seedling</f>
        <v>980</v>
      </c>
    </row>
    <row r="81" spans="1:4" x14ac:dyDescent="0.35">
      <c r="A81" t="s">
        <v>43</v>
      </c>
      <c r="B81" s="2" t="s">
        <v>20</v>
      </c>
      <c r="C81" s="2">
        <f>B129*150</f>
        <v>150</v>
      </c>
      <c r="D81">
        <f>C81*CF_seedling</f>
        <v>147</v>
      </c>
    </row>
    <row r="82" spans="1:4" x14ac:dyDescent="0.35">
      <c r="A82" t="s">
        <v>54</v>
      </c>
      <c r="B82" s="2" t="s">
        <v>20</v>
      </c>
      <c r="C82" s="2">
        <f>B129*200</f>
        <v>200</v>
      </c>
      <c r="D82">
        <f>C82*CF_seedling</f>
        <v>196</v>
      </c>
    </row>
    <row r="83" spans="1:4" x14ac:dyDescent="0.35">
      <c r="A83" t="s">
        <v>260</v>
      </c>
      <c r="B83" s="2" t="s">
        <v>20</v>
      </c>
      <c r="C83" s="2">
        <f>B129*200</f>
        <v>200</v>
      </c>
      <c r="D83">
        <f>C83*CF_seedling</f>
        <v>196</v>
      </c>
    </row>
    <row r="84" spans="1:4" x14ac:dyDescent="0.35">
      <c r="A84" t="s">
        <v>141</v>
      </c>
      <c r="B84" s="2" t="s">
        <v>20</v>
      </c>
      <c r="C84" s="2">
        <f>B129*50</f>
        <v>50</v>
      </c>
      <c r="D84">
        <v>1000</v>
      </c>
    </row>
    <row r="85" spans="1:4" x14ac:dyDescent="0.35">
      <c r="A85" t="s">
        <v>262</v>
      </c>
      <c r="B85" s="2" t="s">
        <v>20</v>
      </c>
      <c r="C85" s="2">
        <f>B129*300</f>
        <v>300</v>
      </c>
      <c r="D85">
        <f>C85*CF_seedling</f>
        <v>294</v>
      </c>
    </row>
    <row r="86" spans="1:4" x14ac:dyDescent="0.35">
      <c r="A86" t="s">
        <v>142</v>
      </c>
      <c r="B86" s="2" t="s">
        <v>20</v>
      </c>
      <c r="C86" s="2">
        <f>B129*200</f>
        <v>200</v>
      </c>
      <c r="D86">
        <f>C86*CF_seedling</f>
        <v>196</v>
      </c>
    </row>
    <row r="87" spans="1:4" x14ac:dyDescent="0.35">
      <c r="A87" t="s">
        <v>209</v>
      </c>
      <c r="B87" s="2" t="s">
        <v>20</v>
      </c>
      <c r="C87" s="2">
        <f>B129*30</f>
        <v>30</v>
      </c>
      <c r="D87" s="2">
        <f>C87</f>
        <v>30</v>
      </c>
    </row>
    <row r="88" spans="1:4" x14ac:dyDescent="0.35">
      <c r="B88" s="2"/>
    </row>
    <row r="89" spans="1:4" x14ac:dyDescent="0.35">
      <c r="A89" s="1" t="s">
        <v>67</v>
      </c>
      <c r="B89" s="2"/>
    </row>
    <row r="90" spans="1:4" x14ac:dyDescent="0.35">
      <c r="A90" t="s">
        <v>248</v>
      </c>
      <c r="B90" s="2" t="s">
        <v>3</v>
      </c>
      <c r="C90" s="5">
        <f>2943*655/211</f>
        <v>9135.8530805687205</v>
      </c>
      <c r="D90">
        <f>C90*B122</f>
        <v>7491.3995260663505</v>
      </c>
    </row>
    <row r="91" spans="1:4" x14ac:dyDescent="0.35">
      <c r="B91" s="2"/>
    </row>
    <row r="92" spans="1:4" x14ac:dyDescent="0.35">
      <c r="B92" s="2"/>
    </row>
    <row r="93" spans="1:4" x14ac:dyDescent="0.35">
      <c r="A93" s="1" t="s">
        <v>13</v>
      </c>
      <c r="B93" s="2"/>
    </row>
    <row r="94" spans="1:4" x14ac:dyDescent="0.35">
      <c r="A94" t="s">
        <v>14</v>
      </c>
      <c r="B94" s="2" t="s">
        <v>15</v>
      </c>
      <c r="C94" s="2">
        <v>825</v>
      </c>
      <c r="D94">
        <f>C94*B124</f>
        <v>825</v>
      </c>
    </row>
    <row r="95" spans="1:4" x14ac:dyDescent="0.35">
      <c r="A95" t="s">
        <v>66</v>
      </c>
      <c r="B95" s="2" t="s">
        <v>15</v>
      </c>
      <c r="C95" s="2">
        <f>C94+450</f>
        <v>1275</v>
      </c>
      <c r="D95">
        <f>C95*B124</f>
        <v>1275</v>
      </c>
    </row>
    <row r="96" spans="1:4" x14ac:dyDescent="0.35">
      <c r="A96" t="s">
        <v>190</v>
      </c>
      <c r="B96" s="2" t="s">
        <v>15</v>
      </c>
      <c r="C96" s="2">
        <f>700</f>
        <v>700</v>
      </c>
      <c r="D96">
        <f>C96*B123</f>
        <v>700</v>
      </c>
    </row>
    <row r="97" spans="1:4" x14ac:dyDescent="0.35">
      <c r="A97" t="s">
        <v>24</v>
      </c>
      <c r="B97" s="2" t="s">
        <v>15</v>
      </c>
      <c r="C97" s="2">
        <f>4000/1.5</f>
        <v>2666.6666666666665</v>
      </c>
      <c r="D97">
        <f>C97*1</f>
        <v>2666.6666666666665</v>
      </c>
    </row>
    <row r="98" spans="1:4" x14ac:dyDescent="0.35">
      <c r="A98" t="s">
        <v>262</v>
      </c>
      <c r="B98" s="2" t="s">
        <v>15</v>
      </c>
      <c r="C98" s="2">
        <v>275</v>
      </c>
      <c r="D98">
        <f>C98*B125</f>
        <v>180</v>
      </c>
    </row>
    <row r="99" spans="1:4" x14ac:dyDescent="0.35">
      <c r="A99" t="s">
        <v>58</v>
      </c>
      <c r="B99" s="2" t="s">
        <v>59</v>
      </c>
      <c r="C99" s="2">
        <v>2800</v>
      </c>
      <c r="D99">
        <f>C99*1</f>
        <v>2800</v>
      </c>
    </row>
    <row r="100" spans="1:4" x14ac:dyDescent="0.35">
      <c r="A100" s="19" t="s">
        <v>393</v>
      </c>
      <c r="B100" s="2" t="s">
        <v>63</v>
      </c>
      <c r="C100" s="2">
        <v>100</v>
      </c>
      <c r="D100">
        <f>C100*B$126</f>
        <v>114.99999999999999</v>
      </c>
    </row>
    <row r="101" spans="1:4" x14ac:dyDescent="0.35">
      <c r="A101" s="19" t="s">
        <v>394</v>
      </c>
      <c r="B101" s="2" t="s">
        <v>63</v>
      </c>
      <c r="C101" s="2">
        <v>5000</v>
      </c>
      <c r="D101">
        <f>C101*B$126</f>
        <v>5750</v>
      </c>
    </row>
    <row r="102" spans="1:4" x14ac:dyDescent="0.35">
      <c r="A102" s="19" t="s">
        <v>395</v>
      </c>
      <c r="B102" s="2" t="s">
        <v>63</v>
      </c>
      <c r="C102" s="2">
        <v>18000</v>
      </c>
      <c r="D102">
        <f>C102*B$126</f>
        <v>20700</v>
      </c>
    </row>
    <row r="103" spans="1:4" x14ac:dyDescent="0.35">
      <c r="A103" s="19" t="s">
        <v>396</v>
      </c>
      <c r="B103" s="2" t="s">
        <v>63</v>
      </c>
      <c r="C103" s="2">
        <v>24000</v>
      </c>
      <c r="D103">
        <f>C103*B$126</f>
        <v>27599.999999999996</v>
      </c>
    </row>
    <row r="104" spans="1:4" x14ac:dyDescent="0.35">
      <c r="A104" t="s">
        <v>397</v>
      </c>
      <c r="B104" s="2" t="s">
        <v>63</v>
      </c>
      <c r="C104" s="2">
        <v>40000</v>
      </c>
      <c r="D104">
        <f>C104*B$126</f>
        <v>46000</v>
      </c>
    </row>
    <row r="105" spans="1:4" x14ac:dyDescent="0.35">
      <c r="A105" t="s">
        <v>139</v>
      </c>
      <c r="B105" s="2" t="s">
        <v>15</v>
      </c>
      <c r="C105" s="2">
        <f>10000/100</f>
        <v>100</v>
      </c>
      <c r="D105">
        <f>C105*1</f>
        <v>100</v>
      </c>
    </row>
    <row r="106" spans="1:4" x14ac:dyDescent="0.35">
      <c r="A106" t="s">
        <v>176</v>
      </c>
      <c r="B106" s="2" t="s">
        <v>15</v>
      </c>
      <c r="C106" s="2">
        <v>90</v>
      </c>
      <c r="D106">
        <f>C106*1</f>
        <v>90</v>
      </c>
    </row>
    <row r="107" spans="1:4" x14ac:dyDescent="0.35">
      <c r="A107" t="s">
        <v>204</v>
      </c>
      <c r="B107" s="2" t="s">
        <v>205</v>
      </c>
      <c r="C107" s="2">
        <f>2000/2.5</f>
        <v>800</v>
      </c>
      <c r="D107">
        <f>C107*1</f>
        <v>800</v>
      </c>
    </row>
    <row r="108" spans="1:4" x14ac:dyDescent="0.35">
      <c r="A108" t="s">
        <v>331</v>
      </c>
      <c r="B108" s="2" t="s">
        <v>332</v>
      </c>
      <c r="C108" s="2">
        <v>0</v>
      </c>
      <c r="D108">
        <v>5</v>
      </c>
    </row>
    <row r="109" spans="1:4" x14ac:dyDescent="0.35">
      <c r="B109" s="2"/>
      <c r="C109" s="2"/>
    </row>
    <row r="110" spans="1:4" x14ac:dyDescent="0.35">
      <c r="A110" s="1" t="s">
        <v>28</v>
      </c>
      <c r="B110" s="2"/>
    </row>
    <row r="111" spans="1:4" x14ac:dyDescent="0.35">
      <c r="A111" t="s">
        <v>28</v>
      </c>
      <c r="B111" s="2" t="s">
        <v>29</v>
      </c>
      <c r="C111">
        <v>590</v>
      </c>
    </row>
    <row r="112" spans="1:4" x14ac:dyDescent="0.35">
      <c r="B112" s="2"/>
    </row>
    <row r="113" spans="1:7" x14ac:dyDescent="0.35">
      <c r="A113" s="1" t="s">
        <v>68</v>
      </c>
      <c r="B113" s="2"/>
    </row>
    <row r="114" spans="1:7" x14ac:dyDescent="0.35">
      <c r="A114" t="s">
        <v>69</v>
      </c>
      <c r="B114" s="2"/>
      <c r="C114" s="66">
        <f>(5.75*2)%</f>
        <v>0.115</v>
      </c>
      <c r="G114" s="65"/>
    </row>
    <row r="115" spans="1:7" x14ac:dyDescent="0.35">
      <c r="A115" t="s">
        <v>296</v>
      </c>
      <c r="B115" s="2"/>
      <c r="C115" s="66">
        <f>7.5%</f>
        <v>7.4999999999999997E-2</v>
      </c>
    </row>
    <row r="116" spans="1:7" x14ac:dyDescent="0.35">
      <c r="B116" s="2"/>
    </row>
    <row r="117" spans="1:7" x14ac:dyDescent="0.35">
      <c r="A117" s="1" t="s">
        <v>25</v>
      </c>
      <c r="B117" s="2"/>
    </row>
    <row r="118" spans="1:7" x14ac:dyDescent="0.35">
      <c r="A118" s="20" t="s">
        <v>295</v>
      </c>
      <c r="B118" s="16">
        <v>0.99</v>
      </c>
    </row>
    <row r="119" spans="1:7" x14ac:dyDescent="0.35">
      <c r="A119" t="s">
        <v>26</v>
      </c>
      <c r="B119" s="16">
        <v>0.98</v>
      </c>
    </row>
    <row r="120" spans="1:7" x14ac:dyDescent="0.35">
      <c r="A120" t="s">
        <v>4</v>
      </c>
      <c r="B120" s="16">
        <f>(100-6.4)/100</f>
        <v>0.93599999999999994</v>
      </c>
    </row>
    <row r="121" spans="1:7" x14ac:dyDescent="0.35">
      <c r="A121" t="s">
        <v>299</v>
      </c>
      <c r="B121" s="16">
        <v>0.98</v>
      </c>
    </row>
    <row r="122" spans="1:7" x14ac:dyDescent="0.35">
      <c r="A122" t="s">
        <v>297</v>
      </c>
      <c r="B122" s="16">
        <f>(100-18)/100</f>
        <v>0.82</v>
      </c>
    </row>
    <row r="123" spans="1:7" x14ac:dyDescent="0.35">
      <c r="A123" t="s">
        <v>190</v>
      </c>
      <c r="B123" s="16">
        <v>1</v>
      </c>
    </row>
    <row r="124" spans="1:7" x14ac:dyDescent="0.35">
      <c r="A124" t="s">
        <v>14</v>
      </c>
      <c r="B124" s="16">
        <v>1</v>
      </c>
    </row>
    <row r="125" spans="1:7" x14ac:dyDescent="0.35">
      <c r="A125" t="s">
        <v>262</v>
      </c>
      <c r="B125" s="65">
        <f>180/275</f>
        <v>0.65454545454545454</v>
      </c>
    </row>
    <row r="126" spans="1:7" x14ac:dyDescent="0.35">
      <c r="A126" t="s">
        <v>300</v>
      </c>
      <c r="B126" s="16">
        <v>1.1499999999999999</v>
      </c>
    </row>
    <row r="128" spans="1:7" x14ac:dyDescent="0.35">
      <c r="A128" s="1" t="s">
        <v>390</v>
      </c>
    </row>
    <row r="129" spans="1:2" x14ac:dyDescent="0.35">
      <c r="A129" t="s">
        <v>391</v>
      </c>
      <c r="B129" s="23">
        <v>1</v>
      </c>
    </row>
  </sheetData>
  <pageMargins left="0.7" right="0.7" top="0.75" bottom="0.75" header="0.3" footer="0.3"/>
  <pageSetup paperSize="9" orientation="portrait" verticalDpi="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82"/>
  <sheetViews>
    <sheetView workbookViewId="0">
      <pane ySplit="5" topLeftCell="A144" activePane="bottomLeft" state="frozen"/>
      <selection pane="bottomLeft" activeCell="B170" sqref="B170"/>
    </sheetView>
  </sheetViews>
  <sheetFormatPr defaultRowHeight="14.5" x14ac:dyDescent="0.35"/>
  <cols>
    <col min="1" max="1" width="31" customWidth="1"/>
    <col min="2" max="2" width="13.54296875" bestFit="1" customWidth="1"/>
    <col min="4" max="4" width="9.81640625" bestFit="1" customWidth="1"/>
  </cols>
  <sheetData>
    <row r="1" spans="1:26" x14ac:dyDescent="0.35">
      <c r="A1" s="48" t="s">
        <v>229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</row>
    <row r="2" spans="1:26" x14ac:dyDescent="0.35">
      <c r="A2" t="s">
        <v>223</v>
      </c>
      <c r="B2">
        <v>833</v>
      </c>
    </row>
    <row r="4" spans="1:26" x14ac:dyDescent="0.35">
      <c r="A4" s="68" t="s">
        <v>398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35">
      <c r="A5" s="9" t="s">
        <v>7</v>
      </c>
      <c r="B5" s="10" t="s">
        <v>11</v>
      </c>
      <c r="C5" s="11" t="s">
        <v>399</v>
      </c>
      <c r="D5" s="11" t="s">
        <v>400</v>
      </c>
      <c r="E5" s="11" t="s">
        <v>401</v>
      </c>
      <c r="F5" s="11" t="s">
        <v>402</v>
      </c>
      <c r="G5" s="11" t="s">
        <v>403</v>
      </c>
      <c r="H5" s="11" t="s">
        <v>404</v>
      </c>
      <c r="I5" s="11" t="s">
        <v>405</v>
      </c>
      <c r="J5" s="11" t="s">
        <v>406</v>
      </c>
      <c r="K5" s="11" t="s">
        <v>407</v>
      </c>
      <c r="L5" s="11" t="s">
        <v>408</v>
      </c>
      <c r="M5" s="11" t="s">
        <v>409</v>
      </c>
      <c r="N5" s="11" t="s">
        <v>410</v>
      </c>
      <c r="O5" s="11" t="s">
        <v>411</v>
      </c>
      <c r="P5" s="11" t="s">
        <v>412</v>
      </c>
      <c r="Q5" s="11" t="s">
        <v>413</v>
      </c>
      <c r="R5" s="11" t="s">
        <v>414</v>
      </c>
      <c r="S5" s="11" t="s">
        <v>415</v>
      </c>
      <c r="T5" s="11" t="s">
        <v>416</v>
      </c>
      <c r="U5" s="11" t="s">
        <v>417</v>
      </c>
      <c r="V5" s="11" t="s">
        <v>418</v>
      </c>
      <c r="W5" s="11" t="s">
        <v>425</v>
      </c>
      <c r="X5" s="11" t="s">
        <v>428</v>
      </c>
      <c r="Y5" s="11" t="s">
        <v>429</v>
      </c>
      <c r="Z5" s="11" t="s">
        <v>430</v>
      </c>
    </row>
    <row r="6" spans="1:26" x14ac:dyDescent="0.35">
      <c r="A6" s="19" t="s">
        <v>84</v>
      </c>
      <c r="B6" s="8"/>
    </row>
    <row r="7" spans="1:26" x14ac:dyDescent="0.35">
      <c r="A7" s="19" t="s">
        <v>85</v>
      </c>
      <c r="B7" s="8" t="s">
        <v>10</v>
      </c>
      <c r="C7" s="2">
        <f>B2*5/1100</f>
        <v>3.7863636363636362</v>
      </c>
      <c r="D7" s="4">
        <f>C7*0.1</f>
        <v>0.37863636363636366</v>
      </c>
    </row>
    <row r="8" spans="1:26" x14ac:dyDescent="0.35">
      <c r="A8" s="19" t="s">
        <v>17</v>
      </c>
      <c r="B8" s="8" t="s">
        <v>11</v>
      </c>
      <c r="C8" s="2">
        <f>B2*2</f>
        <v>1666</v>
      </c>
      <c r="D8" s="2">
        <f>C8*0.1</f>
        <v>166.60000000000002</v>
      </c>
    </row>
    <row r="9" spans="1:26" x14ac:dyDescent="0.35">
      <c r="A9" s="19" t="s">
        <v>87</v>
      </c>
      <c r="B9" s="8" t="s">
        <v>1</v>
      </c>
      <c r="C9" s="2">
        <v>1</v>
      </c>
      <c r="D9" s="2">
        <f>C9*0.1</f>
        <v>0.1</v>
      </c>
    </row>
    <row r="10" spans="1:26" x14ac:dyDescent="0.35">
      <c r="A10" s="19" t="s">
        <v>177</v>
      </c>
      <c r="B10" s="8" t="s">
        <v>93</v>
      </c>
      <c r="C10" s="2">
        <v>1</v>
      </c>
      <c r="D10" s="2">
        <f>C10*0.1</f>
        <v>0.1</v>
      </c>
    </row>
    <row r="11" spans="1:26" x14ac:dyDescent="0.35">
      <c r="A11" s="19" t="s">
        <v>92</v>
      </c>
      <c r="B11" s="8" t="s">
        <v>93</v>
      </c>
      <c r="C11" s="2">
        <f>B2*1.1</f>
        <v>916.30000000000007</v>
      </c>
      <c r="D11" s="2">
        <f>C11*0.1</f>
        <v>91.63000000000001</v>
      </c>
    </row>
    <row r="12" spans="1:26" x14ac:dyDescent="0.35">
      <c r="A12" s="19" t="s">
        <v>127</v>
      </c>
      <c r="B12" s="8" t="s">
        <v>93</v>
      </c>
      <c r="C12" s="2">
        <f>B2*1.1</f>
        <v>916.30000000000007</v>
      </c>
      <c r="D12" s="2"/>
    </row>
    <row r="13" spans="1:26" x14ac:dyDescent="0.35">
      <c r="A13" s="19" t="s">
        <v>224</v>
      </c>
      <c r="B13" s="8" t="s">
        <v>93</v>
      </c>
      <c r="C13" s="2">
        <f>B2*1.1</f>
        <v>916.30000000000007</v>
      </c>
      <c r="D13" s="2"/>
    </row>
    <row r="14" spans="1:26" x14ac:dyDescent="0.35">
      <c r="A14" s="19" t="s">
        <v>95</v>
      </c>
      <c r="B14" s="8" t="s">
        <v>93</v>
      </c>
      <c r="C14" s="2">
        <f>B2*1.1</f>
        <v>916.30000000000007</v>
      </c>
      <c r="D14" s="2">
        <f>C14*0.1</f>
        <v>91.63000000000001</v>
      </c>
    </row>
    <row r="15" spans="1:26" x14ac:dyDescent="0.35">
      <c r="A15" s="19"/>
      <c r="B15" s="8"/>
    </row>
    <row r="16" spans="1:26" x14ac:dyDescent="0.35">
      <c r="A16" s="19" t="s">
        <v>225</v>
      </c>
      <c r="B16" s="8"/>
    </row>
    <row r="17" spans="1:26" x14ac:dyDescent="0.35">
      <c r="A17" s="19" t="s">
        <v>98</v>
      </c>
      <c r="B17" s="8" t="s">
        <v>1</v>
      </c>
      <c r="C17">
        <v>0</v>
      </c>
    </row>
    <row r="18" spans="1:26" x14ac:dyDescent="0.35">
      <c r="A18" s="19" t="s">
        <v>99</v>
      </c>
      <c r="B18" s="8" t="s">
        <v>1</v>
      </c>
      <c r="C18">
        <v>1</v>
      </c>
    </row>
    <row r="19" spans="1:26" x14ac:dyDescent="0.35">
      <c r="A19" s="19" t="s">
        <v>226</v>
      </c>
      <c r="B19" s="8" t="s">
        <v>1</v>
      </c>
      <c r="C19">
        <v>1</v>
      </c>
    </row>
    <row r="20" spans="1:26" x14ac:dyDescent="0.35">
      <c r="A20" s="19" t="s">
        <v>49</v>
      </c>
      <c r="B20" s="8" t="s">
        <v>93</v>
      </c>
      <c r="C20">
        <f>B2</f>
        <v>833</v>
      </c>
    </row>
    <row r="21" spans="1:26" x14ac:dyDescent="0.35">
      <c r="A21" s="19" t="s">
        <v>70</v>
      </c>
      <c r="B21" s="8" t="s">
        <v>93</v>
      </c>
      <c r="C21">
        <f>C20</f>
        <v>833</v>
      </c>
    </row>
    <row r="22" spans="1:26" x14ac:dyDescent="0.35">
      <c r="A22" s="19" t="s">
        <v>100</v>
      </c>
      <c r="B22" s="8" t="s">
        <v>93</v>
      </c>
      <c r="C22">
        <f>C21</f>
        <v>833</v>
      </c>
    </row>
    <row r="23" spans="1:26" x14ac:dyDescent="0.35">
      <c r="B23" s="8"/>
    </row>
    <row r="24" spans="1:26" x14ac:dyDescent="0.35">
      <c r="A24" t="s">
        <v>230</v>
      </c>
      <c r="B24" s="8"/>
      <c r="C24" s="2"/>
    </row>
    <row r="25" spans="1:26" x14ac:dyDescent="0.35">
      <c r="A25" t="str">
        <f>'Refor gazetted FIN'!A25</f>
        <v xml:space="preserve">  Weeding over total areas</v>
      </c>
      <c r="B25" s="8" t="s">
        <v>1</v>
      </c>
      <c r="C25">
        <v>1</v>
      </c>
      <c r="D25">
        <f>C25</f>
        <v>1</v>
      </c>
      <c r="E25">
        <v>1</v>
      </c>
    </row>
    <row r="26" spans="1:26" x14ac:dyDescent="0.35">
      <c r="A26" t="str">
        <f>'Refor gazetted FIN'!A26</f>
        <v xml:space="preserve">  Weeding over lines</v>
      </c>
      <c r="B26" s="8" t="s">
        <v>1</v>
      </c>
      <c r="C26">
        <v>0</v>
      </c>
      <c r="D26">
        <f>C26</f>
        <v>0</v>
      </c>
      <c r="E26">
        <v>1</v>
      </c>
    </row>
    <row r="27" spans="1:26" x14ac:dyDescent="0.35">
      <c r="A27" t="str">
        <f>'Refor gazetted FIN'!A27</f>
        <v xml:space="preserve">  Compensatory planting (including transport)</v>
      </c>
      <c r="B27" s="8" t="s">
        <v>102</v>
      </c>
      <c r="C27">
        <f>B2*0.15</f>
        <v>124.94999999999999</v>
      </c>
      <c r="D27">
        <f>C27</f>
        <v>124.94999999999999</v>
      </c>
      <c r="E27">
        <v>0</v>
      </c>
    </row>
    <row r="28" spans="1:26" x14ac:dyDescent="0.35">
      <c r="A28" t="str">
        <f>'Refor gazetted FIN'!A28</f>
        <v xml:space="preserve">  Shape pruning</v>
      </c>
      <c r="B28" s="8" t="s">
        <v>1</v>
      </c>
      <c r="C28">
        <v>1</v>
      </c>
      <c r="D28">
        <f>C28</f>
        <v>1</v>
      </c>
      <c r="E28">
        <f>D28</f>
        <v>1</v>
      </c>
    </row>
    <row r="29" spans="1:26" x14ac:dyDescent="0.35">
      <c r="A29" t="str">
        <f>'Refor gazetted FIN'!A29</f>
        <v xml:space="preserve">  Fire breaking</v>
      </c>
      <c r="B29" s="8" t="s">
        <v>1</v>
      </c>
      <c r="C29">
        <v>1</v>
      </c>
      <c r="D29">
        <f>C29</f>
        <v>1</v>
      </c>
      <c r="E29">
        <f>D29</f>
        <v>1</v>
      </c>
      <c r="F29">
        <v>1.5</v>
      </c>
      <c r="G29">
        <v>1.5</v>
      </c>
      <c r="H29">
        <v>1.5</v>
      </c>
      <c r="I29">
        <v>1.5</v>
      </c>
      <c r="J29">
        <v>1.5</v>
      </c>
      <c r="K29">
        <v>1.5</v>
      </c>
      <c r="L29">
        <v>1.5</v>
      </c>
      <c r="M29">
        <v>1.5</v>
      </c>
      <c r="N29">
        <v>1.5</v>
      </c>
      <c r="O29">
        <v>1.5</v>
      </c>
      <c r="P29">
        <v>1.5</v>
      </c>
      <c r="Q29">
        <v>1.5</v>
      </c>
      <c r="R29">
        <v>1.5</v>
      </c>
      <c r="S29">
        <v>1.5</v>
      </c>
      <c r="T29">
        <v>1.5</v>
      </c>
      <c r="U29">
        <v>1.5</v>
      </c>
      <c r="V29">
        <v>1.5</v>
      </c>
      <c r="W29">
        <v>1.5</v>
      </c>
      <c r="X29">
        <v>1.5</v>
      </c>
      <c r="Y29">
        <v>1.5</v>
      </c>
      <c r="Z29">
        <v>1.5</v>
      </c>
    </row>
    <row r="30" spans="1:26" x14ac:dyDescent="0.35">
      <c r="A30" t="str">
        <f>'Refor gazetted FIN'!A30</f>
        <v xml:space="preserve">  Pruning</v>
      </c>
      <c r="B30" s="8" t="s">
        <v>1</v>
      </c>
      <c r="G30">
        <v>1</v>
      </c>
      <c r="H30">
        <f t="shared" ref="H30:Z30" si="0">C30</f>
        <v>0</v>
      </c>
      <c r="I30">
        <f t="shared" si="0"/>
        <v>0</v>
      </c>
      <c r="J30">
        <f t="shared" si="0"/>
        <v>0</v>
      </c>
      <c r="K30">
        <f t="shared" si="0"/>
        <v>0</v>
      </c>
      <c r="L30">
        <f t="shared" si="0"/>
        <v>1</v>
      </c>
      <c r="M30">
        <f t="shared" si="0"/>
        <v>0</v>
      </c>
      <c r="N30">
        <f t="shared" si="0"/>
        <v>0</v>
      </c>
      <c r="O30">
        <f t="shared" si="0"/>
        <v>0</v>
      </c>
      <c r="P30">
        <f t="shared" si="0"/>
        <v>0</v>
      </c>
      <c r="Q30">
        <f t="shared" si="0"/>
        <v>1</v>
      </c>
      <c r="R30">
        <f t="shared" si="0"/>
        <v>0</v>
      </c>
      <c r="S30">
        <f t="shared" si="0"/>
        <v>0</v>
      </c>
      <c r="T30">
        <f t="shared" si="0"/>
        <v>0</v>
      </c>
      <c r="U30">
        <f t="shared" si="0"/>
        <v>0</v>
      </c>
      <c r="V30">
        <f t="shared" si="0"/>
        <v>1</v>
      </c>
      <c r="W30">
        <f t="shared" si="0"/>
        <v>0</v>
      </c>
      <c r="X30">
        <f t="shared" si="0"/>
        <v>0</v>
      </c>
      <c r="Y30">
        <f t="shared" si="0"/>
        <v>0</v>
      </c>
      <c r="Z30">
        <f t="shared" si="0"/>
        <v>0</v>
      </c>
    </row>
    <row r="31" spans="1:26" x14ac:dyDescent="0.35">
      <c r="B31" s="8"/>
    </row>
    <row r="32" spans="1:26" x14ac:dyDescent="0.35">
      <c r="A32" s="19" t="s">
        <v>231</v>
      </c>
      <c r="B32" s="8"/>
    </row>
    <row r="33" spans="1:4" x14ac:dyDescent="0.35">
      <c r="A33" s="19" t="s">
        <v>128</v>
      </c>
      <c r="B33" s="8" t="s">
        <v>1</v>
      </c>
      <c r="C33">
        <v>1</v>
      </c>
      <c r="D33">
        <v>1</v>
      </c>
    </row>
    <row r="34" spans="1:4" x14ac:dyDescent="0.35">
      <c r="A34" s="19" t="s">
        <v>41</v>
      </c>
      <c r="B34" s="8" t="s">
        <v>129</v>
      </c>
      <c r="C34">
        <v>8</v>
      </c>
      <c r="D34">
        <v>4</v>
      </c>
    </row>
    <row r="35" spans="1:4" x14ac:dyDescent="0.35">
      <c r="A35" s="19" t="s">
        <v>173</v>
      </c>
      <c r="B35" s="8" t="s">
        <v>129</v>
      </c>
      <c r="D35">
        <f>15*0.9</f>
        <v>13.5</v>
      </c>
    </row>
    <row r="36" spans="1:4" x14ac:dyDescent="0.35">
      <c r="A36" s="19" t="s">
        <v>170</v>
      </c>
      <c r="B36" s="8" t="s">
        <v>129</v>
      </c>
      <c r="C36">
        <v>15</v>
      </c>
      <c r="D36">
        <f>5*0.9</f>
        <v>4.5</v>
      </c>
    </row>
    <row r="37" spans="1:4" x14ac:dyDescent="0.35">
      <c r="A37" s="19" t="s">
        <v>130</v>
      </c>
      <c r="B37" s="8" t="s">
        <v>129</v>
      </c>
      <c r="C37">
        <v>12</v>
      </c>
      <c r="D37">
        <v>12</v>
      </c>
    </row>
    <row r="38" spans="1:4" x14ac:dyDescent="0.35">
      <c r="A38" s="19" t="s">
        <v>103</v>
      </c>
      <c r="B38" s="8" t="s">
        <v>129</v>
      </c>
      <c r="C38">
        <v>5</v>
      </c>
    </row>
    <row r="39" spans="1:4" x14ac:dyDescent="0.35">
      <c r="A39" s="19" t="s">
        <v>172</v>
      </c>
      <c r="B39" s="8" t="s">
        <v>1</v>
      </c>
      <c r="D39">
        <v>2</v>
      </c>
    </row>
    <row r="40" spans="1:4" x14ac:dyDescent="0.35">
      <c r="A40" s="19" t="s">
        <v>9</v>
      </c>
      <c r="B40" s="8" t="s">
        <v>129</v>
      </c>
      <c r="C40">
        <v>15</v>
      </c>
      <c r="D40">
        <f>20*0.9</f>
        <v>18</v>
      </c>
    </row>
    <row r="41" spans="1:4" x14ac:dyDescent="0.35">
      <c r="A41" s="19" t="s">
        <v>131</v>
      </c>
      <c r="B41" s="8" t="s">
        <v>129</v>
      </c>
      <c r="C41">
        <v>40</v>
      </c>
      <c r="D41">
        <f>30*0.9</f>
        <v>27</v>
      </c>
    </row>
    <row r="42" spans="1:4" x14ac:dyDescent="0.35">
      <c r="A42" s="19" t="s">
        <v>174</v>
      </c>
      <c r="B42" s="8"/>
      <c r="C42">
        <f>C70/1000</f>
        <v>4</v>
      </c>
      <c r="D42">
        <f>E71/1000</f>
        <v>16.2</v>
      </c>
    </row>
    <row r="43" spans="1:4" x14ac:dyDescent="0.35">
      <c r="A43" s="19" t="s">
        <v>134</v>
      </c>
      <c r="B43" s="8"/>
    </row>
    <row r="44" spans="1:4" x14ac:dyDescent="0.35">
      <c r="A44" s="19" t="s">
        <v>166</v>
      </c>
      <c r="B44" s="8" t="s">
        <v>10</v>
      </c>
      <c r="C44">
        <v>22</v>
      </c>
    </row>
    <row r="45" spans="1:4" x14ac:dyDescent="0.35">
      <c r="A45" s="19" t="s">
        <v>167</v>
      </c>
      <c r="B45" s="8" t="s">
        <v>1</v>
      </c>
      <c r="C45">
        <v>0</v>
      </c>
      <c r="D45">
        <v>1</v>
      </c>
    </row>
    <row r="46" spans="1:4" x14ac:dyDescent="0.35">
      <c r="A46" s="19" t="s">
        <v>132</v>
      </c>
      <c r="B46" s="8" t="s">
        <v>10</v>
      </c>
      <c r="C46">
        <v>150</v>
      </c>
      <c r="D46">
        <v>300</v>
      </c>
    </row>
    <row r="47" spans="1:4" x14ac:dyDescent="0.35">
      <c r="A47" s="19" t="s">
        <v>133</v>
      </c>
      <c r="B47" s="8" t="s">
        <v>10</v>
      </c>
      <c r="C47">
        <v>100</v>
      </c>
    </row>
    <row r="48" spans="1:4" x14ac:dyDescent="0.35">
      <c r="A48" s="19" t="s">
        <v>169</v>
      </c>
      <c r="B48" s="8" t="s">
        <v>136</v>
      </c>
      <c r="C48">
        <v>6</v>
      </c>
      <c r="D48">
        <v>4</v>
      </c>
    </row>
    <row r="49" spans="1:26" x14ac:dyDescent="0.35">
      <c r="A49" s="19" t="s">
        <v>17</v>
      </c>
      <c r="B49" s="8" t="s">
        <v>11</v>
      </c>
      <c r="C49" s="5">
        <f>C70/100</f>
        <v>40</v>
      </c>
      <c r="D49" s="5">
        <f>E71/26</f>
        <v>623.07692307692309</v>
      </c>
    </row>
    <row r="50" spans="1:26" x14ac:dyDescent="0.35">
      <c r="A50" s="19"/>
      <c r="B50" s="8"/>
    </row>
    <row r="51" spans="1:26" x14ac:dyDescent="0.35">
      <c r="A51" s="19" t="s">
        <v>108</v>
      </c>
      <c r="B51" s="8"/>
    </row>
    <row r="52" spans="1:26" x14ac:dyDescent="0.35">
      <c r="A52" s="19" t="s">
        <v>110</v>
      </c>
      <c r="B52" s="8" t="s">
        <v>61</v>
      </c>
      <c r="H52">
        <f>H66</f>
        <v>33</v>
      </c>
    </row>
    <row r="53" spans="1:26" x14ac:dyDescent="0.35">
      <c r="A53" s="19" t="s">
        <v>115</v>
      </c>
      <c r="B53" s="8" t="s">
        <v>61</v>
      </c>
      <c r="L53">
        <f>L67</f>
        <v>350</v>
      </c>
    </row>
    <row r="54" spans="1:26" x14ac:dyDescent="0.35">
      <c r="A54" s="19" t="s">
        <v>116</v>
      </c>
      <c r="B54" s="8" t="s">
        <v>61</v>
      </c>
      <c r="R54">
        <v>0</v>
      </c>
    </row>
    <row r="55" spans="1:26" x14ac:dyDescent="0.35">
      <c r="A55" s="19" t="s">
        <v>117</v>
      </c>
      <c r="B55" s="8" t="s">
        <v>61</v>
      </c>
      <c r="Z55">
        <v>0</v>
      </c>
    </row>
    <row r="56" spans="1:26" x14ac:dyDescent="0.35">
      <c r="A56" s="19"/>
      <c r="B56" s="8"/>
    </row>
    <row r="57" spans="1:26" x14ac:dyDescent="0.35">
      <c r="A57" s="19" t="s">
        <v>107</v>
      </c>
      <c r="B57" s="8"/>
    </row>
    <row r="58" spans="1:26" x14ac:dyDescent="0.35">
      <c r="A58" s="19" t="str">
        <f t="shared" ref="A58:B60" si="1">A52</f>
        <v xml:space="preserve">  First cut</v>
      </c>
      <c r="B58" s="38" t="str">
        <f t="shared" si="1"/>
        <v>Tree</v>
      </c>
      <c r="C58" s="39"/>
      <c r="H58">
        <f>H52</f>
        <v>33</v>
      </c>
    </row>
    <row r="59" spans="1:26" x14ac:dyDescent="0.35">
      <c r="A59" s="19" t="str">
        <f t="shared" si="1"/>
        <v xml:space="preserve">  Second cut</v>
      </c>
      <c r="B59" s="38" t="str">
        <f t="shared" si="1"/>
        <v>Tree</v>
      </c>
      <c r="C59" s="39"/>
      <c r="L59">
        <f>L53</f>
        <v>350</v>
      </c>
    </row>
    <row r="60" spans="1:26" x14ac:dyDescent="0.35">
      <c r="A60" s="19" t="str">
        <f t="shared" si="1"/>
        <v xml:space="preserve">  Third cut</v>
      </c>
      <c r="B60" s="38" t="str">
        <f t="shared" si="1"/>
        <v>Tree</v>
      </c>
      <c r="C60" s="39"/>
      <c r="R60">
        <v>0</v>
      </c>
    </row>
    <row r="61" spans="1:26" x14ac:dyDescent="0.35">
      <c r="A61" s="19"/>
      <c r="B61" s="8"/>
      <c r="Z61">
        <v>0</v>
      </c>
    </row>
    <row r="62" spans="1:26" x14ac:dyDescent="0.35">
      <c r="A62" s="19" t="s">
        <v>6</v>
      </c>
      <c r="B62" s="8"/>
    </row>
    <row r="63" spans="1:26" x14ac:dyDescent="0.35">
      <c r="A63" s="35" t="s">
        <v>112</v>
      </c>
      <c r="B63" s="36"/>
      <c r="C63" s="37"/>
      <c r="D63" s="37"/>
      <c r="E63" s="37"/>
      <c r="F63" s="37"/>
      <c r="G63" s="37"/>
      <c r="H63" s="37">
        <f>B2</f>
        <v>833</v>
      </c>
      <c r="I63" s="37"/>
      <c r="J63" s="37"/>
      <c r="K63" s="37"/>
      <c r="L63" s="37">
        <f>H64</f>
        <v>800</v>
      </c>
      <c r="M63" s="37"/>
      <c r="N63" s="37"/>
      <c r="O63" s="37"/>
      <c r="P63" s="37"/>
      <c r="Q63" s="37"/>
      <c r="R63" s="37">
        <f>L64</f>
        <v>450</v>
      </c>
      <c r="S63" s="37"/>
      <c r="T63" s="37"/>
      <c r="U63" s="37"/>
      <c r="V63" s="37"/>
      <c r="W63" s="37"/>
      <c r="X63" s="37"/>
      <c r="Y63" s="37"/>
      <c r="Z63" s="37">
        <f>R64</f>
        <v>300</v>
      </c>
    </row>
    <row r="64" spans="1:26" x14ac:dyDescent="0.35">
      <c r="A64" s="35" t="s">
        <v>113</v>
      </c>
      <c r="B64" s="36"/>
      <c r="C64" s="37"/>
      <c r="D64" s="37"/>
      <c r="E64" s="37"/>
      <c r="F64" s="37"/>
      <c r="G64" s="37"/>
      <c r="H64" s="37">
        <v>800</v>
      </c>
      <c r="I64" s="37"/>
      <c r="J64" s="37"/>
      <c r="K64" s="37"/>
      <c r="L64" s="37">
        <v>450</v>
      </c>
      <c r="M64" s="37"/>
      <c r="N64" s="37"/>
      <c r="O64" s="37"/>
      <c r="P64" s="37"/>
      <c r="Q64" s="37"/>
      <c r="R64" s="37">
        <v>300</v>
      </c>
      <c r="S64" s="37"/>
      <c r="T64" s="37"/>
      <c r="U64" s="37"/>
      <c r="V64" s="37"/>
      <c r="W64" s="37"/>
      <c r="X64" s="37"/>
      <c r="Y64" s="37"/>
      <c r="Z64" s="37">
        <v>0</v>
      </c>
    </row>
    <row r="65" spans="1:26" x14ac:dyDescent="0.35">
      <c r="A65" s="35" t="s">
        <v>114</v>
      </c>
      <c r="B65" s="36"/>
      <c r="C65" s="37"/>
      <c r="D65" s="37"/>
      <c r="E65" s="37"/>
      <c r="F65" s="37"/>
      <c r="G65" s="37"/>
      <c r="H65" s="37">
        <f>H63-H64</f>
        <v>33</v>
      </c>
      <c r="I65" s="37"/>
      <c r="J65" s="37"/>
      <c r="K65" s="37"/>
      <c r="L65" s="37">
        <f>L63-L64</f>
        <v>350</v>
      </c>
      <c r="M65" s="37"/>
      <c r="N65" s="37"/>
      <c r="O65" s="37"/>
      <c r="P65" s="37"/>
      <c r="Q65" s="37"/>
      <c r="R65" s="37">
        <f>R63-R64</f>
        <v>150</v>
      </c>
      <c r="S65" s="37"/>
      <c r="T65" s="37"/>
      <c r="U65" s="37"/>
      <c r="V65" s="37"/>
      <c r="W65" s="37"/>
      <c r="X65" s="37"/>
      <c r="Y65" s="37"/>
      <c r="Z65" s="37">
        <f>Z63-Z64</f>
        <v>300</v>
      </c>
    </row>
    <row r="66" spans="1:26" x14ac:dyDescent="0.35">
      <c r="A66" s="19" t="s">
        <v>119</v>
      </c>
      <c r="B66" s="38" t="s">
        <v>61</v>
      </c>
      <c r="C66" s="39"/>
      <c r="H66">
        <f>H65</f>
        <v>33</v>
      </c>
    </row>
    <row r="67" spans="1:26" x14ac:dyDescent="0.35">
      <c r="A67" s="19" t="s">
        <v>120</v>
      </c>
      <c r="B67" s="38" t="s">
        <v>61</v>
      </c>
      <c r="C67" s="39"/>
      <c r="L67">
        <f>L65</f>
        <v>350</v>
      </c>
    </row>
    <row r="68" spans="1:26" x14ac:dyDescent="0.35">
      <c r="A68" s="19" t="s">
        <v>121</v>
      </c>
      <c r="B68" s="38" t="s">
        <v>61</v>
      </c>
      <c r="C68" s="39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>
        <f>R65</f>
        <v>150</v>
      </c>
    </row>
    <row r="69" spans="1:26" x14ac:dyDescent="0.35">
      <c r="A69" s="19" t="s">
        <v>122</v>
      </c>
      <c r="B69" s="43" t="s">
        <v>61</v>
      </c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>
        <f>Z65</f>
        <v>300</v>
      </c>
    </row>
    <row r="70" spans="1:26" x14ac:dyDescent="0.35">
      <c r="A70" s="19" t="s">
        <v>137</v>
      </c>
      <c r="B70" s="43" t="s">
        <v>10</v>
      </c>
      <c r="C70" s="3">
        <v>4000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x14ac:dyDescent="0.35">
      <c r="A71" s="40" t="s">
        <v>163</v>
      </c>
      <c r="B71" s="41" t="s">
        <v>10</v>
      </c>
      <c r="C71" s="11"/>
      <c r="D71" s="11"/>
      <c r="E71" s="11">
        <f>18000*0.9</f>
        <v>16200</v>
      </c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3" spans="1:26" x14ac:dyDescent="0.35">
      <c r="A73" s="68" t="s">
        <v>304</v>
      </c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spans="1:26" x14ac:dyDescent="0.35">
      <c r="A74" s="12" t="s">
        <v>302</v>
      </c>
      <c r="B74" s="10" t="s">
        <v>12</v>
      </c>
      <c r="C74" s="11" t="s">
        <v>399</v>
      </c>
      <c r="D74" s="11" t="s">
        <v>400</v>
      </c>
      <c r="E74" s="11" t="s">
        <v>401</v>
      </c>
      <c r="F74" s="11" t="s">
        <v>402</v>
      </c>
      <c r="G74" s="11" t="s">
        <v>403</v>
      </c>
      <c r="H74" s="11" t="s">
        <v>404</v>
      </c>
      <c r="I74" s="11" t="s">
        <v>405</v>
      </c>
      <c r="J74" s="11" t="s">
        <v>406</v>
      </c>
      <c r="K74" s="11" t="s">
        <v>407</v>
      </c>
      <c r="L74" s="11" t="s">
        <v>408</v>
      </c>
      <c r="M74" s="11" t="s">
        <v>409</v>
      </c>
      <c r="N74" s="11" t="s">
        <v>410</v>
      </c>
      <c r="O74" s="11" t="s">
        <v>411</v>
      </c>
      <c r="P74" s="11" t="s">
        <v>412</v>
      </c>
      <c r="Q74" s="11" t="s">
        <v>413</v>
      </c>
      <c r="R74" s="11" t="s">
        <v>414</v>
      </c>
      <c r="S74" s="11" t="s">
        <v>415</v>
      </c>
      <c r="T74" s="11" t="s">
        <v>416</v>
      </c>
      <c r="U74" s="11" t="s">
        <v>417</v>
      </c>
      <c r="V74" s="11" t="s">
        <v>418</v>
      </c>
      <c r="W74" s="11" t="s">
        <v>425</v>
      </c>
      <c r="X74" s="11" t="s">
        <v>428</v>
      </c>
      <c r="Y74" s="11" t="s">
        <v>429</v>
      </c>
      <c r="Z74" s="11" t="s">
        <v>430</v>
      </c>
    </row>
    <row r="75" spans="1:26" x14ac:dyDescent="0.35">
      <c r="A75" t="str">
        <f t="shared" ref="A75:A83" si="2">A6</f>
        <v>Nursery</v>
      </c>
      <c r="B75" s="15"/>
    </row>
    <row r="76" spans="1:26" x14ac:dyDescent="0.35">
      <c r="A76" t="str">
        <f t="shared" si="2"/>
        <v xml:space="preserve">  Seeds</v>
      </c>
      <c r="B76" s="13">
        <f>'Refor gazetted FIN'!B55</f>
        <v>6600</v>
      </c>
      <c r="C76" s="2">
        <f t="shared" ref="C76:Z76" si="3">$B76*C7</f>
        <v>24990</v>
      </c>
      <c r="D76" s="2">
        <f t="shared" si="3"/>
        <v>2499</v>
      </c>
      <c r="E76" s="2">
        <f t="shared" si="3"/>
        <v>0</v>
      </c>
      <c r="F76" s="2">
        <f t="shared" si="3"/>
        <v>0</v>
      </c>
      <c r="G76" s="2">
        <f t="shared" si="3"/>
        <v>0</v>
      </c>
      <c r="H76" s="2">
        <f t="shared" si="3"/>
        <v>0</v>
      </c>
      <c r="I76" s="2">
        <f t="shared" si="3"/>
        <v>0</v>
      </c>
      <c r="J76" s="2">
        <f t="shared" si="3"/>
        <v>0</v>
      </c>
      <c r="K76" s="2">
        <f t="shared" si="3"/>
        <v>0</v>
      </c>
      <c r="L76" s="2">
        <f t="shared" si="3"/>
        <v>0</v>
      </c>
      <c r="M76" s="2">
        <f t="shared" si="3"/>
        <v>0</v>
      </c>
      <c r="N76" s="2">
        <f t="shared" si="3"/>
        <v>0</v>
      </c>
      <c r="O76" s="2">
        <f t="shared" si="3"/>
        <v>0</v>
      </c>
      <c r="P76" s="2">
        <f t="shared" si="3"/>
        <v>0</v>
      </c>
      <c r="Q76" s="2">
        <f t="shared" si="3"/>
        <v>0</v>
      </c>
      <c r="R76" s="2">
        <f t="shared" si="3"/>
        <v>0</v>
      </c>
      <c r="S76" s="2">
        <f t="shared" si="3"/>
        <v>0</v>
      </c>
      <c r="T76" s="2">
        <f t="shared" si="3"/>
        <v>0</v>
      </c>
      <c r="U76" s="2">
        <f t="shared" si="3"/>
        <v>0</v>
      </c>
      <c r="V76" s="2">
        <f t="shared" si="3"/>
        <v>0</v>
      </c>
      <c r="W76" s="2">
        <f t="shared" si="3"/>
        <v>0</v>
      </c>
      <c r="X76" s="2">
        <f t="shared" si="3"/>
        <v>0</v>
      </c>
      <c r="Y76" s="2">
        <f t="shared" si="3"/>
        <v>0</v>
      </c>
      <c r="Z76" s="2">
        <f t="shared" si="3"/>
        <v>0</v>
      </c>
    </row>
    <row r="77" spans="1:26" x14ac:dyDescent="0.35">
      <c r="A77" t="str">
        <f t="shared" si="2"/>
        <v xml:space="preserve">  Bags</v>
      </c>
      <c r="B77" s="13">
        <f>'Refor gazetted FIN'!B56</f>
        <v>25</v>
      </c>
      <c r="C77" s="2">
        <f t="shared" ref="C77:Z77" si="4">$B77*C8</f>
        <v>41650</v>
      </c>
      <c r="D77" s="2">
        <f t="shared" si="4"/>
        <v>4165.0000000000009</v>
      </c>
      <c r="E77" s="2">
        <f t="shared" si="4"/>
        <v>0</v>
      </c>
      <c r="F77" s="2">
        <f t="shared" si="4"/>
        <v>0</v>
      </c>
      <c r="G77" s="2">
        <f t="shared" si="4"/>
        <v>0</v>
      </c>
      <c r="H77" s="2">
        <f t="shared" si="4"/>
        <v>0</v>
      </c>
      <c r="I77" s="2">
        <f t="shared" si="4"/>
        <v>0</v>
      </c>
      <c r="J77" s="2">
        <f t="shared" si="4"/>
        <v>0</v>
      </c>
      <c r="K77" s="2">
        <f t="shared" si="4"/>
        <v>0</v>
      </c>
      <c r="L77" s="2">
        <f t="shared" si="4"/>
        <v>0</v>
      </c>
      <c r="M77" s="2">
        <f t="shared" si="4"/>
        <v>0</v>
      </c>
      <c r="N77" s="2">
        <f t="shared" si="4"/>
        <v>0</v>
      </c>
      <c r="O77" s="2">
        <f t="shared" si="4"/>
        <v>0</v>
      </c>
      <c r="P77" s="2">
        <f t="shared" si="4"/>
        <v>0</v>
      </c>
      <c r="Q77" s="2">
        <f t="shared" si="4"/>
        <v>0</v>
      </c>
      <c r="R77" s="2">
        <f t="shared" si="4"/>
        <v>0</v>
      </c>
      <c r="S77" s="2">
        <f t="shared" si="4"/>
        <v>0</v>
      </c>
      <c r="T77" s="2">
        <f t="shared" si="4"/>
        <v>0</v>
      </c>
      <c r="U77" s="2">
        <f t="shared" si="4"/>
        <v>0</v>
      </c>
      <c r="V77" s="2">
        <f t="shared" si="4"/>
        <v>0</v>
      </c>
      <c r="W77" s="2">
        <f t="shared" si="4"/>
        <v>0</v>
      </c>
      <c r="X77" s="2">
        <f t="shared" si="4"/>
        <v>0</v>
      </c>
      <c r="Y77" s="2">
        <f t="shared" si="4"/>
        <v>0</v>
      </c>
      <c r="Z77" s="2">
        <f t="shared" si="4"/>
        <v>0</v>
      </c>
    </row>
    <row r="78" spans="1:26" x14ac:dyDescent="0.35">
      <c r="A78" t="str">
        <f t="shared" si="2"/>
        <v xml:space="preserve">  Tools</v>
      </c>
      <c r="B78" s="13">
        <f>'Refor gazetted FIN'!B57</f>
        <v>25817</v>
      </c>
      <c r="C78" s="2">
        <f t="shared" ref="C78:Z78" si="5">$B78*C9</f>
        <v>25817</v>
      </c>
      <c r="D78" s="2">
        <f t="shared" si="5"/>
        <v>2581.7000000000003</v>
      </c>
      <c r="E78" s="2">
        <f t="shared" si="5"/>
        <v>0</v>
      </c>
      <c r="F78" s="2">
        <f t="shared" si="5"/>
        <v>0</v>
      </c>
      <c r="G78" s="2">
        <f t="shared" si="5"/>
        <v>0</v>
      </c>
      <c r="H78" s="2">
        <f t="shared" si="5"/>
        <v>0</v>
      </c>
      <c r="I78" s="2">
        <f t="shared" si="5"/>
        <v>0</v>
      </c>
      <c r="J78" s="2">
        <f t="shared" si="5"/>
        <v>0</v>
      </c>
      <c r="K78" s="2">
        <f t="shared" si="5"/>
        <v>0</v>
      </c>
      <c r="L78" s="2">
        <f t="shared" si="5"/>
        <v>0</v>
      </c>
      <c r="M78" s="2">
        <f t="shared" si="5"/>
        <v>0</v>
      </c>
      <c r="N78" s="2">
        <f t="shared" si="5"/>
        <v>0</v>
      </c>
      <c r="O78" s="2">
        <f t="shared" si="5"/>
        <v>0</v>
      </c>
      <c r="P78" s="2">
        <f t="shared" si="5"/>
        <v>0</v>
      </c>
      <c r="Q78" s="2">
        <f t="shared" si="5"/>
        <v>0</v>
      </c>
      <c r="R78" s="2">
        <f t="shared" si="5"/>
        <v>0</v>
      </c>
      <c r="S78" s="2">
        <f t="shared" si="5"/>
        <v>0</v>
      </c>
      <c r="T78" s="2">
        <f t="shared" si="5"/>
        <v>0</v>
      </c>
      <c r="U78" s="2">
        <f t="shared" si="5"/>
        <v>0</v>
      </c>
      <c r="V78" s="2">
        <f t="shared" si="5"/>
        <v>0</v>
      </c>
      <c r="W78" s="2">
        <f t="shared" si="5"/>
        <v>0</v>
      </c>
      <c r="X78" s="2">
        <f t="shared" si="5"/>
        <v>0</v>
      </c>
      <c r="Y78" s="2">
        <f t="shared" si="5"/>
        <v>0</v>
      </c>
      <c r="Z78" s="2">
        <f t="shared" si="5"/>
        <v>0</v>
      </c>
    </row>
    <row r="79" spans="1:26" x14ac:dyDescent="0.35">
      <c r="A79" t="str">
        <f t="shared" si="2"/>
        <v xml:space="preserve">  Self protection equipment</v>
      </c>
      <c r="B79" s="13">
        <f>'Refor gazetted FIN'!B58</f>
        <v>17300</v>
      </c>
      <c r="C79" s="2">
        <f t="shared" ref="C79:Z79" si="6">$B79*C10</f>
        <v>17300</v>
      </c>
      <c r="D79" s="2">
        <f t="shared" si="6"/>
        <v>1730</v>
      </c>
      <c r="E79" s="2">
        <f t="shared" si="6"/>
        <v>0</v>
      </c>
      <c r="F79" s="2">
        <f t="shared" si="6"/>
        <v>0</v>
      </c>
      <c r="G79" s="2">
        <f t="shared" si="6"/>
        <v>0</v>
      </c>
      <c r="H79" s="2">
        <f t="shared" si="6"/>
        <v>0</v>
      </c>
      <c r="I79" s="2">
        <f t="shared" si="6"/>
        <v>0</v>
      </c>
      <c r="J79" s="2">
        <f t="shared" si="6"/>
        <v>0</v>
      </c>
      <c r="K79" s="2">
        <f t="shared" si="6"/>
        <v>0</v>
      </c>
      <c r="L79" s="2">
        <f t="shared" si="6"/>
        <v>0</v>
      </c>
      <c r="M79" s="2">
        <f t="shared" si="6"/>
        <v>0</v>
      </c>
      <c r="N79" s="2">
        <f t="shared" si="6"/>
        <v>0</v>
      </c>
      <c r="O79" s="2">
        <f t="shared" si="6"/>
        <v>0</v>
      </c>
      <c r="P79" s="2">
        <f t="shared" si="6"/>
        <v>0</v>
      </c>
      <c r="Q79" s="2">
        <f t="shared" si="6"/>
        <v>0</v>
      </c>
      <c r="R79" s="2">
        <f t="shared" si="6"/>
        <v>0</v>
      </c>
      <c r="S79" s="2">
        <f t="shared" si="6"/>
        <v>0</v>
      </c>
      <c r="T79" s="2">
        <f t="shared" si="6"/>
        <v>0</v>
      </c>
      <c r="U79" s="2">
        <f t="shared" si="6"/>
        <v>0</v>
      </c>
      <c r="V79" s="2">
        <f t="shared" si="6"/>
        <v>0</v>
      </c>
      <c r="W79" s="2">
        <f t="shared" si="6"/>
        <v>0</v>
      </c>
      <c r="X79" s="2">
        <f t="shared" si="6"/>
        <v>0</v>
      </c>
      <c r="Y79" s="2">
        <f t="shared" si="6"/>
        <v>0</v>
      </c>
      <c r="Z79" s="2">
        <f t="shared" si="6"/>
        <v>0</v>
      </c>
    </row>
    <row r="80" spans="1:26" x14ac:dyDescent="0.35">
      <c r="A80" t="str">
        <f t="shared" si="2"/>
        <v xml:space="preserve">  Agro-chemicals</v>
      </c>
      <c r="B80" s="13">
        <f>'Refor gazetted FIN'!B59</f>
        <v>25.714285714285715</v>
      </c>
      <c r="C80" s="2">
        <f t="shared" ref="C80:Z80" si="7">$B80*C11</f>
        <v>23562.000000000004</v>
      </c>
      <c r="D80" s="2">
        <f t="shared" si="7"/>
        <v>2356.2000000000003</v>
      </c>
      <c r="E80" s="2">
        <f t="shared" si="7"/>
        <v>0</v>
      </c>
      <c r="F80" s="2">
        <f t="shared" si="7"/>
        <v>0</v>
      </c>
      <c r="G80" s="2">
        <f t="shared" si="7"/>
        <v>0</v>
      </c>
      <c r="H80" s="2">
        <f t="shared" si="7"/>
        <v>0</v>
      </c>
      <c r="I80" s="2">
        <f t="shared" si="7"/>
        <v>0</v>
      </c>
      <c r="J80" s="2">
        <f t="shared" si="7"/>
        <v>0</v>
      </c>
      <c r="K80" s="2">
        <f t="shared" si="7"/>
        <v>0</v>
      </c>
      <c r="L80" s="2">
        <f t="shared" si="7"/>
        <v>0</v>
      </c>
      <c r="M80" s="2">
        <f t="shared" si="7"/>
        <v>0</v>
      </c>
      <c r="N80" s="2">
        <f t="shared" si="7"/>
        <v>0</v>
      </c>
      <c r="O80" s="2">
        <f t="shared" si="7"/>
        <v>0</v>
      </c>
      <c r="P80" s="2">
        <f t="shared" si="7"/>
        <v>0</v>
      </c>
      <c r="Q80" s="2">
        <f t="shared" si="7"/>
        <v>0</v>
      </c>
      <c r="R80" s="2">
        <f t="shared" si="7"/>
        <v>0</v>
      </c>
      <c r="S80" s="2">
        <f t="shared" si="7"/>
        <v>0</v>
      </c>
      <c r="T80" s="2">
        <f t="shared" si="7"/>
        <v>0</v>
      </c>
      <c r="U80" s="2">
        <f t="shared" si="7"/>
        <v>0</v>
      </c>
      <c r="V80" s="2">
        <f t="shared" si="7"/>
        <v>0</v>
      </c>
      <c r="W80" s="2">
        <f t="shared" si="7"/>
        <v>0</v>
      </c>
      <c r="X80" s="2">
        <f t="shared" si="7"/>
        <v>0</v>
      </c>
      <c r="Y80" s="2">
        <f t="shared" si="7"/>
        <v>0</v>
      </c>
      <c r="Z80" s="2">
        <f t="shared" si="7"/>
        <v>0</v>
      </c>
    </row>
    <row r="81" spans="1:26" x14ac:dyDescent="0.35">
      <c r="A81" t="str">
        <f t="shared" si="2"/>
        <v xml:space="preserve">  Area  clearing</v>
      </c>
      <c r="B81" s="13">
        <f>'Refor gazetted FIN'!B60</f>
        <v>7.1428571428571432</v>
      </c>
      <c r="C81" s="2">
        <f t="shared" ref="C81:Z81" si="8">$B81*C12</f>
        <v>6545.0000000000009</v>
      </c>
      <c r="D81" s="2">
        <f t="shared" si="8"/>
        <v>0</v>
      </c>
      <c r="E81" s="2">
        <f t="shared" si="8"/>
        <v>0</v>
      </c>
      <c r="F81" s="2">
        <f t="shared" si="8"/>
        <v>0</v>
      </c>
      <c r="G81" s="2">
        <f t="shared" si="8"/>
        <v>0</v>
      </c>
      <c r="H81" s="2">
        <f t="shared" si="8"/>
        <v>0</v>
      </c>
      <c r="I81" s="2">
        <f t="shared" si="8"/>
        <v>0</v>
      </c>
      <c r="J81" s="2">
        <f t="shared" si="8"/>
        <v>0</v>
      </c>
      <c r="K81" s="2">
        <f t="shared" si="8"/>
        <v>0</v>
      </c>
      <c r="L81" s="2">
        <f t="shared" si="8"/>
        <v>0</v>
      </c>
      <c r="M81" s="2">
        <f t="shared" si="8"/>
        <v>0</v>
      </c>
      <c r="N81" s="2">
        <f t="shared" si="8"/>
        <v>0</v>
      </c>
      <c r="O81" s="2">
        <f t="shared" si="8"/>
        <v>0</v>
      </c>
      <c r="P81" s="2">
        <f t="shared" si="8"/>
        <v>0</v>
      </c>
      <c r="Q81" s="2">
        <f t="shared" si="8"/>
        <v>0</v>
      </c>
      <c r="R81" s="2">
        <f t="shared" si="8"/>
        <v>0</v>
      </c>
      <c r="S81" s="2">
        <f t="shared" si="8"/>
        <v>0</v>
      </c>
      <c r="T81" s="2">
        <f t="shared" si="8"/>
        <v>0</v>
      </c>
      <c r="U81" s="2">
        <f t="shared" si="8"/>
        <v>0</v>
      </c>
      <c r="V81" s="2">
        <f t="shared" si="8"/>
        <v>0</v>
      </c>
      <c r="W81" s="2">
        <f t="shared" si="8"/>
        <v>0</v>
      </c>
      <c r="X81" s="2">
        <f t="shared" si="8"/>
        <v>0</v>
      </c>
      <c r="Y81" s="2">
        <f t="shared" si="8"/>
        <v>0</v>
      </c>
      <c r="Z81" s="2">
        <f t="shared" si="8"/>
        <v>0</v>
      </c>
    </row>
    <row r="82" spans="1:26" x14ac:dyDescent="0.35">
      <c r="A82" t="str">
        <f t="shared" si="2"/>
        <v xml:space="preserve">  Establishment of shadow area</v>
      </c>
      <c r="B82" s="13">
        <f>'Refor gazetted FIN'!B61</f>
        <v>11.428571428571429</v>
      </c>
      <c r="C82" s="2">
        <f t="shared" ref="C82:Z82" si="9">$B82*C13</f>
        <v>10472.000000000002</v>
      </c>
      <c r="D82" s="2">
        <f t="shared" si="9"/>
        <v>0</v>
      </c>
      <c r="E82" s="2">
        <f t="shared" si="9"/>
        <v>0</v>
      </c>
      <c r="F82" s="2">
        <f t="shared" si="9"/>
        <v>0</v>
      </c>
      <c r="G82" s="2">
        <f t="shared" si="9"/>
        <v>0</v>
      </c>
      <c r="H82" s="2">
        <f t="shared" si="9"/>
        <v>0</v>
      </c>
      <c r="I82" s="2">
        <f t="shared" si="9"/>
        <v>0</v>
      </c>
      <c r="J82" s="2">
        <f t="shared" si="9"/>
        <v>0</v>
      </c>
      <c r="K82" s="2">
        <f t="shared" si="9"/>
        <v>0</v>
      </c>
      <c r="L82" s="2">
        <f t="shared" si="9"/>
        <v>0</v>
      </c>
      <c r="M82" s="2">
        <f t="shared" si="9"/>
        <v>0</v>
      </c>
      <c r="N82" s="2">
        <f t="shared" si="9"/>
        <v>0</v>
      </c>
      <c r="O82" s="2">
        <f t="shared" si="9"/>
        <v>0</v>
      </c>
      <c r="P82" s="2">
        <f t="shared" si="9"/>
        <v>0</v>
      </c>
      <c r="Q82" s="2">
        <f t="shared" si="9"/>
        <v>0</v>
      </c>
      <c r="R82" s="2">
        <f t="shared" si="9"/>
        <v>0</v>
      </c>
      <c r="S82" s="2">
        <f t="shared" si="9"/>
        <v>0</v>
      </c>
      <c r="T82" s="2">
        <f t="shared" si="9"/>
        <v>0</v>
      </c>
      <c r="U82" s="2">
        <f t="shared" si="9"/>
        <v>0</v>
      </c>
      <c r="V82" s="2">
        <f t="shared" si="9"/>
        <v>0</v>
      </c>
      <c r="W82" s="2">
        <f t="shared" si="9"/>
        <v>0</v>
      </c>
      <c r="X82" s="2">
        <f t="shared" si="9"/>
        <v>0</v>
      </c>
      <c r="Y82" s="2">
        <f t="shared" si="9"/>
        <v>0</v>
      </c>
      <c r="Z82" s="2">
        <f t="shared" si="9"/>
        <v>0</v>
      </c>
    </row>
    <row r="83" spans="1:26" x14ac:dyDescent="0.35">
      <c r="A83" t="str">
        <f t="shared" si="2"/>
        <v xml:space="preserve">  Bag filling</v>
      </c>
      <c r="B83" s="13">
        <f>'Refor gazetted FIN'!B62</f>
        <v>10</v>
      </c>
      <c r="C83" s="2">
        <f t="shared" ref="C83:Z83" si="10">$B83*C14</f>
        <v>9163</v>
      </c>
      <c r="D83" s="2">
        <f t="shared" si="10"/>
        <v>916.30000000000007</v>
      </c>
      <c r="E83" s="2">
        <f t="shared" si="10"/>
        <v>0</v>
      </c>
      <c r="F83" s="2">
        <f t="shared" si="10"/>
        <v>0</v>
      </c>
      <c r="G83" s="2">
        <f t="shared" si="10"/>
        <v>0</v>
      </c>
      <c r="H83" s="2">
        <f t="shared" si="10"/>
        <v>0</v>
      </c>
      <c r="I83" s="2">
        <f t="shared" si="10"/>
        <v>0</v>
      </c>
      <c r="J83" s="2">
        <f t="shared" si="10"/>
        <v>0</v>
      </c>
      <c r="K83" s="2">
        <f t="shared" si="10"/>
        <v>0</v>
      </c>
      <c r="L83" s="2">
        <f t="shared" si="10"/>
        <v>0</v>
      </c>
      <c r="M83" s="2">
        <f t="shared" si="10"/>
        <v>0</v>
      </c>
      <c r="N83" s="2">
        <f t="shared" si="10"/>
        <v>0</v>
      </c>
      <c r="O83" s="2">
        <f t="shared" si="10"/>
        <v>0</v>
      </c>
      <c r="P83" s="2">
        <f t="shared" si="10"/>
        <v>0</v>
      </c>
      <c r="Q83" s="2">
        <f t="shared" si="10"/>
        <v>0</v>
      </c>
      <c r="R83" s="2">
        <f t="shared" si="10"/>
        <v>0</v>
      </c>
      <c r="S83" s="2">
        <f t="shared" si="10"/>
        <v>0</v>
      </c>
      <c r="T83" s="2">
        <f t="shared" si="10"/>
        <v>0</v>
      </c>
      <c r="U83" s="2">
        <f t="shared" si="10"/>
        <v>0</v>
      </c>
      <c r="V83" s="2">
        <f t="shared" si="10"/>
        <v>0</v>
      </c>
      <c r="W83" s="2">
        <f t="shared" si="10"/>
        <v>0</v>
      </c>
      <c r="X83" s="2">
        <f t="shared" si="10"/>
        <v>0</v>
      </c>
      <c r="Y83" s="2">
        <f t="shared" si="10"/>
        <v>0</v>
      </c>
      <c r="Z83" s="2">
        <f t="shared" si="10"/>
        <v>0</v>
      </c>
    </row>
    <row r="84" spans="1:26" x14ac:dyDescent="0.35">
      <c r="B84" s="13"/>
    </row>
    <row r="85" spans="1:26" x14ac:dyDescent="0.35">
      <c r="A85" t="str">
        <f t="shared" ref="A85:A91" si="11">A16</f>
        <v>Land preparation and plantation</v>
      </c>
      <c r="B85" s="13"/>
    </row>
    <row r="86" spans="1:26" x14ac:dyDescent="0.35">
      <c r="A86" t="str">
        <f t="shared" si="11"/>
        <v xml:space="preserve">  Surveying</v>
      </c>
      <c r="B86" s="13">
        <f>'Refor gazetted FIN'!B65</f>
        <v>3000</v>
      </c>
      <c r="C86" s="2">
        <f t="shared" ref="C86:Z86" si="12">$B86*C17</f>
        <v>0</v>
      </c>
      <c r="D86" s="2">
        <f t="shared" si="12"/>
        <v>0</v>
      </c>
      <c r="E86" s="2">
        <f t="shared" si="12"/>
        <v>0</v>
      </c>
      <c r="F86" s="2">
        <f t="shared" si="12"/>
        <v>0</v>
      </c>
      <c r="G86" s="2">
        <f t="shared" si="12"/>
        <v>0</v>
      </c>
      <c r="H86" s="2">
        <f t="shared" si="12"/>
        <v>0</v>
      </c>
      <c r="I86" s="2">
        <f t="shared" si="12"/>
        <v>0</v>
      </c>
      <c r="J86" s="2">
        <f t="shared" si="12"/>
        <v>0</v>
      </c>
      <c r="K86" s="2">
        <f t="shared" si="12"/>
        <v>0</v>
      </c>
      <c r="L86" s="2">
        <f t="shared" si="12"/>
        <v>0</v>
      </c>
      <c r="M86" s="2">
        <f t="shared" si="12"/>
        <v>0</v>
      </c>
      <c r="N86" s="2">
        <f t="shared" si="12"/>
        <v>0</v>
      </c>
      <c r="O86" s="2">
        <f t="shared" si="12"/>
        <v>0</v>
      </c>
      <c r="P86" s="2">
        <f t="shared" si="12"/>
        <v>0</v>
      </c>
      <c r="Q86" s="2">
        <f t="shared" si="12"/>
        <v>0</v>
      </c>
      <c r="R86" s="2">
        <f t="shared" si="12"/>
        <v>0</v>
      </c>
      <c r="S86" s="2">
        <f t="shared" si="12"/>
        <v>0</v>
      </c>
      <c r="T86" s="2">
        <f t="shared" si="12"/>
        <v>0</v>
      </c>
      <c r="U86" s="2">
        <f t="shared" si="12"/>
        <v>0</v>
      </c>
      <c r="V86" s="2">
        <f t="shared" si="12"/>
        <v>0</v>
      </c>
      <c r="W86" s="2">
        <f t="shared" si="12"/>
        <v>0</v>
      </c>
      <c r="X86" s="2">
        <f t="shared" si="12"/>
        <v>0</v>
      </c>
      <c r="Y86" s="2">
        <f t="shared" si="12"/>
        <v>0</v>
      </c>
      <c r="Z86" s="2">
        <f t="shared" si="12"/>
        <v>0</v>
      </c>
    </row>
    <row r="87" spans="1:26" x14ac:dyDescent="0.35">
      <c r="A87" t="str">
        <f t="shared" si="11"/>
        <v xml:space="preserve">  Area clearing</v>
      </c>
      <c r="B87" s="13">
        <f>'Refor gazetted FIN'!B66</f>
        <v>30000</v>
      </c>
      <c r="C87" s="2">
        <f t="shared" ref="C87:Z87" si="13">$B87*C18</f>
        <v>30000</v>
      </c>
      <c r="D87" s="2">
        <f t="shared" si="13"/>
        <v>0</v>
      </c>
      <c r="E87" s="2">
        <f t="shared" si="13"/>
        <v>0</v>
      </c>
      <c r="F87" s="2">
        <f t="shared" si="13"/>
        <v>0</v>
      </c>
      <c r="G87" s="2">
        <f t="shared" si="13"/>
        <v>0</v>
      </c>
      <c r="H87" s="2">
        <f t="shared" si="13"/>
        <v>0</v>
      </c>
      <c r="I87" s="2">
        <f t="shared" si="13"/>
        <v>0</v>
      </c>
      <c r="J87" s="2">
        <f t="shared" si="13"/>
        <v>0</v>
      </c>
      <c r="K87" s="2">
        <f t="shared" si="13"/>
        <v>0</v>
      </c>
      <c r="L87" s="2">
        <f t="shared" si="13"/>
        <v>0</v>
      </c>
      <c r="M87" s="2">
        <f t="shared" si="13"/>
        <v>0</v>
      </c>
      <c r="N87" s="2">
        <f t="shared" si="13"/>
        <v>0</v>
      </c>
      <c r="O87" s="2">
        <f t="shared" si="13"/>
        <v>0</v>
      </c>
      <c r="P87" s="2">
        <f t="shared" si="13"/>
        <v>0</v>
      </c>
      <c r="Q87" s="2">
        <f t="shared" si="13"/>
        <v>0</v>
      </c>
      <c r="R87" s="2">
        <f t="shared" si="13"/>
        <v>0</v>
      </c>
      <c r="S87" s="2">
        <f t="shared" si="13"/>
        <v>0</v>
      </c>
      <c r="T87" s="2">
        <f t="shared" si="13"/>
        <v>0</v>
      </c>
      <c r="U87" s="2">
        <f t="shared" si="13"/>
        <v>0</v>
      </c>
      <c r="V87" s="2">
        <f t="shared" si="13"/>
        <v>0</v>
      </c>
      <c r="W87" s="2">
        <f t="shared" si="13"/>
        <v>0</v>
      </c>
      <c r="X87" s="2">
        <f t="shared" si="13"/>
        <v>0</v>
      </c>
      <c r="Y87" s="2">
        <f t="shared" si="13"/>
        <v>0</v>
      </c>
      <c r="Z87" s="2">
        <f t="shared" si="13"/>
        <v>0</v>
      </c>
    </row>
    <row r="88" spans="1:26" x14ac:dyDescent="0.35">
      <c r="A88" t="str">
        <f t="shared" si="11"/>
        <v xml:space="preserve">  Stump extraction, controlled fire and marking out</v>
      </c>
      <c r="B88" s="13">
        <f>'Refor gazetted FIN'!B67</f>
        <v>30000</v>
      </c>
      <c r="C88" s="2">
        <f t="shared" ref="C88:Z88" si="14">$B88*C19</f>
        <v>30000</v>
      </c>
      <c r="D88" s="2">
        <f t="shared" si="14"/>
        <v>0</v>
      </c>
      <c r="E88" s="2">
        <f t="shared" si="14"/>
        <v>0</v>
      </c>
      <c r="F88" s="2">
        <f t="shared" si="14"/>
        <v>0</v>
      </c>
      <c r="G88" s="2">
        <f t="shared" si="14"/>
        <v>0</v>
      </c>
      <c r="H88" s="2">
        <f t="shared" si="14"/>
        <v>0</v>
      </c>
      <c r="I88" s="2">
        <f t="shared" si="14"/>
        <v>0</v>
      </c>
      <c r="J88" s="2">
        <f t="shared" si="14"/>
        <v>0</v>
      </c>
      <c r="K88" s="2">
        <f t="shared" si="14"/>
        <v>0</v>
      </c>
      <c r="L88" s="2">
        <f t="shared" si="14"/>
        <v>0</v>
      </c>
      <c r="M88" s="2">
        <f t="shared" si="14"/>
        <v>0</v>
      </c>
      <c r="N88" s="2">
        <f t="shared" si="14"/>
        <v>0</v>
      </c>
      <c r="O88" s="2">
        <f t="shared" si="14"/>
        <v>0</v>
      </c>
      <c r="P88" s="2">
        <f t="shared" si="14"/>
        <v>0</v>
      </c>
      <c r="Q88" s="2">
        <f t="shared" si="14"/>
        <v>0</v>
      </c>
      <c r="R88" s="2">
        <f t="shared" si="14"/>
        <v>0</v>
      </c>
      <c r="S88" s="2">
        <f t="shared" si="14"/>
        <v>0</v>
      </c>
      <c r="T88" s="2">
        <f t="shared" si="14"/>
        <v>0</v>
      </c>
      <c r="U88" s="2">
        <f t="shared" si="14"/>
        <v>0</v>
      </c>
      <c r="V88" s="2">
        <f t="shared" si="14"/>
        <v>0</v>
      </c>
      <c r="W88" s="2">
        <f t="shared" si="14"/>
        <v>0</v>
      </c>
      <c r="X88" s="2">
        <f t="shared" si="14"/>
        <v>0</v>
      </c>
      <c r="Y88" s="2">
        <f t="shared" si="14"/>
        <v>0</v>
      </c>
      <c r="Z88" s="2">
        <f t="shared" si="14"/>
        <v>0</v>
      </c>
    </row>
    <row r="89" spans="1:26" x14ac:dyDescent="0.35">
      <c r="A89" t="str">
        <f t="shared" si="11"/>
        <v xml:space="preserve">  Digging holes</v>
      </c>
      <c r="B89" s="13">
        <f>'Refor gazetted FIN'!B68</f>
        <v>30</v>
      </c>
      <c r="C89" s="2">
        <f t="shared" ref="C89:Z89" si="15">$B89*C20</f>
        <v>24990</v>
      </c>
      <c r="D89" s="2">
        <f t="shared" si="15"/>
        <v>0</v>
      </c>
      <c r="E89" s="2">
        <f t="shared" si="15"/>
        <v>0</v>
      </c>
      <c r="F89" s="2">
        <f t="shared" si="15"/>
        <v>0</v>
      </c>
      <c r="G89" s="2">
        <f t="shared" si="15"/>
        <v>0</v>
      </c>
      <c r="H89" s="2">
        <f t="shared" si="15"/>
        <v>0</v>
      </c>
      <c r="I89" s="2">
        <f t="shared" si="15"/>
        <v>0</v>
      </c>
      <c r="J89" s="2">
        <f t="shared" si="15"/>
        <v>0</v>
      </c>
      <c r="K89" s="2">
        <f t="shared" si="15"/>
        <v>0</v>
      </c>
      <c r="L89" s="2">
        <f t="shared" si="15"/>
        <v>0</v>
      </c>
      <c r="M89" s="2">
        <f t="shared" si="15"/>
        <v>0</v>
      </c>
      <c r="N89" s="2">
        <f t="shared" si="15"/>
        <v>0</v>
      </c>
      <c r="O89" s="2">
        <f t="shared" si="15"/>
        <v>0</v>
      </c>
      <c r="P89" s="2">
        <f t="shared" si="15"/>
        <v>0</v>
      </c>
      <c r="Q89" s="2">
        <f t="shared" si="15"/>
        <v>0</v>
      </c>
      <c r="R89" s="2">
        <f t="shared" si="15"/>
        <v>0</v>
      </c>
      <c r="S89" s="2">
        <f t="shared" si="15"/>
        <v>0</v>
      </c>
      <c r="T89" s="2">
        <f t="shared" si="15"/>
        <v>0</v>
      </c>
      <c r="U89" s="2">
        <f t="shared" si="15"/>
        <v>0</v>
      </c>
      <c r="V89" s="2">
        <f t="shared" si="15"/>
        <v>0</v>
      </c>
      <c r="W89" s="2">
        <f t="shared" si="15"/>
        <v>0</v>
      </c>
      <c r="X89" s="2">
        <f t="shared" si="15"/>
        <v>0</v>
      </c>
      <c r="Y89" s="2">
        <f t="shared" si="15"/>
        <v>0</v>
      </c>
      <c r="Z89" s="2">
        <f t="shared" si="15"/>
        <v>0</v>
      </c>
    </row>
    <row r="90" spans="1:26" x14ac:dyDescent="0.35">
      <c r="A90" t="str">
        <f t="shared" si="11"/>
        <v xml:space="preserve">  Transport of seedlings</v>
      </c>
      <c r="B90" s="13">
        <f>'Refor gazetted FIN'!B69</f>
        <v>7</v>
      </c>
      <c r="C90" s="2">
        <f t="shared" ref="C90:Z90" si="16">$B90*C21</f>
        <v>5831</v>
      </c>
      <c r="D90" s="2">
        <f t="shared" si="16"/>
        <v>0</v>
      </c>
      <c r="E90" s="2">
        <f t="shared" si="16"/>
        <v>0</v>
      </c>
      <c r="F90" s="2">
        <f t="shared" si="16"/>
        <v>0</v>
      </c>
      <c r="G90" s="2">
        <f t="shared" si="16"/>
        <v>0</v>
      </c>
      <c r="H90" s="2">
        <f t="shared" si="16"/>
        <v>0</v>
      </c>
      <c r="I90" s="2">
        <f t="shared" si="16"/>
        <v>0</v>
      </c>
      <c r="J90" s="2">
        <f t="shared" si="16"/>
        <v>0</v>
      </c>
      <c r="K90" s="2">
        <f t="shared" si="16"/>
        <v>0</v>
      </c>
      <c r="L90" s="2">
        <f t="shared" si="16"/>
        <v>0</v>
      </c>
      <c r="M90" s="2">
        <f t="shared" si="16"/>
        <v>0</v>
      </c>
      <c r="N90" s="2">
        <f t="shared" si="16"/>
        <v>0</v>
      </c>
      <c r="O90" s="2">
        <f t="shared" si="16"/>
        <v>0</v>
      </c>
      <c r="P90" s="2">
        <f t="shared" si="16"/>
        <v>0</v>
      </c>
      <c r="Q90" s="2">
        <f t="shared" si="16"/>
        <v>0</v>
      </c>
      <c r="R90" s="2">
        <f t="shared" si="16"/>
        <v>0</v>
      </c>
      <c r="S90" s="2">
        <f t="shared" si="16"/>
        <v>0</v>
      </c>
      <c r="T90" s="2">
        <f t="shared" si="16"/>
        <v>0</v>
      </c>
      <c r="U90" s="2">
        <f t="shared" si="16"/>
        <v>0</v>
      </c>
      <c r="V90" s="2">
        <f t="shared" si="16"/>
        <v>0</v>
      </c>
      <c r="W90" s="2">
        <f t="shared" si="16"/>
        <v>0</v>
      </c>
      <c r="X90" s="2">
        <f t="shared" si="16"/>
        <v>0</v>
      </c>
      <c r="Y90" s="2">
        <f t="shared" si="16"/>
        <v>0</v>
      </c>
      <c r="Z90" s="2">
        <f t="shared" si="16"/>
        <v>0</v>
      </c>
    </row>
    <row r="91" spans="1:26" x14ac:dyDescent="0.35">
      <c r="A91" t="str">
        <f t="shared" si="11"/>
        <v xml:space="preserve">  Planting</v>
      </c>
      <c r="B91" s="13">
        <f>'Refor gazetted FIN'!B70</f>
        <v>30</v>
      </c>
      <c r="C91" s="2">
        <f t="shared" ref="C91:Z91" si="17">$B91*C22</f>
        <v>24990</v>
      </c>
      <c r="D91" s="2">
        <f t="shared" si="17"/>
        <v>0</v>
      </c>
      <c r="E91" s="2">
        <f t="shared" si="17"/>
        <v>0</v>
      </c>
      <c r="F91" s="2">
        <f t="shared" si="17"/>
        <v>0</v>
      </c>
      <c r="G91" s="2">
        <f t="shared" si="17"/>
        <v>0</v>
      </c>
      <c r="H91" s="2">
        <f t="shared" si="17"/>
        <v>0</v>
      </c>
      <c r="I91" s="2">
        <f t="shared" si="17"/>
        <v>0</v>
      </c>
      <c r="J91" s="2">
        <f t="shared" si="17"/>
        <v>0</v>
      </c>
      <c r="K91" s="2">
        <f t="shared" si="17"/>
        <v>0</v>
      </c>
      <c r="L91" s="2">
        <f t="shared" si="17"/>
        <v>0</v>
      </c>
      <c r="M91" s="2">
        <f t="shared" si="17"/>
        <v>0</v>
      </c>
      <c r="N91" s="2">
        <f t="shared" si="17"/>
        <v>0</v>
      </c>
      <c r="O91" s="2">
        <f t="shared" si="17"/>
        <v>0</v>
      </c>
      <c r="P91" s="2">
        <f t="shared" si="17"/>
        <v>0</v>
      </c>
      <c r="Q91" s="2">
        <f t="shared" si="17"/>
        <v>0</v>
      </c>
      <c r="R91" s="2">
        <f t="shared" si="17"/>
        <v>0</v>
      </c>
      <c r="S91" s="2">
        <f t="shared" si="17"/>
        <v>0</v>
      </c>
      <c r="T91" s="2">
        <f t="shared" si="17"/>
        <v>0</v>
      </c>
      <c r="U91" s="2">
        <f t="shared" si="17"/>
        <v>0</v>
      </c>
      <c r="V91" s="2">
        <f t="shared" si="17"/>
        <v>0</v>
      </c>
      <c r="W91" s="2">
        <f t="shared" si="17"/>
        <v>0</v>
      </c>
      <c r="X91" s="2">
        <f t="shared" si="17"/>
        <v>0</v>
      </c>
      <c r="Y91" s="2">
        <f t="shared" si="17"/>
        <v>0</v>
      </c>
      <c r="Z91" s="2">
        <f t="shared" si="17"/>
        <v>0</v>
      </c>
    </row>
    <row r="92" spans="1:26" x14ac:dyDescent="0.35">
      <c r="B92" s="13"/>
    </row>
    <row r="93" spans="1:26" x14ac:dyDescent="0.35">
      <c r="A93" t="str">
        <f t="shared" ref="A93:A99" si="18">A24</f>
        <v xml:space="preserve">Forest maintenance </v>
      </c>
      <c r="B93" s="13"/>
    </row>
    <row r="94" spans="1:26" x14ac:dyDescent="0.35">
      <c r="A94" t="str">
        <f t="shared" si="18"/>
        <v xml:space="preserve">  Weeding over total areas</v>
      </c>
      <c r="B94" s="13">
        <f>'Refor gazetted FIN'!B73</f>
        <v>25000</v>
      </c>
      <c r="C94" s="2">
        <f t="shared" ref="C94:Z94" si="19">$B94*C25</f>
        <v>25000</v>
      </c>
      <c r="D94" s="2">
        <f t="shared" si="19"/>
        <v>25000</v>
      </c>
      <c r="E94" s="2">
        <f t="shared" si="19"/>
        <v>25000</v>
      </c>
      <c r="F94" s="2">
        <f t="shared" si="19"/>
        <v>0</v>
      </c>
      <c r="G94" s="2">
        <f t="shared" si="19"/>
        <v>0</v>
      </c>
      <c r="H94" s="2">
        <f t="shared" si="19"/>
        <v>0</v>
      </c>
      <c r="I94" s="2">
        <f t="shared" si="19"/>
        <v>0</v>
      </c>
      <c r="J94" s="2">
        <f t="shared" si="19"/>
        <v>0</v>
      </c>
      <c r="K94" s="2">
        <f t="shared" si="19"/>
        <v>0</v>
      </c>
      <c r="L94" s="2">
        <f t="shared" si="19"/>
        <v>0</v>
      </c>
      <c r="M94" s="2">
        <f t="shared" si="19"/>
        <v>0</v>
      </c>
      <c r="N94" s="2">
        <f t="shared" si="19"/>
        <v>0</v>
      </c>
      <c r="O94" s="2">
        <f t="shared" si="19"/>
        <v>0</v>
      </c>
      <c r="P94" s="2">
        <f t="shared" si="19"/>
        <v>0</v>
      </c>
      <c r="Q94" s="2">
        <f t="shared" si="19"/>
        <v>0</v>
      </c>
      <c r="R94" s="2">
        <f t="shared" si="19"/>
        <v>0</v>
      </c>
      <c r="S94" s="2">
        <f t="shared" si="19"/>
        <v>0</v>
      </c>
      <c r="T94" s="2">
        <f t="shared" si="19"/>
        <v>0</v>
      </c>
      <c r="U94" s="2">
        <f t="shared" si="19"/>
        <v>0</v>
      </c>
      <c r="V94" s="2">
        <f t="shared" si="19"/>
        <v>0</v>
      </c>
      <c r="W94" s="2">
        <f t="shared" si="19"/>
        <v>0</v>
      </c>
      <c r="X94" s="2">
        <f t="shared" si="19"/>
        <v>0</v>
      </c>
      <c r="Y94" s="2">
        <f t="shared" si="19"/>
        <v>0</v>
      </c>
      <c r="Z94" s="2">
        <f t="shared" si="19"/>
        <v>0</v>
      </c>
    </row>
    <row r="95" spans="1:26" x14ac:dyDescent="0.35">
      <c r="A95" t="str">
        <f t="shared" si="18"/>
        <v xml:space="preserve">  Weeding over lines</v>
      </c>
      <c r="B95" s="13">
        <f>'Refor gazetted FIN'!B74</f>
        <v>15000</v>
      </c>
      <c r="C95" s="2">
        <f t="shared" ref="C95:Z95" si="20">$B95*C26</f>
        <v>0</v>
      </c>
      <c r="D95" s="2">
        <f t="shared" si="20"/>
        <v>0</v>
      </c>
      <c r="E95" s="2">
        <f t="shared" si="20"/>
        <v>15000</v>
      </c>
      <c r="F95" s="2">
        <f t="shared" si="20"/>
        <v>0</v>
      </c>
      <c r="G95" s="2">
        <f t="shared" si="20"/>
        <v>0</v>
      </c>
      <c r="H95" s="2">
        <f t="shared" si="20"/>
        <v>0</v>
      </c>
      <c r="I95" s="2">
        <f t="shared" si="20"/>
        <v>0</v>
      </c>
      <c r="J95" s="2">
        <f t="shared" si="20"/>
        <v>0</v>
      </c>
      <c r="K95" s="2">
        <f t="shared" si="20"/>
        <v>0</v>
      </c>
      <c r="L95" s="2">
        <f t="shared" si="20"/>
        <v>0</v>
      </c>
      <c r="M95" s="2">
        <f t="shared" si="20"/>
        <v>0</v>
      </c>
      <c r="N95" s="2">
        <f t="shared" si="20"/>
        <v>0</v>
      </c>
      <c r="O95" s="2">
        <f t="shared" si="20"/>
        <v>0</v>
      </c>
      <c r="P95" s="2">
        <f t="shared" si="20"/>
        <v>0</v>
      </c>
      <c r="Q95" s="2">
        <f t="shared" si="20"/>
        <v>0</v>
      </c>
      <c r="R95" s="2">
        <f t="shared" si="20"/>
        <v>0</v>
      </c>
      <c r="S95" s="2">
        <f t="shared" si="20"/>
        <v>0</v>
      </c>
      <c r="T95" s="2">
        <f t="shared" si="20"/>
        <v>0</v>
      </c>
      <c r="U95" s="2">
        <f t="shared" si="20"/>
        <v>0</v>
      </c>
      <c r="V95" s="2">
        <f t="shared" si="20"/>
        <v>0</v>
      </c>
      <c r="W95" s="2">
        <f t="shared" si="20"/>
        <v>0</v>
      </c>
      <c r="X95" s="2">
        <f t="shared" si="20"/>
        <v>0</v>
      </c>
      <c r="Y95" s="2">
        <f t="shared" si="20"/>
        <v>0</v>
      </c>
      <c r="Z95" s="2">
        <f t="shared" si="20"/>
        <v>0</v>
      </c>
    </row>
    <row r="96" spans="1:26" x14ac:dyDescent="0.35">
      <c r="A96" t="str">
        <f t="shared" si="18"/>
        <v xml:space="preserve">  Compensatory planting (including transport)</v>
      </c>
      <c r="B96" s="13">
        <f>'Refor gazetted FIN'!B75</f>
        <v>37</v>
      </c>
      <c r="C96" s="2">
        <f t="shared" ref="C96:Z96" si="21">$B96*C27</f>
        <v>4623.1499999999996</v>
      </c>
      <c r="D96" s="2">
        <f t="shared" si="21"/>
        <v>4623.1499999999996</v>
      </c>
      <c r="E96" s="2">
        <f t="shared" si="21"/>
        <v>0</v>
      </c>
      <c r="F96" s="2">
        <f t="shared" si="21"/>
        <v>0</v>
      </c>
      <c r="G96" s="2">
        <f t="shared" si="21"/>
        <v>0</v>
      </c>
      <c r="H96" s="2">
        <f t="shared" si="21"/>
        <v>0</v>
      </c>
      <c r="I96" s="2">
        <f t="shared" si="21"/>
        <v>0</v>
      </c>
      <c r="J96" s="2">
        <f t="shared" si="21"/>
        <v>0</v>
      </c>
      <c r="K96" s="2">
        <f t="shared" si="21"/>
        <v>0</v>
      </c>
      <c r="L96" s="2">
        <f t="shared" si="21"/>
        <v>0</v>
      </c>
      <c r="M96" s="2">
        <f t="shared" si="21"/>
        <v>0</v>
      </c>
      <c r="N96" s="2">
        <f t="shared" si="21"/>
        <v>0</v>
      </c>
      <c r="O96" s="2">
        <f t="shared" si="21"/>
        <v>0</v>
      </c>
      <c r="P96" s="2">
        <f t="shared" si="21"/>
        <v>0</v>
      </c>
      <c r="Q96" s="2">
        <f t="shared" si="21"/>
        <v>0</v>
      </c>
      <c r="R96" s="2">
        <f t="shared" si="21"/>
        <v>0</v>
      </c>
      <c r="S96" s="2">
        <f t="shared" si="21"/>
        <v>0</v>
      </c>
      <c r="T96" s="2">
        <f t="shared" si="21"/>
        <v>0</v>
      </c>
      <c r="U96" s="2">
        <f t="shared" si="21"/>
        <v>0</v>
      </c>
      <c r="V96" s="2">
        <f t="shared" si="21"/>
        <v>0</v>
      </c>
      <c r="W96" s="2">
        <f t="shared" si="21"/>
        <v>0</v>
      </c>
      <c r="X96" s="2">
        <f t="shared" si="21"/>
        <v>0</v>
      </c>
      <c r="Y96" s="2">
        <f t="shared" si="21"/>
        <v>0</v>
      </c>
      <c r="Z96" s="2">
        <f t="shared" si="21"/>
        <v>0</v>
      </c>
    </row>
    <row r="97" spans="1:26" x14ac:dyDescent="0.35">
      <c r="A97" t="str">
        <f t="shared" si="18"/>
        <v xml:space="preserve">  Shape pruning</v>
      </c>
      <c r="B97" s="13">
        <f>'Refor gazetted FIN'!B76</f>
        <v>2000</v>
      </c>
      <c r="C97" s="2">
        <f t="shared" ref="C97:Z97" si="22">$B97*C28</f>
        <v>2000</v>
      </c>
      <c r="D97" s="2">
        <f t="shared" si="22"/>
        <v>2000</v>
      </c>
      <c r="E97" s="2">
        <f t="shared" si="22"/>
        <v>2000</v>
      </c>
      <c r="F97" s="2">
        <f t="shared" si="22"/>
        <v>0</v>
      </c>
      <c r="G97" s="2">
        <f t="shared" si="22"/>
        <v>0</v>
      </c>
      <c r="H97" s="2">
        <f t="shared" si="22"/>
        <v>0</v>
      </c>
      <c r="I97" s="2">
        <f t="shared" si="22"/>
        <v>0</v>
      </c>
      <c r="J97" s="2">
        <f t="shared" si="22"/>
        <v>0</v>
      </c>
      <c r="K97" s="2">
        <f t="shared" si="22"/>
        <v>0</v>
      </c>
      <c r="L97" s="2">
        <f t="shared" si="22"/>
        <v>0</v>
      </c>
      <c r="M97" s="2">
        <f t="shared" si="22"/>
        <v>0</v>
      </c>
      <c r="N97" s="2">
        <f t="shared" si="22"/>
        <v>0</v>
      </c>
      <c r="O97" s="2">
        <f t="shared" si="22"/>
        <v>0</v>
      </c>
      <c r="P97" s="2">
        <f t="shared" si="22"/>
        <v>0</v>
      </c>
      <c r="Q97" s="2">
        <f t="shared" si="22"/>
        <v>0</v>
      </c>
      <c r="R97" s="2">
        <f t="shared" si="22"/>
        <v>0</v>
      </c>
      <c r="S97" s="2">
        <f t="shared" si="22"/>
        <v>0</v>
      </c>
      <c r="T97" s="2">
        <f t="shared" si="22"/>
        <v>0</v>
      </c>
      <c r="U97" s="2">
        <f t="shared" si="22"/>
        <v>0</v>
      </c>
      <c r="V97" s="2">
        <f t="shared" si="22"/>
        <v>0</v>
      </c>
      <c r="W97" s="2">
        <f t="shared" si="22"/>
        <v>0</v>
      </c>
      <c r="X97" s="2">
        <f t="shared" si="22"/>
        <v>0</v>
      </c>
      <c r="Y97" s="2">
        <f t="shared" si="22"/>
        <v>0</v>
      </c>
      <c r="Z97" s="2">
        <f t="shared" si="22"/>
        <v>0</v>
      </c>
    </row>
    <row r="98" spans="1:26" x14ac:dyDescent="0.35">
      <c r="A98" t="str">
        <f t="shared" si="18"/>
        <v xml:space="preserve">  Fire breaking</v>
      </c>
      <c r="B98" s="13">
        <f>'Refor gazetted FIN'!B77</f>
        <v>10000</v>
      </c>
      <c r="C98" s="2">
        <f t="shared" ref="C98:Z98" si="23">$B98*C29</f>
        <v>10000</v>
      </c>
      <c r="D98" s="2">
        <f t="shared" si="23"/>
        <v>10000</v>
      </c>
      <c r="E98" s="2">
        <f t="shared" si="23"/>
        <v>10000</v>
      </c>
      <c r="F98" s="2">
        <f t="shared" si="23"/>
        <v>15000</v>
      </c>
      <c r="G98" s="2">
        <f t="shared" si="23"/>
        <v>15000</v>
      </c>
      <c r="H98" s="2">
        <f t="shared" si="23"/>
        <v>15000</v>
      </c>
      <c r="I98" s="2">
        <f t="shared" si="23"/>
        <v>15000</v>
      </c>
      <c r="J98" s="2">
        <f t="shared" si="23"/>
        <v>15000</v>
      </c>
      <c r="K98" s="2">
        <f t="shared" si="23"/>
        <v>15000</v>
      </c>
      <c r="L98" s="2">
        <f t="shared" si="23"/>
        <v>15000</v>
      </c>
      <c r="M98" s="2">
        <f t="shared" si="23"/>
        <v>15000</v>
      </c>
      <c r="N98" s="2">
        <f t="shared" si="23"/>
        <v>15000</v>
      </c>
      <c r="O98" s="2">
        <f t="shared" si="23"/>
        <v>15000</v>
      </c>
      <c r="P98" s="2">
        <f t="shared" si="23"/>
        <v>15000</v>
      </c>
      <c r="Q98" s="2">
        <f t="shared" si="23"/>
        <v>15000</v>
      </c>
      <c r="R98" s="2">
        <f t="shared" si="23"/>
        <v>15000</v>
      </c>
      <c r="S98" s="2">
        <f t="shared" si="23"/>
        <v>15000</v>
      </c>
      <c r="T98" s="2">
        <f t="shared" si="23"/>
        <v>15000</v>
      </c>
      <c r="U98" s="2">
        <f t="shared" si="23"/>
        <v>15000</v>
      </c>
      <c r="V98" s="2">
        <f t="shared" si="23"/>
        <v>15000</v>
      </c>
      <c r="W98" s="2">
        <f t="shared" si="23"/>
        <v>15000</v>
      </c>
      <c r="X98" s="2">
        <f t="shared" si="23"/>
        <v>15000</v>
      </c>
      <c r="Y98" s="2">
        <f t="shared" si="23"/>
        <v>15000</v>
      </c>
      <c r="Z98" s="2">
        <f t="shared" si="23"/>
        <v>15000</v>
      </c>
    </row>
    <row r="99" spans="1:26" x14ac:dyDescent="0.35">
      <c r="A99" t="str">
        <f t="shared" si="18"/>
        <v xml:space="preserve">  Pruning</v>
      </c>
      <c r="B99" s="13">
        <f>'Refor gazetted FIN'!B78</f>
        <v>20000</v>
      </c>
      <c r="C99" s="2">
        <f t="shared" ref="C99:Z99" si="24">$B99*C30</f>
        <v>0</v>
      </c>
      <c r="D99" s="2">
        <f t="shared" si="24"/>
        <v>0</v>
      </c>
      <c r="E99" s="2">
        <f t="shared" si="24"/>
        <v>0</v>
      </c>
      <c r="F99" s="2">
        <f t="shared" si="24"/>
        <v>0</v>
      </c>
      <c r="G99" s="2">
        <f t="shared" si="24"/>
        <v>20000</v>
      </c>
      <c r="H99" s="2">
        <f t="shared" si="24"/>
        <v>0</v>
      </c>
      <c r="I99" s="2">
        <f t="shared" si="24"/>
        <v>0</v>
      </c>
      <c r="J99" s="2">
        <f t="shared" si="24"/>
        <v>0</v>
      </c>
      <c r="K99" s="2">
        <f t="shared" si="24"/>
        <v>0</v>
      </c>
      <c r="L99" s="2">
        <f t="shared" si="24"/>
        <v>20000</v>
      </c>
      <c r="M99" s="2">
        <f t="shared" si="24"/>
        <v>0</v>
      </c>
      <c r="N99" s="2">
        <f t="shared" si="24"/>
        <v>0</v>
      </c>
      <c r="O99" s="2">
        <f t="shared" si="24"/>
        <v>0</v>
      </c>
      <c r="P99" s="2">
        <f t="shared" si="24"/>
        <v>0</v>
      </c>
      <c r="Q99" s="2">
        <f t="shared" si="24"/>
        <v>20000</v>
      </c>
      <c r="R99" s="2">
        <f t="shared" si="24"/>
        <v>0</v>
      </c>
      <c r="S99" s="2">
        <f t="shared" si="24"/>
        <v>0</v>
      </c>
      <c r="T99" s="2">
        <f t="shared" si="24"/>
        <v>0</v>
      </c>
      <c r="U99" s="2">
        <f t="shared" si="24"/>
        <v>0</v>
      </c>
      <c r="V99" s="2">
        <f t="shared" si="24"/>
        <v>20000</v>
      </c>
      <c r="W99" s="2">
        <f t="shared" si="24"/>
        <v>0</v>
      </c>
      <c r="X99" s="2">
        <f t="shared" si="24"/>
        <v>0</v>
      </c>
      <c r="Y99" s="2">
        <f t="shared" si="24"/>
        <v>0</v>
      </c>
      <c r="Z99" s="2">
        <f t="shared" si="24"/>
        <v>0</v>
      </c>
    </row>
    <row r="100" spans="1:26" x14ac:dyDescent="0.35">
      <c r="B100" s="13"/>
    </row>
    <row r="101" spans="1:26" x14ac:dyDescent="0.35">
      <c r="A101" t="str">
        <f t="shared" ref="A101:A118" si="25">A32</f>
        <v>Annual crops operations</v>
      </c>
      <c r="B101" s="13"/>
    </row>
    <row r="102" spans="1:26" x14ac:dyDescent="0.35">
      <c r="A102" t="str">
        <f t="shared" si="25"/>
        <v xml:space="preserve">  Transport to buy agricultural inputs</v>
      </c>
      <c r="B102" s="13">
        <f>'Prices &amp; assums'!C25</f>
        <v>30000</v>
      </c>
      <c r="C102" s="2">
        <f t="shared" ref="C102:Z102" si="26">$B102*C33</f>
        <v>30000</v>
      </c>
      <c r="D102" s="2">
        <f t="shared" si="26"/>
        <v>30000</v>
      </c>
      <c r="E102" s="2">
        <f t="shared" si="26"/>
        <v>0</v>
      </c>
      <c r="F102" s="2">
        <f t="shared" si="26"/>
        <v>0</v>
      </c>
      <c r="G102" s="2">
        <f t="shared" si="26"/>
        <v>0</v>
      </c>
      <c r="H102" s="2">
        <f t="shared" si="26"/>
        <v>0</v>
      </c>
      <c r="I102" s="2">
        <f t="shared" si="26"/>
        <v>0</v>
      </c>
      <c r="J102" s="2">
        <f t="shared" si="26"/>
        <v>0</v>
      </c>
      <c r="K102" s="2">
        <f t="shared" si="26"/>
        <v>0</v>
      </c>
      <c r="L102" s="2">
        <f t="shared" si="26"/>
        <v>0</v>
      </c>
      <c r="M102" s="2">
        <f t="shared" si="26"/>
        <v>0</v>
      </c>
      <c r="N102" s="2">
        <f t="shared" si="26"/>
        <v>0</v>
      </c>
      <c r="O102" s="2">
        <f t="shared" si="26"/>
        <v>0</v>
      </c>
      <c r="P102" s="2">
        <f t="shared" si="26"/>
        <v>0</v>
      </c>
      <c r="Q102" s="2">
        <f t="shared" si="26"/>
        <v>0</v>
      </c>
      <c r="R102" s="2">
        <f t="shared" si="26"/>
        <v>0</v>
      </c>
      <c r="S102" s="2">
        <f t="shared" si="26"/>
        <v>0</v>
      </c>
      <c r="T102" s="2">
        <f t="shared" si="26"/>
        <v>0</v>
      </c>
      <c r="U102" s="2">
        <f t="shared" si="26"/>
        <v>0</v>
      </c>
      <c r="V102" s="2">
        <f t="shared" si="26"/>
        <v>0</v>
      </c>
      <c r="W102" s="2">
        <f t="shared" si="26"/>
        <v>0</v>
      </c>
      <c r="X102" s="2">
        <f t="shared" si="26"/>
        <v>0</v>
      </c>
      <c r="Y102" s="2">
        <f t="shared" si="26"/>
        <v>0</v>
      </c>
      <c r="Z102" s="2">
        <f t="shared" si="26"/>
        <v>0</v>
      </c>
    </row>
    <row r="103" spans="1:26" x14ac:dyDescent="0.35">
      <c r="A103" t="str">
        <f t="shared" si="25"/>
        <v xml:space="preserve">  Fertilizer application</v>
      </c>
      <c r="B103" s="13">
        <f>'Prices &amp; assums'!C$3</f>
        <v>2500</v>
      </c>
      <c r="C103" s="2">
        <f t="shared" ref="C103:Z103" si="27">$B103*C34</f>
        <v>20000</v>
      </c>
      <c r="D103" s="2">
        <f t="shared" si="27"/>
        <v>10000</v>
      </c>
      <c r="E103" s="2">
        <f t="shared" si="27"/>
        <v>0</v>
      </c>
      <c r="F103" s="2">
        <f t="shared" si="27"/>
        <v>0</v>
      </c>
      <c r="G103" s="2">
        <f t="shared" si="27"/>
        <v>0</v>
      </c>
      <c r="H103" s="2">
        <f t="shared" si="27"/>
        <v>0</v>
      </c>
      <c r="I103" s="2">
        <f t="shared" si="27"/>
        <v>0</v>
      </c>
      <c r="J103" s="2">
        <f t="shared" si="27"/>
        <v>0</v>
      </c>
      <c r="K103" s="2">
        <f t="shared" si="27"/>
        <v>0</v>
      </c>
      <c r="L103" s="2">
        <f t="shared" si="27"/>
        <v>0</v>
      </c>
      <c r="M103" s="2">
        <f t="shared" si="27"/>
        <v>0</v>
      </c>
      <c r="N103" s="2">
        <f t="shared" si="27"/>
        <v>0</v>
      </c>
      <c r="O103" s="2">
        <f t="shared" si="27"/>
        <v>0</v>
      </c>
      <c r="P103" s="2">
        <f t="shared" si="27"/>
        <v>0</v>
      </c>
      <c r="Q103" s="2">
        <f t="shared" si="27"/>
        <v>0</v>
      </c>
      <c r="R103" s="2">
        <f t="shared" si="27"/>
        <v>0</v>
      </c>
      <c r="S103" s="2">
        <f t="shared" si="27"/>
        <v>0</v>
      </c>
      <c r="T103" s="2">
        <f t="shared" si="27"/>
        <v>0</v>
      </c>
      <c r="U103" s="2">
        <f t="shared" si="27"/>
        <v>0</v>
      </c>
      <c r="V103" s="2">
        <f t="shared" si="27"/>
        <v>0</v>
      </c>
      <c r="W103" s="2">
        <f t="shared" si="27"/>
        <v>0</v>
      </c>
      <c r="X103" s="2">
        <f t="shared" si="27"/>
        <v>0</v>
      </c>
      <c r="Y103" s="2">
        <f t="shared" si="27"/>
        <v>0</v>
      </c>
      <c r="Z103" s="2">
        <f t="shared" si="27"/>
        <v>0</v>
      </c>
    </row>
    <row r="104" spans="1:26" x14ac:dyDescent="0.35">
      <c r="A104" t="str">
        <f t="shared" si="25"/>
        <v xml:space="preserve">  Ridging</v>
      </c>
      <c r="B104" s="13">
        <f>'Prices &amp; assums'!C$3</f>
        <v>2500</v>
      </c>
      <c r="C104" s="2">
        <f t="shared" ref="C104:Z104" si="28">$B104*C35</f>
        <v>0</v>
      </c>
      <c r="D104" s="2">
        <f t="shared" si="28"/>
        <v>33750</v>
      </c>
      <c r="E104" s="2">
        <f t="shared" si="28"/>
        <v>0</v>
      </c>
      <c r="F104" s="2">
        <f t="shared" si="28"/>
        <v>0</v>
      </c>
      <c r="G104" s="2">
        <f t="shared" si="28"/>
        <v>0</v>
      </c>
      <c r="H104" s="2">
        <f t="shared" si="28"/>
        <v>0</v>
      </c>
      <c r="I104" s="2">
        <f t="shared" si="28"/>
        <v>0</v>
      </c>
      <c r="J104" s="2">
        <f t="shared" si="28"/>
        <v>0</v>
      </c>
      <c r="K104" s="2">
        <f t="shared" si="28"/>
        <v>0</v>
      </c>
      <c r="L104" s="2">
        <f t="shared" si="28"/>
        <v>0</v>
      </c>
      <c r="M104" s="2">
        <f t="shared" si="28"/>
        <v>0</v>
      </c>
      <c r="N104" s="2">
        <f t="shared" si="28"/>
        <v>0</v>
      </c>
      <c r="O104" s="2">
        <f t="shared" si="28"/>
        <v>0</v>
      </c>
      <c r="P104" s="2">
        <f t="shared" si="28"/>
        <v>0</v>
      </c>
      <c r="Q104" s="2">
        <f t="shared" si="28"/>
        <v>0</v>
      </c>
      <c r="R104" s="2">
        <f t="shared" si="28"/>
        <v>0</v>
      </c>
      <c r="S104" s="2">
        <f t="shared" si="28"/>
        <v>0</v>
      </c>
      <c r="T104" s="2">
        <f t="shared" si="28"/>
        <v>0</v>
      </c>
      <c r="U104" s="2">
        <f t="shared" si="28"/>
        <v>0</v>
      </c>
      <c r="V104" s="2">
        <f t="shared" si="28"/>
        <v>0</v>
      </c>
      <c r="W104" s="2">
        <f t="shared" si="28"/>
        <v>0</v>
      </c>
      <c r="X104" s="2">
        <f t="shared" si="28"/>
        <v>0</v>
      </c>
      <c r="Y104" s="2">
        <f t="shared" si="28"/>
        <v>0</v>
      </c>
      <c r="Z104" s="2">
        <f t="shared" si="28"/>
        <v>0</v>
      </c>
    </row>
    <row r="105" spans="1:26" x14ac:dyDescent="0.35">
      <c r="A105" t="str">
        <f t="shared" si="25"/>
        <v xml:space="preserve">  Seeding/planting</v>
      </c>
      <c r="B105" s="13">
        <f>'Prices &amp; assums'!C$3</f>
        <v>2500</v>
      </c>
      <c r="C105" s="2">
        <f t="shared" ref="C105:Z105" si="29">$B105*C36</f>
        <v>37500</v>
      </c>
      <c r="D105" s="2">
        <f t="shared" si="29"/>
        <v>11250</v>
      </c>
      <c r="E105" s="2">
        <f t="shared" si="29"/>
        <v>0</v>
      </c>
      <c r="F105" s="2">
        <f t="shared" si="29"/>
        <v>0</v>
      </c>
      <c r="G105" s="2">
        <f t="shared" si="29"/>
        <v>0</v>
      </c>
      <c r="H105" s="2">
        <f t="shared" si="29"/>
        <v>0</v>
      </c>
      <c r="I105" s="2">
        <f t="shared" si="29"/>
        <v>0</v>
      </c>
      <c r="J105" s="2">
        <f t="shared" si="29"/>
        <v>0</v>
      </c>
      <c r="K105" s="2">
        <f t="shared" si="29"/>
        <v>0</v>
      </c>
      <c r="L105" s="2">
        <f t="shared" si="29"/>
        <v>0</v>
      </c>
      <c r="M105" s="2">
        <f t="shared" si="29"/>
        <v>0</v>
      </c>
      <c r="N105" s="2">
        <f t="shared" si="29"/>
        <v>0</v>
      </c>
      <c r="O105" s="2">
        <f t="shared" si="29"/>
        <v>0</v>
      </c>
      <c r="P105" s="2">
        <f t="shared" si="29"/>
        <v>0</v>
      </c>
      <c r="Q105" s="2">
        <f t="shared" si="29"/>
        <v>0</v>
      </c>
      <c r="R105" s="2">
        <f t="shared" si="29"/>
        <v>0</v>
      </c>
      <c r="S105" s="2">
        <f t="shared" si="29"/>
        <v>0</v>
      </c>
      <c r="T105" s="2">
        <f t="shared" si="29"/>
        <v>0</v>
      </c>
      <c r="U105" s="2">
        <f t="shared" si="29"/>
        <v>0</v>
      </c>
      <c r="V105" s="2">
        <f t="shared" si="29"/>
        <v>0</v>
      </c>
      <c r="W105" s="2">
        <f t="shared" si="29"/>
        <v>0</v>
      </c>
      <c r="X105" s="2">
        <f t="shared" si="29"/>
        <v>0</v>
      </c>
      <c r="Y105" s="2">
        <f t="shared" si="29"/>
        <v>0</v>
      </c>
      <c r="Z105" s="2">
        <f t="shared" si="29"/>
        <v>0</v>
      </c>
    </row>
    <row r="106" spans="1:26" x14ac:dyDescent="0.35">
      <c r="A106" t="str">
        <f t="shared" si="25"/>
        <v xml:space="preserve">  Herbicide application</v>
      </c>
      <c r="B106" s="13">
        <f>'Prices &amp; assums'!C$3</f>
        <v>2500</v>
      </c>
      <c r="C106" s="2">
        <f t="shared" ref="C106:Z106" si="30">$B106*C37</f>
        <v>30000</v>
      </c>
      <c r="D106" s="2">
        <f t="shared" si="30"/>
        <v>30000</v>
      </c>
      <c r="E106" s="2">
        <f t="shared" si="30"/>
        <v>0</v>
      </c>
      <c r="F106" s="2">
        <f t="shared" si="30"/>
        <v>0</v>
      </c>
      <c r="G106" s="2">
        <f t="shared" si="30"/>
        <v>0</v>
      </c>
      <c r="H106" s="2">
        <f t="shared" si="30"/>
        <v>0</v>
      </c>
      <c r="I106" s="2">
        <f t="shared" si="30"/>
        <v>0</v>
      </c>
      <c r="J106" s="2">
        <f t="shared" si="30"/>
        <v>0</v>
      </c>
      <c r="K106" s="2">
        <f t="shared" si="30"/>
        <v>0</v>
      </c>
      <c r="L106" s="2">
        <f t="shared" si="30"/>
        <v>0</v>
      </c>
      <c r="M106" s="2">
        <f t="shared" si="30"/>
        <v>0</v>
      </c>
      <c r="N106" s="2">
        <f t="shared" si="30"/>
        <v>0</v>
      </c>
      <c r="O106" s="2">
        <f t="shared" si="30"/>
        <v>0</v>
      </c>
      <c r="P106" s="2">
        <f t="shared" si="30"/>
        <v>0</v>
      </c>
      <c r="Q106" s="2">
        <f t="shared" si="30"/>
        <v>0</v>
      </c>
      <c r="R106" s="2">
        <f t="shared" si="30"/>
        <v>0</v>
      </c>
      <c r="S106" s="2">
        <f t="shared" si="30"/>
        <v>0</v>
      </c>
      <c r="T106" s="2">
        <f t="shared" si="30"/>
        <v>0</v>
      </c>
      <c r="U106" s="2">
        <f t="shared" si="30"/>
        <v>0</v>
      </c>
      <c r="V106" s="2">
        <f t="shared" si="30"/>
        <v>0</v>
      </c>
      <c r="W106" s="2">
        <f t="shared" si="30"/>
        <v>0</v>
      </c>
      <c r="X106" s="2">
        <f t="shared" si="30"/>
        <v>0</v>
      </c>
      <c r="Y106" s="2">
        <f t="shared" si="30"/>
        <v>0</v>
      </c>
      <c r="Z106" s="2">
        <f t="shared" si="30"/>
        <v>0</v>
      </c>
    </row>
    <row r="107" spans="1:26" x14ac:dyDescent="0.35">
      <c r="A107" t="str">
        <f t="shared" si="25"/>
        <v xml:space="preserve">  Thinning</v>
      </c>
      <c r="B107" s="13">
        <f>'Prices &amp; assums'!C$3</f>
        <v>2500</v>
      </c>
      <c r="C107" s="2">
        <f t="shared" ref="C107:Z107" si="31">$B107*C38</f>
        <v>12500</v>
      </c>
      <c r="D107" s="2">
        <f t="shared" si="31"/>
        <v>0</v>
      </c>
      <c r="E107" s="2">
        <f t="shared" si="31"/>
        <v>0</v>
      </c>
      <c r="F107" s="2">
        <f t="shared" si="31"/>
        <v>0</v>
      </c>
      <c r="G107" s="2">
        <f t="shared" si="31"/>
        <v>0</v>
      </c>
      <c r="H107" s="2">
        <f t="shared" si="31"/>
        <v>0</v>
      </c>
      <c r="I107" s="2">
        <f t="shared" si="31"/>
        <v>0</v>
      </c>
      <c r="J107" s="2">
        <f t="shared" si="31"/>
        <v>0</v>
      </c>
      <c r="K107" s="2">
        <f t="shared" si="31"/>
        <v>0</v>
      </c>
      <c r="L107" s="2">
        <f t="shared" si="31"/>
        <v>0</v>
      </c>
      <c r="M107" s="2">
        <f t="shared" si="31"/>
        <v>0</v>
      </c>
      <c r="N107" s="2">
        <f t="shared" si="31"/>
        <v>0</v>
      </c>
      <c r="O107" s="2">
        <f t="shared" si="31"/>
        <v>0</v>
      </c>
      <c r="P107" s="2">
        <f t="shared" si="31"/>
        <v>0</v>
      </c>
      <c r="Q107" s="2">
        <f t="shared" si="31"/>
        <v>0</v>
      </c>
      <c r="R107" s="2">
        <f t="shared" si="31"/>
        <v>0</v>
      </c>
      <c r="S107" s="2">
        <f t="shared" si="31"/>
        <v>0</v>
      </c>
      <c r="T107" s="2">
        <f t="shared" si="31"/>
        <v>0</v>
      </c>
      <c r="U107" s="2">
        <f t="shared" si="31"/>
        <v>0</v>
      </c>
      <c r="V107" s="2">
        <f t="shared" si="31"/>
        <v>0</v>
      </c>
      <c r="W107" s="2">
        <f t="shared" si="31"/>
        <v>0</v>
      </c>
      <c r="X107" s="2">
        <f t="shared" si="31"/>
        <v>0</v>
      </c>
      <c r="Y107" s="2">
        <f t="shared" si="31"/>
        <v>0</v>
      </c>
      <c r="Z107" s="2">
        <f t="shared" si="31"/>
        <v>0</v>
      </c>
    </row>
    <row r="108" spans="1:26" x14ac:dyDescent="0.35">
      <c r="A108" t="str">
        <f t="shared" si="25"/>
        <v xml:space="preserve">  Additional weeding</v>
      </c>
      <c r="B108" s="13">
        <f>'Prices &amp; assums'!C35</f>
        <v>25000</v>
      </c>
      <c r="C108" s="2">
        <f t="shared" ref="C108:Z108" si="32">$B108*C39</f>
        <v>0</v>
      </c>
      <c r="D108" s="2">
        <f t="shared" si="32"/>
        <v>50000</v>
      </c>
      <c r="E108" s="2">
        <f t="shared" si="32"/>
        <v>0</v>
      </c>
      <c r="F108" s="2">
        <f t="shared" si="32"/>
        <v>0</v>
      </c>
      <c r="G108" s="2">
        <f t="shared" si="32"/>
        <v>0</v>
      </c>
      <c r="H108" s="2">
        <f t="shared" si="32"/>
        <v>0</v>
      </c>
      <c r="I108" s="2">
        <f t="shared" si="32"/>
        <v>0</v>
      </c>
      <c r="J108" s="2">
        <f t="shared" si="32"/>
        <v>0</v>
      </c>
      <c r="K108" s="2">
        <f t="shared" si="32"/>
        <v>0</v>
      </c>
      <c r="L108" s="2">
        <f t="shared" si="32"/>
        <v>0</v>
      </c>
      <c r="M108" s="2">
        <f t="shared" si="32"/>
        <v>0</v>
      </c>
      <c r="N108" s="2">
        <f t="shared" si="32"/>
        <v>0</v>
      </c>
      <c r="O108" s="2">
        <f t="shared" si="32"/>
        <v>0</v>
      </c>
      <c r="P108" s="2">
        <f t="shared" si="32"/>
        <v>0</v>
      </c>
      <c r="Q108" s="2">
        <f t="shared" si="32"/>
        <v>0</v>
      </c>
      <c r="R108" s="2">
        <f t="shared" si="32"/>
        <v>0</v>
      </c>
      <c r="S108" s="2">
        <f t="shared" si="32"/>
        <v>0</v>
      </c>
      <c r="T108" s="2">
        <f t="shared" si="32"/>
        <v>0</v>
      </c>
      <c r="U108" s="2">
        <f t="shared" si="32"/>
        <v>0</v>
      </c>
      <c r="V108" s="2">
        <f t="shared" si="32"/>
        <v>0</v>
      </c>
      <c r="W108" s="2">
        <f t="shared" si="32"/>
        <v>0</v>
      </c>
      <c r="X108" s="2">
        <f t="shared" si="32"/>
        <v>0</v>
      </c>
      <c r="Y108" s="2">
        <f t="shared" si="32"/>
        <v>0</v>
      </c>
      <c r="Z108" s="2">
        <f t="shared" si="32"/>
        <v>0</v>
      </c>
    </row>
    <row r="109" spans="1:26" x14ac:dyDescent="0.35">
      <c r="A109" t="str">
        <f t="shared" si="25"/>
        <v xml:space="preserve">  Harvest</v>
      </c>
      <c r="B109" s="13">
        <f>'Prices &amp; assums'!C$3</f>
        <v>2500</v>
      </c>
      <c r="C109" s="2">
        <f t="shared" ref="C109:Z109" si="33">$B109*C40</f>
        <v>37500</v>
      </c>
      <c r="D109" s="2">
        <f t="shared" si="33"/>
        <v>45000</v>
      </c>
      <c r="E109" s="2">
        <f t="shared" si="33"/>
        <v>0</v>
      </c>
      <c r="F109" s="2">
        <f t="shared" si="33"/>
        <v>0</v>
      </c>
      <c r="G109" s="2">
        <f t="shared" si="33"/>
        <v>0</v>
      </c>
      <c r="H109" s="2">
        <f t="shared" si="33"/>
        <v>0</v>
      </c>
      <c r="I109" s="2">
        <f t="shared" si="33"/>
        <v>0</v>
      </c>
      <c r="J109" s="2">
        <f t="shared" si="33"/>
        <v>0</v>
      </c>
      <c r="K109" s="2">
        <f t="shared" si="33"/>
        <v>0</v>
      </c>
      <c r="L109" s="2">
        <f t="shared" si="33"/>
        <v>0</v>
      </c>
      <c r="M109" s="2">
        <f t="shared" si="33"/>
        <v>0</v>
      </c>
      <c r="N109" s="2">
        <f t="shared" si="33"/>
        <v>0</v>
      </c>
      <c r="O109" s="2">
        <f t="shared" si="33"/>
        <v>0</v>
      </c>
      <c r="P109" s="2">
        <f t="shared" si="33"/>
        <v>0</v>
      </c>
      <c r="Q109" s="2">
        <f t="shared" si="33"/>
        <v>0</v>
      </c>
      <c r="R109" s="2">
        <f t="shared" si="33"/>
        <v>0</v>
      </c>
      <c r="S109" s="2">
        <f t="shared" si="33"/>
        <v>0</v>
      </c>
      <c r="T109" s="2">
        <f t="shared" si="33"/>
        <v>0</v>
      </c>
      <c r="U109" s="2">
        <f t="shared" si="33"/>
        <v>0</v>
      </c>
      <c r="V109" s="2">
        <f t="shared" si="33"/>
        <v>0</v>
      </c>
      <c r="W109" s="2">
        <f t="shared" si="33"/>
        <v>0</v>
      </c>
      <c r="X109" s="2">
        <f t="shared" si="33"/>
        <v>0</v>
      </c>
      <c r="Y109" s="2">
        <f t="shared" si="33"/>
        <v>0</v>
      </c>
      <c r="Z109" s="2">
        <f t="shared" si="33"/>
        <v>0</v>
      </c>
    </row>
    <row r="110" spans="1:26" x14ac:dyDescent="0.35">
      <c r="A110" t="str">
        <f t="shared" si="25"/>
        <v xml:space="preserve">  Other post-harvest operations</v>
      </c>
      <c r="B110" s="13">
        <f>'Prices &amp; assums'!C$3</f>
        <v>2500</v>
      </c>
      <c r="C110" s="2">
        <f t="shared" ref="C110:Z110" si="34">$B110*C41</f>
        <v>100000</v>
      </c>
      <c r="D110" s="2">
        <f t="shared" si="34"/>
        <v>67500</v>
      </c>
      <c r="E110" s="2">
        <f t="shared" si="34"/>
        <v>0</v>
      </c>
      <c r="F110" s="2">
        <f t="shared" si="34"/>
        <v>0</v>
      </c>
      <c r="G110" s="2">
        <f t="shared" si="34"/>
        <v>0</v>
      </c>
      <c r="H110" s="2">
        <f t="shared" si="34"/>
        <v>0</v>
      </c>
      <c r="I110" s="2">
        <f t="shared" si="34"/>
        <v>0</v>
      </c>
      <c r="J110" s="2">
        <f t="shared" si="34"/>
        <v>0</v>
      </c>
      <c r="K110" s="2">
        <f t="shared" si="34"/>
        <v>0</v>
      </c>
      <c r="L110" s="2">
        <f t="shared" si="34"/>
        <v>0</v>
      </c>
      <c r="M110" s="2">
        <f t="shared" si="34"/>
        <v>0</v>
      </c>
      <c r="N110" s="2">
        <f t="shared" si="34"/>
        <v>0</v>
      </c>
      <c r="O110" s="2">
        <f t="shared" si="34"/>
        <v>0</v>
      </c>
      <c r="P110" s="2">
        <f t="shared" si="34"/>
        <v>0</v>
      </c>
      <c r="Q110" s="2">
        <f t="shared" si="34"/>
        <v>0</v>
      </c>
      <c r="R110" s="2">
        <f t="shared" si="34"/>
        <v>0</v>
      </c>
      <c r="S110" s="2">
        <f t="shared" si="34"/>
        <v>0</v>
      </c>
      <c r="T110" s="2">
        <f t="shared" si="34"/>
        <v>0</v>
      </c>
      <c r="U110" s="2">
        <f t="shared" si="34"/>
        <v>0</v>
      </c>
      <c r="V110" s="2">
        <f t="shared" si="34"/>
        <v>0</v>
      </c>
      <c r="W110" s="2">
        <f t="shared" si="34"/>
        <v>0</v>
      </c>
      <c r="X110" s="2">
        <f t="shared" si="34"/>
        <v>0</v>
      </c>
      <c r="Y110" s="2">
        <f t="shared" si="34"/>
        <v>0</v>
      </c>
      <c r="Z110" s="2">
        <f t="shared" si="34"/>
        <v>0</v>
      </c>
    </row>
    <row r="111" spans="1:26" x14ac:dyDescent="0.35">
      <c r="A111" t="str">
        <f t="shared" si="25"/>
        <v xml:space="preserve">  Transport to sell produce</v>
      </c>
      <c r="B111" s="13">
        <f>'Prices &amp; assums'!C26</f>
        <v>10000</v>
      </c>
      <c r="C111" s="2">
        <f t="shared" ref="C111:Z111" si="35">$B111*C42</f>
        <v>40000</v>
      </c>
      <c r="D111" s="2">
        <f t="shared" si="35"/>
        <v>162000</v>
      </c>
      <c r="E111" s="2">
        <f t="shared" si="35"/>
        <v>0</v>
      </c>
      <c r="F111" s="2">
        <f t="shared" si="35"/>
        <v>0</v>
      </c>
      <c r="G111" s="2">
        <f t="shared" si="35"/>
        <v>0</v>
      </c>
      <c r="H111" s="2">
        <f t="shared" si="35"/>
        <v>0</v>
      </c>
      <c r="I111" s="2">
        <f t="shared" si="35"/>
        <v>0</v>
      </c>
      <c r="J111" s="2">
        <f t="shared" si="35"/>
        <v>0</v>
      </c>
      <c r="K111" s="2">
        <f t="shared" si="35"/>
        <v>0</v>
      </c>
      <c r="L111" s="2">
        <f t="shared" si="35"/>
        <v>0</v>
      </c>
      <c r="M111" s="2">
        <f t="shared" si="35"/>
        <v>0</v>
      </c>
      <c r="N111" s="2">
        <f t="shared" si="35"/>
        <v>0</v>
      </c>
      <c r="O111" s="2">
        <f t="shared" si="35"/>
        <v>0</v>
      </c>
      <c r="P111" s="2">
        <f t="shared" si="35"/>
        <v>0</v>
      </c>
      <c r="Q111" s="2">
        <f t="shared" si="35"/>
        <v>0</v>
      </c>
      <c r="R111" s="2">
        <f t="shared" si="35"/>
        <v>0</v>
      </c>
      <c r="S111" s="2">
        <f t="shared" si="35"/>
        <v>0</v>
      </c>
      <c r="T111" s="2">
        <f t="shared" si="35"/>
        <v>0</v>
      </c>
      <c r="U111" s="2">
        <f t="shared" si="35"/>
        <v>0</v>
      </c>
      <c r="V111" s="2">
        <f t="shared" si="35"/>
        <v>0</v>
      </c>
      <c r="W111" s="2">
        <f t="shared" si="35"/>
        <v>0</v>
      </c>
      <c r="X111" s="2">
        <f t="shared" si="35"/>
        <v>0</v>
      </c>
      <c r="Y111" s="2">
        <f t="shared" si="35"/>
        <v>0</v>
      </c>
      <c r="Z111" s="2">
        <f t="shared" si="35"/>
        <v>0</v>
      </c>
    </row>
    <row r="112" spans="1:26" x14ac:dyDescent="0.35">
      <c r="A112" t="str">
        <f t="shared" si="25"/>
        <v>Annual crops inputs</v>
      </c>
      <c r="B112" s="8"/>
    </row>
    <row r="113" spans="1:26" x14ac:dyDescent="0.35">
      <c r="A113" t="str">
        <f t="shared" si="25"/>
        <v xml:space="preserve">  Maize seeds</v>
      </c>
      <c r="B113" s="8">
        <f>'Prices &amp; assums'!C65</f>
        <v>500</v>
      </c>
      <c r="C113" s="2">
        <f t="shared" ref="C113:Z113" si="36">$B113*C44</f>
        <v>11000</v>
      </c>
      <c r="D113" s="2">
        <f t="shared" si="36"/>
        <v>0</v>
      </c>
      <c r="E113" s="2">
        <f t="shared" si="36"/>
        <v>0</v>
      </c>
      <c r="F113" s="2">
        <f t="shared" si="36"/>
        <v>0</v>
      </c>
      <c r="G113" s="2">
        <f t="shared" si="36"/>
        <v>0</v>
      </c>
      <c r="H113" s="2">
        <f t="shared" si="36"/>
        <v>0</v>
      </c>
      <c r="I113" s="2">
        <f t="shared" si="36"/>
        <v>0</v>
      </c>
      <c r="J113" s="2">
        <f t="shared" si="36"/>
        <v>0</v>
      </c>
      <c r="K113" s="2">
        <f t="shared" si="36"/>
        <v>0</v>
      </c>
      <c r="L113" s="2">
        <f t="shared" si="36"/>
        <v>0</v>
      </c>
      <c r="M113" s="2">
        <f t="shared" si="36"/>
        <v>0</v>
      </c>
      <c r="N113" s="2">
        <f t="shared" si="36"/>
        <v>0</v>
      </c>
      <c r="O113" s="2">
        <f t="shared" si="36"/>
        <v>0</v>
      </c>
      <c r="P113" s="2">
        <f t="shared" si="36"/>
        <v>0</v>
      </c>
      <c r="Q113" s="2">
        <f t="shared" si="36"/>
        <v>0</v>
      </c>
      <c r="R113" s="2">
        <f t="shared" si="36"/>
        <v>0</v>
      </c>
      <c r="S113" s="2">
        <f t="shared" si="36"/>
        <v>0</v>
      </c>
      <c r="T113" s="2">
        <f t="shared" si="36"/>
        <v>0</v>
      </c>
      <c r="U113" s="2">
        <f t="shared" si="36"/>
        <v>0</v>
      </c>
      <c r="V113" s="2">
        <f t="shared" si="36"/>
        <v>0</v>
      </c>
      <c r="W113" s="2">
        <f t="shared" si="36"/>
        <v>0</v>
      </c>
      <c r="X113" s="2">
        <f t="shared" si="36"/>
        <v>0</v>
      </c>
      <c r="Y113" s="2">
        <f t="shared" si="36"/>
        <v>0</v>
      </c>
      <c r="Z113" s="2">
        <f t="shared" si="36"/>
        <v>0</v>
      </c>
    </row>
    <row r="114" spans="1:26" x14ac:dyDescent="0.35">
      <c r="A114" t="str">
        <f t="shared" si="25"/>
        <v xml:space="preserve">  Cassava cuttings</v>
      </c>
      <c r="B114" s="13">
        <f>'Prices &amp; assums'!C66</f>
        <v>60000</v>
      </c>
      <c r="C114" s="2">
        <f t="shared" ref="C114:Z114" si="37">$B114*C45</f>
        <v>0</v>
      </c>
      <c r="D114" s="2">
        <f t="shared" si="37"/>
        <v>60000</v>
      </c>
      <c r="E114" s="2">
        <f t="shared" si="37"/>
        <v>0</v>
      </c>
      <c r="F114" s="2">
        <f t="shared" si="37"/>
        <v>0</v>
      </c>
      <c r="G114" s="2">
        <f t="shared" si="37"/>
        <v>0</v>
      </c>
      <c r="H114" s="2">
        <f t="shared" si="37"/>
        <v>0</v>
      </c>
      <c r="I114" s="2">
        <f t="shared" si="37"/>
        <v>0</v>
      </c>
      <c r="J114" s="2">
        <f t="shared" si="37"/>
        <v>0</v>
      </c>
      <c r="K114" s="2">
        <f t="shared" si="37"/>
        <v>0</v>
      </c>
      <c r="L114" s="2">
        <f t="shared" si="37"/>
        <v>0</v>
      </c>
      <c r="M114" s="2">
        <f t="shared" si="37"/>
        <v>0</v>
      </c>
      <c r="N114" s="2">
        <f t="shared" si="37"/>
        <v>0</v>
      </c>
      <c r="O114" s="2">
        <f t="shared" si="37"/>
        <v>0</v>
      </c>
      <c r="P114" s="2">
        <f t="shared" si="37"/>
        <v>0</v>
      </c>
      <c r="Q114" s="2">
        <f t="shared" si="37"/>
        <v>0</v>
      </c>
      <c r="R114" s="2">
        <f t="shared" si="37"/>
        <v>0</v>
      </c>
      <c r="S114" s="2">
        <f t="shared" si="37"/>
        <v>0</v>
      </c>
      <c r="T114" s="2">
        <f t="shared" si="37"/>
        <v>0</v>
      </c>
      <c r="U114" s="2">
        <f t="shared" si="37"/>
        <v>0</v>
      </c>
      <c r="V114" s="2">
        <f t="shared" si="37"/>
        <v>0</v>
      </c>
      <c r="W114" s="2">
        <f t="shared" si="37"/>
        <v>0</v>
      </c>
      <c r="X114" s="2">
        <f t="shared" si="37"/>
        <v>0</v>
      </c>
      <c r="Y114" s="2">
        <f t="shared" si="37"/>
        <v>0</v>
      </c>
      <c r="Z114" s="2">
        <f t="shared" si="37"/>
        <v>0</v>
      </c>
    </row>
    <row r="115" spans="1:26" x14ac:dyDescent="0.35">
      <c r="A115" t="str">
        <f t="shared" si="25"/>
        <v xml:space="preserve">  NPK</v>
      </c>
      <c r="B115" s="13">
        <f>'Prices &amp; assums'!C55</f>
        <v>500</v>
      </c>
      <c r="C115" s="2">
        <f t="shared" ref="C115:Z115" si="38">$B115*C46</f>
        <v>75000</v>
      </c>
      <c r="D115" s="2">
        <f t="shared" si="38"/>
        <v>150000</v>
      </c>
      <c r="E115" s="2">
        <f t="shared" si="38"/>
        <v>0</v>
      </c>
      <c r="F115" s="2">
        <f t="shared" si="38"/>
        <v>0</v>
      </c>
      <c r="G115" s="2">
        <f t="shared" si="38"/>
        <v>0</v>
      </c>
      <c r="H115" s="2">
        <f t="shared" si="38"/>
        <v>0</v>
      </c>
      <c r="I115" s="2">
        <f t="shared" si="38"/>
        <v>0</v>
      </c>
      <c r="J115" s="2">
        <f t="shared" si="38"/>
        <v>0</v>
      </c>
      <c r="K115" s="2">
        <f t="shared" si="38"/>
        <v>0</v>
      </c>
      <c r="L115" s="2">
        <f t="shared" si="38"/>
        <v>0</v>
      </c>
      <c r="M115" s="2">
        <f t="shared" si="38"/>
        <v>0</v>
      </c>
      <c r="N115" s="2">
        <f t="shared" si="38"/>
        <v>0</v>
      </c>
      <c r="O115" s="2">
        <f t="shared" si="38"/>
        <v>0</v>
      </c>
      <c r="P115" s="2">
        <f t="shared" si="38"/>
        <v>0</v>
      </c>
      <c r="Q115" s="2">
        <f t="shared" si="38"/>
        <v>0</v>
      </c>
      <c r="R115" s="2">
        <f t="shared" si="38"/>
        <v>0</v>
      </c>
      <c r="S115" s="2">
        <f t="shared" si="38"/>
        <v>0</v>
      </c>
      <c r="T115" s="2">
        <f t="shared" si="38"/>
        <v>0</v>
      </c>
      <c r="U115" s="2">
        <f t="shared" si="38"/>
        <v>0</v>
      </c>
      <c r="V115" s="2">
        <f t="shared" si="38"/>
        <v>0</v>
      </c>
      <c r="W115" s="2">
        <f t="shared" si="38"/>
        <v>0</v>
      </c>
      <c r="X115" s="2">
        <f t="shared" si="38"/>
        <v>0</v>
      </c>
      <c r="Y115" s="2">
        <f t="shared" si="38"/>
        <v>0</v>
      </c>
      <c r="Z115" s="2">
        <f t="shared" si="38"/>
        <v>0</v>
      </c>
    </row>
    <row r="116" spans="1:26" x14ac:dyDescent="0.35">
      <c r="A116" t="str">
        <f t="shared" si="25"/>
        <v xml:space="preserve">  Urea</v>
      </c>
      <c r="B116" s="13">
        <f>'Prices &amp; assums'!C56</f>
        <v>500</v>
      </c>
      <c r="C116" s="2">
        <f t="shared" ref="C116:Z116" si="39">$B116*C47</f>
        <v>50000</v>
      </c>
      <c r="D116" s="2">
        <f t="shared" si="39"/>
        <v>0</v>
      </c>
      <c r="E116" s="2">
        <f t="shared" si="39"/>
        <v>0</v>
      </c>
      <c r="F116" s="2">
        <f t="shared" si="39"/>
        <v>0</v>
      </c>
      <c r="G116" s="2">
        <f t="shared" si="39"/>
        <v>0</v>
      </c>
      <c r="H116" s="2">
        <f t="shared" si="39"/>
        <v>0</v>
      </c>
      <c r="I116" s="2">
        <f t="shared" si="39"/>
        <v>0</v>
      </c>
      <c r="J116" s="2">
        <f t="shared" si="39"/>
        <v>0</v>
      </c>
      <c r="K116" s="2">
        <f t="shared" si="39"/>
        <v>0</v>
      </c>
      <c r="L116" s="2">
        <f t="shared" si="39"/>
        <v>0</v>
      </c>
      <c r="M116" s="2">
        <f t="shared" si="39"/>
        <v>0</v>
      </c>
      <c r="N116" s="2">
        <f t="shared" si="39"/>
        <v>0</v>
      </c>
      <c r="O116" s="2">
        <f t="shared" si="39"/>
        <v>0</v>
      </c>
      <c r="P116" s="2">
        <f t="shared" si="39"/>
        <v>0</v>
      </c>
      <c r="Q116" s="2">
        <f t="shared" si="39"/>
        <v>0</v>
      </c>
      <c r="R116" s="2">
        <f t="shared" si="39"/>
        <v>0</v>
      </c>
      <c r="S116" s="2">
        <f t="shared" si="39"/>
        <v>0</v>
      </c>
      <c r="T116" s="2">
        <f t="shared" si="39"/>
        <v>0</v>
      </c>
      <c r="U116" s="2">
        <f t="shared" si="39"/>
        <v>0</v>
      </c>
      <c r="V116" s="2">
        <f t="shared" si="39"/>
        <v>0</v>
      </c>
      <c r="W116" s="2">
        <f t="shared" si="39"/>
        <v>0</v>
      </c>
      <c r="X116" s="2">
        <f t="shared" si="39"/>
        <v>0</v>
      </c>
      <c r="Y116" s="2">
        <f t="shared" si="39"/>
        <v>0</v>
      </c>
      <c r="Z116" s="2">
        <f t="shared" si="39"/>
        <v>0</v>
      </c>
    </row>
    <row r="117" spans="1:26" x14ac:dyDescent="0.35">
      <c r="A117" t="str">
        <f t="shared" si="25"/>
        <v xml:space="preserve">  Selective herbicide</v>
      </c>
      <c r="B117" s="13">
        <f>'Prices &amp; assums'!C60</f>
        <v>3000</v>
      </c>
      <c r="C117" s="2">
        <f t="shared" ref="C117:Z117" si="40">$B117*C48</f>
        <v>18000</v>
      </c>
      <c r="D117" s="2">
        <f t="shared" si="40"/>
        <v>12000</v>
      </c>
      <c r="E117" s="2">
        <f t="shared" si="40"/>
        <v>0</v>
      </c>
      <c r="F117" s="2">
        <f t="shared" si="40"/>
        <v>0</v>
      </c>
      <c r="G117" s="2">
        <f t="shared" si="40"/>
        <v>0</v>
      </c>
      <c r="H117" s="2">
        <f t="shared" si="40"/>
        <v>0</v>
      </c>
      <c r="I117" s="2">
        <f t="shared" si="40"/>
        <v>0</v>
      </c>
      <c r="J117" s="2">
        <f t="shared" si="40"/>
        <v>0</v>
      </c>
      <c r="K117" s="2">
        <f t="shared" si="40"/>
        <v>0</v>
      </c>
      <c r="L117" s="2">
        <f t="shared" si="40"/>
        <v>0</v>
      </c>
      <c r="M117" s="2">
        <f t="shared" si="40"/>
        <v>0</v>
      </c>
      <c r="N117" s="2">
        <f t="shared" si="40"/>
        <v>0</v>
      </c>
      <c r="O117" s="2">
        <f t="shared" si="40"/>
        <v>0</v>
      </c>
      <c r="P117" s="2">
        <f t="shared" si="40"/>
        <v>0</v>
      </c>
      <c r="Q117" s="2">
        <f t="shared" si="40"/>
        <v>0</v>
      </c>
      <c r="R117" s="2">
        <f t="shared" si="40"/>
        <v>0</v>
      </c>
      <c r="S117" s="2">
        <f t="shared" si="40"/>
        <v>0</v>
      </c>
      <c r="T117" s="2">
        <f t="shared" si="40"/>
        <v>0</v>
      </c>
      <c r="U117" s="2">
        <f t="shared" si="40"/>
        <v>0</v>
      </c>
      <c r="V117" s="2">
        <f t="shared" si="40"/>
        <v>0</v>
      </c>
      <c r="W117" s="2">
        <f t="shared" si="40"/>
        <v>0</v>
      </c>
      <c r="X117" s="2">
        <f t="shared" si="40"/>
        <v>0</v>
      </c>
      <c r="Y117" s="2">
        <f t="shared" si="40"/>
        <v>0</v>
      </c>
      <c r="Z117" s="2">
        <f t="shared" si="40"/>
        <v>0</v>
      </c>
    </row>
    <row r="118" spans="1:26" x14ac:dyDescent="0.35">
      <c r="A118" t="str">
        <f t="shared" si="25"/>
        <v xml:space="preserve">  Bags</v>
      </c>
      <c r="B118" s="13">
        <f>'Prices &amp; assums'!C50</f>
        <v>300</v>
      </c>
      <c r="C118" s="2">
        <f t="shared" ref="C118:Z118" si="41">$B118*C49</f>
        <v>12000</v>
      </c>
      <c r="D118" s="2">
        <f t="shared" si="41"/>
        <v>186923.07692307694</v>
      </c>
      <c r="E118" s="2">
        <f t="shared" si="41"/>
        <v>0</v>
      </c>
      <c r="F118" s="2">
        <f t="shared" si="41"/>
        <v>0</v>
      </c>
      <c r="G118" s="2">
        <f t="shared" si="41"/>
        <v>0</v>
      </c>
      <c r="H118" s="2">
        <f t="shared" si="41"/>
        <v>0</v>
      </c>
      <c r="I118" s="2">
        <f t="shared" si="41"/>
        <v>0</v>
      </c>
      <c r="J118" s="2">
        <f t="shared" si="41"/>
        <v>0</v>
      </c>
      <c r="K118" s="2">
        <f t="shared" si="41"/>
        <v>0</v>
      </c>
      <c r="L118" s="2">
        <f t="shared" si="41"/>
        <v>0</v>
      </c>
      <c r="M118" s="2">
        <f t="shared" si="41"/>
        <v>0</v>
      </c>
      <c r="N118" s="2">
        <f t="shared" si="41"/>
        <v>0</v>
      </c>
      <c r="O118" s="2">
        <f t="shared" si="41"/>
        <v>0</v>
      </c>
      <c r="P118" s="2">
        <f t="shared" si="41"/>
        <v>0</v>
      </c>
      <c r="Q118" s="2">
        <f t="shared" si="41"/>
        <v>0</v>
      </c>
      <c r="R118" s="2">
        <f t="shared" si="41"/>
        <v>0</v>
      </c>
      <c r="S118" s="2">
        <f t="shared" si="41"/>
        <v>0</v>
      </c>
      <c r="T118" s="2">
        <f t="shared" si="41"/>
        <v>0</v>
      </c>
      <c r="U118" s="2">
        <f t="shared" si="41"/>
        <v>0</v>
      </c>
      <c r="V118" s="2">
        <f t="shared" si="41"/>
        <v>0</v>
      </c>
      <c r="W118" s="2">
        <f t="shared" si="41"/>
        <v>0</v>
      </c>
      <c r="X118" s="2">
        <f t="shared" si="41"/>
        <v>0</v>
      </c>
      <c r="Y118" s="2">
        <f t="shared" si="41"/>
        <v>0</v>
      </c>
      <c r="Z118" s="2">
        <f t="shared" si="41"/>
        <v>0</v>
      </c>
    </row>
    <row r="119" spans="1:26" x14ac:dyDescent="0.35">
      <c r="B119" s="8"/>
    </row>
    <row r="120" spans="1:26" x14ac:dyDescent="0.35">
      <c r="A120" t="str">
        <f>A51</f>
        <v>Cuts</v>
      </c>
      <c r="B120" s="8"/>
    </row>
    <row r="121" spans="1:26" x14ac:dyDescent="0.35">
      <c r="A121" t="str">
        <f>A52</f>
        <v xml:space="preserve">  First cut</v>
      </c>
      <c r="B121" s="13">
        <f>'Refor gazetted FIN'!B81</f>
        <v>150</v>
      </c>
      <c r="C121" s="2">
        <f t="shared" ref="C121:Z121" si="42">$B121*C52</f>
        <v>0</v>
      </c>
      <c r="D121" s="2">
        <f t="shared" si="42"/>
        <v>0</v>
      </c>
      <c r="E121" s="2">
        <f t="shared" si="42"/>
        <v>0</v>
      </c>
      <c r="F121" s="2">
        <f t="shared" si="42"/>
        <v>0</v>
      </c>
      <c r="G121" s="2">
        <f t="shared" si="42"/>
        <v>0</v>
      </c>
      <c r="H121" s="2">
        <f t="shared" si="42"/>
        <v>4950</v>
      </c>
      <c r="I121" s="2">
        <f t="shared" si="42"/>
        <v>0</v>
      </c>
      <c r="J121" s="2">
        <f t="shared" si="42"/>
        <v>0</v>
      </c>
      <c r="K121" s="2">
        <f t="shared" si="42"/>
        <v>0</v>
      </c>
      <c r="L121" s="2">
        <f t="shared" si="42"/>
        <v>0</v>
      </c>
      <c r="M121" s="2">
        <f t="shared" si="42"/>
        <v>0</v>
      </c>
      <c r="N121" s="2">
        <f t="shared" si="42"/>
        <v>0</v>
      </c>
      <c r="O121" s="2">
        <f t="shared" si="42"/>
        <v>0</v>
      </c>
      <c r="P121" s="2">
        <f t="shared" si="42"/>
        <v>0</v>
      </c>
      <c r="Q121" s="2">
        <f t="shared" si="42"/>
        <v>0</v>
      </c>
      <c r="R121" s="2">
        <f t="shared" si="42"/>
        <v>0</v>
      </c>
      <c r="S121" s="2">
        <f t="shared" si="42"/>
        <v>0</v>
      </c>
      <c r="T121" s="2">
        <f t="shared" si="42"/>
        <v>0</v>
      </c>
      <c r="U121" s="2">
        <f t="shared" si="42"/>
        <v>0</v>
      </c>
      <c r="V121" s="2">
        <f t="shared" si="42"/>
        <v>0</v>
      </c>
      <c r="W121" s="2">
        <f t="shared" si="42"/>
        <v>0</v>
      </c>
      <c r="X121" s="2">
        <f t="shared" si="42"/>
        <v>0</v>
      </c>
      <c r="Y121" s="2">
        <f t="shared" si="42"/>
        <v>0</v>
      </c>
      <c r="Z121" s="2">
        <f t="shared" si="42"/>
        <v>0</v>
      </c>
    </row>
    <row r="122" spans="1:26" x14ac:dyDescent="0.35">
      <c r="A122" t="str">
        <f>A53</f>
        <v xml:space="preserve">  Second cut</v>
      </c>
      <c r="B122" s="13">
        <f>'Refor gazetted FIN'!B82</f>
        <v>270</v>
      </c>
      <c r="C122" s="2">
        <f t="shared" ref="C122:Z122" si="43">$B122*C53</f>
        <v>0</v>
      </c>
      <c r="D122" s="2">
        <f t="shared" si="43"/>
        <v>0</v>
      </c>
      <c r="E122" s="2">
        <f t="shared" si="43"/>
        <v>0</v>
      </c>
      <c r="F122" s="2">
        <f t="shared" si="43"/>
        <v>0</v>
      </c>
      <c r="G122" s="2">
        <f t="shared" si="43"/>
        <v>0</v>
      </c>
      <c r="H122" s="2">
        <f t="shared" si="43"/>
        <v>0</v>
      </c>
      <c r="I122" s="2">
        <f t="shared" si="43"/>
        <v>0</v>
      </c>
      <c r="J122" s="2">
        <f t="shared" si="43"/>
        <v>0</v>
      </c>
      <c r="K122" s="2">
        <f t="shared" si="43"/>
        <v>0</v>
      </c>
      <c r="L122" s="2">
        <f t="shared" si="43"/>
        <v>94500</v>
      </c>
      <c r="M122" s="2">
        <f t="shared" si="43"/>
        <v>0</v>
      </c>
      <c r="N122" s="2">
        <f t="shared" si="43"/>
        <v>0</v>
      </c>
      <c r="O122" s="2">
        <f t="shared" si="43"/>
        <v>0</v>
      </c>
      <c r="P122" s="2">
        <f t="shared" si="43"/>
        <v>0</v>
      </c>
      <c r="Q122" s="2">
        <f t="shared" si="43"/>
        <v>0</v>
      </c>
      <c r="R122" s="2">
        <f t="shared" si="43"/>
        <v>0</v>
      </c>
      <c r="S122" s="2">
        <f t="shared" si="43"/>
        <v>0</v>
      </c>
      <c r="T122" s="2">
        <f t="shared" si="43"/>
        <v>0</v>
      </c>
      <c r="U122" s="2">
        <f t="shared" si="43"/>
        <v>0</v>
      </c>
      <c r="V122" s="2">
        <f t="shared" si="43"/>
        <v>0</v>
      </c>
      <c r="W122" s="2">
        <f t="shared" si="43"/>
        <v>0</v>
      </c>
      <c r="X122" s="2">
        <f t="shared" si="43"/>
        <v>0</v>
      </c>
      <c r="Y122" s="2">
        <f t="shared" si="43"/>
        <v>0</v>
      </c>
      <c r="Z122" s="2">
        <f t="shared" si="43"/>
        <v>0</v>
      </c>
    </row>
    <row r="123" spans="1:26" x14ac:dyDescent="0.35">
      <c r="A123" t="str">
        <f>A54</f>
        <v xml:space="preserve">  Third cut</v>
      </c>
      <c r="B123" s="13">
        <f>'Refor gazetted FIN'!B83</f>
        <v>2740</v>
      </c>
      <c r="C123" s="2">
        <f t="shared" ref="C123:Z123" si="44">$B123*C54</f>
        <v>0</v>
      </c>
      <c r="D123" s="2">
        <f t="shared" si="44"/>
        <v>0</v>
      </c>
      <c r="E123" s="2">
        <f t="shared" si="44"/>
        <v>0</v>
      </c>
      <c r="F123" s="2">
        <f t="shared" si="44"/>
        <v>0</v>
      </c>
      <c r="G123" s="2">
        <f t="shared" si="44"/>
        <v>0</v>
      </c>
      <c r="H123" s="2">
        <f t="shared" si="44"/>
        <v>0</v>
      </c>
      <c r="I123" s="2">
        <f t="shared" si="44"/>
        <v>0</v>
      </c>
      <c r="J123" s="2">
        <f t="shared" si="44"/>
        <v>0</v>
      </c>
      <c r="K123" s="2">
        <f t="shared" si="44"/>
        <v>0</v>
      </c>
      <c r="L123" s="2">
        <f t="shared" si="44"/>
        <v>0</v>
      </c>
      <c r="M123" s="2">
        <f t="shared" si="44"/>
        <v>0</v>
      </c>
      <c r="N123" s="2">
        <f t="shared" si="44"/>
        <v>0</v>
      </c>
      <c r="O123" s="2">
        <f t="shared" si="44"/>
        <v>0</v>
      </c>
      <c r="P123" s="2">
        <f t="shared" si="44"/>
        <v>0</v>
      </c>
      <c r="Q123" s="2">
        <f t="shared" si="44"/>
        <v>0</v>
      </c>
      <c r="R123" s="2">
        <f t="shared" si="44"/>
        <v>0</v>
      </c>
      <c r="S123" s="2">
        <f t="shared" si="44"/>
        <v>0</v>
      </c>
      <c r="T123" s="2">
        <f t="shared" si="44"/>
        <v>0</v>
      </c>
      <c r="U123" s="2">
        <f t="shared" si="44"/>
        <v>0</v>
      </c>
      <c r="V123" s="2">
        <f t="shared" si="44"/>
        <v>0</v>
      </c>
      <c r="W123" s="2">
        <f t="shared" si="44"/>
        <v>0</v>
      </c>
      <c r="X123" s="2">
        <f t="shared" si="44"/>
        <v>0</v>
      </c>
      <c r="Y123" s="2">
        <f t="shared" si="44"/>
        <v>0</v>
      </c>
      <c r="Z123" s="2">
        <f t="shared" si="44"/>
        <v>0</v>
      </c>
    </row>
    <row r="124" spans="1:26" x14ac:dyDescent="0.35">
      <c r="A124" t="str">
        <f>A55</f>
        <v xml:space="preserve">  Fourth cut</v>
      </c>
      <c r="B124" s="13">
        <f>'Refor gazetted FIN'!B84</f>
        <v>6500</v>
      </c>
      <c r="C124" s="2">
        <f t="shared" ref="C124:Z124" si="45">$B124*C55</f>
        <v>0</v>
      </c>
      <c r="D124" s="2">
        <f t="shared" si="45"/>
        <v>0</v>
      </c>
      <c r="E124" s="2">
        <f t="shared" si="45"/>
        <v>0</v>
      </c>
      <c r="F124" s="2">
        <f t="shared" si="45"/>
        <v>0</v>
      </c>
      <c r="G124" s="2">
        <f t="shared" si="45"/>
        <v>0</v>
      </c>
      <c r="H124" s="2">
        <f t="shared" si="45"/>
        <v>0</v>
      </c>
      <c r="I124" s="2">
        <f t="shared" si="45"/>
        <v>0</v>
      </c>
      <c r="J124" s="2">
        <f t="shared" si="45"/>
        <v>0</v>
      </c>
      <c r="K124" s="2">
        <f t="shared" si="45"/>
        <v>0</v>
      </c>
      <c r="L124" s="2">
        <f t="shared" si="45"/>
        <v>0</v>
      </c>
      <c r="M124" s="2">
        <f t="shared" si="45"/>
        <v>0</v>
      </c>
      <c r="N124" s="2">
        <f t="shared" si="45"/>
        <v>0</v>
      </c>
      <c r="O124" s="2">
        <f t="shared" si="45"/>
        <v>0</v>
      </c>
      <c r="P124" s="2">
        <f t="shared" si="45"/>
        <v>0</v>
      </c>
      <c r="Q124" s="2">
        <f t="shared" si="45"/>
        <v>0</v>
      </c>
      <c r="R124" s="2">
        <f t="shared" si="45"/>
        <v>0</v>
      </c>
      <c r="S124" s="2">
        <f t="shared" si="45"/>
        <v>0</v>
      </c>
      <c r="T124" s="2">
        <f t="shared" si="45"/>
        <v>0</v>
      </c>
      <c r="U124" s="2">
        <f t="shared" si="45"/>
        <v>0</v>
      </c>
      <c r="V124" s="2">
        <f t="shared" si="45"/>
        <v>0</v>
      </c>
      <c r="W124" s="2">
        <f t="shared" si="45"/>
        <v>0</v>
      </c>
      <c r="X124" s="2">
        <f t="shared" si="45"/>
        <v>0</v>
      </c>
      <c r="Y124" s="2">
        <f t="shared" si="45"/>
        <v>0</v>
      </c>
      <c r="Z124" s="2">
        <f t="shared" si="45"/>
        <v>0</v>
      </c>
    </row>
    <row r="125" spans="1:26" x14ac:dyDescent="0.35">
      <c r="B125" s="13"/>
    </row>
    <row r="126" spans="1:26" x14ac:dyDescent="0.35">
      <c r="A126" t="str">
        <f>A57</f>
        <v>Taxes</v>
      </c>
      <c r="B126" s="13"/>
    </row>
    <row r="127" spans="1:26" x14ac:dyDescent="0.35">
      <c r="A127" t="str">
        <f>A58</f>
        <v xml:space="preserve">  First cut</v>
      </c>
      <c r="B127" s="13">
        <f>'Refor gazetted FIN'!B87</f>
        <v>1000</v>
      </c>
      <c r="C127" s="2">
        <f t="shared" ref="C127:Z127" si="46">$B127*C58</f>
        <v>0</v>
      </c>
      <c r="D127" s="2">
        <f t="shared" si="46"/>
        <v>0</v>
      </c>
      <c r="E127" s="2">
        <f t="shared" si="46"/>
        <v>0</v>
      </c>
      <c r="F127" s="2">
        <f t="shared" si="46"/>
        <v>0</v>
      </c>
      <c r="G127" s="2">
        <f t="shared" si="46"/>
        <v>0</v>
      </c>
      <c r="H127" s="2">
        <f t="shared" si="46"/>
        <v>33000</v>
      </c>
      <c r="I127" s="2">
        <f t="shared" si="46"/>
        <v>0</v>
      </c>
      <c r="J127" s="2">
        <f t="shared" si="46"/>
        <v>0</v>
      </c>
      <c r="K127" s="2">
        <f t="shared" si="46"/>
        <v>0</v>
      </c>
      <c r="L127" s="2">
        <f t="shared" si="46"/>
        <v>0</v>
      </c>
      <c r="M127" s="2">
        <f t="shared" si="46"/>
        <v>0</v>
      </c>
      <c r="N127" s="2">
        <f t="shared" si="46"/>
        <v>0</v>
      </c>
      <c r="O127" s="2">
        <f t="shared" si="46"/>
        <v>0</v>
      </c>
      <c r="P127" s="2">
        <f t="shared" si="46"/>
        <v>0</v>
      </c>
      <c r="Q127" s="2">
        <f t="shared" si="46"/>
        <v>0</v>
      </c>
      <c r="R127" s="2">
        <f t="shared" si="46"/>
        <v>0</v>
      </c>
      <c r="S127" s="2">
        <f t="shared" si="46"/>
        <v>0</v>
      </c>
      <c r="T127" s="2">
        <f t="shared" si="46"/>
        <v>0</v>
      </c>
      <c r="U127" s="2">
        <f t="shared" si="46"/>
        <v>0</v>
      </c>
      <c r="V127" s="2">
        <f t="shared" si="46"/>
        <v>0</v>
      </c>
      <c r="W127" s="2">
        <f t="shared" si="46"/>
        <v>0</v>
      </c>
      <c r="X127" s="2">
        <f t="shared" si="46"/>
        <v>0</v>
      </c>
      <c r="Y127" s="2">
        <f t="shared" si="46"/>
        <v>0</v>
      </c>
      <c r="Z127" s="2">
        <f t="shared" si="46"/>
        <v>0</v>
      </c>
    </row>
    <row r="128" spans="1:26" x14ac:dyDescent="0.35">
      <c r="A128" t="str">
        <f>A59</f>
        <v xml:space="preserve">  Second cut</v>
      </c>
      <c r="B128" s="13">
        <f>'Refor gazetted FIN'!B88</f>
        <v>1500</v>
      </c>
      <c r="C128" s="2">
        <f t="shared" ref="C128:Z128" si="47">$B128*C59</f>
        <v>0</v>
      </c>
      <c r="D128" s="2">
        <f t="shared" si="47"/>
        <v>0</v>
      </c>
      <c r="E128" s="2">
        <f t="shared" si="47"/>
        <v>0</v>
      </c>
      <c r="F128" s="2">
        <f t="shared" si="47"/>
        <v>0</v>
      </c>
      <c r="G128" s="2">
        <f t="shared" si="47"/>
        <v>0</v>
      </c>
      <c r="H128" s="2">
        <f t="shared" si="47"/>
        <v>0</v>
      </c>
      <c r="I128" s="2">
        <f t="shared" si="47"/>
        <v>0</v>
      </c>
      <c r="J128" s="2">
        <f t="shared" si="47"/>
        <v>0</v>
      </c>
      <c r="K128" s="2">
        <f t="shared" si="47"/>
        <v>0</v>
      </c>
      <c r="L128" s="2">
        <f t="shared" si="47"/>
        <v>525000</v>
      </c>
      <c r="M128" s="2">
        <f t="shared" si="47"/>
        <v>0</v>
      </c>
      <c r="N128" s="2">
        <f t="shared" si="47"/>
        <v>0</v>
      </c>
      <c r="O128" s="2">
        <f t="shared" si="47"/>
        <v>0</v>
      </c>
      <c r="P128" s="2">
        <f t="shared" si="47"/>
        <v>0</v>
      </c>
      <c r="Q128" s="2">
        <f t="shared" si="47"/>
        <v>0</v>
      </c>
      <c r="R128" s="2">
        <f t="shared" si="47"/>
        <v>0</v>
      </c>
      <c r="S128" s="2">
        <f t="shared" si="47"/>
        <v>0</v>
      </c>
      <c r="T128" s="2">
        <f t="shared" si="47"/>
        <v>0</v>
      </c>
      <c r="U128" s="2">
        <f t="shared" si="47"/>
        <v>0</v>
      </c>
      <c r="V128" s="2">
        <f t="shared" si="47"/>
        <v>0</v>
      </c>
      <c r="W128" s="2">
        <f t="shared" si="47"/>
        <v>0</v>
      </c>
      <c r="X128" s="2">
        <f t="shared" si="47"/>
        <v>0</v>
      </c>
      <c r="Y128" s="2">
        <f t="shared" si="47"/>
        <v>0</v>
      </c>
      <c r="Z128" s="2">
        <f t="shared" si="47"/>
        <v>0</v>
      </c>
    </row>
    <row r="129" spans="1:26" x14ac:dyDescent="0.35">
      <c r="A129" t="str">
        <f>A60</f>
        <v xml:space="preserve">  Third cut</v>
      </c>
      <c r="B129" s="13">
        <f>'Refor gazetted FIN'!B89</f>
        <v>5000</v>
      </c>
      <c r="C129" s="2">
        <f t="shared" ref="C129:Z129" si="48">$B129*C60</f>
        <v>0</v>
      </c>
      <c r="D129" s="2">
        <f t="shared" si="48"/>
        <v>0</v>
      </c>
      <c r="E129" s="2">
        <f t="shared" si="48"/>
        <v>0</v>
      </c>
      <c r="F129" s="2">
        <f t="shared" si="48"/>
        <v>0</v>
      </c>
      <c r="G129" s="2">
        <f t="shared" si="48"/>
        <v>0</v>
      </c>
      <c r="H129" s="2">
        <f t="shared" si="48"/>
        <v>0</v>
      </c>
      <c r="I129" s="2">
        <f t="shared" si="48"/>
        <v>0</v>
      </c>
      <c r="J129" s="2">
        <f t="shared" si="48"/>
        <v>0</v>
      </c>
      <c r="K129" s="2">
        <f t="shared" si="48"/>
        <v>0</v>
      </c>
      <c r="L129" s="2">
        <f t="shared" si="48"/>
        <v>0</v>
      </c>
      <c r="M129" s="2">
        <f t="shared" si="48"/>
        <v>0</v>
      </c>
      <c r="N129" s="2">
        <f t="shared" si="48"/>
        <v>0</v>
      </c>
      <c r="O129" s="2">
        <f t="shared" si="48"/>
        <v>0</v>
      </c>
      <c r="P129" s="2">
        <f t="shared" si="48"/>
        <v>0</v>
      </c>
      <c r="Q129" s="2">
        <f t="shared" si="48"/>
        <v>0</v>
      </c>
      <c r="R129" s="2">
        <f t="shared" si="48"/>
        <v>0</v>
      </c>
      <c r="S129" s="2">
        <f t="shared" si="48"/>
        <v>0</v>
      </c>
      <c r="T129" s="2">
        <f t="shared" si="48"/>
        <v>0</v>
      </c>
      <c r="U129" s="2">
        <f t="shared" si="48"/>
        <v>0</v>
      </c>
      <c r="V129" s="2">
        <f t="shared" si="48"/>
        <v>0</v>
      </c>
      <c r="W129" s="2">
        <f t="shared" si="48"/>
        <v>0</v>
      </c>
      <c r="X129" s="2">
        <f t="shared" si="48"/>
        <v>0</v>
      </c>
      <c r="Y129" s="2">
        <f t="shared" si="48"/>
        <v>0</v>
      </c>
      <c r="Z129" s="2">
        <f t="shared" si="48"/>
        <v>0</v>
      </c>
    </row>
    <row r="130" spans="1:26" x14ac:dyDescent="0.35">
      <c r="B130" s="13"/>
    </row>
    <row r="131" spans="1:26" x14ac:dyDescent="0.35">
      <c r="A131" t="str">
        <f>A62</f>
        <v>Production</v>
      </c>
      <c r="B131" s="13"/>
    </row>
    <row r="132" spans="1:26" x14ac:dyDescent="0.35">
      <c r="A132" t="str">
        <f>A66</f>
        <v xml:space="preserve">  Trees 11 cm diameter</v>
      </c>
      <c r="B132" s="13">
        <f>'Refor gazetted FIN'!B92</f>
        <v>100</v>
      </c>
      <c r="C132" s="2">
        <f t="shared" ref="C132:Z132" si="49">$B132*C66</f>
        <v>0</v>
      </c>
      <c r="D132" s="2">
        <f t="shared" si="49"/>
        <v>0</v>
      </c>
      <c r="E132" s="2">
        <f t="shared" si="49"/>
        <v>0</v>
      </c>
      <c r="F132" s="2">
        <f t="shared" si="49"/>
        <v>0</v>
      </c>
      <c r="G132" s="2">
        <f t="shared" si="49"/>
        <v>0</v>
      </c>
      <c r="H132" s="2">
        <f t="shared" si="49"/>
        <v>3300</v>
      </c>
      <c r="I132" s="2">
        <f t="shared" si="49"/>
        <v>0</v>
      </c>
      <c r="J132" s="2">
        <f t="shared" si="49"/>
        <v>0</v>
      </c>
      <c r="K132" s="2">
        <f t="shared" si="49"/>
        <v>0</v>
      </c>
      <c r="L132" s="2">
        <f t="shared" si="49"/>
        <v>0</v>
      </c>
      <c r="M132" s="2">
        <f t="shared" si="49"/>
        <v>0</v>
      </c>
      <c r="N132" s="2">
        <f t="shared" si="49"/>
        <v>0</v>
      </c>
      <c r="O132" s="2">
        <f t="shared" si="49"/>
        <v>0</v>
      </c>
      <c r="P132" s="2">
        <f t="shared" si="49"/>
        <v>0</v>
      </c>
      <c r="Q132" s="2">
        <f t="shared" si="49"/>
        <v>0</v>
      </c>
      <c r="R132" s="2">
        <f t="shared" si="49"/>
        <v>0</v>
      </c>
      <c r="S132" s="2">
        <f t="shared" si="49"/>
        <v>0</v>
      </c>
      <c r="T132" s="2">
        <f t="shared" si="49"/>
        <v>0</v>
      </c>
      <c r="U132" s="2">
        <f t="shared" si="49"/>
        <v>0</v>
      </c>
      <c r="V132" s="2">
        <f t="shared" si="49"/>
        <v>0</v>
      </c>
      <c r="W132" s="2">
        <f t="shared" si="49"/>
        <v>0</v>
      </c>
      <c r="X132" s="2">
        <f t="shared" si="49"/>
        <v>0</v>
      </c>
      <c r="Y132" s="2">
        <f t="shared" si="49"/>
        <v>0</v>
      </c>
      <c r="Z132" s="2">
        <f t="shared" si="49"/>
        <v>0</v>
      </c>
    </row>
    <row r="133" spans="1:26" x14ac:dyDescent="0.35">
      <c r="A133" t="str">
        <f>A67</f>
        <v xml:space="preserve">  Trees 16 cm diameter</v>
      </c>
      <c r="B133" s="13">
        <f>'Refor gazetted FIN'!B93</f>
        <v>5000</v>
      </c>
      <c r="C133" s="2">
        <f t="shared" ref="C133:Z133" si="50">$B133*C67</f>
        <v>0</v>
      </c>
      <c r="D133" s="2">
        <f t="shared" si="50"/>
        <v>0</v>
      </c>
      <c r="E133" s="2">
        <f t="shared" si="50"/>
        <v>0</v>
      </c>
      <c r="F133" s="2">
        <f t="shared" si="50"/>
        <v>0</v>
      </c>
      <c r="G133" s="2">
        <f t="shared" si="50"/>
        <v>0</v>
      </c>
      <c r="H133" s="2">
        <f t="shared" si="50"/>
        <v>0</v>
      </c>
      <c r="I133" s="2">
        <f t="shared" si="50"/>
        <v>0</v>
      </c>
      <c r="J133" s="2">
        <f t="shared" si="50"/>
        <v>0</v>
      </c>
      <c r="K133" s="2">
        <f t="shared" si="50"/>
        <v>0</v>
      </c>
      <c r="L133" s="2">
        <f t="shared" si="50"/>
        <v>1750000</v>
      </c>
      <c r="M133" s="2">
        <f t="shared" si="50"/>
        <v>0</v>
      </c>
      <c r="N133" s="2">
        <f t="shared" si="50"/>
        <v>0</v>
      </c>
      <c r="O133" s="2">
        <f t="shared" si="50"/>
        <v>0</v>
      </c>
      <c r="P133" s="2">
        <f t="shared" si="50"/>
        <v>0</v>
      </c>
      <c r="Q133" s="2">
        <f t="shared" si="50"/>
        <v>0</v>
      </c>
      <c r="R133" s="2">
        <f t="shared" si="50"/>
        <v>0</v>
      </c>
      <c r="S133" s="2">
        <f t="shared" si="50"/>
        <v>0</v>
      </c>
      <c r="T133" s="2">
        <f t="shared" si="50"/>
        <v>0</v>
      </c>
      <c r="U133" s="2">
        <f t="shared" si="50"/>
        <v>0</v>
      </c>
      <c r="V133" s="2">
        <f t="shared" si="50"/>
        <v>0</v>
      </c>
      <c r="W133" s="2">
        <f t="shared" si="50"/>
        <v>0</v>
      </c>
      <c r="X133" s="2">
        <f t="shared" si="50"/>
        <v>0</v>
      </c>
      <c r="Y133" s="2">
        <f t="shared" si="50"/>
        <v>0</v>
      </c>
      <c r="Z133" s="2">
        <f t="shared" si="50"/>
        <v>0</v>
      </c>
    </row>
    <row r="134" spans="1:26" x14ac:dyDescent="0.35">
      <c r="A134" t="str">
        <f>A68</f>
        <v xml:space="preserve">  Trees 23 cm diameter</v>
      </c>
      <c r="B134" s="13">
        <f>'Refor gazetted FIN'!B94</f>
        <v>18000</v>
      </c>
      <c r="C134" s="2">
        <f t="shared" ref="C134:Z134" si="51">$B134*C68</f>
        <v>0</v>
      </c>
      <c r="D134" s="2">
        <f t="shared" si="51"/>
        <v>0</v>
      </c>
      <c r="E134" s="2">
        <f t="shared" si="51"/>
        <v>0</v>
      </c>
      <c r="F134" s="2">
        <f t="shared" si="51"/>
        <v>0</v>
      </c>
      <c r="G134" s="2">
        <f t="shared" si="51"/>
        <v>0</v>
      </c>
      <c r="H134" s="2">
        <f t="shared" si="51"/>
        <v>0</v>
      </c>
      <c r="I134" s="2">
        <f t="shared" si="51"/>
        <v>0</v>
      </c>
      <c r="J134" s="2">
        <f t="shared" si="51"/>
        <v>0</v>
      </c>
      <c r="K134" s="2">
        <f t="shared" si="51"/>
        <v>0</v>
      </c>
      <c r="L134" s="2">
        <f t="shared" si="51"/>
        <v>0</v>
      </c>
      <c r="M134" s="2">
        <f t="shared" si="51"/>
        <v>0</v>
      </c>
      <c r="N134" s="2">
        <f t="shared" si="51"/>
        <v>0</v>
      </c>
      <c r="O134" s="2">
        <f t="shared" si="51"/>
        <v>0</v>
      </c>
      <c r="P134" s="2">
        <f t="shared" si="51"/>
        <v>0</v>
      </c>
      <c r="Q134" s="2">
        <f t="shared" si="51"/>
        <v>0</v>
      </c>
      <c r="R134" s="2">
        <f t="shared" si="51"/>
        <v>2700000</v>
      </c>
      <c r="S134" s="2">
        <f t="shared" si="51"/>
        <v>0</v>
      </c>
      <c r="T134" s="2">
        <f t="shared" si="51"/>
        <v>0</v>
      </c>
      <c r="U134" s="2">
        <f t="shared" si="51"/>
        <v>0</v>
      </c>
      <c r="V134" s="2">
        <f t="shared" si="51"/>
        <v>0</v>
      </c>
      <c r="W134" s="2">
        <f t="shared" si="51"/>
        <v>0</v>
      </c>
      <c r="X134" s="2">
        <f t="shared" si="51"/>
        <v>0</v>
      </c>
      <c r="Y134" s="2">
        <f t="shared" si="51"/>
        <v>0</v>
      </c>
      <c r="Z134" s="2">
        <f t="shared" si="51"/>
        <v>0</v>
      </c>
    </row>
    <row r="135" spans="1:26" x14ac:dyDescent="0.35">
      <c r="A135" t="str">
        <f t="shared" ref="A135:A137" si="52">A69</f>
        <v xml:space="preserve">  Trees 30 cm diameter</v>
      </c>
      <c r="B135" s="13">
        <f>'Refor gazetted FIN'!B95</f>
        <v>24000</v>
      </c>
      <c r="C135" s="2">
        <f t="shared" ref="C135:Z135" si="53">$B135*C69</f>
        <v>0</v>
      </c>
      <c r="D135" s="2">
        <f t="shared" si="53"/>
        <v>0</v>
      </c>
      <c r="E135" s="2">
        <f t="shared" si="53"/>
        <v>0</v>
      </c>
      <c r="F135" s="2">
        <f t="shared" si="53"/>
        <v>0</v>
      </c>
      <c r="G135" s="2">
        <f t="shared" si="53"/>
        <v>0</v>
      </c>
      <c r="H135" s="2">
        <f t="shared" si="53"/>
        <v>0</v>
      </c>
      <c r="I135" s="2">
        <f t="shared" si="53"/>
        <v>0</v>
      </c>
      <c r="J135" s="2">
        <f t="shared" si="53"/>
        <v>0</v>
      </c>
      <c r="K135" s="2">
        <f t="shared" si="53"/>
        <v>0</v>
      </c>
      <c r="L135" s="2">
        <f t="shared" si="53"/>
        <v>0</v>
      </c>
      <c r="M135" s="2">
        <f t="shared" si="53"/>
        <v>0</v>
      </c>
      <c r="N135" s="2">
        <f t="shared" si="53"/>
        <v>0</v>
      </c>
      <c r="O135" s="2">
        <f t="shared" si="53"/>
        <v>0</v>
      </c>
      <c r="P135" s="2">
        <f t="shared" si="53"/>
        <v>0</v>
      </c>
      <c r="Q135" s="2">
        <f t="shared" si="53"/>
        <v>0</v>
      </c>
      <c r="R135" s="2">
        <f t="shared" si="53"/>
        <v>0</v>
      </c>
      <c r="S135" s="2">
        <f t="shared" si="53"/>
        <v>0</v>
      </c>
      <c r="T135" s="2">
        <f t="shared" si="53"/>
        <v>0</v>
      </c>
      <c r="U135" s="2">
        <f t="shared" si="53"/>
        <v>0</v>
      </c>
      <c r="V135" s="2">
        <f t="shared" si="53"/>
        <v>0</v>
      </c>
      <c r="W135" s="2">
        <f t="shared" si="53"/>
        <v>0</v>
      </c>
      <c r="X135" s="2">
        <f t="shared" si="53"/>
        <v>0</v>
      </c>
      <c r="Y135" s="2">
        <f t="shared" si="53"/>
        <v>0</v>
      </c>
      <c r="Z135" s="2">
        <f t="shared" si="53"/>
        <v>7200000</v>
      </c>
    </row>
    <row r="136" spans="1:26" x14ac:dyDescent="0.35">
      <c r="A136" t="str">
        <f t="shared" si="52"/>
        <v xml:space="preserve">  Maize</v>
      </c>
      <c r="B136" s="13">
        <f>'Prices &amp; assums'!C105</f>
        <v>100</v>
      </c>
      <c r="C136" s="2">
        <f t="shared" ref="C136:Z136" si="54">$B136*C70</f>
        <v>400000</v>
      </c>
      <c r="D136" s="2">
        <f t="shared" si="54"/>
        <v>0</v>
      </c>
      <c r="E136" s="2">
        <f t="shared" si="54"/>
        <v>0</v>
      </c>
      <c r="F136" s="2">
        <f t="shared" si="54"/>
        <v>0</v>
      </c>
      <c r="G136" s="2">
        <f t="shared" si="54"/>
        <v>0</v>
      </c>
      <c r="H136" s="2">
        <f t="shared" si="54"/>
        <v>0</v>
      </c>
      <c r="I136" s="2">
        <f t="shared" si="54"/>
        <v>0</v>
      </c>
      <c r="J136" s="2">
        <f t="shared" si="54"/>
        <v>0</v>
      </c>
      <c r="K136" s="2">
        <f t="shared" si="54"/>
        <v>0</v>
      </c>
      <c r="L136" s="2">
        <f t="shared" si="54"/>
        <v>0</v>
      </c>
      <c r="M136" s="2">
        <f t="shared" si="54"/>
        <v>0</v>
      </c>
      <c r="N136" s="2">
        <f t="shared" si="54"/>
        <v>0</v>
      </c>
      <c r="O136" s="2">
        <f t="shared" si="54"/>
        <v>0</v>
      </c>
      <c r="P136" s="2">
        <f t="shared" si="54"/>
        <v>0</v>
      </c>
      <c r="Q136" s="2">
        <f t="shared" si="54"/>
        <v>0</v>
      </c>
      <c r="R136" s="2">
        <f t="shared" si="54"/>
        <v>0</v>
      </c>
      <c r="S136" s="2">
        <f t="shared" si="54"/>
        <v>0</v>
      </c>
      <c r="T136" s="2">
        <f t="shared" si="54"/>
        <v>0</v>
      </c>
      <c r="U136" s="2">
        <f t="shared" si="54"/>
        <v>0</v>
      </c>
      <c r="V136" s="2">
        <f t="shared" si="54"/>
        <v>0</v>
      </c>
      <c r="W136" s="2">
        <f t="shared" si="54"/>
        <v>0</v>
      </c>
      <c r="X136" s="2">
        <f t="shared" si="54"/>
        <v>0</v>
      </c>
      <c r="Y136" s="2">
        <f t="shared" si="54"/>
        <v>0</v>
      </c>
      <c r="Z136" s="2">
        <f t="shared" si="54"/>
        <v>0</v>
      </c>
    </row>
    <row r="137" spans="1:26" x14ac:dyDescent="0.35">
      <c r="A137" s="11" t="str">
        <f t="shared" si="52"/>
        <v xml:space="preserve">  Cassava</v>
      </c>
      <c r="B137" s="22">
        <f>'Prices &amp; assums'!C106</f>
        <v>90</v>
      </c>
      <c r="C137" s="42">
        <f t="shared" ref="C137:Z137" si="55">$B137*C71</f>
        <v>0</v>
      </c>
      <c r="D137" s="14">
        <f t="shared" si="55"/>
        <v>0</v>
      </c>
      <c r="E137" s="14">
        <f t="shared" si="55"/>
        <v>1458000</v>
      </c>
      <c r="F137" s="14">
        <f t="shared" si="55"/>
        <v>0</v>
      </c>
      <c r="G137" s="14">
        <f t="shared" si="55"/>
        <v>0</v>
      </c>
      <c r="H137" s="14">
        <f t="shared" si="55"/>
        <v>0</v>
      </c>
      <c r="I137" s="14">
        <f t="shared" si="55"/>
        <v>0</v>
      </c>
      <c r="J137" s="14">
        <f t="shared" si="55"/>
        <v>0</v>
      </c>
      <c r="K137" s="14">
        <f t="shared" si="55"/>
        <v>0</v>
      </c>
      <c r="L137" s="14">
        <f t="shared" si="55"/>
        <v>0</v>
      </c>
      <c r="M137" s="14">
        <f t="shared" si="55"/>
        <v>0</v>
      </c>
      <c r="N137" s="14">
        <f t="shared" si="55"/>
        <v>0</v>
      </c>
      <c r="O137" s="14">
        <f t="shared" si="55"/>
        <v>0</v>
      </c>
      <c r="P137" s="14">
        <f t="shared" si="55"/>
        <v>0</v>
      </c>
      <c r="Q137" s="14">
        <f t="shared" si="55"/>
        <v>0</v>
      </c>
      <c r="R137" s="14">
        <f t="shared" si="55"/>
        <v>0</v>
      </c>
      <c r="S137" s="14">
        <f t="shared" si="55"/>
        <v>0</v>
      </c>
      <c r="T137" s="14">
        <f t="shared" si="55"/>
        <v>0</v>
      </c>
      <c r="U137" s="14">
        <f t="shared" si="55"/>
        <v>0</v>
      </c>
      <c r="V137" s="14">
        <f t="shared" si="55"/>
        <v>0</v>
      </c>
      <c r="W137" s="14">
        <f t="shared" si="55"/>
        <v>0</v>
      </c>
      <c r="X137" s="14">
        <f t="shared" si="55"/>
        <v>0</v>
      </c>
      <c r="Y137" s="14">
        <f t="shared" si="55"/>
        <v>0</v>
      </c>
      <c r="Z137" s="14">
        <f t="shared" si="55"/>
        <v>0</v>
      </c>
    </row>
    <row r="138" spans="1:26" x14ac:dyDescent="0.35">
      <c r="A138" t="s">
        <v>156</v>
      </c>
      <c r="C138" s="60"/>
    </row>
    <row r="139" spans="1:26" x14ac:dyDescent="0.35">
      <c r="A139" t="s">
        <v>157</v>
      </c>
      <c r="C139" s="2">
        <f>SUM(C76:C83)+SUM(C86:C91)+SUM(C94:C99)+SUM(C102:C118)+SUM(C121:C124)+SUM(C127:C129)</f>
        <v>790433.15</v>
      </c>
      <c r="D139" s="2">
        <f t="shared" ref="D139:Z139" si="56">SUM(D76:D83)+SUM(D86:D91)+SUM(D94:D99)+SUM(D102:D118)+SUM(D121:D124)+SUM(D127:D129)</f>
        <v>904294.42692307697</v>
      </c>
      <c r="E139" s="2">
        <f t="shared" si="56"/>
        <v>52000</v>
      </c>
      <c r="F139" s="2">
        <f t="shared" si="56"/>
        <v>15000</v>
      </c>
      <c r="G139" s="2">
        <f t="shared" si="56"/>
        <v>35000</v>
      </c>
      <c r="H139" s="2">
        <f t="shared" si="56"/>
        <v>52950</v>
      </c>
      <c r="I139" s="2">
        <f t="shared" si="56"/>
        <v>15000</v>
      </c>
      <c r="J139" s="2">
        <f t="shared" si="56"/>
        <v>15000</v>
      </c>
      <c r="K139" s="2">
        <f t="shared" si="56"/>
        <v>15000</v>
      </c>
      <c r="L139" s="2">
        <f t="shared" si="56"/>
        <v>654500</v>
      </c>
      <c r="M139" s="2">
        <f t="shared" si="56"/>
        <v>15000</v>
      </c>
      <c r="N139" s="2">
        <f t="shared" si="56"/>
        <v>15000</v>
      </c>
      <c r="O139" s="2">
        <f t="shared" si="56"/>
        <v>15000</v>
      </c>
      <c r="P139" s="2">
        <f t="shared" si="56"/>
        <v>15000</v>
      </c>
      <c r="Q139" s="2">
        <f t="shared" si="56"/>
        <v>35000</v>
      </c>
      <c r="R139" s="2">
        <f t="shared" si="56"/>
        <v>15000</v>
      </c>
      <c r="S139" s="2">
        <f t="shared" si="56"/>
        <v>15000</v>
      </c>
      <c r="T139" s="2">
        <f t="shared" si="56"/>
        <v>15000</v>
      </c>
      <c r="U139" s="2">
        <f t="shared" si="56"/>
        <v>15000</v>
      </c>
      <c r="V139" s="2">
        <f t="shared" si="56"/>
        <v>35000</v>
      </c>
      <c r="W139" s="2">
        <f t="shared" si="56"/>
        <v>15000</v>
      </c>
      <c r="X139" s="2">
        <f t="shared" si="56"/>
        <v>15000</v>
      </c>
      <c r="Y139" s="2">
        <f t="shared" si="56"/>
        <v>15000</v>
      </c>
      <c r="Z139" s="2">
        <f t="shared" si="56"/>
        <v>15000</v>
      </c>
    </row>
    <row r="140" spans="1:26" x14ac:dyDescent="0.35">
      <c r="A140" t="s">
        <v>158</v>
      </c>
      <c r="C140" s="2">
        <f>C139-C88-C91/3-C94/3-C95/3-C99/3-C103-C105/3-C107/2-C108/3-C109/3-C110/2</f>
        <v>642519.81666666665</v>
      </c>
      <c r="D140" s="2">
        <f t="shared" ref="D140:Z140" si="57">D139-D88-D91/3-D94/3-D95/3-D99/3-D103-D105/3-D107/2-D108/3-D109/3-D110/2</f>
        <v>816794.42692307697</v>
      </c>
      <c r="E140" s="2">
        <f t="shared" si="57"/>
        <v>38666.666666666664</v>
      </c>
      <c r="F140" s="2">
        <f t="shared" si="57"/>
        <v>15000</v>
      </c>
      <c r="G140" s="2">
        <f t="shared" si="57"/>
        <v>28333.333333333332</v>
      </c>
      <c r="H140" s="2">
        <f t="shared" si="57"/>
        <v>52950</v>
      </c>
      <c r="I140" s="2">
        <f t="shared" si="57"/>
        <v>15000</v>
      </c>
      <c r="J140" s="2">
        <f t="shared" si="57"/>
        <v>15000</v>
      </c>
      <c r="K140" s="2">
        <f t="shared" si="57"/>
        <v>15000</v>
      </c>
      <c r="L140" s="2">
        <f t="shared" si="57"/>
        <v>647833.33333333337</v>
      </c>
      <c r="M140" s="2">
        <f t="shared" si="57"/>
        <v>15000</v>
      </c>
      <c r="N140" s="2">
        <f t="shared" si="57"/>
        <v>15000</v>
      </c>
      <c r="O140" s="2">
        <f t="shared" si="57"/>
        <v>15000</v>
      </c>
      <c r="P140" s="2">
        <f t="shared" si="57"/>
        <v>15000</v>
      </c>
      <c r="Q140" s="2">
        <f t="shared" si="57"/>
        <v>28333.333333333332</v>
      </c>
      <c r="R140" s="2">
        <f t="shared" si="57"/>
        <v>15000</v>
      </c>
      <c r="S140" s="2">
        <f t="shared" si="57"/>
        <v>15000</v>
      </c>
      <c r="T140" s="2">
        <f t="shared" si="57"/>
        <v>15000</v>
      </c>
      <c r="U140" s="2">
        <f t="shared" si="57"/>
        <v>15000</v>
      </c>
      <c r="V140" s="2">
        <f t="shared" si="57"/>
        <v>28333.333333333332</v>
      </c>
      <c r="W140" s="2">
        <f t="shared" si="57"/>
        <v>15000</v>
      </c>
      <c r="X140" s="2">
        <f t="shared" si="57"/>
        <v>15000</v>
      </c>
      <c r="Y140" s="2">
        <f t="shared" si="57"/>
        <v>15000</v>
      </c>
      <c r="Z140" s="2">
        <f t="shared" si="57"/>
        <v>15000</v>
      </c>
    </row>
    <row r="141" spans="1:26" x14ac:dyDescent="0.35">
      <c r="A141" t="s">
        <v>159</v>
      </c>
      <c r="C141" s="2">
        <f>SUM(C76:C83)+C97+C113+C114</f>
        <v>172499</v>
      </c>
      <c r="D141" s="2">
        <f>SUM(D76:D83)+D97+D113+D114</f>
        <v>76248.2</v>
      </c>
      <c r="E141" s="2">
        <f>SUM(E76:E83)+E97+E113+E114</f>
        <v>2000</v>
      </c>
      <c r="F141" s="2">
        <f>SUM(F76:F83)+F87+F96+F97</f>
        <v>0</v>
      </c>
      <c r="G141" s="2">
        <f t="shared" ref="G141:Z141" si="58">SUM(G76:G83)+G87+G96+G97</f>
        <v>0</v>
      </c>
      <c r="H141" s="2">
        <f t="shared" si="58"/>
        <v>0</v>
      </c>
      <c r="I141" s="2">
        <f t="shared" si="58"/>
        <v>0</v>
      </c>
      <c r="J141" s="2">
        <f t="shared" si="58"/>
        <v>0</v>
      </c>
      <c r="K141" s="2">
        <f t="shared" si="58"/>
        <v>0</v>
      </c>
      <c r="L141" s="2">
        <f t="shared" si="58"/>
        <v>0</v>
      </c>
      <c r="M141" s="2">
        <f t="shared" si="58"/>
        <v>0</v>
      </c>
      <c r="N141" s="2">
        <f t="shared" si="58"/>
        <v>0</v>
      </c>
      <c r="O141" s="2">
        <f t="shared" si="58"/>
        <v>0</v>
      </c>
      <c r="P141" s="2">
        <f t="shared" si="58"/>
        <v>0</v>
      </c>
      <c r="Q141" s="2">
        <f t="shared" si="58"/>
        <v>0</v>
      </c>
      <c r="R141" s="2">
        <f t="shared" si="58"/>
        <v>0</v>
      </c>
      <c r="S141" s="2">
        <f t="shared" si="58"/>
        <v>0</v>
      </c>
      <c r="T141" s="2">
        <f t="shared" si="58"/>
        <v>0</v>
      </c>
      <c r="U141" s="2">
        <f t="shared" si="58"/>
        <v>0</v>
      </c>
      <c r="V141" s="2">
        <f t="shared" si="58"/>
        <v>0</v>
      </c>
      <c r="W141" s="2">
        <f t="shared" si="58"/>
        <v>0</v>
      </c>
      <c r="X141" s="2">
        <f t="shared" si="58"/>
        <v>0</v>
      </c>
      <c r="Y141" s="2">
        <f t="shared" si="58"/>
        <v>0</v>
      </c>
      <c r="Z141" s="2">
        <f t="shared" si="58"/>
        <v>0</v>
      </c>
    </row>
    <row r="142" spans="1:26" x14ac:dyDescent="0.35">
      <c r="A142" s="44" t="s">
        <v>160</v>
      </c>
      <c r="C142" s="30">
        <f>C139-C141</f>
        <v>617934.15</v>
      </c>
      <c r="D142" s="30">
        <f>D139-D141</f>
        <v>828046.22692307702</v>
      </c>
      <c r="E142" s="30">
        <f>E139-E141</f>
        <v>50000</v>
      </c>
      <c r="F142" s="30">
        <f>F139-F141</f>
        <v>15000</v>
      </c>
      <c r="G142" s="30">
        <f t="shared" ref="G142:Z142" si="59">G139-G141</f>
        <v>35000</v>
      </c>
      <c r="H142" s="30">
        <f t="shared" si="59"/>
        <v>52950</v>
      </c>
      <c r="I142" s="30">
        <f t="shared" si="59"/>
        <v>15000</v>
      </c>
      <c r="J142" s="30">
        <f t="shared" si="59"/>
        <v>15000</v>
      </c>
      <c r="K142" s="30">
        <f t="shared" si="59"/>
        <v>15000</v>
      </c>
      <c r="L142" s="30">
        <f t="shared" si="59"/>
        <v>654500</v>
      </c>
      <c r="M142" s="30">
        <f t="shared" si="59"/>
        <v>15000</v>
      </c>
      <c r="N142" s="30">
        <f t="shared" si="59"/>
        <v>15000</v>
      </c>
      <c r="O142" s="30">
        <f t="shared" si="59"/>
        <v>15000</v>
      </c>
      <c r="P142" s="30">
        <f t="shared" si="59"/>
        <v>15000</v>
      </c>
      <c r="Q142" s="30">
        <f t="shared" si="59"/>
        <v>35000</v>
      </c>
      <c r="R142" s="30">
        <f t="shared" si="59"/>
        <v>15000</v>
      </c>
      <c r="S142" s="30">
        <f t="shared" si="59"/>
        <v>15000</v>
      </c>
      <c r="T142" s="30">
        <f t="shared" si="59"/>
        <v>15000</v>
      </c>
      <c r="U142" s="30">
        <f t="shared" si="59"/>
        <v>15000</v>
      </c>
      <c r="V142" s="30">
        <f t="shared" si="59"/>
        <v>35000</v>
      </c>
      <c r="W142" s="30">
        <f t="shared" si="59"/>
        <v>15000</v>
      </c>
      <c r="X142" s="30">
        <f t="shared" si="59"/>
        <v>15000</v>
      </c>
      <c r="Y142" s="30">
        <f t="shared" si="59"/>
        <v>15000</v>
      </c>
      <c r="Z142" s="30">
        <f t="shared" si="59"/>
        <v>15000</v>
      </c>
    </row>
    <row r="143" spans="1:26" x14ac:dyDescent="0.35">
      <c r="A143" s="44" t="s">
        <v>65</v>
      </c>
      <c r="C143" s="2">
        <f>SUM(C132:C137)</f>
        <v>400000</v>
      </c>
      <c r="D143" s="2">
        <f t="shared" ref="D143:Z143" si="60">SUM(D132:D137)</f>
        <v>0</v>
      </c>
      <c r="E143" s="2">
        <f t="shared" si="60"/>
        <v>1458000</v>
      </c>
      <c r="F143" s="2">
        <f t="shared" si="60"/>
        <v>0</v>
      </c>
      <c r="G143" s="2">
        <f t="shared" si="60"/>
        <v>0</v>
      </c>
      <c r="H143" s="2">
        <f t="shared" si="60"/>
        <v>3300</v>
      </c>
      <c r="I143" s="2">
        <f t="shared" si="60"/>
        <v>0</v>
      </c>
      <c r="J143" s="2">
        <f t="shared" si="60"/>
        <v>0</v>
      </c>
      <c r="K143" s="2">
        <f t="shared" si="60"/>
        <v>0</v>
      </c>
      <c r="L143" s="2">
        <f t="shared" si="60"/>
        <v>1750000</v>
      </c>
      <c r="M143" s="2">
        <f t="shared" si="60"/>
        <v>0</v>
      </c>
      <c r="N143" s="2">
        <f t="shared" si="60"/>
        <v>0</v>
      </c>
      <c r="O143" s="2">
        <f t="shared" si="60"/>
        <v>0</v>
      </c>
      <c r="P143" s="2">
        <f t="shared" si="60"/>
        <v>0</v>
      </c>
      <c r="Q143" s="2">
        <f t="shared" si="60"/>
        <v>0</v>
      </c>
      <c r="R143" s="2">
        <f t="shared" si="60"/>
        <v>2700000</v>
      </c>
      <c r="S143" s="2">
        <f t="shared" si="60"/>
        <v>0</v>
      </c>
      <c r="T143" s="2">
        <f t="shared" si="60"/>
        <v>0</v>
      </c>
      <c r="U143" s="2">
        <f t="shared" si="60"/>
        <v>0</v>
      </c>
      <c r="V143" s="2">
        <f t="shared" si="60"/>
        <v>0</v>
      </c>
      <c r="W143" s="2">
        <f t="shared" si="60"/>
        <v>0</v>
      </c>
      <c r="X143" s="2">
        <f t="shared" si="60"/>
        <v>0</v>
      </c>
      <c r="Y143" s="2">
        <f t="shared" si="60"/>
        <v>0</v>
      </c>
      <c r="Z143" s="2">
        <f t="shared" si="60"/>
        <v>7200000</v>
      </c>
    </row>
    <row r="144" spans="1:26" x14ac:dyDescent="0.35">
      <c r="A144" s="45" t="s">
        <v>154</v>
      </c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Z144" t="s">
        <v>178</v>
      </c>
    </row>
    <row r="145" spans="1:27" x14ac:dyDescent="0.35">
      <c r="A145" t="s">
        <v>179</v>
      </c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Z145" t="s">
        <v>178</v>
      </c>
    </row>
    <row r="146" spans="1:27" x14ac:dyDescent="0.35">
      <c r="A146" t="s">
        <v>152</v>
      </c>
      <c r="C146" s="2">
        <f t="shared" ref="C146:V146" si="61">C143-C139</f>
        <v>-390433.15</v>
      </c>
      <c r="D146" s="2">
        <f t="shared" si="61"/>
        <v>-904294.42692307697</v>
      </c>
      <c r="E146" s="2">
        <f t="shared" si="61"/>
        <v>1406000</v>
      </c>
      <c r="F146" s="2">
        <f t="shared" si="61"/>
        <v>-15000</v>
      </c>
      <c r="G146" s="2">
        <f t="shared" si="61"/>
        <v>-35000</v>
      </c>
      <c r="H146" s="2">
        <f t="shared" si="61"/>
        <v>-49650</v>
      </c>
      <c r="I146" s="2">
        <f t="shared" si="61"/>
        <v>-15000</v>
      </c>
      <c r="J146" s="2">
        <f t="shared" si="61"/>
        <v>-15000</v>
      </c>
      <c r="K146" s="2">
        <f t="shared" si="61"/>
        <v>-15000</v>
      </c>
      <c r="L146" s="2">
        <f t="shared" si="61"/>
        <v>1095500</v>
      </c>
      <c r="M146" s="2">
        <f t="shared" si="61"/>
        <v>-15000</v>
      </c>
      <c r="N146" s="2">
        <f t="shared" si="61"/>
        <v>-15000</v>
      </c>
      <c r="O146" s="2">
        <f t="shared" si="61"/>
        <v>-15000</v>
      </c>
      <c r="P146" s="2">
        <f t="shared" si="61"/>
        <v>-15000</v>
      </c>
      <c r="Q146" s="2">
        <f t="shared" si="61"/>
        <v>-35000</v>
      </c>
      <c r="R146" s="2">
        <f t="shared" si="61"/>
        <v>2685000</v>
      </c>
      <c r="S146" s="2">
        <f t="shared" si="61"/>
        <v>-15000</v>
      </c>
      <c r="T146" s="2">
        <f t="shared" si="61"/>
        <v>-15000</v>
      </c>
      <c r="U146" s="2">
        <f t="shared" si="61"/>
        <v>-15000</v>
      </c>
      <c r="V146" s="2">
        <f t="shared" si="61"/>
        <v>-35000</v>
      </c>
      <c r="W146" s="2">
        <f t="shared" ref="W146:Z146" si="62">W143-W139</f>
        <v>-15000</v>
      </c>
      <c r="X146" s="2">
        <f t="shared" si="62"/>
        <v>-15000</v>
      </c>
      <c r="Y146" s="2">
        <f t="shared" si="62"/>
        <v>-15000</v>
      </c>
      <c r="Z146" s="2">
        <f t="shared" si="62"/>
        <v>7185000</v>
      </c>
    </row>
    <row r="147" spans="1:27" x14ac:dyDescent="0.35">
      <c r="A147" t="s">
        <v>153</v>
      </c>
      <c r="C147" s="2">
        <f t="shared" ref="C147:V147" si="63">C143-C140</f>
        <v>-242519.81666666665</v>
      </c>
      <c r="D147" s="2">
        <f t="shared" si="63"/>
        <v>-816794.42692307697</v>
      </c>
      <c r="E147" s="2">
        <f t="shared" si="63"/>
        <v>1419333.3333333333</v>
      </c>
      <c r="F147" s="2">
        <f t="shared" si="63"/>
        <v>-15000</v>
      </c>
      <c r="G147" s="2">
        <f t="shared" si="63"/>
        <v>-28333.333333333332</v>
      </c>
      <c r="H147" s="2">
        <f t="shared" si="63"/>
        <v>-49650</v>
      </c>
      <c r="I147" s="2">
        <f t="shared" si="63"/>
        <v>-15000</v>
      </c>
      <c r="J147" s="2">
        <f t="shared" si="63"/>
        <v>-15000</v>
      </c>
      <c r="K147" s="2">
        <f t="shared" si="63"/>
        <v>-15000</v>
      </c>
      <c r="L147" s="2">
        <f t="shared" si="63"/>
        <v>1102166.6666666665</v>
      </c>
      <c r="M147" s="2">
        <f t="shared" si="63"/>
        <v>-15000</v>
      </c>
      <c r="N147" s="2">
        <f t="shared" si="63"/>
        <v>-15000</v>
      </c>
      <c r="O147" s="2">
        <f t="shared" si="63"/>
        <v>-15000</v>
      </c>
      <c r="P147" s="2">
        <f t="shared" si="63"/>
        <v>-15000</v>
      </c>
      <c r="Q147" s="2">
        <f t="shared" si="63"/>
        <v>-28333.333333333332</v>
      </c>
      <c r="R147" s="2">
        <f t="shared" si="63"/>
        <v>2685000</v>
      </c>
      <c r="S147" s="2">
        <f t="shared" si="63"/>
        <v>-15000</v>
      </c>
      <c r="T147" s="2">
        <f t="shared" si="63"/>
        <v>-15000</v>
      </c>
      <c r="U147" s="2">
        <f t="shared" si="63"/>
        <v>-15000</v>
      </c>
      <c r="V147" s="2">
        <f t="shared" si="63"/>
        <v>-28333.333333333332</v>
      </c>
      <c r="W147" s="2">
        <f t="shared" ref="W147:Z147" si="64">W143-W140</f>
        <v>-15000</v>
      </c>
      <c r="X147" s="2">
        <f t="shared" si="64"/>
        <v>-15000</v>
      </c>
      <c r="Y147" s="2">
        <f t="shared" si="64"/>
        <v>-15000</v>
      </c>
      <c r="Z147" s="2">
        <f t="shared" si="64"/>
        <v>7185000</v>
      </c>
    </row>
    <row r="148" spans="1:27" x14ac:dyDescent="0.35">
      <c r="A148" t="s">
        <v>215</v>
      </c>
      <c r="C148" s="2">
        <f>C143-C139+C141</f>
        <v>-217934.15000000002</v>
      </c>
      <c r="D148" s="2">
        <f t="shared" ref="D148:V148" si="65">D143-D139+D141</f>
        <v>-828046.22692307702</v>
      </c>
      <c r="E148" s="2">
        <f t="shared" si="65"/>
        <v>1408000</v>
      </c>
      <c r="F148" s="2">
        <f t="shared" si="65"/>
        <v>-15000</v>
      </c>
      <c r="G148" s="2">
        <f t="shared" si="65"/>
        <v>-35000</v>
      </c>
      <c r="H148" s="2">
        <f t="shared" si="65"/>
        <v>-49650</v>
      </c>
      <c r="I148" s="2">
        <f t="shared" si="65"/>
        <v>-15000</v>
      </c>
      <c r="J148" s="2">
        <f t="shared" si="65"/>
        <v>-15000</v>
      </c>
      <c r="K148" s="2">
        <f t="shared" si="65"/>
        <v>-15000</v>
      </c>
      <c r="L148" s="2">
        <f t="shared" si="65"/>
        <v>1095500</v>
      </c>
      <c r="M148" s="2">
        <f t="shared" si="65"/>
        <v>-15000</v>
      </c>
      <c r="N148" s="2">
        <f t="shared" si="65"/>
        <v>-15000</v>
      </c>
      <c r="O148" s="2">
        <f t="shared" si="65"/>
        <v>-15000</v>
      </c>
      <c r="P148" s="2">
        <f t="shared" si="65"/>
        <v>-15000</v>
      </c>
      <c r="Q148" s="2">
        <f t="shared" si="65"/>
        <v>-35000</v>
      </c>
      <c r="R148" s="2">
        <f t="shared" si="65"/>
        <v>2685000</v>
      </c>
      <c r="S148" s="2">
        <f t="shared" si="65"/>
        <v>-15000</v>
      </c>
      <c r="T148" s="2">
        <f t="shared" si="65"/>
        <v>-15000</v>
      </c>
      <c r="U148" s="2">
        <f t="shared" si="65"/>
        <v>-15000</v>
      </c>
      <c r="V148" s="2">
        <f t="shared" si="65"/>
        <v>-35000</v>
      </c>
      <c r="W148" s="2">
        <f t="shared" ref="W148:Z148" si="66">W143-W139+W141</f>
        <v>-15000</v>
      </c>
      <c r="X148" s="2">
        <f t="shared" si="66"/>
        <v>-15000</v>
      </c>
      <c r="Y148" s="2">
        <f t="shared" si="66"/>
        <v>-15000</v>
      </c>
      <c r="Z148" s="2">
        <f t="shared" si="66"/>
        <v>7185000</v>
      </c>
    </row>
    <row r="149" spans="1:27" x14ac:dyDescent="0.35">
      <c r="A149" t="s">
        <v>213</v>
      </c>
      <c r="C149" s="2">
        <f t="shared" ref="C149:V149" si="67">C143-C140+C141</f>
        <v>-70020.816666666651</v>
      </c>
      <c r="D149" s="2">
        <f t="shared" si="67"/>
        <v>-740546.22692307702</v>
      </c>
      <c r="E149" s="2">
        <f t="shared" si="67"/>
        <v>1421333.3333333333</v>
      </c>
      <c r="F149" s="2">
        <f t="shared" si="67"/>
        <v>-15000</v>
      </c>
      <c r="G149" s="2">
        <f t="shared" si="67"/>
        <v>-28333.333333333332</v>
      </c>
      <c r="H149" s="2">
        <f t="shared" si="67"/>
        <v>-49650</v>
      </c>
      <c r="I149" s="2">
        <f t="shared" si="67"/>
        <v>-15000</v>
      </c>
      <c r="J149" s="2">
        <f t="shared" si="67"/>
        <v>-15000</v>
      </c>
      <c r="K149" s="2">
        <f t="shared" si="67"/>
        <v>-15000</v>
      </c>
      <c r="L149" s="2">
        <f t="shared" si="67"/>
        <v>1102166.6666666665</v>
      </c>
      <c r="M149" s="2">
        <f t="shared" si="67"/>
        <v>-15000</v>
      </c>
      <c r="N149" s="2">
        <f t="shared" si="67"/>
        <v>-15000</v>
      </c>
      <c r="O149" s="2">
        <f t="shared" si="67"/>
        <v>-15000</v>
      </c>
      <c r="P149" s="2">
        <f t="shared" si="67"/>
        <v>-15000</v>
      </c>
      <c r="Q149" s="2">
        <f t="shared" si="67"/>
        <v>-28333.333333333332</v>
      </c>
      <c r="R149" s="2">
        <f t="shared" si="67"/>
        <v>2685000</v>
      </c>
      <c r="S149" s="2">
        <f t="shared" si="67"/>
        <v>-15000</v>
      </c>
      <c r="T149" s="2">
        <f t="shared" si="67"/>
        <v>-15000</v>
      </c>
      <c r="U149" s="2">
        <f t="shared" si="67"/>
        <v>-15000</v>
      </c>
      <c r="V149" s="2">
        <f t="shared" si="67"/>
        <v>-28333.333333333332</v>
      </c>
      <c r="W149" s="2">
        <f t="shared" ref="W149:Z149" si="68">W143-W140+W141</f>
        <v>-15000</v>
      </c>
      <c r="X149" s="2">
        <f t="shared" si="68"/>
        <v>-15000</v>
      </c>
      <c r="Y149" s="2">
        <f t="shared" si="68"/>
        <v>-15000</v>
      </c>
      <c r="Z149" s="2">
        <f t="shared" si="68"/>
        <v>7185000</v>
      </c>
    </row>
    <row r="150" spans="1:27" hidden="1" x14ac:dyDescent="0.35">
      <c r="A150" t="s">
        <v>180</v>
      </c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7" hidden="1" x14ac:dyDescent="0.35">
      <c r="A151" t="s">
        <v>152</v>
      </c>
      <c r="C151" s="2">
        <f>C146</f>
        <v>-390433.15</v>
      </c>
      <c r="D151" s="2">
        <f>C151+D146</f>
        <v>-1294727.576923077</v>
      </c>
      <c r="E151" s="2">
        <f t="shared" ref="E151:Z154" si="69">D151+E146</f>
        <v>111272.42307692301</v>
      </c>
      <c r="F151" s="2">
        <f t="shared" si="69"/>
        <v>96272.423076923005</v>
      </c>
      <c r="G151" s="2">
        <f t="shared" si="69"/>
        <v>61272.423076923005</v>
      </c>
      <c r="H151" s="2">
        <f t="shared" si="69"/>
        <v>11622.423076923005</v>
      </c>
      <c r="I151" s="2">
        <f t="shared" si="69"/>
        <v>-3377.5769230769947</v>
      </c>
      <c r="J151" s="2">
        <f t="shared" si="69"/>
        <v>-18377.576923076995</v>
      </c>
      <c r="K151" s="2">
        <f t="shared" si="69"/>
        <v>-33377.576923076995</v>
      </c>
      <c r="L151" s="2">
        <f t="shared" si="69"/>
        <v>1062122.423076923</v>
      </c>
      <c r="M151" s="2">
        <f t="shared" si="69"/>
        <v>1047122.423076923</v>
      </c>
      <c r="N151" s="2">
        <f t="shared" si="69"/>
        <v>1032122.423076923</v>
      </c>
      <c r="O151" s="2">
        <f t="shared" si="69"/>
        <v>1017122.423076923</v>
      </c>
      <c r="P151" s="2">
        <f t="shared" si="69"/>
        <v>1002122.423076923</v>
      </c>
      <c r="Q151" s="2">
        <f t="shared" si="69"/>
        <v>967122.42307692301</v>
      </c>
      <c r="R151" s="2">
        <f t="shared" si="69"/>
        <v>3652122.423076923</v>
      </c>
      <c r="S151" s="2">
        <f t="shared" si="69"/>
        <v>3637122.423076923</v>
      </c>
      <c r="T151" s="2">
        <f t="shared" si="69"/>
        <v>3622122.423076923</v>
      </c>
      <c r="U151" s="2">
        <f t="shared" si="69"/>
        <v>3607122.423076923</v>
      </c>
      <c r="V151" s="2">
        <f t="shared" si="69"/>
        <v>3572122.423076923</v>
      </c>
      <c r="W151" s="2">
        <f t="shared" si="69"/>
        <v>3557122.423076923</v>
      </c>
      <c r="X151" s="2">
        <f t="shared" si="69"/>
        <v>3542122.423076923</v>
      </c>
      <c r="Y151" s="2">
        <f t="shared" si="69"/>
        <v>3527122.423076923</v>
      </c>
      <c r="Z151" s="2">
        <f t="shared" si="69"/>
        <v>10712122.423076924</v>
      </c>
    </row>
    <row r="152" spans="1:27" hidden="1" x14ac:dyDescent="0.35">
      <c r="A152" t="s">
        <v>153</v>
      </c>
      <c r="C152" s="2">
        <f>C147</f>
        <v>-242519.81666666665</v>
      </c>
      <c r="D152" s="2">
        <f>C152+D147</f>
        <v>-1059314.2435897435</v>
      </c>
      <c r="E152" s="2">
        <f t="shared" si="69"/>
        <v>360019.08974358975</v>
      </c>
      <c r="F152" s="2">
        <f t="shared" si="69"/>
        <v>345019.08974358975</v>
      </c>
      <c r="G152" s="2">
        <f t="shared" si="69"/>
        <v>316685.75641025644</v>
      </c>
      <c r="H152" s="2">
        <f t="shared" si="69"/>
        <v>267035.75641025644</v>
      </c>
      <c r="I152" s="2">
        <f t="shared" si="69"/>
        <v>252035.75641025644</v>
      </c>
      <c r="J152" s="2">
        <f t="shared" si="69"/>
        <v>237035.75641025644</v>
      </c>
      <c r="K152" s="2">
        <f t="shared" si="69"/>
        <v>222035.75641025644</v>
      </c>
      <c r="L152" s="2">
        <f t="shared" si="69"/>
        <v>1324202.423076923</v>
      </c>
      <c r="M152" s="2">
        <f t="shared" si="69"/>
        <v>1309202.423076923</v>
      </c>
      <c r="N152" s="2">
        <f t="shared" si="69"/>
        <v>1294202.423076923</v>
      </c>
      <c r="O152" s="2">
        <f t="shared" si="69"/>
        <v>1279202.423076923</v>
      </c>
      <c r="P152" s="2">
        <f t="shared" si="69"/>
        <v>1264202.423076923</v>
      </c>
      <c r="Q152" s="2">
        <f t="shared" si="69"/>
        <v>1235869.0897435897</v>
      </c>
      <c r="R152" s="2">
        <f t="shared" si="69"/>
        <v>3920869.08974359</v>
      </c>
      <c r="S152" s="2">
        <f t="shared" si="69"/>
        <v>3905869.08974359</v>
      </c>
      <c r="T152" s="2">
        <f t="shared" si="69"/>
        <v>3890869.08974359</v>
      </c>
      <c r="U152" s="2">
        <f t="shared" si="69"/>
        <v>3875869.08974359</v>
      </c>
      <c r="V152" s="2">
        <f t="shared" si="69"/>
        <v>3847535.7564102565</v>
      </c>
      <c r="W152" s="2">
        <f t="shared" si="69"/>
        <v>3832535.7564102565</v>
      </c>
      <c r="X152" s="2">
        <f t="shared" si="69"/>
        <v>3817535.7564102565</v>
      </c>
      <c r="Y152" s="2">
        <f t="shared" si="69"/>
        <v>3802535.7564102565</v>
      </c>
      <c r="Z152" s="2">
        <f t="shared" si="69"/>
        <v>10987535.756410256</v>
      </c>
    </row>
    <row r="153" spans="1:27" hidden="1" x14ac:dyDescent="0.35">
      <c r="A153" t="s">
        <v>215</v>
      </c>
      <c r="C153" s="2">
        <f>C148</f>
        <v>-217934.15000000002</v>
      </c>
      <c r="D153" s="2">
        <f>C153+D148</f>
        <v>-1045980.376923077</v>
      </c>
      <c r="E153" s="2">
        <f t="shared" si="69"/>
        <v>362019.62307692296</v>
      </c>
      <c r="F153" s="2">
        <f t="shared" si="69"/>
        <v>347019.62307692296</v>
      </c>
      <c r="G153" s="2">
        <f t="shared" si="69"/>
        <v>312019.62307692296</v>
      </c>
      <c r="H153" s="2">
        <f t="shared" si="69"/>
        <v>262369.62307692296</v>
      </c>
      <c r="I153" s="2">
        <f t="shared" si="69"/>
        <v>247369.62307692296</v>
      </c>
      <c r="J153" s="2">
        <f t="shared" si="69"/>
        <v>232369.62307692296</v>
      </c>
      <c r="K153" s="2">
        <f t="shared" si="69"/>
        <v>217369.62307692296</v>
      </c>
      <c r="L153" s="2">
        <f t="shared" si="69"/>
        <v>1312869.623076923</v>
      </c>
      <c r="M153" s="2">
        <f t="shared" si="69"/>
        <v>1297869.623076923</v>
      </c>
      <c r="N153" s="2">
        <f t="shared" si="69"/>
        <v>1282869.623076923</v>
      </c>
      <c r="O153" s="2">
        <f t="shared" si="69"/>
        <v>1267869.623076923</v>
      </c>
      <c r="P153" s="2">
        <f t="shared" si="69"/>
        <v>1252869.623076923</v>
      </c>
      <c r="Q153" s="2">
        <f t="shared" si="69"/>
        <v>1217869.623076923</v>
      </c>
      <c r="R153" s="2">
        <f t="shared" si="69"/>
        <v>3902869.6230769232</v>
      </c>
      <c r="S153" s="2">
        <f t="shared" si="69"/>
        <v>3887869.6230769232</v>
      </c>
      <c r="T153" s="2">
        <f t="shared" si="69"/>
        <v>3872869.6230769232</v>
      </c>
      <c r="U153" s="2">
        <f t="shared" si="69"/>
        <v>3857869.6230769232</v>
      </c>
      <c r="V153" s="2">
        <f t="shared" si="69"/>
        <v>3822869.6230769232</v>
      </c>
      <c r="W153" s="2">
        <f t="shared" si="69"/>
        <v>3807869.6230769232</v>
      </c>
      <c r="X153" s="2">
        <f t="shared" si="69"/>
        <v>3792869.6230769232</v>
      </c>
      <c r="Y153" s="2">
        <f t="shared" si="69"/>
        <v>3777869.6230769232</v>
      </c>
      <c r="Z153" s="2">
        <f t="shared" si="69"/>
        <v>10962869.623076923</v>
      </c>
    </row>
    <row r="154" spans="1:27" hidden="1" x14ac:dyDescent="0.35">
      <c r="A154" t="s">
        <v>213</v>
      </c>
      <c r="C154" s="2">
        <f>C149</f>
        <v>-70020.816666666651</v>
      </c>
      <c r="D154" s="2">
        <f>C154+D149</f>
        <v>-810567.04358974367</v>
      </c>
      <c r="E154" s="2">
        <f t="shared" si="69"/>
        <v>610766.28974358959</v>
      </c>
      <c r="F154" s="2">
        <f t="shared" si="69"/>
        <v>595766.28974358959</v>
      </c>
      <c r="G154" s="2">
        <f t="shared" si="69"/>
        <v>567432.95641025621</v>
      </c>
      <c r="H154" s="2">
        <f t="shared" si="69"/>
        <v>517782.95641025621</v>
      </c>
      <c r="I154" s="2">
        <f t="shared" si="69"/>
        <v>502782.95641025621</v>
      </c>
      <c r="J154" s="2">
        <f t="shared" si="69"/>
        <v>487782.95641025621</v>
      </c>
      <c r="K154" s="2">
        <f t="shared" si="69"/>
        <v>472782.95641025621</v>
      </c>
      <c r="L154" s="2">
        <f t="shared" si="69"/>
        <v>1574949.6230769227</v>
      </c>
      <c r="M154" s="2">
        <f t="shared" si="69"/>
        <v>1559949.6230769227</v>
      </c>
      <c r="N154" s="2">
        <f t="shared" si="69"/>
        <v>1544949.6230769227</v>
      </c>
      <c r="O154" s="2">
        <f t="shared" si="69"/>
        <v>1529949.6230769227</v>
      </c>
      <c r="P154" s="2">
        <f t="shared" si="69"/>
        <v>1514949.6230769227</v>
      </c>
      <c r="Q154" s="2">
        <f t="shared" si="69"/>
        <v>1486616.2897435895</v>
      </c>
      <c r="R154" s="2">
        <f t="shared" si="69"/>
        <v>4171616.2897435892</v>
      </c>
      <c r="S154" s="2">
        <f t="shared" si="69"/>
        <v>4156616.2897435892</v>
      </c>
      <c r="T154" s="2">
        <f t="shared" si="69"/>
        <v>4141616.2897435892</v>
      </c>
      <c r="U154" s="2">
        <f t="shared" si="69"/>
        <v>4126616.2897435892</v>
      </c>
      <c r="V154" s="2">
        <f t="shared" si="69"/>
        <v>4098282.9564102557</v>
      </c>
      <c r="W154" s="2">
        <f t="shared" si="69"/>
        <v>4083282.9564102557</v>
      </c>
      <c r="X154" s="2">
        <f t="shared" si="69"/>
        <v>4068282.9564102557</v>
      </c>
      <c r="Y154" s="2">
        <f t="shared" si="69"/>
        <v>4053282.9564102557</v>
      </c>
      <c r="Z154" s="2">
        <f t="shared" si="69"/>
        <v>11238282.956410255</v>
      </c>
    </row>
    <row r="155" spans="1:27" hidden="1" x14ac:dyDescent="0.35">
      <c r="A155" t="s">
        <v>181</v>
      </c>
      <c r="AA155" s="2"/>
    </row>
    <row r="156" spans="1:27" hidden="1" x14ac:dyDescent="0.35">
      <c r="A156" t="s">
        <v>152</v>
      </c>
      <c r="C156" s="2" t="e">
        <f>C151/((1+fin_disc_rate)^1)</f>
        <v>#REF!</v>
      </c>
      <c r="D156" s="2" t="e">
        <f>D151/((1+fin_disc_rate)^2)</f>
        <v>#REF!</v>
      </c>
      <c r="E156" s="2" t="e">
        <f>E151/((1+fin_disc_rate)^3)</f>
        <v>#REF!</v>
      </c>
      <c r="F156" s="2" t="e">
        <f>F151/((1+fin_disc_rate)^4)</f>
        <v>#REF!</v>
      </c>
      <c r="G156" s="2" t="e">
        <f>G151/((1+fin_disc_rate)^5)</f>
        <v>#REF!</v>
      </c>
      <c r="H156" s="2" t="e">
        <f>H151/((1+fin_disc_rate)^6)</f>
        <v>#REF!</v>
      </c>
      <c r="I156" s="2" t="e">
        <f>I151/((1+fin_disc_rate)^7)</f>
        <v>#REF!</v>
      </c>
      <c r="J156" s="2" t="e">
        <f>J151/((1+fin_disc_rate)^8)</f>
        <v>#REF!</v>
      </c>
      <c r="K156" s="2" t="e">
        <f>K151/((1+fin_disc_rate)^9)</f>
        <v>#REF!</v>
      </c>
      <c r="L156" s="2" t="e">
        <f>L151/((1+fin_disc_rate)^10)</f>
        <v>#REF!</v>
      </c>
      <c r="M156" s="2" t="e">
        <f>M151/((1+fin_disc_rate)^11)</f>
        <v>#REF!</v>
      </c>
      <c r="N156" s="2" t="e">
        <f>N151/((1+fin_disc_rate)^12)</f>
        <v>#REF!</v>
      </c>
      <c r="O156" s="2" t="e">
        <f>O151/((1+fin_disc_rate)^13)</f>
        <v>#REF!</v>
      </c>
      <c r="P156" s="2" t="e">
        <f>P151/((1+fin_disc_rate)^14)</f>
        <v>#REF!</v>
      </c>
      <c r="Q156" s="2" t="e">
        <f>Q151/((1+fin_disc_rate)^15)</f>
        <v>#REF!</v>
      </c>
      <c r="R156" s="2" t="e">
        <f>R151/((1+fin_disc_rate)^16)</f>
        <v>#REF!</v>
      </c>
      <c r="S156" s="2" t="e">
        <f>S151/((1+fin_disc_rate)^17)</f>
        <v>#REF!</v>
      </c>
      <c r="T156" s="2" t="e">
        <f>T151/((1+fin_disc_rate)^18)</f>
        <v>#REF!</v>
      </c>
      <c r="U156" s="2" t="e">
        <f>U151/((1+fin_disc_rate)^19)</f>
        <v>#REF!</v>
      </c>
      <c r="V156" s="2" t="e">
        <f>V151/((1+fin_disc_rate)^20)</f>
        <v>#REF!</v>
      </c>
      <c r="W156" s="2" t="e">
        <f>W151/((1+fin_disc_rate)^21)</f>
        <v>#REF!</v>
      </c>
      <c r="X156" s="2" t="e">
        <f>X151/((1+fin_disc_rate)^22)</f>
        <v>#REF!</v>
      </c>
      <c r="Y156" s="2" t="e">
        <f>Y151/((1+fin_disc_rate)^23)</f>
        <v>#REF!</v>
      </c>
      <c r="Z156" s="2" t="e">
        <f>Z151/((1+fin_disc_rate)^24)</f>
        <v>#REF!</v>
      </c>
    </row>
    <row r="157" spans="1:27" hidden="1" x14ac:dyDescent="0.35">
      <c r="A157" t="s">
        <v>153</v>
      </c>
      <c r="C157" s="2" t="e">
        <f>C152/((1+fin_disc_rate)^1)</f>
        <v>#REF!</v>
      </c>
      <c r="D157" s="2" t="e">
        <f>D152/((1+fin_disc_rate)^2)</f>
        <v>#REF!</v>
      </c>
      <c r="E157" s="2" t="e">
        <f>E152/((1+fin_disc_rate)^3)</f>
        <v>#REF!</v>
      </c>
      <c r="F157" s="2" t="e">
        <f>F152/((1+fin_disc_rate)^4)</f>
        <v>#REF!</v>
      </c>
      <c r="G157" s="2" t="e">
        <f>G152/((1+fin_disc_rate)^5)</f>
        <v>#REF!</v>
      </c>
      <c r="H157" s="2" t="e">
        <f>H152/((1+fin_disc_rate)^6)</f>
        <v>#REF!</v>
      </c>
      <c r="I157" s="2" t="e">
        <f>I152/((1+fin_disc_rate)^7)</f>
        <v>#REF!</v>
      </c>
      <c r="J157" s="2" t="e">
        <f>J152/((1+fin_disc_rate)^8)</f>
        <v>#REF!</v>
      </c>
      <c r="K157" s="2" t="e">
        <f>K152/((1+fin_disc_rate)^9)</f>
        <v>#REF!</v>
      </c>
      <c r="L157" s="2" t="e">
        <f>L152/((1+fin_disc_rate)^10)</f>
        <v>#REF!</v>
      </c>
      <c r="M157" s="2" t="e">
        <f>M152/((1+fin_disc_rate)^11)</f>
        <v>#REF!</v>
      </c>
      <c r="N157" s="2" t="e">
        <f>N152/((1+fin_disc_rate)^12)</f>
        <v>#REF!</v>
      </c>
      <c r="O157" s="2" t="e">
        <f>O152/((1+fin_disc_rate)^13)</f>
        <v>#REF!</v>
      </c>
      <c r="P157" s="2" t="e">
        <f>P152/((1+fin_disc_rate)^14)</f>
        <v>#REF!</v>
      </c>
      <c r="Q157" s="2" t="e">
        <f>Q152/((1+fin_disc_rate)^15)</f>
        <v>#REF!</v>
      </c>
      <c r="R157" s="2" t="e">
        <f>R152/((1+fin_disc_rate)^16)</f>
        <v>#REF!</v>
      </c>
      <c r="S157" s="2" t="e">
        <f>S152/((1+fin_disc_rate)^17)</f>
        <v>#REF!</v>
      </c>
      <c r="T157" s="2" t="e">
        <f>T152/((1+fin_disc_rate)^18)</f>
        <v>#REF!</v>
      </c>
      <c r="U157" s="2" t="e">
        <f>U152/((1+fin_disc_rate)^19)</f>
        <v>#REF!</v>
      </c>
      <c r="V157" s="2" t="e">
        <f>V152/((1+fin_disc_rate)^20)</f>
        <v>#REF!</v>
      </c>
      <c r="W157" s="2" t="e">
        <f>W152/((1+fin_disc_rate)^21)</f>
        <v>#REF!</v>
      </c>
      <c r="X157" s="2" t="e">
        <f>X152/((1+fin_disc_rate)^22)</f>
        <v>#REF!</v>
      </c>
      <c r="Y157" s="2" t="e">
        <f>Y152/((1+fin_disc_rate)^23)</f>
        <v>#REF!</v>
      </c>
      <c r="Z157" s="2" t="e">
        <f>Z152/((1+fin_disc_rate)^24)</f>
        <v>#REF!</v>
      </c>
    </row>
    <row r="158" spans="1:27" hidden="1" x14ac:dyDescent="0.35">
      <c r="A158" t="s">
        <v>215</v>
      </c>
      <c r="C158" s="2" t="e">
        <f>C153/((1+fin_disc_rate)^1)</f>
        <v>#REF!</v>
      </c>
      <c r="D158" s="2" t="e">
        <f>D153/((1+fin_disc_rate)^2)</f>
        <v>#REF!</v>
      </c>
      <c r="E158" s="2" t="e">
        <f>E153/((1+fin_disc_rate)^3)</f>
        <v>#REF!</v>
      </c>
      <c r="F158" s="2" t="e">
        <f>F153/((1+fin_disc_rate)^4)</f>
        <v>#REF!</v>
      </c>
      <c r="G158" s="2" t="e">
        <f>G153/((1+fin_disc_rate)^5)</f>
        <v>#REF!</v>
      </c>
      <c r="H158" s="2" t="e">
        <f>H153/((1+fin_disc_rate)^6)</f>
        <v>#REF!</v>
      </c>
      <c r="I158" s="2" t="e">
        <f>I153/((1+fin_disc_rate)^7)</f>
        <v>#REF!</v>
      </c>
      <c r="J158" s="2" t="e">
        <f>J153/((1+fin_disc_rate)^8)</f>
        <v>#REF!</v>
      </c>
      <c r="K158" s="2" t="e">
        <f>K153/((1+fin_disc_rate)^9)</f>
        <v>#REF!</v>
      </c>
      <c r="L158" s="2" t="e">
        <f>L153/((1+fin_disc_rate)^10)</f>
        <v>#REF!</v>
      </c>
      <c r="M158" s="2" t="e">
        <f>M153/((1+fin_disc_rate)^11)</f>
        <v>#REF!</v>
      </c>
      <c r="N158" s="2" t="e">
        <f>N153/((1+fin_disc_rate)^12)</f>
        <v>#REF!</v>
      </c>
      <c r="O158" s="2" t="e">
        <f>O153/((1+fin_disc_rate)^13)</f>
        <v>#REF!</v>
      </c>
      <c r="P158" s="2" t="e">
        <f>P153/((1+fin_disc_rate)^14)</f>
        <v>#REF!</v>
      </c>
      <c r="Q158" s="2" t="e">
        <f>Q153/((1+fin_disc_rate)^15)</f>
        <v>#REF!</v>
      </c>
      <c r="R158" s="2" t="e">
        <f>R153/((1+fin_disc_rate)^16)</f>
        <v>#REF!</v>
      </c>
      <c r="S158" s="2" t="e">
        <f>S153/((1+fin_disc_rate)^17)</f>
        <v>#REF!</v>
      </c>
      <c r="T158" s="2" t="e">
        <f>T153/((1+fin_disc_rate)^18)</f>
        <v>#REF!</v>
      </c>
      <c r="U158" s="2" t="e">
        <f>U153/((1+fin_disc_rate)^19)</f>
        <v>#REF!</v>
      </c>
      <c r="V158" s="2" t="e">
        <f>V153/((1+fin_disc_rate)^20)</f>
        <v>#REF!</v>
      </c>
      <c r="W158" s="2" t="e">
        <f>W153/((1+fin_disc_rate)^21)</f>
        <v>#REF!</v>
      </c>
      <c r="X158" s="2" t="e">
        <f>X153/((1+fin_disc_rate)^22)</f>
        <v>#REF!</v>
      </c>
      <c r="Y158" s="2" t="e">
        <f>Y153/((1+fin_disc_rate)^23)</f>
        <v>#REF!</v>
      </c>
      <c r="Z158" s="2" t="e">
        <f>Z153/((1+fin_disc_rate)^24)</f>
        <v>#REF!</v>
      </c>
    </row>
    <row r="159" spans="1:27" hidden="1" x14ac:dyDescent="0.35">
      <c r="A159" t="s">
        <v>213</v>
      </c>
      <c r="C159" s="2" t="e">
        <f>C154/((1+fin_disc_rate)^1)</f>
        <v>#REF!</v>
      </c>
      <c r="D159" s="2" t="e">
        <f>D154/((1+fin_disc_rate)^2)</f>
        <v>#REF!</v>
      </c>
      <c r="E159" s="2" t="e">
        <f>E154/((1+fin_disc_rate)^3)</f>
        <v>#REF!</v>
      </c>
      <c r="F159" s="2" t="e">
        <f>F154/((1+fin_disc_rate)^4)</f>
        <v>#REF!</v>
      </c>
      <c r="G159" s="2" t="e">
        <f>G154/((1+fin_disc_rate)^5)</f>
        <v>#REF!</v>
      </c>
      <c r="H159" s="2" t="e">
        <f>H154/((1+fin_disc_rate)^6)</f>
        <v>#REF!</v>
      </c>
      <c r="I159" s="2" t="e">
        <f>I154/((1+fin_disc_rate)^7)</f>
        <v>#REF!</v>
      </c>
      <c r="J159" s="2" t="e">
        <f>J154/((1+fin_disc_rate)^8)</f>
        <v>#REF!</v>
      </c>
      <c r="K159" s="2" t="e">
        <f>K154/((1+fin_disc_rate)^9)</f>
        <v>#REF!</v>
      </c>
      <c r="L159" s="2" t="e">
        <f>L154/((1+fin_disc_rate)^10)</f>
        <v>#REF!</v>
      </c>
      <c r="M159" s="2" t="e">
        <f>M154/((1+fin_disc_rate)^11)</f>
        <v>#REF!</v>
      </c>
      <c r="N159" s="2" t="e">
        <f>N154/((1+fin_disc_rate)^12)</f>
        <v>#REF!</v>
      </c>
      <c r="O159" s="2" t="e">
        <f>O154/((1+fin_disc_rate)^13)</f>
        <v>#REF!</v>
      </c>
      <c r="P159" s="2" t="e">
        <f>P154/((1+fin_disc_rate)^14)</f>
        <v>#REF!</v>
      </c>
      <c r="Q159" s="2" t="e">
        <f>Q154/((1+fin_disc_rate)^15)</f>
        <v>#REF!</v>
      </c>
      <c r="R159" s="2" t="e">
        <f>R154/((1+fin_disc_rate)^16)</f>
        <v>#REF!</v>
      </c>
      <c r="S159" s="2" t="e">
        <f>S154/((1+fin_disc_rate)^17)</f>
        <v>#REF!</v>
      </c>
      <c r="T159" s="2" t="e">
        <f>T154/((1+fin_disc_rate)^18)</f>
        <v>#REF!</v>
      </c>
      <c r="U159" s="2" t="e">
        <f>U154/((1+fin_disc_rate)^19)</f>
        <v>#REF!</v>
      </c>
      <c r="V159" s="2" t="e">
        <f>V154/((1+fin_disc_rate)^20)</f>
        <v>#REF!</v>
      </c>
      <c r="W159" s="2" t="e">
        <f>W154/((1+fin_disc_rate)^21)</f>
        <v>#REF!</v>
      </c>
      <c r="X159" s="2" t="e">
        <f>X154/((1+fin_disc_rate)^22)</f>
        <v>#REF!</v>
      </c>
      <c r="Y159" s="2" t="e">
        <f>Y154/((1+fin_disc_rate)^23)</f>
        <v>#REF!</v>
      </c>
      <c r="Z159" s="2" t="e">
        <f>Z154/((1+fin_disc_rate)^24)</f>
        <v>#REF!</v>
      </c>
    </row>
    <row r="160" spans="1:27" hidden="1" x14ac:dyDescent="0.35">
      <c r="A160" s="37" t="s">
        <v>182</v>
      </c>
      <c r="Z160" t="s">
        <v>178</v>
      </c>
    </row>
    <row r="161" spans="1:3" ht="15" hidden="1" customHeight="1" x14ac:dyDescent="0.35">
      <c r="A161" t="s">
        <v>147</v>
      </c>
      <c r="B161" s="24">
        <f>NPV(disc_rate_fin,C146:Z146)</f>
        <v>1191553.9903037667</v>
      </c>
    </row>
    <row r="162" spans="1:3" ht="15" hidden="1" customHeight="1" x14ac:dyDescent="0.35">
      <c r="A162" t="s">
        <v>148</v>
      </c>
      <c r="B162" s="2">
        <f>B161/usd</f>
        <v>2019.5830344131639</v>
      </c>
    </row>
    <row r="163" spans="1:3" ht="15" hidden="1" customHeight="1" x14ac:dyDescent="0.35">
      <c r="A163" t="s">
        <v>149</v>
      </c>
      <c r="B163" s="23">
        <f>IRR(C146:Z146)</f>
        <v>0.25394408875813834</v>
      </c>
    </row>
    <row r="164" spans="1:3" hidden="1" x14ac:dyDescent="0.35">
      <c r="A164" s="37" t="s">
        <v>228</v>
      </c>
      <c r="B164" s="23"/>
    </row>
    <row r="165" spans="1:3" hidden="1" x14ac:dyDescent="0.35">
      <c r="A165" t="s">
        <v>147</v>
      </c>
      <c r="B165" s="24" t="e">
        <f>NPV(fin_disc_rate,C147:Z147)</f>
        <v>#REF!</v>
      </c>
    </row>
    <row r="166" spans="1:3" hidden="1" x14ac:dyDescent="0.35">
      <c r="A166" t="s">
        <v>148</v>
      </c>
      <c r="B166" s="24" t="e">
        <f>B165/usd</f>
        <v>#REF!</v>
      </c>
    </row>
    <row r="167" spans="1:3" hidden="1" x14ac:dyDescent="0.35">
      <c r="A167" t="s">
        <v>149</v>
      </c>
      <c r="B167" s="23">
        <f>IRR(C147:Z147)</f>
        <v>0.35535194798524872</v>
      </c>
    </row>
    <row r="168" spans="1:3" x14ac:dyDescent="0.35">
      <c r="A168" s="37" t="s">
        <v>183</v>
      </c>
    </row>
    <row r="169" spans="1:3" x14ac:dyDescent="0.35">
      <c r="A169" t="s">
        <v>147</v>
      </c>
      <c r="B169" s="24">
        <f>NPV(disc_rate_fin,C148:Z148)</f>
        <v>1409035.3850417214</v>
      </c>
      <c r="C169" s="149"/>
    </row>
    <row r="170" spans="1:3" x14ac:dyDescent="0.35">
      <c r="A170" t="s">
        <v>148</v>
      </c>
      <c r="B170" s="21">
        <f>B169/usd</f>
        <v>2388.1955678673244</v>
      </c>
    </row>
    <row r="171" spans="1:3" x14ac:dyDescent="0.35">
      <c r="A171" t="s">
        <v>149</v>
      </c>
      <c r="B171" s="23">
        <f>IRR(C148:Z148)</f>
        <v>0.36074156843463712</v>
      </c>
    </row>
    <row r="172" spans="1:3" hidden="1" x14ac:dyDescent="0.35">
      <c r="A172" s="37" t="s">
        <v>184</v>
      </c>
    </row>
    <row r="173" spans="1:3" hidden="1" x14ac:dyDescent="0.35">
      <c r="A173" t="s">
        <v>147</v>
      </c>
      <c r="B173" s="24" t="e">
        <f>NPV(fin_disc_rate,C154:Z154)</f>
        <v>#REF!</v>
      </c>
    </row>
    <row r="174" spans="1:3" hidden="1" x14ac:dyDescent="0.35">
      <c r="A174" t="s">
        <v>148</v>
      </c>
      <c r="B174" s="21" t="e">
        <f>B173/usd</f>
        <v>#REF!</v>
      </c>
    </row>
    <row r="175" spans="1:3" hidden="1" x14ac:dyDescent="0.35">
      <c r="A175" t="s">
        <v>149</v>
      </c>
      <c r="B175" s="23">
        <f>IRR(C154:Z154)</f>
        <v>0.65980868137553372</v>
      </c>
    </row>
    <row r="178" spans="1:22" x14ac:dyDescent="0.35">
      <c r="A178" s="1" t="s">
        <v>475</v>
      </c>
    </row>
    <row r="179" spans="1:22" x14ac:dyDescent="0.35">
      <c r="A179" t="s">
        <v>386</v>
      </c>
      <c r="B179" s="66">
        <v>0.36</v>
      </c>
      <c r="C179" s="2">
        <f>SUM(C132:C137)*(1-$B179)-(C139-C141)</f>
        <v>-361934.15</v>
      </c>
      <c r="D179" s="2">
        <f t="shared" ref="D179:V179" si="70">SUM(D132:D137)*(1-$B179)-(D139-D141)</f>
        <v>-828046.22692307702</v>
      </c>
      <c r="E179" s="2">
        <f t="shared" si="70"/>
        <v>883120</v>
      </c>
      <c r="F179" s="2">
        <f t="shared" si="70"/>
        <v>-15000</v>
      </c>
      <c r="G179" s="2">
        <f t="shared" si="70"/>
        <v>-35000</v>
      </c>
      <c r="H179" s="2">
        <f t="shared" si="70"/>
        <v>-50838</v>
      </c>
      <c r="I179" s="2">
        <f t="shared" si="70"/>
        <v>-15000</v>
      </c>
      <c r="J179" s="2">
        <f t="shared" si="70"/>
        <v>-15000</v>
      </c>
      <c r="K179" s="2">
        <f t="shared" si="70"/>
        <v>-15000</v>
      </c>
      <c r="L179" s="2">
        <f t="shared" si="70"/>
        <v>465500</v>
      </c>
      <c r="M179" s="2">
        <f t="shared" si="70"/>
        <v>-15000</v>
      </c>
      <c r="N179" s="2">
        <f t="shared" si="70"/>
        <v>-15000</v>
      </c>
      <c r="O179" s="2">
        <f t="shared" si="70"/>
        <v>-15000</v>
      </c>
      <c r="P179" s="2">
        <f t="shared" si="70"/>
        <v>-15000</v>
      </c>
      <c r="Q179" s="2">
        <f t="shared" si="70"/>
        <v>-35000</v>
      </c>
      <c r="R179" s="2">
        <f t="shared" si="70"/>
        <v>1713000</v>
      </c>
      <c r="S179" s="2">
        <f t="shared" si="70"/>
        <v>-15000</v>
      </c>
      <c r="T179" s="2">
        <f t="shared" si="70"/>
        <v>-15000</v>
      </c>
      <c r="U179" s="2">
        <f t="shared" si="70"/>
        <v>-15000</v>
      </c>
      <c r="V179" s="2">
        <f t="shared" si="70"/>
        <v>-35000</v>
      </c>
    </row>
    <row r="180" spans="1:22" x14ac:dyDescent="0.35">
      <c r="A180" t="s">
        <v>125</v>
      </c>
      <c r="B180" s="24">
        <f>NPV(disc_rate_fin,C179:V179)</f>
        <v>-4728.3627671240974</v>
      </c>
    </row>
    <row r="181" spans="1:22" x14ac:dyDescent="0.35">
      <c r="A181" t="s">
        <v>387</v>
      </c>
      <c r="B181" s="66">
        <v>0.56000000000000005</v>
      </c>
      <c r="C181" s="2">
        <f>SUM(C132:C137)-(C139-C141)*(1+$B181)</f>
        <v>-563977.27400000009</v>
      </c>
      <c r="D181" s="2">
        <f t="shared" ref="D181:V181" si="71">SUM(D132:D137)-(D139-D141)*(1+$B181)</f>
        <v>-1291752.1140000003</v>
      </c>
      <c r="E181" s="2">
        <f t="shared" si="71"/>
        <v>1380000</v>
      </c>
      <c r="F181" s="2">
        <f t="shared" si="71"/>
        <v>-23400</v>
      </c>
      <c r="G181" s="2">
        <f t="shared" si="71"/>
        <v>-54600</v>
      </c>
      <c r="H181" s="2">
        <f t="shared" si="71"/>
        <v>-79302</v>
      </c>
      <c r="I181" s="2">
        <f t="shared" si="71"/>
        <v>-23400</v>
      </c>
      <c r="J181" s="2">
        <f t="shared" si="71"/>
        <v>-23400</v>
      </c>
      <c r="K181" s="2">
        <f t="shared" si="71"/>
        <v>-23400</v>
      </c>
      <c r="L181" s="2">
        <f t="shared" si="71"/>
        <v>728980</v>
      </c>
      <c r="M181" s="2">
        <f t="shared" si="71"/>
        <v>-23400</v>
      </c>
      <c r="N181" s="2">
        <f t="shared" si="71"/>
        <v>-23400</v>
      </c>
      <c r="O181" s="2">
        <f t="shared" si="71"/>
        <v>-23400</v>
      </c>
      <c r="P181" s="2">
        <f t="shared" si="71"/>
        <v>-23400</v>
      </c>
      <c r="Q181" s="2">
        <f t="shared" si="71"/>
        <v>-54600</v>
      </c>
      <c r="R181" s="2">
        <f t="shared" si="71"/>
        <v>2676600</v>
      </c>
      <c r="S181" s="2">
        <f t="shared" si="71"/>
        <v>-23400</v>
      </c>
      <c r="T181" s="2">
        <f t="shared" si="71"/>
        <v>-23400</v>
      </c>
      <c r="U181" s="2">
        <f t="shared" si="71"/>
        <v>-23400</v>
      </c>
      <c r="V181" s="2">
        <f t="shared" si="71"/>
        <v>-54600</v>
      </c>
    </row>
    <row r="182" spans="1:22" x14ac:dyDescent="0.35">
      <c r="A182" t="s">
        <v>125</v>
      </c>
      <c r="B182" s="24">
        <f>NPV(disc_rate_fin,C181:V181)</f>
        <v>-3416.8676632985866</v>
      </c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59"/>
  <sheetViews>
    <sheetView workbookViewId="0">
      <pane ySplit="5" topLeftCell="A137" activePane="bottomLeft" state="frozen"/>
      <selection pane="bottomLeft" activeCell="C146" sqref="C146"/>
    </sheetView>
  </sheetViews>
  <sheetFormatPr defaultRowHeight="14.5" x14ac:dyDescent="0.35"/>
  <cols>
    <col min="1" max="1" width="31" customWidth="1"/>
    <col min="2" max="2" width="13.54296875" bestFit="1" customWidth="1"/>
    <col min="4" max="4" width="9.81640625" bestFit="1" customWidth="1"/>
  </cols>
  <sheetData>
    <row r="1" spans="1:26" x14ac:dyDescent="0.35">
      <c r="A1" s="48" t="s">
        <v>229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</row>
    <row r="2" spans="1:26" x14ac:dyDescent="0.35">
      <c r="A2" t="s">
        <v>223</v>
      </c>
      <c r="B2">
        <v>833</v>
      </c>
    </row>
    <row r="4" spans="1:26" x14ac:dyDescent="0.35">
      <c r="A4" s="68" t="s">
        <v>398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35">
      <c r="A5" s="9" t="s">
        <v>7</v>
      </c>
      <c r="B5" s="10" t="s">
        <v>11</v>
      </c>
      <c r="C5" s="11" t="s">
        <v>399</v>
      </c>
      <c r="D5" s="11" t="s">
        <v>400</v>
      </c>
      <c r="E5" s="11" t="s">
        <v>401</v>
      </c>
      <c r="F5" s="11" t="s">
        <v>402</v>
      </c>
      <c r="G5" s="11" t="s">
        <v>403</v>
      </c>
      <c r="H5" s="11" t="s">
        <v>404</v>
      </c>
      <c r="I5" s="11" t="s">
        <v>405</v>
      </c>
      <c r="J5" s="11" t="s">
        <v>406</v>
      </c>
      <c r="K5" s="11" t="s">
        <v>407</v>
      </c>
      <c r="L5" s="11" t="s">
        <v>408</v>
      </c>
      <c r="M5" s="11" t="s">
        <v>409</v>
      </c>
      <c r="N5" s="11" t="s">
        <v>410</v>
      </c>
      <c r="O5" s="11" t="s">
        <v>411</v>
      </c>
      <c r="P5" s="11" t="s">
        <v>412</v>
      </c>
      <c r="Q5" s="11" t="s">
        <v>413</v>
      </c>
      <c r="R5" s="11" t="s">
        <v>414</v>
      </c>
      <c r="S5" s="11" t="s">
        <v>415</v>
      </c>
      <c r="T5" s="11" t="s">
        <v>416</v>
      </c>
      <c r="U5" s="11" t="s">
        <v>417</v>
      </c>
      <c r="V5" s="11" t="s">
        <v>418</v>
      </c>
      <c r="W5" s="11" t="s">
        <v>425</v>
      </c>
      <c r="X5" s="11" t="s">
        <v>428</v>
      </c>
      <c r="Y5" s="11" t="s">
        <v>429</v>
      </c>
      <c r="Z5" s="11" t="s">
        <v>430</v>
      </c>
    </row>
    <row r="6" spans="1:26" x14ac:dyDescent="0.35">
      <c r="A6" s="19" t="s">
        <v>84</v>
      </c>
      <c r="B6" s="8"/>
    </row>
    <row r="7" spans="1:26" x14ac:dyDescent="0.35">
      <c r="A7" s="19" t="s">
        <v>85</v>
      </c>
      <c r="B7" s="8" t="s">
        <v>10</v>
      </c>
      <c r="C7" s="2">
        <f>'Refort smallholders FIN'!C7</f>
        <v>3.7863636363636362</v>
      </c>
      <c r="D7" s="4">
        <f>'Refort smallholders FIN'!D7</f>
        <v>0.37863636363636366</v>
      </c>
    </row>
    <row r="8" spans="1:26" x14ac:dyDescent="0.35">
      <c r="A8" s="19" t="s">
        <v>17</v>
      </c>
      <c r="B8" s="8" t="s">
        <v>11</v>
      </c>
      <c r="C8" s="2">
        <f>'Refort smallholders FIN'!C8</f>
        <v>1666</v>
      </c>
      <c r="D8" s="4">
        <f>'Refort smallholders FIN'!D8</f>
        <v>166.60000000000002</v>
      </c>
    </row>
    <row r="9" spans="1:26" x14ac:dyDescent="0.35">
      <c r="A9" s="19" t="s">
        <v>87</v>
      </c>
      <c r="B9" s="8" t="s">
        <v>1</v>
      </c>
      <c r="C9" s="2">
        <f>'Refort smallholders FIN'!C9</f>
        <v>1</v>
      </c>
      <c r="D9" s="4">
        <f>'Refort smallholders FIN'!D9</f>
        <v>0.1</v>
      </c>
    </row>
    <row r="10" spans="1:26" x14ac:dyDescent="0.35">
      <c r="A10" s="19" t="s">
        <v>177</v>
      </c>
      <c r="B10" s="8" t="s">
        <v>93</v>
      </c>
      <c r="C10" s="2">
        <f>'Refort smallholders FIN'!C10</f>
        <v>1</v>
      </c>
      <c r="D10" s="4">
        <f>'Refort smallholders FIN'!D10</f>
        <v>0.1</v>
      </c>
    </row>
    <row r="11" spans="1:26" x14ac:dyDescent="0.35">
      <c r="A11" s="19" t="s">
        <v>92</v>
      </c>
      <c r="B11" s="8" t="s">
        <v>93</v>
      </c>
      <c r="C11" s="2">
        <f>'Refort smallholders FIN'!C11</f>
        <v>916.30000000000007</v>
      </c>
      <c r="D11" s="4">
        <f>'Refort smallholders FIN'!D11</f>
        <v>91.63000000000001</v>
      </c>
    </row>
    <row r="12" spans="1:26" x14ac:dyDescent="0.35">
      <c r="A12" s="19" t="s">
        <v>127</v>
      </c>
      <c r="B12" s="8" t="s">
        <v>93</v>
      </c>
      <c r="C12" s="2">
        <f>'Refort smallholders FIN'!C12</f>
        <v>916.30000000000007</v>
      </c>
      <c r="D12" s="4">
        <f>'Refort smallholders FIN'!D12</f>
        <v>0</v>
      </c>
    </row>
    <row r="13" spans="1:26" x14ac:dyDescent="0.35">
      <c r="A13" s="19" t="s">
        <v>224</v>
      </c>
      <c r="B13" s="8" t="s">
        <v>93</v>
      </c>
      <c r="C13" s="2">
        <f>'Refort smallholders FIN'!C13</f>
        <v>916.30000000000007</v>
      </c>
      <c r="D13" s="4">
        <f>'Refort smallholders FIN'!D13</f>
        <v>0</v>
      </c>
    </row>
    <row r="14" spans="1:26" x14ac:dyDescent="0.35">
      <c r="A14" s="19" t="s">
        <v>95</v>
      </c>
      <c r="B14" s="8" t="s">
        <v>93</v>
      </c>
      <c r="C14" s="2">
        <f>'Refort smallholders FIN'!C14</f>
        <v>916.30000000000007</v>
      </c>
      <c r="D14" s="4">
        <f>'Refort smallholders FIN'!D14</f>
        <v>91.63000000000001</v>
      </c>
    </row>
    <row r="15" spans="1:26" x14ac:dyDescent="0.35">
      <c r="A15" s="19"/>
      <c r="B15" s="8"/>
    </row>
    <row r="16" spans="1:26" x14ac:dyDescent="0.35">
      <c r="A16" s="19" t="s">
        <v>225</v>
      </c>
      <c r="B16" s="8"/>
    </row>
    <row r="17" spans="1:26" x14ac:dyDescent="0.35">
      <c r="A17" s="19" t="s">
        <v>98</v>
      </c>
      <c r="B17" s="8" t="s">
        <v>1</v>
      </c>
      <c r="C17" s="2">
        <f>'Refort smallholders FIN'!C17</f>
        <v>0</v>
      </c>
    </row>
    <row r="18" spans="1:26" x14ac:dyDescent="0.35">
      <c r="A18" s="19" t="s">
        <v>99</v>
      </c>
      <c r="B18" s="8" t="s">
        <v>1</v>
      </c>
      <c r="C18" s="2">
        <f>'Refort smallholders FIN'!C18</f>
        <v>1</v>
      </c>
    </row>
    <row r="19" spans="1:26" x14ac:dyDescent="0.35">
      <c r="A19" s="19" t="s">
        <v>226</v>
      </c>
      <c r="B19" s="8" t="s">
        <v>1</v>
      </c>
      <c r="C19" s="2">
        <f>'Refort smallholders FIN'!C19</f>
        <v>1</v>
      </c>
    </row>
    <row r="20" spans="1:26" x14ac:dyDescent="0.35">
      <c r="A20" s="19" t="s">
        <v>49</v>
      </c>
      <c r="B20" s="8" t="s">
        <v>93</v>
      </c>
      <c r="C20" s="2">
        <f>'Refort smallholders FIN'!C20</f>
        <v>833</v>
      </c>
    </row>
    <row r="21" spans="1:26" x14ac:dyDescent="0.35">
      <c r="A21" s="19" t="s">
        <v>70</v>
      </c>
      <c r="B21" s="8" t="s">
        <v>93</v>
      </c>
      <c r="C21" s="2">
        <f>'Refort smallholders FIN'!C21</f>
        <v>833</v>
      </c>
    </row>
    <row r="22" spans="1:26" x14ac:dyDescent="0.35">
      <c r="A22" s="19" t="s">
        <v>100</v>
      </c>
      <c r="B22" s="8" t="s">
        <v>93</v>
      </c>
      <c r="C22" s="2">
        <f>'Refort smallholders FIN'!C22</f>
        <v>833</v>
      </c>
    </row>
    <row r="23" spans="1:26" x14ac:dyDescent="0.35">
      <c r="B23" s="8"/>
    </row>
    <row r="24" spans="1:26" x14ac:dyDescent="0.35">
      <c r="A24" t="s">
        <v>230</v>
      </c>
      <c r="B24" s="8"/>
      <c r="C24" s="2"/>
    </row>
    <row r="25" spans="1:26" x14ac:dyDescent="0.35">
      <c r="A25" t="str">
        <f>'Refor gazetted FIN'!A25</f>
        <v xml:space="preserve">  Weeding over total areas</v>
      </c>
      <c r="B25" s="8" t="s">
        <v>1</v>
      </c>
      <c r="C25" s="2">
        <f>'Refort smallholders FIN'!C25</f>
        <v>1</v>
      </c>
      <c r="D25" s="2">
        <f>'Refort smallholders FIN'!D25</f>
        <v>1</v>
      </c>
      <c r="E25" s="2">
        <f>'Refort smallholders FIN'!E25</f>
        <v>1</v>
      </c>
    </row>
    <row r="26" spans="1:26" x14ac:dyDescent="0.35">
      <c r="A26" t="str">
        <f>'Refor gazetted FIN'!A26</f>
        <v xml:space="preserve">  Weeding over lines</v>
      </c>
      <c r="B26" s="8" t="s">
        <v>1</v>
      </c>
      <c r="C26" s="2">
        <f>'Refort smallholders FIN'!C26</f>
        <v>0</v>
      </c>
      <c r="D26" s="2">
        <f>'Refort smallholders FIN'!D26</f>
        <v>0</v>
      </c>
      <c r="E26" s="2">
        <f>'Refort smallholders FIN'!E26</f>
        <v>1</v>
      </c>
    </row>
    <row r="27" spans="1:26" x14ac:dyDescent="0.35">
      <c r="A27" t="str">
        <f>'Refor gazetted FIN'!A27</f>
        <v xml:space="preserve">  Compensatory planting (including transport)</v>
      </c>
      <c r="B27" s="8" t="s">
        <v>102</v>
      </c>
      <c r="C27" s="2">
        <f>'Refort smallholders FIN'!C27</f>
        <v>124.94999999999999</v>
      </c>
      <c r="D27" s="2">
        <f>'Refort smallholders FIN'!D27</f>
        <v>124.94999999999999</v>
      </c>
      <c r="E27" s="2">
        <f>'Refort smallholders FIN'!E27</f>
        <v>0</v>
      </c>
    </row>
    <row r="28" spans="1:26" x14ac:dyDescent="0.35">
      <c r="A28" t="str">
        <f>'Refor gazetted FIN'!A28</f>
        <v xml:space="preserve">  Shape pruning</v>
      </c>
      <c r="B28" s="8" t="s">
        <v>1</v>
      </c>
      <c r="C28" s="2">
        <f>'Refort smallholders FIN'!C28</f>
        <v>1</v>
      </c>
      <c r="D28" s="2">
        <f>'Refort smallholders FIN'!D28</f>
        <v>1</v>
      </c>
      <c r="E28" s="2">
        <f>'Refort smallholders FIN'!E28</f>
        <v>1</v>
      </c>
    </row>
    <row r="29" spans="1:26" x14ac:dyDescent="0.35">
      <c r="A29" t="str">
        <f>'Refor gazetted FIN'!A29</f>
        <v xml:space="preserve">  Fire breaking</v>
      </c>
      <c r="B29" s="8" t="s">
        <v>1</v>
      </c>
      <c r="C29" s="2">
        <f>'Refort smallholders FIN'!C29</f>
        <v>1</v>
      </c>
      <c r="D29" s="2">
        <f>'Refort smallholders FIN'!D29</f>
        <v>1</v>
      </c>
      <c r="E29" s="2">
        <f>'Refort smallholders FIN'!E29</f>
        <v>1</v>
      </c>
      <c r="F29" s="2">
        <f>'Refort smallholders FIN'!F29</f>
        <v>1.5</v>
      </c>
      <c r="G29" s="2">
        <f>'Refort smallholders FIN'!G29</f>
        <v>1.5</v>
      </c>
      <c r="H29" s="2">
        <f>'Refort smallholders FIN'!H29</f>
        <v>1.5</v>
      </c>
      <c r="I29" s="2">
        <f>'Refort smallholders FIN'!I29</f>
        <v>1.5</v>
      </c>
      <c r="J29" s="2">
        <f>'Refort smallholders FIN'!J29</f>
        <v>1.5</v>
      </c>
      <c r="K29" s="2">
        <f>'Refort smallholders FIN'!K29</f>
        <v>1.5</v>
      </c>
      <c r="L29" s="2">
        <f>'Refort smallholders FIN'!L29</f>
        <v>1.5</v>
      </c>
      <c r="M29" s="2">
        <f>'Refort smallholders FIN'!M29</f>
        <v>1.5</v>
      </c>
      <c r="N29" s="2">
        <f>'Refort smallholders FIN'!N29</f>
        <v>1.5</v>
      </c>
      <c r="O29" s="2">
        <f>'Refort smallholders FIN'!O29</f>
        <v>1.5</v>
      </c>
      <c r="P29" s="2">
        <f>'Refort smallholders FIN'!P29</f>
        <v>1.5</v>
      </c>
      <c r="Q29" s="2">
        <f>'Refort smallholders FIN'!Q29</f>
        <v>1.5</v>
      </c>
      <c r="R29" s="2">
        <f>'Refort smallholders FIN'!R29</f>
        <v>1.5</v>
      </c>
      <c r="S29" s="2">
        <f>'Refort smallholders FIN'!S29</f>
        <v>1.5</v>
      </c>
      <c r="T29" s="2">
        <f>'Refort smallholders FIN'!T29</f>
        <v>1.5</v>
      </c>
      <c r="U29" s="2">
        <f>'Refort smallholders FIN'!U29</f>
        <v>1.5</v>
      </c>
      <c r="V29" s="2">
        <f>'Refort smallholders FIN'!V29</f>
        <v>1.5</v>
      </c>
      <c r="W29" s="2">
        <f>'Refort smallholders FIN'!W29</f>
        <v>1.5</v>
      </c>
      <c r="X29" s="2">
        <f>'Refort smallholders FIN'!X29</f>
        <v>1.5</v>
      </c>
      <c r="Y29" s="2">
        <f>'Refort smallholders FIN'!Y29</f>
        <v>1.5</v>
      </c>
      <c r="Z29" s="2">
        <f>'Refort smallholders FIN'!Z29</f>
        <v>1.5</v>
      </c>
    </row>
    <row r="30" spans="1:26" x14ac:dyDescent="0.35">
      <c r="A30" t="str">
        <f>'Refor gazetted FIN'!A30</f>
        <v xml:space="preserve">  Pruning</v>
      </c>
      <c r="B30" s="8" t="s">
        <v>1</v>
      </c>
      <c r="C30" s="2">
        <f>'Refort smallholders FIN'!C30</f>
        <v>0</v>
      </c>
      <c r="D30" s="2">
        <f>'Refort smallholders FIN'!D30</f>
        <v>0</v>
      </c>
      <c r="E30" s="2">
        <f>'Refort smallholders FIN'!E30</f>
        <v>0</v>
      </c>
      <c r="F30" s="2">
        <f>'Refort smallholders FIN'!F30</f>
        <v>0</v>
      </c>
      <c r="G30" s="2">
        <f>'Refort smallholders FIN'!G30</f>
        <v>1</v>
      </c>
      <c r="H30" s="2">
        <f>'Refort smallholders FIN'!H30</f>
        <v>0</v>
      </c>
      <c r="I30" s="2">
        <f>'Refort smallholders FIN'!I30</f>
        <v>0</v>
      </c>
      <c r="J30" s="2">
        <f>'Refort smallholders FIN'!J30</f>
        <v>0</v>
      </c>
      <c r="K30" s="2">
        <f>'Refort smallholders FIN'!K30</f>
        <v>0</v>
      </c>
      <c r="L30" s="2">
        <f>'Refort smallholders FIN'!L30</f>
        <v>1</v>
      </c>
      <c r="M30" s="2">
        <f>'Refort smallholders FIN'!M30</f>
        <v>0</v>
      </c>
      <c r="N30" s="2">
        <f>'Refort smallholders FIN'!N30</f>
        <v>0</v>
      </c>
      <c r="O30" s="2">
        <f>'Refort smallholders FIN'!O30</f>
        <v>0</v>
      </c>
      <c r="P30" s="2">
        <f>'Refort smallholders FIN'!P30</f>
        <v>0</v>
      </c>
      <c r="Q30" s="2">
        <f>'Refort smallholders FIN'!Q30</f>
        <v>1</v>
      </c>
      <c r="R30" s="2">
        <f>'Refort smallholders FIN'!R30</f>
        <v>0</v>
      </c>
      <c r="S30" s="2">
        <f>'Refort smallholders FIN'!S30</f>
        <v>0</v>
      </c>
      <c r="T30" s="2">
        <f>'Refort smallholders FIN'!T30</f>
        <v>0</v>
      </c>
      <c r="U30" s="2">
        <f>'Refort smallholders FIN'!U30</f>
        <v>0</v>
      </c>
      <c r="V30" s="2">
        <f>'Refort smallholders FIN'!V30</f>
        <v>1</v>
      </c>
      <c r="W30" s="2">
        <f>'Refort smallholders FIN'!W30</f>
        <v>0</v>
      </c>
      <c r="X30" s="2">
        <f>'Refort smallholders FIN'!X30</f>
        <v>0</v>
      </c>
      <c r="Y30" s="2">
        <f>'Refort smallholders FIN'!Y30</f>
        <v>0</v>
      </c>
      <c r="Z30" s="2">
        <f>'Refort smallholders FIN'!Z30</f>
        <v>0</v>
      </c>
    </row>
    <row r="31" spans="1:26" x14ac:dyDescent="0.35">
      <c r="B31" s="8"/>
    </row>
    <row r="32" spans="1:26" x14ac:dyDescent="0.35">
      <c r="A32" s="19" t="s">
        <v>231</v>
      </c>
      <c r="B32" s="8"/>
    </row>
    <row r="33" spans="1:4" x14ac:dyDescent="0.35">
      <c r="A33" s="19" t="s">
        <v>128</v>
      </c>
      <c r="B33" s="8" t="s">
        <v>1</v>
      </c>
      <c r="C33" s="2">
        <f>'Refort smallholders FIN'!C33</f>
        <v>1</v>
      </c>
      <c r="D33" s="2">
        <f>'Refort smallholders FIN'!D33</f>
        <v>1</v>
      </c>
    </row>
    <row r="34" spans="1:4" x14ac:dyDescent="0.35">
      <c r="A34" s="19" t="s">
        <v>41</v>
      </c>
      <c r="B34" s="8" t="s">
        <v>129</v>
      </c>
      <c r="C34" s="2">
        <f>'Refort smallholders FIN'!C34</f>
        <v>8</v>
      </c>
      <c r="D34" s="2">
        <f>'Refort smallholders FIN'!D34</f>
        <v>4</v>
      </c>
    </row>
    <row r="35" spans="1:4" x14ac:dyDescent="0.35">
      <c r="A35" s="19" t="s">
        <v>173</v>
      </c>
      <c r="B35" s="8" t="s">
        <v>129</v>
      </c>
      <c r="C35" s="2">
        <f>'Refort smallholders FIN'!C35</f>
        <v>0</v>
      </c>
      <c r="D35" s="2">
        <f>'Refort smallholders FIN'!D35</f>
        <v>13.5</v>
      </c>
    </row>
    <row r="36" spans="1:4" x14ac:dyDescent="0.35">
      <c r="A36" s="19" t="s">
        <v>170</v>
      </c>
      <c r="B36" s="8" t="s">
        <v>129</v>
      </c>
      <c r="C36" s="2">
        <f>'Refort smallholders FIN'!C36</f>
        <v>15</v>
      </c>
      <c r="D36" s="2">
        <f>'Refort smallholders FIN'!D36</f>
        <v>4.5</v>
      </c>
    </row>
    <row r="37" spans="1:4" x14ac:dyDescent="0.35">
      <c r="A37" s="19" t="s">
        <v>130</v>
      </c>
      <c r="B37" s="8" t="s">
        <v>129</v>
      </c>
      <c r="C37" s="2">
        <f>'Refort smallholders FIN'!C37</f>
        <v>12</v>
      </c>
      <c r="D37" s="2">
        <f>'Refort smallholders FIN'!D37</f>
        <v>12</v>
      </c>
    </row>
    <row r="38" spans="1:4" x14ac:dyDescent="0.35">
      <c r="A38" s="19" t="s">
        <v>103</v>
      </c>
      <c r="B38" s="8" t="s">
        <v>129</v>
      </c>
      <c r="C38" s="2">
        <f>'Refort smallholders FIN'!C38</f>
        <v>5</v>
      </c>
      <c r="D38" s="2">
        <f>'Refort smallholders FIN'!D38</f>
        <v>0</v>
      </c>
    </row>
    <row r="39" spans="1:4" x14ac:dyDescent="0.35">
      <c r="A39" s="19" t="s">
        <v>172</v>
      </c>
      <c r="B39" s="8" t="s">
        <v>1</v>
      </c>
      <c r="C39" s="2">
        <f>'Refort smallholders FIN'!C39</f>
        <v>0</v>
      </c>
      <c r="D39" s="2">
        <f>'Refort smallholders FIN'!D39</f>
        <v>2</v>
      </c>
    </row>
    <row r="40" spans="1:4" x14ac:dyDescent="0.35">
      <c r="A40" s="19" t="s">
        <v>9</v>
      </c>
      <c r="B40" s="8" t="s">
        <v>129</v>
      </c>
      <c r="C40" s="2">
        <f>'Refort smallholders FIN'!C40</f>
        <v>15</v>
      </c>
      <c r="D40" s="2">
        <f>'Refort smallholders FIN'!D40</f>
        <v>18</v>
      </c>
    </row>
    <row r="41" spans="1:4" x14ac:dyDescent="0.35">
      <c r="A41" s="19" t="s">
        <v>131</v>
      </c>
      <c r="B41" s="8" t="s">
        <v>129</v>
      </c>
      <c r="C41" s="2">
        <f>'Refort smallholders FIN'!C41</f>
        <v>40</v>
      </c>
      <c r="D41" s="2">
        <f>'Refort smallholders FIN'!D41</f>
        <v>27</v>
      </c>
    </row>
    <row r="42" spans="1:4" x14ac:dyDescent="0.35">
      <c r="A42" s="19" t="s">
        <v>174</v>
      </c>
      <c r="B42" s="8"/>
      <c r="C42" s="2">
        <f>'Refort smallholders FIN'!C42</f>
        <v>4</v>
      </c>
      <c r="D42" s="2">
        <f>'Refort smallholders FIN'!D42</f>
        <v>16.2</v>
      </c>
    </row>
    <row r="43" spans="1:4" x14ac:dyDescent="0.35">
      <c r="A43" s="19" t="s">
        <v>134</v>
      </c>
      <c r="B43" s="8"/>
    </row>
    <row r="44" spans="1:4" x14ac:dyDescent="0.35">
      <c r="A44" s="19" t="s">
        <v>166</v>
      </c>
      <c r="B44" s="8" t="s">
        <v>10</v>
      </c>
      <c r="C44" s="2">
        <f>'Refort smallholders FIN'!C44</f>
        <v>22</v>
      </c>
      <c r="D44" s="2">
        <f>'Refort smallholders FIN'!D44</f>
        <v>0</v>
      </c>
    </row>
    <row r="45" spans="1:4" x14ac:dyDescent="0.35">
      <c r="A45" s="19" t="s">
        <v>167</v>
      </c>
      <c r="B45" s="8" t="s">
        <v>1</v>
      </c>
      <c r="C45" s="2">
        <f>'Refort smallholders FIN'!C45</f>
        <v>0</v>
      </c>
      <c r="D45" s="2">
        <f>'Refort smallholders FIN'!D45</f>
        <v>1</v>
      </c>
    </row>
    <row r="46" spans="1:4" x14ac:dyDescent="0.35">
      <c r="A46" s="19" t="s">
        <v>132</v>
      </c>
      <c r="B46" s="8" t="s">
        <v>10</v>
      </c>
      <c r="C46" s="2">
        <f>'Refort smallholders FIN'!C46</f>
        <v>150</v>
      </c>
      <c r="D46" s="2">
        <f>'Refort smallholders FIN'!D46</f>
        <v>300</v>
      </c>
    </row>
    <row r="47" spans="1:4" x14ac:dyDescent="0.35">
      <c r="A47" s="19" t="s">
        <v>133</v>
      </c>
      <c r="B47" s="8" t="s">
        <v>10</v>
      </c>
      <c r="C47" s="2">
        <f>'Refort smallholders FIN'!C47</f>
        <v>100</v>
      </c>
      <c r="D47" s="2">
        <f>'Refort smallholders FIN'!D47</f>
        <v>0</v>
      </c>
    </row>
    <row r="48" spans="1:4" x14ac:dyDescent="0.35">
      <c r="A48" s="19" t="s">
        <v>169</v>
      </c>
      <c r="B48" s="8" t="s">
        <v>136</v>
      </c>
      <c r="C48" s="2">
        <f>'Refort smallholders FIN'!C48</f>
        <v>6</v>
      </c>
      <c r="D48" s="2">
        <f>'Refort smallholders FIN'!D48</f>
        <v>4</v>
      </c>
    </row>
    <row r="49" spans="1:26" x14ac:dyDescent="0.35">
      <c r="A49" s="19" t="s">
        <v>17</v>
      </c>
      <c r="B49" s="8" t="s">
        <v>11</v>
      </c>
      <c r="C49" s="2">
        <f>'Refort smallholders FIN'!C49</f>
        <v>40</v>
      </c>
      <c r="D49" s="2">
        <f>'Refort smallholders FIN'!D49</f>
        <v>623.07692307692309</v>
      </c>
    </row>
    <row r="50" spans="1:26" x14ac:dyDescent="0.35">
      <c r="A50" s="19"/>
      <c r="B50" s="8"/>
    </row>
    <row r="51" spans="1:26" x14ac:dyDescent="0.35">
      <c r="A51" s="19" t="s">
        <v>108</v>
      </c>
      <c r="B51" s="8"/>
    </row>
    <row r="52" spans="1:26" x14ac:dyDescent="0.35">
      <c r="A52" s="19" t="s">
        <v>110</v>
      </c>
      <c r="B52" s="8" t="s">
        <v>61</v>
      </c>
      <c r="C52" s="2">
        <f>'Refort smallholders FIN'!C52</f>
        <v>0</v>
      </c>
      <c r="D52" s="2">
        <f>'Refort smallholders FIN'!D52</f>
        <v>0</v>
      </c>
      <c r="E52" s="2">
        <f>'Refort smallholders FIN'!E52</f>
        <v>0</v>
      </c>
      <c r="F52" s="2">
        <f>'Refort smallholders FIN'!F52</f>
        <v>0</v>
      </c>
      <c r="G52" s="2">
        <f>'Refort smallholders FIN'!G52</f>
        <v>0</v>
      </c>
      <c r="H52" s="2">
        <f>'Refort smallholders FIN'!H52</f>
        <v>33</v>
      </c>
      <c r="I52" s="2">
        <f>'Refort smallholders FIN'!I52</f>
        <v>0</v>
      </c>
      <c r="J52" s="2">
        <f>'Refort smallholders FIN'!J52</f>
        <v>0</v>
      </c>
      <c r="K52" s="2">
        <f>'Refort smallholders FIN'!K52</f>
        <v>0</v>
      </c>
      <c r="L52" s="2">
        <f>'Refort smallholders FIN'!L52</f>
        <v>0</v>
      </c>
      <c r="M52" s="2">
        <f>'Refort smallholders FIN'!M52</f>
        <v>0</v>
      </c>
      <c r="N52" s="2">
        <f>'Refort smallholders FIN'!N52</f>
        <v>0</v>
      </c>
      <c r="O52" s="2">
        <f>'Refort smallholders FIN'!O52</f>
        <v>0</v>
      </c>
      <c r="P52" s="2">
        <f>'Refort smallholders FIN'!P52</f>
        <v>0</v>
      </c>
      <c r="Q52" s="2">
        <f>'Refort smallholders FIN'!Q52</f>
        <v>0</v>
      </c>
      <c r="R52" s="2">
        <f>'Refort smallholders FIN'!R52</f>
        <v>0</v>
      </c>
      <c r="S52" s="2">
        <f>'Refort smallholders FIN'!S52</f>
        <v>0</v>
      </c>
      <c r="T52" s="2">
        <f>'Refort smallholders FIN'!T52</f>
        <v>0</v>
      </c>
      <c r="U52" s="2">
        <f>'Refort smallholders FIN'!U52</f>
        <v>0</v>
      </c>
      <c r="V52" s="2">
        <f>'Refort smallholders FIN'!V52</f>
        <v>0</v>
      </c>
      <c r="W52" s="2">
        <f>'Refort smallholders FIN'!W52</f>
        <v>0</v>
      </c>
      <c r="X52" s="2">
        <f>'Refort smallholders FIN'!X52</f>
        <v>0</v>
      </c>
      <c r="Y52" s="2">
        <f>'Refort smallholders FIN'!Y52</f>
        <v>0</v>
      </c>
      <c r="Z52" s="2">
        <f>'Refort smallholders FIN'!Z52</f>
        <v>0</v>
      </c>
    </row>
    <row r="53" spans="1:26" x14ac:dyDescent="0.35">
      <c r="A53" s="19" t="s">
        <v>115</v>
      </c>
      <c r="B53" s="8" t="s">
        <v>61</v>
      </c>
      <c r="C53" s="2">
        <f>'Refort smallholders FIN'!C53</f>
        <v>0</v>
      </c>
      <c r="D53" s="2">
        <f>'Refort smallholders FIN'!D53</f>
        <v>0</v>
      </c>
      <c r="E53" s="2">
        <f>'Refort smallholders FIN'!E53</f>
        <v>0</v>
      </c>
      <c r="F53" s="2">
        <f>'Refort smallholders FIN'!F53</f>
        <v>0</v>
      </c>
      <c r="G53" s="2">
        <f>'Refort smallholders FIN'!G53</f>
        <v>0</v>
      </c>
      <c r="H53" s="2">
        <f>'Refort smallholders FIN'!H53</f>
        <v>0</v>
      </c>
      <c r="I53" s="2">
        <f>'Refort smallholders FIN'!I53</f>
        <v>0</v>
      </c>
      <c r="J53" s="2">
        <f>'Refort smallholders FIN'!J53</f>
        <v>0</v>
      </c>
      <c r="K53" s="2">
        <f>'Refort smallholders FIN'!K53</f>
        <v>0</v>
      </c>
      <c r="L53" s="2">
        <f>'Refort smallholders FIN'!L53</f>
        <v>350</v>
      </c>
      <c r="M53" s="2">
        <f>'Refort smallholders FIN'!M53</f>
        <v>0</v>
      </c>
      <c r="N53" s="2">
        <f>'Refort smallholders FIN'!N53</f>
        <v>0</v>
      </c>
      <c r="O53" s="2">
        <f>'Refort smallholders FIN'!O53</f>
        <v>0</v>
      </c>
      <c r="P53" s="2">
        <f>'Refort smallholders FIN'!P53</f>
        <v>0</v>
      </c>
      <c r="Q53" s="2">
        <f>'Refort smallholders FIN'!Q53</f>
        <v>0</v>
      </c>
      <c r="R53" s="2">
        <f>'Refort smallholders FIN'!R53</f>
        <v>0</v>
      </c>
      <c r="S53" s="2">
        <f>'Refort smallholders FIN'!S53</f>
        <v>0</v>
      </c>
      <c r="T53" s="2">
        <f>'Refort smallholders FIN'!T53</f>
        <v>0</v>
      </c>
      <c r="U53" s="2">
        <f>'Refort smallholders FIN'!U53</f>
        <v>0</v>
      </c>
      <c r="V53" s="2">
        <f>'Refort smallholders FIN'!V53</f>
        <v>0</v>
      </c>
      <c r="W53" s="2">
        <f>'Refort smallholders FIN'!W53</f>
        <v>0</v>
      </c>
      <c r="X53" s="2">
        <f>'Refort smallholders FIN'!X53</f>
        <v>0</v>
      </c>
      <c r="Y53" s="2">
        <f>'Refort smallholders FIN'!Y53</f>
        <v>0</v>
      </c>
      <c r="Z53" s="2">
        <f>'Refort smallholders FIN'!Z53</f>
        <v>0</v>
      </c>
    </row>
    <row r="54" spans="1:26" x14ac:dyDescent="0.35">
      <c r="A54" s="19" t="s">
        <v>116</v>
      </c>
      <c r="B54" s="8" t="s">
        <v>61</v>
      </c>
      <c r="C54" s="2">
        <f>'Refort smallholders FIN'!C54</f>
        <v>0</v>
      </c>
      <c r="D54" s="2">
        <f>'Refort smallholders FIN'!D54</f>
        <v>0</v>
      </c>
      <c r="E54" s="2">
        <f>'Refort smallholders FIN'!E54</f>
        <v>0</v>
      </c>
      <c r="F54" s="2">
        <f>'Refort smallholders FIN'!F54</f>
        <v>0</v>
      </c>
      <c r="G54" s="2">
        <f>'Refort smallholders FIN'!G54</f>
        <v>0</v>
      </c>
      <c r="H54" s="2">
        <f>'Refort smallholders FIN'!H54</f>
        <v>0</v>
      </c>
      <c r="I54" s="2">
        <f>'Refort smallholders FIN'!I54</f>
        <v>0</v>
      </c>
      <c r="J54" s="2">
        <f>'Refort smallholders FIN'!J54</f>
        <v>0</v>
      </c>
      <c r="K54" s="2">
        <f>'Refort smallholders FIN'!K54</f>
        <v>0</v>
      </c>
      <c r="L54" s="2">
        <f>'Refort smallholders FIN'!L54</f>
        <v>0</v>
      </c>
      <c r="M54" s="2">
        <f>'Refort smallholders FIN'!M54</f>
        <v>0</v>
      </c>
      <c r="N54" s="2">
        <f>'Refort smallholders FIN'!N54</f>
        <v>0</v>
      </c>
      <c r="O54" s="2">
        <f>'Refort smallholders FIN'!O54</f>
        <v>0</v>
      </c>
      <c r="P54" s="2">
        <f>'Refort smallholders FIN'!P54</f>
        <v>0</v>
      </c>
      <c r="Q54" s="2">
        <f>'Refort smallholders FIN'!Q54</f>
        <v>0</v>
      </c>
      <c r="R54" s="2">
        <f>'Refort smallholders FIN'!R54</f>
        <v>0</v>
      </c>
      <c r="S54" s="2">
        <f>'Refort smallholders FIN'!S54</f>
        <v>0</v>
      </c>
      <c r="T54" s="2">
        <f>'Refort smallholders FIN'!T54</f>
        <v>0</v>
      </c>
      <c r="U54" s="2">
        <f>'Refort smallholders FIN'!U54</f>
        <v>0</v>
      </c>
      <c r="V54" s="2">
        <f>'Refort smallholders FIN'!V54</f>
        <v>0</v>
      </c>
      <c r="W54" s="2">
        <f>'Refort smallholders FIN'!W54</f>
        <v>0</v>
      </c>
      <c r="X54" s="2">
        <f>'Refort smallholders FIN'!X54</f>
        <v>0</v>
      </c>
      <c r="Y54" s="2">
        <f>'Refort smallholders FIN'!Y54</f>
        <v>0</v>
      </c>
      <c r="Z54" s="2">
        <f>'Refort smallholders FIN'!Z54</f>
        <v>0</v>
      </c>
    </row>
    <row r="55" spans="1:26" x14ac:dyDescent="0.35">
      <c r="A55" s="19" t="s">
        <v>117</v>
      </c>
      <c r="B55" s="8" t="s">
        <v>61</v>
      </c>
      <c r="C55" s="2">
        <f>'Refort smallholders FIN'!C55</f>
        <v>0</v>
      </c>
      <c r="D55" s="2">
        <f>'Refort smallholders FIN'!D55</f>
        <v>0</v>
      </c>
      <c r="E55" s="2">
        <f>'Refort smallholders FIN'!E55</f>
        <v>0</v>
      </c>
      <c r="F55" s="2">
        <f>'Refort smallholders FIN'!F55</f>
        <v>0</v>
      </c>
      <c r="G55" s="2">
        <f>'Refort smallholders FIN'!G55</f>
        <v>0</v>
      </c>
      <c r="H55" s="2">
        <f>'Refort smallholders FIN'!H55</f>
        <v>0</v>
      </c>
      <c r="I55" s="2">
        <f>'Refort smallholders FIN'!I55</f>
        <v>0</v>
      </c>
      <c r="J55" s="2">
        <f>'Refort smallholders FIN'!J55</f>
        <v>0</v>
      </c>
      <c r="K55" s="2">
        <f>'Refort smallholders FIN'!K55</f>
        <v>0</v>
      </c>
      <c r="L55" s="2">
        <f>'Refort smallholders FIN'!L55</f>
        <v>0</v>
      </c>
      <c r="M55" s="2">
        <f>'Refort smallholders FIN'!M55</f>
        <v>0</v>
      </c>
      <c r="N55" s="2">
        <f>'Refort smallholders FIN'!N55</f>
        <v>0</v>
      </c>
      <c r="O55" s="2">
        <f>'Refort smallholders FIN'!O55</f>
        <v>0</v>
      </c>
      <c r="P55" s="2">
        <f>'Refort smallholders FIN'!P55</f>
        <v>0</v>
      </c>
      <c r="Q55" s="2">
        <f>'Refort smallholders FIN'!Q55</f>
        <v>0</v>
      </c>
      <c r="R55" s="2">
        <f>'Refort smallholders FIN'!R55</f>
        <v>0</v>
      </c>
      <c r="S55" s="2">
        <f>'Refort smallholders FIN'!S55</f>
        <v>0</v>
      </c>
      <c r="T55" s="2">
        <f>'Refort smallholders FIN'!T55</f>
        <v>0</v>
      </c>
      <c r="U55" s="2">
        <f>'Refort smallholders FIN'!U55</f>
        <v>0</v>
      </c>
      <c r="V55" s="2">
        <f>'Refort smallholders FIN'!V55</f>
        <v>0</v>
      </c>
      <c r="W55" s="2">
        <f>'Refort smallholders FIN'!W55</f>
        <v>0</v>
      </c>
      <c r="X55" s="2">
        <f>'Refort smallholders FIN'!X55</f>
        <v>0</v>
      </c>
      <c r="Y55" s="2">
        <f>'Refort smallholders FIN'!Y55</f>
        <v>0</v>
      </c>
      <c r="Z55" s="2">
        <f>'Refort smallholders FIN'!Z55</f>
        <v>0</v>
      </c>
    </row>
    <row r="56" spans="1:26" x14ac:dyDescent="0.35">
      <c r="A56" s="19"/>
      <c r="B56" s="8"/>
    </row>
    <row r="57" spans="1:26" x14ac:dyDescent="0.35">
      <c r="A57" s="19" t="s">
        <v>107</v>
      </c>
      <c r="B57" s="8"/>
    </row>
    <row r="58" spans="1:26" x14ac:dyDescent="0.35">
      <c r="A58" s="19" t="str">
        <f t="shared" ref="A58:B60" si="0">A52</f>
        <v xml:space="preserve">  First cut</v>
      </c>
      <c r="B58" s="43" t="str">
        <f t="shared" si="0"/>
        <v>Tree</v>
      </c>
      <c r="C58" s="2">
        <f>'Refort smallholders FIN'!C58</f>
        <v>0</v>
      </c>
      <c r="D58" s="2">
        <f>'Refort smallholders FIN'!D58</f>
        <v>0</v>
      </c>
      <c r="E58" s="2">
        <f>'Refort smallholders FIN'!E58</f>
        <v>0</v>
      </c>
      <c r="F58" s="2">
        <f>'Refort smallholders FIN'!F58</f>
        <v>0</v>
      </c>
      <c r="G58" s="2">
        <f>'Refort smallholders FIN'!G58</f>
        <v>0</v>
      </c>
      <c r="H58" s="2">
        <f>'Refort smallholders FIN'!H58</f>
        <v>33</v>
      </c>
      <c r="I58" s="2">
        <f>'Refort smallholders FIN'!I58</f>
        <v>0</v>
      </c>
      <c r="J58" s="2">
        <f>'Refort smallholders FIN'!J58</f>
        <v>0</v>
      </c>
      <c r="K58" s="2">
        <f>'Refort smallholders FIN'!K58</f>
        <v>0</v>
      </c>
      <c r="L58" s="2">
        <f>'Refort smallholders FIN'!L58</f>
        <v>0</v>
      </c>
      <c r="M58" s="2">
        <f>'Refort smallholders FIN'!M58</f>
        <v>0</v>
      </c>
      <c r="N58" s="2">
        <f>'Refort smallholders FIN'!N58</f>
        <v>0</v>
      </c>
      <c r="O58" s="2">
        <f>'Refort smallholders FIN'!O58</f>
        <v>0</v>
      </c>
      <c r="P58" s="2">
        <f>'Refort smallholders FIN'!P58</f>
        <v>0</v>
      </c>
      <c r="Q58" s="2">
        <f>'Refort smallholders FIN'!Q58</f>
        <v>0</v>
      </c>
      <c r="R58" s="2">
        <f>'Refort smallholders FIN'!R58</f>
        <v>0</v>
      </c>
      <c r="S58" s="2">
        <f>'Refort smallholders FIN'!S58</f>
        <v>0</v>
      </c>
      <c r="T58" s="2">
        <f>'Refort smallholders FIN'!T58</f>
        <v>0</v>
      </c>
      <c r="U58" s="2">
        <f>'Refort smallholders FIN'!U58</f>
        <v>0</v>
      </c>
      <c r="V58" s="2">
        <f>'Refort smallholders FIN'!V58</f>
        <v>0</v>
      </c>
      <c r="W58" s="2">
        <f>'Refort smallholders FIN'!W58</f>
        <v>0</v>
      </c>
      <c r="X58" s="2">
        <f>'Refort smallholders FIN'!X58</f>
        <v>0</v>
      </c>
      <c r="Y58" s="2">
        <f>'Refort smallholders FIN'!Y58</f>
        <v>0</v>
      </c>
      <c r="Z58" s="2">
        <f>'Refort smallholders FIN'!Z58</f>
        <v>0</v>
      </c>
    </row>
    <row r="59" spans="1:26" x14ac:dyDescent="0.35">
      <c r="A59" s="19" t="str">
        <f t="shared" si="0"/>
        <v xml:space="preserve">  Second cut</v>
      </c>
      <c r="B59" s="43" t="str">
        <f t="shared" si="0"/>
        <v>Tree</v>
      </c>
      <c r="C59" s="2">
        <f>'Refort smallholders FIN'!C59</f>
        <v>0</v>
      </c>
      <c r="D59" s="2">
        <f>'Refort smallholders FIN'!D59</f>
        <v>0</v>
      </c>
      <c r="E59" s="2">
        <f>'Refort smallholders FIN'!E59</f>
        <v>0</v>
      </c>
      <c r="F59" s="2">
        <f>'Refort smallholders FIN'!F59</f>
        <v>0</v>
      </c>
      <c r="G59" s="2">
        <f>'Refort smallholders FIN'!G59</f>
        <v>0</v>
      </c>
      <c r="H59" s="2">
        <f>'Refort smallholders FIN'!H59</f>
        <v>0</v>
      </c>
      <c r="I59" s="2">
        <f>'Refort smallholders FIN'!I59</f>
        <v>0</v>
      </c>
      <c r="J59" s="2">
        <f>'Refort smallholders FIN'!J59</f>
        <v>0</v>
      </c>
      <c r="K59" s="2">
        <f>'Refort smallholders FIN'!K59</f>
        <v>0</v>
      </c>
      <c r="L59" s="2">
        <f>'Refort smallholders FIN'!L59</f>
        <v>350</v>
      </c>
      <c r="M59" s="2">
        <f>'Refort smallholders FIN'!M59</f>
        <v>0</v>
      </c>
      <c r="N59" s="2">
        <f>'Refort smallholders FIN'!N59</f>
        <v>0</v>
      </c>
      <c r="O59" s="2">
        <f>'Refort smallholders FIN'!O59</f>
        <v>0</v>
      </c>
      <c r="P59" s="2">
        <f>'Refort smallholders FIN'!P59</f>
        <v>0</v>
      </c>
      <c r="Q59" s="2">
        <f>'Refort smallholders FIN'!Q59</f>
        <v>0</v>
      </c>
      <c r="R59" s="2">
        <f>'Refort smallholders FIN'!R59</f>
        <v>0</v>
      </c>
      <c r="S59" s="2">
        <f>'Refort smallholders FIN'!S59</f>
        <v>0</v>
      </c>
      <c r="T59" s="2">
        <f>'Refort smallholders FIN'!T59</f>
        <v>0</v>
      </c>
      <c r="U59" s="2">
        <f>'Refort smallholders FIN'!U59</f>
        <v>0</v>
      </c>
      <c r="V59" s="2">
        <f>'Refort smallholders FIN'!V59</f>
        <v>0</v>
      </c>
      <c r="W59" s="2">
        <f>'Refort smallholders FIN'!W59</f>
        <v>0</v>
      </c>
      <c r="X59" s="2">
        <f>'Refort smallholders FIN'!X59</f>
        <v>0</v>
      </c>
      <c r="Y59" s="2">
        <f>'Refort smallholders FIN'!Y59</f>
        <v>0</v>
      </c>
      <c r="Z59" s="2">
        <f>'Refort smallholders FIN'!Z59</f>
        <v>0</v>
      </c>
    </row>
    <row r="60" spans="1:26" x14ac:dyDescent="0.35">
      <c r="A60" s="19" t="str">
        <f t="shared" si="0"/>
        <v xml:space="preserve">  Third cut</v>
      </c>
      <c r="B60" s="43" t="str">
        <f t="shared" si="0"/>
        <v>Tree</v>
      </c>
      <c r="C60" s="2">
        <f>'Refort smallholders FIN'!C60</f>
        <v>0</v>
      </c>
      <c r="D60" s="2">
        <f>'Refort smallholders FIN'!D60</f>
        <v>0</v>
      </c>
      <c r="E60" s="2">
        <f>'Refort smallholders FIN'!E60</f>
        <v>0</v>
      </c>
      <c r="F60" s="2">
        <f>'Refort smallholders FIN'!F60</f>
        <v>0</v>
      </c>
      <c r="G60" s="2">
        <f>'Refort smallholders FIN'!G60</f>
        <v>0</v>
      </c>
      <c r="H60" s="2">
        <f>'Refort smallholders FIN'!H60</f>
        <v>0</v>
      </c>
      <c r="I60" s="2">
        <f>'Refort smallholders FIN'!I60</f>
        <v>0</v>
      </c>
      <c r="J60" s="2">
        <f>'Refort smallholders FIN'!J60</f>
        <v>0</v>
      </c>
      <c r="K60" s="2">
        <f>'Refort smallholders FIN'!K60</f>
        <v>0</v>
      </c>
      <c r="L60" s="2">
        <f>'Refort smallholders FIN'!L60</f>
        <v>0</v>
      </c>
      <c r="M60" s="2">
        <f>'Refort smallholders FIN'!M60</f>
        <v>0</v>
      </c>
      <c r="N60" s="2">
        <f>'Refort smallholders FIN'!N60</f>
        <v>0</v>
      </c>
      <c r="O60" s="2">
        <f>'Refort smallholders FIN'!O60</f>
        <v>0</v>
      </c>
      <c r="P60" s="2">
        <f>'Refort smallholders FIN'!P60</f>
        <v>0</v>
      </c>
      <c r="Q60" s="2">
        <f>'Refort smallholders FIN'!Q60</f>
        <v>0</v>
      </c>
      <c r="R60" s="2">
        <f>'Refort smallholders FIN'!R60</f>
        <v>0</v>
      </c>
      <c r="S60" s="2">
        <f>'Refort smallholders FIN'!S60</f>
        <v>0</v>
      </c>
      <c r="T60" s="2">
        <f>'Refort smallholders FIN'!T60</f>
        <v>0</v>
      </c>
      <c r="U60" s="2">
        <f>'Refort smallholders FIN'!U60</f>
        <v>0</v>
      </c>
      <c r="V60" s="2">
        <f>'Refort smallholders FIN'!V60</f>
        <v>0</v>
      </c>
      <c r="W60" s="2">
        <f>'Refort smallholders FIN'!W60</f>
        <v>0</v>
      </c>
      <c r="X60" s="2">
        <f>'Refort smallholders FIN'!X60</f>
        <v>0</v>
      </c>
      <c r="Y60" s="2">
        <f>'Refort smallholders FIN'!Y60</f>
        <v>0</v>
      </c>
      <c r="Z60" s="2">
        <f>'Refort smallholders FIN'!Z60</f>
        <v>0</v>
      </c>
    </row>
    <row r="61" spans="1:26" x14ac:dyDescent="0.35">
      <c r="A61" s="19"/>
      <c r="B61" s="8"/>
      <c r="Z61">
        <v>0</v>
      </c>
    </row>
    <row r="62" spans="1:26" x14ac:dyDescent="0.35">
      <c r="A62" s="19" t="s">
        <v>6</v>
      </c>
      <c r="B62" s="8"/>
    </row>
    <row r="63" spans="1:26" x14ac:dyDescent="0.35">
      <c r="A63" s="35" t="s">
        <v>112</v>
      </c>
      <c r="B63" s="36"/>
      <c r="C63" s="76">
        <f>'Refort smallholders FIN'!C63</f>
        <v>0</v>
      </c>
      <c r="D63" s="76">
        <f>'Refort smallholders FIN'!D63</f>
        <v>0</v>
      </c>
      <c r="E63" s="76">
        <f>'Refort smallholders FIN'!E63</f>
        <v>0</v>
      </c>
      <c r="F63" s="76">
        <f>'Refort smallholders FIN'!F63</f>
        <v>0</v>
      </c>
      <c r="G63" s="76">
        <f>'Refort smallholders FIN'!G63</f>
        <v>0</v>
      </c>
      <c r="H63" s="76">
        <f>'Refort smallholders FIN'!H63</f>
        <v>833</v>
      </c>
      <c r="I63" s="76">
        <f>'Refort smallholders FIN'!I63</f>
        <v>0</v>
      </c>
      <c r="J63" s="76">
        <f>'Refort smallholders FIN'!J63</f>
        <v>0</v>
      </c>
      <c r="K63" s="76">
        <f>'Refort smallholders FIN'!K63</f>
        <v>0</v>
      </c>
      <c r="L63" s="76">
        <f>'Refort smallholders FIN'!L63</f>
        <v>800</v>
      </c>
      <c r="M63" s="76">
        <f>'Refort smallholders FIN'!M63</f>
        <v>0</v>
      </c>
      <c r="N63" s="76">
        <f>'Refort smallholders FIN'!N63</f>
        <v>0</v>
      </c>
      <c r="O63" s="76">
        <f>'Refort smallholders FIN'!O63</f>
        <v>0</v>
      </c>
      <c r="P63" s="76">
        <f>'Refort smallholders FIN'!P63</f>
        <v>0</v>
      </c>
      <c r="Q63" s="76">
        <f>'Refort smallholders FIN'!Q63</f>
        <v>0</v>
      </c>
      <c r="R63" s="76">
        <f>'Refort smallholders FIN'!R63</f>
        <v>450</v>
      </c>
      <c r="S63" s="76">
        <f>'Refort smallholders FIN'!S63</f>
        <v>0</v>
      </c>
      <c r="T63" s="76">
        <f>'Refort smallholders FIN'!T63</f>
        <v>0</v>
      </c>
      <c r="U63" s="76">
        <f>'Refort smallholders FIN'!U63</f>
        <v>0</v>
      </c>
      <c r="V63" s="76">
        <f>'Refort smallholders FIN'!V63</f>
        <v>0</v>
      </c>
      <c r="W63" s="76">
        <f>'Refort smallholders FIN'!W63</f>
        <v>0</v>
      </c>
      <c r="X63" s="76">
        <f>'Refort smallholders FIN'!X63</f>
        <v>0</v>
      </c>
      <c r="Y63" s="76">
        <f>'Refort smallholders FIN'!Y63</f>
        <v>0</v>
      </c>
      <c r="Z63" s="76">
        <f>'Refort smallholders FIN'!Z63</f>
        <v>300</v>
      </c>
    </row>
    <row r="64" spans="1:26" x14ac:dyDescent="0.35">
      <c r="A64" s="35" t="s">
        <v>113</v>
      </c>
      <c r="B64" s="36"/>
      <c r="C64" s="76">
        <f>'Refort smallholders FIN'!C64</f>
        <v>0</v>
      </c>
      <c r="D64" s="76">
        <f>'Refort smallholders FIN'!D64</f>
        <v>0</v>
      </c>
      <c r="E64" s="76">
        <f>'Refort smallholders FIN'!E64</f>
        <v>0</v>
      </c>
      <c r="F64" s="76">
        <f>'Refort smallholders FIN'!F64</f>
        <v>0</v>
      </c>
      <c r="G64" s="76">
        <f>'Refort smallholders FIN'!G64</f>
        <v>0</v>
      </c>
      <c r="H64" s="76">
        <f>'Refort smallholders FIN'!H64</f>
        <v>800</v>
      </c>
      <c r="I64" s="76">
        <f>'Refort smallholders FIN'!I64</f>
        <v>0</v>
      </c>
      <c r="J64" s="76">
        <f>'Refort smallholders FIN'!J64</f>
        <v>0</v>
      </c>
      <c r="K64" s="76">
        <f>'Refort smallholders FIN'!K64</f>
        <v>0</v>
      </c>
      <c r="L64" s="76">
        <f>'Refort smallholders FIN'!L64</f>
        <v>450</v>
      </c>
      <c r="M64" s="76">
        <f>'Refort smallholders FIN'!M64</f>
        <v>0</v>
      </c>
      <c r="N64" s="76">
        <f>'Refort smallholders FIN'!N64</f>
        <v>0</v>
      </c>
      <c r="O64" s="76">
        <f>'Refort smallholders FIN'!O64</f>
        <v>0</v>
      </c>
      <c r="P64" s="76">
        <f>'Refort smallholders FIN'!P64</f>
        <v>0</v>
      </c>
      <c r="Q64" s="76">
        <f>'Refort smallholders FIN'!Q64</f>
        <v>0</v>
      </c>
      <c r="R64" s="76">
        <f>'Refort smallholders FIN'!R64</f>
        <v>300</v>
      </c>
      <c r="S64" s="76">
        <f>'Refort smallholders FIN'!S64</f>
        <v>0</v>
      </c>
      <c r="T64" s="76">
        <f>'Refort smallholders FIN'!T64</f>
        <v>0</v>
      </c>
      <c r="U64" s="76">
        <f>'Refort smallholders FIN'!U64</f>
        <v>0</v>
      </c>
      <c r="V64" s="76">
        <f>'Refort smallholders FIN'!V64</f>
        <v>0</v>
      </c>
      <c r="W64" s="76">
        <f>'Refort smallholders FIN'!W64</f>
        <v>0</v>
      </c>
      <c r="X64" s="76">
        <f>'Refort smallholders FIN'!X64</f>
        <v>0</v>
      </c>
      <c r="Y64" s="76">
        <f>'Refort smallholders FIN'!Y64</f>
        <v>0</v>
      </c>
      <c r="Z64" s="76">
        <f>'Refort smallholders FIN'!Z64</f>
        <v>0</v>
      </c>
    </row>
    <row r="65" spans="1:26" x14ac:dyDescent="0.35">
      <c r="A65" s="35" t="s">
        <v>114</v>
      </c>
      <c r="B65" s="36"/>
      <c r="C65" s="76">
        <f>'Refort smallholders FIN'!C65</f>
        <v>0</v>
      </c>
      <c r="D65" s="76">
        <f>'Refort smallholders FIN'!D65</f>
        <v>0</v>
      </c>
      <c r="E65" s="76">
        <f>'Refort smallholders FIN'!E65</f>
        <v>0</v>
      </c>
      <c r="F65" s="76">
        <f>'Refort smallholders FIN'!F65</f>
        <v>0</v>
      </c>
      <c r="G65" s="76">
        <f>'Refort smallholders FIN'!G65</f>
        <v>0</v>
      </c>
      <c r="H65" s="76">
        <f>'Refort smallholders FIN'!H65</f>
        <v>33</v>
      </c>
      <c r="I65" s="76">
        <f>'Refort smallholders FIN'!I65</f>
        <v>0</v>
      </c>
      <c r="J65" s="76">
        <f>'Refort smallholders FIN'!J65</f>
        <v>0</v>
      </c>
      <c r="K65" s="76">
        <f>'Refort smallholders FIN'!K65</f>
        <v>0</v>
      </c>
      <c r="L65" s="76">
        <f>'Refort smallholders FIN'!L65</f>
        <v>350</v>
      </c>
      <c r="M65" s="76">
        <f>'Refort smallholders FIN'!M65</f>
        <v>0</v>
      </c>
      <c r="N65" s="76">
        <f>'Refort smallholders FIN'!N65</f>
        <v>0</v>
      </c>
      <c r="O65" s="76">
        <f>'Refort smallholders FIN'!O65</f>
        <v>0</v>
      </c>
      <c r="P65" s="76">
        <f>'Refort smallholders FIN'!P65</f>
        <v>0</v>
      </c>
      <c r="Q65" s="76">
        <f>'Refort smallholders FIN'!Q65</f>
        <v>0</v>
      </c>
      <c r="R65" s="76">
        <f>'Refort smallholders FIN'!R65</f>
        <v>150</v>
      </c>
      <c r="S65" s="76">
        <f>'Refort smallholders FIN'!S65</f>
        <v>0</v>
      </c>
      <c r="T65" s="76">
        <f>'Refort smallholders FIN'!T65</f>
        <v>0</v>
      </c>
      <c r="U65" s="76">
        <f>'Refort smallholders FIN'!U65</f>
        <v>0</v>
      </c>
      <c r="V65" s="76">
        <f>'Refort smallholders FIN'!V65</f>
        <v>0</v>
      </c>
      <c r="W65" s="76">
        <f>'Refort smallholders FIN'!W65</f>
        <v>0</v>
      </c>
      <c r="X65" s="76">
        <f>'Refort smallholders FIN'!X65</f>
        <v>0</v>
      </c>
      <c r="Y65" s="76">
        <f>'Refort smallholders FIN'!Y65</f>
        <v>0</v>
      </c>
      <c r="Z65" s="76">
        <f>'Refort smallholders FIN'!Z65</f>
        <v>300</v>
      </c>
    </row>
    <row r="66" spans="1:26" x14ac:dyDescent="0.35">
      <c r="A66" s="19" t="s">
        <v>119</v>
      </c>
      <c r="B66" s="43" t="s">
        <v>61</v>
      </c>
      <c r="C66" s="2">
        <f>'Refort smallholders FIN'!C66</f>
        <v>0</v>
      </c>
      <c r="D66" s="2">
        <f>'Refort smallholders FIN'!D66</f>
        <v>0</v>
      </c>
      <c r="E66" s="2">
        <f>'Refort smallholders FIN'!E66</f>
        <v>0</v>
      </c>
      <c r="F66" s="2">
        <f>'Refort smallholders FIN'!F66</f>
        <v>0</v>
      </c>
      <c r="G66" s="2">
        <f>'Refort smallholders FIN'!G66</f>
        <v>0</v>
      </c>
      <c r="H66" s="2">
        <f>'Refort smallholders FIN'!H66</f>
        <v>33</v>
      </c>
      <c r="I66" s="2">
        <f>'Refort smallholders FIN'!I66</f>
        <v>0</v>
      </c>
      <c r="J66" s="2">
        <f>'Refort smallholders FIN'!J66</f>
        <v>0</v>
      </c>
      <c r="K66" s="2">
        <f>'Refort smallholders FIN'!K66</f>
        <v>0</v>
      </c>
      <c r="L66" s="2">
        <f>'Refort smallholders FIN'!L66</f>
        <v>0</v>
      </c>
      <c r="M66" s="2">
        <f>'Refort smallholders FIN'!M66</f>
        <v>0</v>
      </c>
      <c r="N66" s="2">
        <f>'Refort smallholders FIN'!N66</f>
        <v>0</v>
      </c>
      <c r="O66" s="2">
        <f>'Refort smallholders FIN'!O66</f>
        <v>0</v>
      </c>
      <c r="P66" s="2">
        <f>'Refort smallholders FIN'!P66</f>
        <v>0</v>
      </c>
      <c r="Q66" s="2">
        <f>'Refort smallholders FIN'!Q66</f>
        <v>0</v>
      </c>
      <c r="R66" s="2">
        <f>'Refort smallholders FIN'!R66</f>
        <v>0</v>
      </c>
      <c r="S66" s="2">
        <f>'Refort smallholders FIN'!S66</f>
        <v>0</v>
      </c>
      <c r="T66" s="2">
        <f>'Refort smallholders FIN'!T66</f>
        <v>0</v>
      </c>
      <c r="U66" s="2">
        <f>'Refort smallholders FIN'!U66</f>
        <v>0</v>
      </c>
      <c r="V66" s="2">
        <f>'Refort smallholders FIN'!V66</f>
        <v>0</v>
      </c>
      <c r="W66" s="2">
        <f>'Refort smallholders FIN'!W66</f>
        <v>0</v>
      </c>
      <c r="X66" s="2">
        <f>'Refort smallholders FIN'!X66</f>
        <v>0</v>
      </c>
      <c r="Y66" s="2">
        <f>'Refort smallholders FIN'!Y66</f>
        <v>0</v>
      </c>
      <c r="Z66" s="2">
        <f>'Refort smallholders FIN'!Z66</f>
        <v>0</v>
      </c>
    </row>
    <row r="67" spans="1:26" x14ac:dyDescent="0.35">
      <c r="A67" s="19" t="s">
        <v>120</v>
      </c>
      <c r="B67" s="43" t="s">
        <v>61</v>
      </c>
      <c r="C67" s="2">
        <f>'Refort smallholders FIN'!C67</f>
        <v>0</v>
      </c>
      <c r="D67" s="2">
        <f>'Refort smallholders FIN'!D67</f>
        <v>0</v>
      </c>
      <c r="E67" s="2">
        <f>'Refort smallholders FIN'!E67</f>
        <v>0</v>
      </c>
      <c r="F67" s="2">
        <f>'Refort smallholders FIN'!F67</f>
        <v>0</v>
      </c>
      <c r="G67" s="2">
        <f>'Refort smallholders FIN'!G67</f>
        <v>0</v>
      </c>
      <c r="H67" s="2">
        <f>'Refort smallholders FIN'!H67</f>
        <v>0</v>
      </c>
      <c r="I67" s="2">
        <f>'Refort smallholders FIN'!I67</f>
        <v>0</v>
      </c>
      <c r="J67" s="2">
        <f>'Refort smallholders FIN'!J67</f>
        <v>0</v>
      </c>
      <c r="K67" s="2">
        <f>'Refort smallholders FIN'!K67</f>
        <v>0</v>
      </c>
      <c r="L67" s="2">
        <f>'Refort smallholders FIN'!L67</f>
        <v>350</v>
      </c>
      <c r="M67" s="2">
        <f>'Refort smallholders FIN'!M67</f>
        <v>0</v>
      </c>
      <c r="N67" s="2">
        <f>'Refort smallholders FIN'!N67</f>
        <v>0</v>
      </c>
      <c r="O67" s="2">
        <f>'Refort smallholders FIN'!O67</f>
        <v>0</v>
      </c>
      <c r="P67" s="2">
        <f>'Refort smallholders FIN'!P67</f>
        <v>0</v>
      </c>
      <c r="Q67" s="2">
        <f>'Refort smallholders FIN'!Q67</f>
        <v>0</v>
      </c>
      <c r="R67" s="2">
        <f>'Refort smallholders FIN'!R67</f>
        <v>0</v>
      </c>
      <c r="S67" s="2">
        <f>'Refort smallholders FIN'!S67</f>
        <v>0</v>
      </c>
      <c r="T67" s="2">
        <f>'Refort smallholders FIN'!T67</f>
        <v>0</v>
      </c>
      <c r="U67" s="2">
        <f>'Refort smallholders FIN'!U67</f>
        <v>0</v>
      </c>
      <c r="V67" s="2">
        <f>'Refort smallholders FIN'!V67</f>
        <v>0</v>
      </c>
      <c r="W67" s="2">
        <f>'Refort smallholders FIN'!W67</f>
        <v>0</v>
      </c>
      <c r="X67" s="2">
        <f>'Refort smallholders FIN'!X67</f>
        <v>0</v>
      </c>
      <c r="Y67" s="2">
        <f>'Refort smallholders FIN'!Y67</f>
        <v>0</v>
      </c>
      <c r="Z67" s="2">
        <f>'Refort smallholders FIN'!Z67</f>
        <v>0</v>
      </c>
    </row>
    <row r="68" spans="1:26" x14ac:dyDescent="0.35">
      <c r="A68" s="19" t="s">
        <v>121</v>
      </c>
      <c r="B68" s="43" t="s">
        <v>61</v>
      </c>
      <c r="C68" s="2">
        <f>'Refort smallholders FIN'!C68</f>
        <v>0</v>
      </c>
      <c r="D68" s="2">
        <f>'Refort smallholders FIN'!D68</f>
        <v>0</v>
      </c>
      <c r="E68" s="2">
        <f>'Refort smallholders FIN'!E68</f>
        <v>0</v>
      </c>
      <c r="F68" s="2">
        <f>'Refort smallholders FIN'!F68</f>
        <v>0</v>
      </c>
      <c r="G68" s="2">
        <f>'Refort smallholders FIN'!G68</f>
        <v>0</v>
      </c>
      <c r="H68" s="2">
        <f>'Refort smallholders FIN'!H68</f>
        <v>0</v>
      </c>
      <c r="I68" s="2">
        <f>'Refort smallholders FIN'!I68</f>
        <v>0</v>
      </c>
      <c r="J68" s="2">
        <f>'Refort smallholders FIN'!J68</f>
        <v>0</v>
      </c>
      <c r="K68" s="2">
        <f>'Refort smallholders FIN'!K68</f>
        <v>0</v>
      </c>
      <c r="L68" s="2">
        <f>'Refort smallholders FIN'!L68</f>
        <v>0</v>
      </c>
      <c r="M68" s="2">
        <f>'Refort smallholders FIN'!M68</f>
        <v>0</v>
      </c>
      <c r="N68" s="2">
        <f>'Refort smallholders FIN'!N68</f>
        <v>0</v>
      </c>
      <c r="O68" s="2">
        <f>'Refort smallholders FIN'!O68</f>
        <v>0</v>
      </c>
      <c r="P68" s="2">
        <f>'Refort smallholders FIN'!P68</f>
        <v>0</v>
      </c>
      <c r="Q68" s="2">
        <f>'Refort smallholders FIN'!Q68</f>
        <v>0</v>
      </c>
      <c r="R68" s="2">
        <f>'Refort smallholders FIN'!R68</f>
        <v>150</v>
      </c>
      <c r="S68" s="2">
        <f>'Refort smallholders FIN'!S68</f>
        <v>0</v>
      </c>
      <c r="T68" s="2">
        <f>'Refort smallholders FIN'!T68</f>
        <v>0</v>
      </c>
      <c r="U68" s="2">
        <f>'Refort smallholders FIN'!U68</f>
        <v>0</v>
      </c>
      <c r="V68" s="2">
        <f>'Refort smallholders FIN'!V68</f>
        <v>0</v>
      </c>
      <c r="W68" s="2">
        <f>'Refort smallholders FIN'!W68</f>
        <v>0</v>
      </c>
      <c r="X68" s="2">
        <f>'Refort smallholders FIN'!X68</f>
        <v>0</v>
      </c>
      <c r="Y68" s="2">
        <f>'Refort smallholders FIN'!Y68</f>
        <v>0</v>
      </c>
      <c r="Z68" s="2">
        <f>'Refort smallholders FIN'!Z68</f>
        <v>0</v>
      </c>
    </row>
    <row r="69" spans="1:26" x14ac:dyDescent="0.35">
      <c r="A69" s="19" t="s">
        <v>122</v>
      </c>
      <c r="B69" s="43" t="s">
        <v>61</v>
      </c>
      <c r="C69" s="2">
        <f>'Refort smallholders FIN'!C69</f>
        <v>0</v>
      </c>
      <c r="D69" s="2">
        <f>'Refort smallholders FIN'!D69</f>
        <v>0</v>
      </c>
      <c r="E69" s="2">
        <f>'Refort smallholders FIN'!E69</f>
        <v>0</v>
      </c>
      <c r="F69" s="2">
        <f>'Refort smallholders FIN'!F69</f>
        <v>0</v>
      </c>
      <c r="G69" s="2">
        <f>'Refort smallholders FIN'!G69</f>
        <v>0</v>
      </c>
      <c r="H69" s="2">
        <f>'Refort smallholders FIN'!H69</f>
        <v>0</v>
      </c>
      <c r="I69" s="2">
        <f>'Refort smallholders FIN'!I69</f>
        <v>0</v>
      </c>
      <c r="J69" s="2">
        <f>'Refort smallholders FIN'!J69</f>
        <v>0</v>
      </c>
      <c r="K69" s="2">
        <f>'Refort smallholders FIN'!K69</f>
        <v>0</v>
      </c>
      <c r="L69" s="2">
        <f>'Refort smallholders FIN'!L69</f>
        <v>0</v>
      </c>
      <c r="M69" s="2">
        <f>'Refort smallholders FIN'!M69</f>
        <v>0</v>
      </c>
      <c r="N69" s="2">
        <f>'Refort smallholders FIN'!N69</f>
        <v>0</v>
      </c>
      <c r="O69" s="2">
        <f>'Refort smallholders FIN'!O69</f>
        <v>0</v>
      </c>
      <c r="P69" s="2">
        <f>'Refort smallholders FIN'!P69</f>
        <v>0</v>
      </c>
      <c r="Q69" s="2">
        <f>'Refort smallholders FIN'!Q69</f>
        <v>0</v>
      </c>
      <c r="R69" s="2">
        <f>'Refort smallholders FIN'!R69</f>
        <v>0</v>
      </c>
      <c r="S69" s="2">
        <f>'Refort smallholders FIN'!S69</f>
        <v>0</v>
      </c>
      <c r="T69" s="2">
        <f>'Refort smallholders FIN'!T69</f>
        <v>0</v>
      </c>
      <c r="U69" s="2">
        <f>'Refort smallholders FIN'!U69</f>
        <v>0</v>
      </c>
      <c r="V69" s="2">
        <f>'Refort smallholders FIN'!V69</f>
        <v>0</v>
      </c>
      <c r="W69" s="2">
        <f>'Refort smallholders FIN'!W69</f>
        <v>0</v>
      </c>
      <c r="X69" s="2">
        <f>'Refort smallholders FIN'!X69</f>
        <v>0</v>
      </c>
      <c r="Y69" s="2">
        <f>'Refort smallholders FIN'!Y69</f>
        <v>0</v>
      </c>
      <c r="Z69" s="2">
        <f>'Refort smallholders FIN'!Z69</f>
        <v>300</v>
      </c>
    </row>
    <row r="70" spans="1:26" x14ac:dyDescent="0.35">
      <c r="A70" s="19" t="s">
        <v>137</v>
      </c>
      <c r="B70" s="43" t="s">
        <v>10</v>
      </c>
      <c r="C70" s="2">
        <f>'Refort smallholders FIN'!C70</f>
        <v>4000</v>
      </c>
      <c r="D70" s="2">
        <f>'Refort smallholders FIN'!D70</f>
        <v>0</v>
      </c>
      <c r="E70" s="2">
        <f>'Refort smallholders FIN'!E70</f>
        <v>0</v>
      </c>
      <c r="F70" s="2">
        <f>'Refort smallholders FIN'!F70</f>
        <v>0</v>
      </c>
      <c r="G70" s="2">
        <f>'Refort smallholders FIN'!G70</f>
        <v>0</v>
      </c>
      <c r="H70" s="2">
        <f>'Refort smallholders FIN'!H70</f>
        <v>0</v>
      </c>
      <c r="I70" s="2">
        <f>'Refort smallholders FIN'!I70</f>
        <v>0</v>
      </c>
      <c r="J70" s="2">
        <f>'Refort smallholders FIN'!J70</f>
        <v>0</v>
      </c>
      <c r="K70" s="2">
        <f>'Refort smallholders FIN'!K70</f>
        <v>0</v>
      </c>
      <c r="L70" s="2">
        <f>'Refort smallholders FIN'!L70</f>
        <v>0</v>
      </c>
      <c r="M70" s="2">
        <f>'Refort smallholders FIN'!M70</f>
        <v>0</v>
      </c>
      <c r="N70" s="2">
        <f>'Refort smallholders FIN'!N70</f>
        <v>0</v>
      </c>
      <c r="O70" s="2">
        <f>'Refort smallholders FIN'!O70</f>
        <v>0</v>
      </c>
      <c r="P70" s="2">
        <f>'Refort smallholders FIN'!P70</f>
        <v>0</v>
      </c>
      <c r="Q70" s="2">
        <f>'Refort smallholders FIN'!Q70</f>
        <v>0</v>
      </c>
      <c r="R70" s="2">
        <f>'Refort smallholders FIN'!R70</f>
        <v>0</v>
      </c>
      <c r="S70" s="2">
        <f>'Refort smallholders FIN'!S70</f>
        <v>0</v>
      </c>
      <c r="T70" s="2">
        <f>'Refort smallholders FIN'!T70</f>
        <v>0</v>
      </c>
      <c r="U70" s="2">
        <f>'Refort smallholders FIN'!U70</f>
        <v>0</v>
      </c>
      <c r="V70" s="2">
        <f>'Refort smallholders FIN'!V70</f>
        <v>0</v>
      </c>
      <c r="W70" s="2">
        <f>'Refort smallholders FIN'!W70</f>
        <v>0</v>
      </c>
      <c r="X70" s="2">
        <f>'Refort smallholders FIN'!X70</f>
        <v>0</v>
      </c>
      <c r="Y70" s="2">
        <f>'Refort smallholders FIN'!Y70</f>
        <v>0</v>
      </c>
      <c r="Z70" s="2">
        <f>'Refort smallholders FIN'!Z70</f>
        <v>0</v>
      </c>
    </row>
    <row r="71" spans="1:26" x14ac:dyDescent="0.35">
      <c r="A71" s="40" t="s">
        <v>163</v>
      </c>
      <c r="B71" s="41" t="s">
        <v>10</v>
      </c>
      <c r="C71" s="42">
        <f>'Refort smallholders FIN'!C71</f>
        <v>0</v>
      </c>
      <c r="D71" s="14">
        <f>'Refort smallholders FIN'!D71</f>
        <v>0</v>
      </c>
      <c r="E71" s="14">
        <f>'Refort smallholders FIN'!E71</f>
        <v>16200</v>
      </c>
      <c r="F71" s="14">
        <f>'Refort smallholders FIN'!F71</f>
        <v>0</v>
      </c>
      <c r="G71" s="14">
        <f>'Refort smallholders FIN'!G71</f>
        <v>0</v>
      </c>
      <c r="H71" s="14">
        <f>'Refort smallholders FIN'!H71</f>
        <v>0</v>
      </c>
      <c r="I71" s="14">
        <f>'Refort smallholders FIN'!I71</f>
        <v>0</v>
      </c>
      <c r="J71" s="14">
        <f>'Refort smallholders FIN'!J71</f>
        <v>0</v>
      </c>
      <c r="K71" s="14">
        <f>'Refort smallholders FIN'!K71</f>
        <v>0</v>
      </c>
      <c r="L71" s="14">
        <f>'Refort smallholders FIN'!L71</f>
        <v>0</v>
      </c>
      <c r="M71" s="14">
        <f>'Refort smallholders FIN'!M71</f>
        <v>0</v>
      </c>
      <c r="N71" s="14">
        <f>'Refort smallholders FIN'!N71</f>
        <v>0</v>
      </c>
      <c r="O71" s="14">
        <f>'Refort smallholders FIN'!O71</f>
        <v>0</v>
      </c>
      <c r="P71" s="14">
        <f>'Refort smallholders FIN'!P71</f>
        <v>0</v>
      </c>
      <c r="Q71" s="14">
        <f>'Refort smallholders FIN'!Q71</f>
        <v>0</v>
      </c>
      <c r="R71" s="14">
        <f>'Refort smallholders FIN'!R71</f>
        <v>0</v>
      </c>
      <c r="S71" s="14">
        <f>'Refort smallholders FIN'!S71</f>
        <v>0</v>
      </c>
      <c r="T71" s="14">
        <f>'Refort smallholders FIN'!T71</f>
        <v>0</v>
      </c>
      <c r="U71" s="14">
        <f>'Refort smallholders FIN'!U71</f>
        <v>0</v>
      </c>
      <c r="V71" s="14">
        <f>'Refort smallholders FIN'!V71</f>
        <v>0</v>
      </c>
      <c r="W71" s="14">
        <f>'Refort smallholders FIN'!W71</f>
        <v>0</v>
      </c>
      <c r="X71" s="14">
        <f>'Refort smallholders FIN'!X71</f>
        <v>0</v>
      </c>
      <c r="Y71" s="14">
        <f>'Refort smallholders FIN'!Y71</f>
        <v>0</v>
      </c>
      <c r="Z71" s="14">
        <f>'Refort smallholders FIN'!Z71</f>
        <v>0</v>
      </c>
    </row>
    <row r="73" spans="1:26" x14ac:dyDescent="0.35">
      <c r="A73" s="68" t="s">
        <v>304</v>
      </c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spans="1:26" x14ac:dyDescent="0.35">
      <c r="A74" s="12" t="s">
        <v>302</v>
      </c>
      <c r="B74" s="10" t="s">
        <v>12</v>
      </c>
      <c r="C74" s="11" t="s">
        <v>399</v>
      </c>
      <c r="D74" s="11" t="s">
        <v>400</v>
      </c>
      <c r="E74" s="11" t="s">
        <v>401</v>
      </c>
      <c r="F74" s="11" t="s">
        <v>402</v>
      </c>
      <c r="G74" s="11" t="s">
        <v>403</v>
      </c>
      <c r="H74" s="11" t="s">
        <v>404</v>
      </c>
      <c r="I74" s="11" t="s">
        <v>405</v>
      </c>
      <c r="J74" s="11" t="s">
        <v>406</v>
      </c>
      <c r="K74" s="11" t="s">
        <v>407</v>
      </c>
      <c r="L74" s="11" t="s">
        <v>408</v>
      </c>
      <c r="M74" s="11" t="s">
        <v>409</v>
      </c>
      <c r="N74" s="11" t="s">
        <v>410</v>
      </c>
      <c r="O74" s="11" t="s">
        <v>411</v>
      </c>
      <c r="P74" s="11" t="s">
        <v>412</v>
      </c>
      <c r="Q74" s="11" t="s">
        <v>413</v>
      </c>
      <c r="R74" s="11" t="s">
        <v>414</v>
      </c>
      <c r="S74" s="11" t="s">
        <v>415</v>
      </c>
      <c r="T74" s="11" t="s">
        <v>416</v>
      </c>
      <c r="U74" s="11" t="s">
        <v>417</v>
      </c>
      <c r="V74" s="11" t="s">
        <v>418</v>
      </c>
      <c r="W74" s="11" t="s">
        <v>425</v>
      </c>
      <c r="X74" s="11" t="s">
        <v>428</v>
      </c>
      <c r="Y74" s="11" t="s">
        <v>429</v>
      </c>
      <c r="Z74" s="11" t="s">
        <v>430</v>
      </c>
    </row>
    <row r="75" spans="1:26" x14ac:dyDescent="0.35">
      <c r="A75" t="str">
        <f t="shared" ref="A75:A83" si="1">A6</f>
        <v>Nursery</v>
      </c>
      <c r="B75" s="15"/>
    </row>
    <row r="76" spans="1:26" x14ac:dyDescent="0.35">
      <c r="A76" t="str">
        <f t="shared" si="1"/>
        <v xml:space="preserve">  Seeds</v>
      </c>
      <c r="B76" s="13">
        <f>'Refor gazetted ECO'!B55</f>
        <v>6600</v>
      </c>
      <c r="C76" s="2">
        <f t="shared" ref="C76:Z83" si="2">$B76*C7</f>
        <v>24990</v>
      </c>
      <c r="D76" s="2">
        <f t="shared" si="2"/>
        <v>2499</v>
      </c>
      <c r="E76" s="2">
        <f t="shared" si="2"/>
        <v>0</v>
      </c>
      <c r="F76" s="2">
        <f t="shared" si="2"/>
        <v>0</v>
      </c>
      <c r="G76" s="2">
        <f t="shared" si="2"/>
        <v>0</v>
      </c>
      <c r="H76" s="2">
        <f t="shared" si="2"/>
        <v>0</v>
      </c>
      <c r="I76" s="2">
        <f t="shared" si="2"/>
        <v>0</v>
      </c>
      <c r="J76" s="2">
        <f t="shared" si="2"/>
        <v>0</v>
      </c>
      <c r="K76" s="2">
        <f t="shared" si="2"/>
        <v>0</v>
      </c>
      <c r="L76" s="2">
        <f t="shared" si="2"/>
        <v>0</v>
      </c>
      <c r="M76" s="2">
        <f t="shared" si="2"/>
        <v>0</v>
      </c>
      <c r="N76" s="2">
        <f t="shared" si="2"/>
        <v>0</v>
      </c>
      <c r="O76" s="2">
        <f t="shared" si="2"/>
        <v>0</v>
      </c>
      <c r="P76" s="2">
        <f t="shared" si="2"/>
        <v>0</v>
      </c>
      <c r="Q76" s="2">
        <f t="shared" si="2"/>
        <v>0</v>
      </c>
      <c r="R76" s="2">
        <f t="shared" si="2"/>
        <v>0</v>
      </c>
      <c r="S76" s="2">
        <f t="shared" si="2"/>
        <v>0</v>
      </c>
      <c r="T76" s="2">
        <f t="shared" si="2"/>
        <v>0</v>
      </c>
      <c r="U76" s="2">
        <f t="shared" si="2"/>
        <v>0</v>
      </c>
      <c r="V76" s="2">
        <f t="shared" si="2"/>
        <v>0</v>
      </c>
      <c r="W76" s="2">
        <f t="shared" si="2"/>
        <v>0</v>
      </c>
      <c r="X76" s="2">
        <f t="shared" si="2"/>
        <v>0</v>
      </c>
      <c r="Y76" s="2">
        <f t="shared" si="2"/>
        <v>0</v>
      </c>
      <c r="Z76" s="2">
        <f t="shared" si="2"/>
        <v>0</v>
      </c>
    </row>
    <row r="77" spans="1:26" x14ac:dyDescent="0.35">
      <c r="A77" t="str">
        <f t="shared" si="1"/>
        <v xml:space="preserve">  Bags</v>
      </c>
      <c r="B77" s="13">
        <f>'Refor gazetted ECO'!B56</f>
        <v>20.5</v>
      </c>
      <c r="C77" s="2">
        <f t="shared" si="2"/>
        <v>34153</v>
      </c>
      <c r="D77" s="2">
        <f t="shared" si="2"/>
        <v>3415.3000000000006</v>
      </c>
      <c r="E77" s="2">
        <f t="shared" si="2"/>
        <v>0</v>
      </c>
      <c r="F77" s="2">
        <f t="shared" si="2"/>
        <v>0</v>
      </c>
      <c r="G77" s="2">
        <f t="shared" si="2"/>
        <v>0</v>
      </c>
      <c r="H77" s="2">
        <f t="shared" si="2"/>
        <v>0</v>
      </c>
      <c r="I77" s="2">
        <f t="shared" si="2"/>
        <v>0</v>
      </c>
      <c r="J77" s="2">
        <f t="shared" si="2"/>
        <v>0</v>
      </c>
      <c r="K77" s="2">
        <f t="shared" si="2"/>
        <v>0</v>
      </c>
      <c r="L77" s="2">
        <f t="shared" si="2"/>
        <v>0</v>
      </c>
      <c r="M77" s="2">
        <f t="shared" si="2"/>
        <v>0</v>
      </c>
      <c r="N77" s="2">
        <f t="shared" si="2"/>
        <v>0</v>
      </c>
      <c r="O77" s="2">
        <f t="shared" si="2"/>
        <v>0</v>
      </c>
      <c r="P77" s="2">
        <f t="shared" si="2"/>
        <v>0</v>
      </c>
      <c r="Q77" s="2">
        <f t="shared" si="2"/>
        <v>0</v>
      </c>
      <c r="R77" s="2">
        <f t="shared" si="2"/>
        <v>0</v>
      </c>
      <c r="S77" s="2">
        <f t="shared" si="2"/>
        <v>0</v>
      </c>
      <c r="T77" s="2">
        <f t="shared" si="2"/>
        <v>0</v>
      </c>
      <c r="U77" s="2">
        <f t="shared" si="2"/>
        <v>0</v>
      </c>
      <c r="V77" s="2">
        <f t="shared" si="2"/>
        <v>0</v>
      </c>
      <c r="W77" s="2">
        <f t="shared" si="2"/>
        <v>0</v>
      </c>
      <c r="X77" s="2">
        <f t="shared" si="2"/>
        <v>0</v>
      </c>
      <c r="Y77" s="2">
        <f t="shared" si="2"/>
        <v>0</v>
      </c>
      <c r="Z77" s="2">
        <f t="shared" si="2"/>
        <v>0</v>
      </c>
    </row>
    <row r="78" spans="1:26" x14ac:dyDescent="0.35">
      <c r="A78" t="str">
        <f t="shared" si="1"/>
        <v xml:space="preserve">  Tools</v>
      </c>
      <c r="B78" s="13">
        <f>'Refor gazetted ECO'!B57</f>
        <v>25300.66</v>
      </c>
      <c r="C78" s="2">
        <f t="shared" si="2"/>
        <v>25300.66</v>
      </c>
      <c r="D78" s="2">
        <f t="shared" si="2"/>
        <v>2530.0660000000003</v>
      </c>
      <c r="E78" s="2">
        <f t="shared" si="2"/>
        <v>0</v>
      </c>
      <c r="F78" s="2">
        <f t="shared" si="2"/>
        <v>0</v>
      </c>
      <c r="G78" s="2">
        <f t="shared" si="2"/>
        <v>0</v>
      </c>
      <c r="H78" s="2">
        <f t="shared" si="2"/>
        <v>0</v>
      </c>
      <c r="I78" s="2">
        <f t="shared" si="2"/>
        <v>0</v>
      </c>
      <c r="J78" s="2">
        <f t="shared" si="2"/>
        <v>0</v>
      </c>
      <c r="K78" s="2">
        <f t="shared" si="2"/>
        <v>0</v>
      </c>
      <c r="L78" s="2">
        <f t="shared" si="2"/>
        <v>0</v>
      </c>
      <c r="M78" s="2">
        <f t="shared" si="2"/>
        <v>0</v>
      </c>
      <c r="N78" s="2">
        <f t="shared" si="2"/>
        <v>0</v>
      </c>
      <c r="O78" s="2">
        <f t="shared" si="2"/>
        <v>0</v>
      </c>
      <c r="P78" s="2">
        <f t="shared" si="2"/>
        <v>0</v>
      </c>
      <c r="Q78" s="2">
        <f t="shared" si="2"/>
        <v>0</v>
      </c>
      <c r="R78" s="2">
        <f t="shared" si="2"/>
        <v>0</v>
      </c>
      <c r="S78" s="2">
        <f t="shared" si="2"/>
        <v>0</v>
      </c>
      <c r="T78" s="2">
        <f t="shared" si="2"/>
        <v>0</v>
      </c>
      <c r="U78" s="2">
        <f t="shared" si="2"/>
        <v>0</v>
      </c>
      <c r="V78" s="2">
        <f t="shared" si="2"/>
        <v>0</v>
      </c>
      <c r="W78" s="2">
        <f t="shared" si="2"/>
        <v>0</v>
      </c>
      <c r="X78" s="2">
        <f t="shared" si="2"/>
        <v>0</v>
      </c>
      <c r="Y78" s="2">
        <f t="shared" si="2"/>
        <v>0</v>
      </c>
      <c r="Z78" s="2">
        <f t="shared" si="2"/>
        <v>0</v>
      </c>
    </row>
    <row r="79" spans="1:26" x14ac:dyDescent="0.35">
      <c r="A79" t="str">
        <f t="shared" si="1"/>
        <v xml:space="preserve">  Self protection equipment</v>
      </c>
      <c r="B79" s="13">
        <f>'Refor gazetted ECO'!B58</f>
        <v>14186</v>
      </c>
      <c r="C79" s="2">
        <f t="shared" si="2"/>
        <v>14186</v>
      </c>
      <c r="D79" s="2">
        <f t="shared" si="2"/>
        <v>1418.6000000000001</v>
      </c>
      <c r="E79" s="2">
        <f t="shared" si="2"/>
        <v>0</v>
      </c>
      <c r="F79" s="2">
        <f t="shared" si="2"/>
        <v>0</v>
      </c>
      <c r="G79" s="2">
        <f t="shared" si="2"/>
        <v>0</v>
      </c>
      <c r="H79" s="2">
        <f t="shared" si="2"/>
        <v>0</v>
      </c>
      <c r="I79" s="2">
        <f t="shared" si="2"/>
        <v>0</v>
      </c>
      <c r="J79" s="2">
        <f t="shared" si="2"/>
        <v>0</v>
      </c>
      <c r="K79" s="2">
        <f t="shared" si="2"/>
        <v>0</v>
      </c>
      <c r="L79" s="2">
        <f t="shared" si="2"/>
        <v>0</v>
      </c>
      <c r="M79" s="2">
        <f t="shared" si="2"/>
        <v>0</v>
      </c>
      <c r="N79" s="2">
        <f t="shared" si="2"/>
        <v>0</v>
      </c>
      <c r="O79" s="2">
        <f t="shared" si="2"/>
        <v>0</v>
      </c>
      <c r="P79" s="2">
        <f t="shared" si="2"/>
        <v>0</v>
      </c>
      <c r="Q79" s="2">
        <f t="shared" si="2"/>
        <v>0</v>
      </c>
      <c r="R79" s="2">
        <f t="shared" si="2"/>
        <v>0</v>
      </c>
      <c r="S79" s="2">
        <f t="shared" si="2"/>
        <v>0</v>
      </c>
      <c r="T79" s="2">
        <f t="shared" si="2"/>
        <v>0</v>
      </c>
      <c r="U79" s="2">
        <f t="shared" si="2"/>
        <v>0</v>
      </c>
      <c r="V79" s="2">
        <f t="shared" si="2"/>
        <v>0</v>
      </c>
      <c r="W79" s="2">
        <f t="shared" si="2"/>
        <v>0</v>
      </c>
      <c r="X79" s="2">
        <f t="shared" si="2"/>
        <v>0</v>
      </c>
      <c r="Y79" s="2">
        <f t="shared" si="2"/>
        <v>0</v>
      </c>
      <c r="Z79" s="2">
        <f t="shared" si="2"/>
        <v>0</v>
      </c>
    </row>
    <row r="80" spans="1:26" x14ac:dyDescent="0.35">
      <c r="A80" t="str">
        <f t="shared" si="1"/>
        <v xml:space="preserve">  Agro-chemicals</v>
      </c>
      <c r="B80" s="13">
        <f>'Refor gazetted ECO'!B59</f>
        <v>25.2</v>
      </c>
      <c r="C80" s="2">
        <f t="shared" si="2"/>
        <v>23090.760000000002</v>
      </c>
      <c r="D80" s="2">
        <f t="shared" si="2"/>
        <v>2309.076</v>
      </c>
      <c r="E80" s="2">
        <f t="shared" si="2"/>
        <v>0</v>
      </c>
      <c r="F80" s="2">
        <f t="shared" si="2"/>
        <v>0</v>
      </c>
      <c r="G80" s="2">
        <f t="shared" si="2"/>
        <v>0</v>
      </c>
      <c r="H80" s="2">
        <f t="shared" si="2"/>
        <v>0</v>
      </c>
      <c r="I80" s="2">
        <f t="shared" si="2"/>
        <v>0</v>
      </c>
      <c r="J80" s="2">
        <f t="shared" si="2"/>
        <v>0</v>
      </c>
      <c r="K80" s="2">
        <f t="shared" si="2"/>
        <v>0</v>
      </c>
      <c r="L80" s="2">
        <f t="shared" si="2"/>
        <v>0</v>
      </c>
      <c r="M80" s="2">
        <f t="shared" si="2"/>
        <v>0</v>
      </c>
      <c r="N80" s="2">
        <f t="shared" si="2"/>
        <v>0</v>
      </c>
      <c r="O80" s="2">
        <f t="shared" si="2"/>
        <v>0</v>
      </c>
      <c r="P80" s="2">
        <f t="shared" si="2"/>
        <v>0</v>
      </c>
      <c r="Q80" s="2">
        <f t="shared" si="2"/>
        <v>0</v>
      </c>
      <c r="R80" s="2">
        <f t="shared" si="2"/>
        <v>0</v>
      </c>
      <c r="S80" s="2">
        <f t="shared" si="2"/>
        <v>0</v>
      </c>
      <c r="T80" s="2">
        <f t="shared" si="2"/>
        <v>0</v>
      </c>
      <c r="U80" s="2">
        <f t="shared" si="2"/>
        <v>0</v>
      </c>
      <c r="V80" s="2">
        <f t="shared" si="2"/>
        <v>0</v>
      </c>
      <c r="W80" s="2">
        <f t="shared" si="2"/>
        <v>0</v>
      </c>
      <c r="X80" s="2">
        <f t="shared" si="2"/>
        <v>0</v>
      </c>
      <c r="Y80" s="2">
        <f t="shared" si="2"/>
        <v>0</v>
      </c>
      <c r="Z80" s="2">
        <f t="shared" si="2"/>
        <v>0</v>
      </c>
    </row>
    <row r="81" spans="1:26" x14ac:dyDescent="0.35">
      <c r="A81" t="str">
        <f t="shared" si="1"/>
        <v xml:space="preserve">  Area  clearing</v>
      </c>
      <c r="B81" s="13">
        <f>'Refor gazetted ECO'!B60</f>
        <v>6.6857142857142859</v>
      </c>
      <c r="C81" s="2">
        <f t="shared" si="2"/>
        <v>6126.1200000000008</v>
      </c>
      <c r="D81" s="2">
        <f t="shared" si="2"/>
        <v>0</v>
      </c>
      <c r="E81" s="2">
        <f t="shared" si="2"/>
        <v>0</v>
      </c>
      <c r="F81" s="2">
        <f t="shared" si="2"/>
        <v>0</v>
      </c>
      <c r="G81" s="2">
        <f t="shared" si="2"/>
        <v>0</v>
      </c>
      <c r="H81" s="2">
        <f t="shared" si="2"/>
        <v>0</v>
      </c>
      <c r="I81" s="2">
        <f t="shared" si="2"/>
        <v>0</v>
      </c>
      <c r="J81" s="2">
        <f t="shared" si="2"/>
        <v>0</v>
      </c>
      <c r="K81" s="2">
        <f t="shared" si="2"/>
        <v>0</v>
      </c>
      <c r="L81" s="2">
        <f t="shared" si="2"/>
        <v>0</v>
      </c>
      <c r="M81" s="2">
        <f t="shared" si="2"/>
        <v>0</v>
      </c>
      <c r="N81" s="2">
        <f t="shared" si="2"/>
        <v>0</v>
      </c>
      <c r="O81" s="2">
        <f t="shared" si="2"/>
        <v>0</v>
      </c>
      <c r="P81" s="2">
        <f t="shared" si="2"/>
        <v>0</v>
      </c>
      <c r="Q81" s="2">
        <f t="shared" si="2"/>
        <v>0</v>
      </c>
      <c r="R81" s="2">
        <f t="shared" si="2"/>
        <v>0</v>
      </c>
      <c r="S81" s="2">
        <f t="shared" si="2"/>
        <v>0</v>
      </c>
      <c r="T81" s="2">
        <f t="shared" si="2"/>
        <v>0</v>
      </c>
      <c r="U81" s="2">
        <f t="shared" si="2"/>
        <v>0</v>
      </c>
      <c r="V81" s="2">
        <f t="shared" si="2"/>
        <v>0</v>
      </c>
      <c r="W81" s="2">
        <f t="shared" si="2"/>
        <v>0</v>
      </c>
      <c r="X81" s="2">
        <f t="shared" si="2"/>
        <v>0</v>
      </c>
      <c r="Y81" s="2">
        <f t="shared" si="2"/>
        <v>0</v>
      </c>
      <c r="Z81" s="2">
        <f t="shared" si="2"/>
        <v>0</v>
      </c>
    </row>
    <row r="82" spans="1:26" x14ac:dyDescent="0.35">
      <c r="A82" t="str">
        <f t="shared" si="1"/>
        <v xml:space="preserve">  Establishment of shadow area</v>
      </c>
      <c r="B82" s="13">
        <f>'Refor gazetted ECO'!B61</f>
        <v>11.2</v>
      </c>
      <c r="C82" s="2">
        <f t="shared" si="2"/>
        <v>10262.56</v>
      </c>
      <c r="D82" s="2">
        <f t="shared" si="2"/>
        <v>0</v>
      </c>
      <c r="E82" s="2">
        <f t="shared" si="2"/>
        <v>0</v>
      </c>
      <c r="F82" s="2">
        <f t="shared" si="2"/>
        <v>0</v>
      </c>
      <c r="G82" s="2">
        <f t="shared" si="2"/>
        <v>0</v>
      </c>
      <c r="H82" s="2">
        <f t="shared" si="2"/>
        <v>0</v>
      </c>
      <c r="I82" s="2">
        <f t="shared" si="2"/>
        <v>0</v>
      </c>
      <c r="J82" s="2">
        <f t="shared" si="2"/>
        <v>0</v>
      </c>
      <c r="K82" s="2">
        <f t="shared" si="2"/>
        <v>0</v>
      </c>
      <c r="L82" s="2">
        <f t="shared" si="2"/>
        <v>0</v>
      </c>
      <c r="M82" s="2">
        <f t="shared" si="2"/>
        <v>0</v>
      </c>
      <c r="N82" s="2">
        <f t="shared" si="2"/>
        <v>0</v>
      </c>
      <c r="O82" s="2">
        <f t="shared" si="2"/>
        <v>0</v>
      </c>
      <c r="P82" s="2">
        <f t="shared" si="2"/>
        <v>0</v>
      </c>
      <c r="Q82" s="2">
        <f t="shared" si="2"/>
        <v>0</v>
      </c>
      <c r="R82" s="2">
        <f t="shared" si="2"/>
        <v>0</v>
      </c>
      <c r="S82" s="2">
        <f t="shared" si="2"/>
        <v>0</v>
      </c>
      <c r="T82" s="2">
        <f t="shared" si="2"/>
        <v>0</v>
      </c>
      <c r="U82" s="2">
        <f t="shared" si="2"/>
        <v>0</v>
      </c>
      <c r="V82" s="2">
        <f t="shared" si="2"/>
        <v>0</v>
      </c>
      <c r="W82" s="2">
        <f t="shared" si="2"/>
        <v>0</v>
      </c>
      <c r="X82" s="2">
        <f t="shared" si="2"/>
        <v>0</v>
      </c>
      <c r="Y82" s="2">
        <f t="shared" si="2"/>
        <v>0</v>
      </c>
      <c r="Z82" s="2">
        <f t="shared" si="2"/>
        <v>0</v>
      </c>
    </row>
    <row r="83" spans="1:26" x14ac:dyDescent="0.35">
      <c r="A83" t="str">
        <f t="shared" si="1"/>
        <v xml:space="preserve">  Bag filling</v>
      </c>
      <c r="B83" s="13">
        <f>'Refor gazetted ECO'!B62</f>
        <v>9.36</v>
      </c>
      <c r="C83" s="2">
        <f t="shared" si="2"/>
        <v>8576.5679999999993</v>
      </c>
      <c r="D83" s="2">
        <f t="shared" si="2"/>
        <v>857.65680000000009</v>
      </c>
      <c r="E83" s="2">
        <f t="shared" si="2"/>
        <v>0</v>
      </c>
      <c r="F83" s="2">
        <f t="shared" si="2"/>
        <v>0</v>
      </c>
      <c r="G83" s="2">
        <f t="shared" si="2"/>
        <v>0</v>
      </c>
      <c r="H83" s="2">
        <f t="shared" si="2"/>
        <v>0</v>
      </c>
      <c r="I83" s="2">
        <f t="shared" si="2"/>
        <v>0</v>
      </c>
      <c r="J83" s="2">
        <f t="shared" si="2"/>
        <v>0</v>
      </c>
      <c r="K83" s="2">
        <f t="shared" si="2"/>
        <v>0</v>
      </c>
      <c r="L83" s="2">
        <f t="shared" si="2"/>
        <v>0</v>
      </c>
      <c r="M83" s="2">
        <f t="shared" si="2"/>
        <v>0</v>
      </c>
      <c r="N83" s="2">
        <f t="shared" si="2"/>
        <v>0</v>
      </c>
      <c r="O83" s="2">
        <f t="shared" si="2"/>
        <v>0</v>
      </c>
      <c r="P83" s="2">
        <f t="shared" si="2"/>
        <v>0</v>
      </c>
      <c r="Q83" s="2">
        <f t="shared" si="2"/>
        <v>0</v>
      </c>
      <c r="R83" s="2">
        <f t="shared" si="2"/>
        <v>0</v>
      </c>
      <c r="S83" s="2">
        <f t="shared" si="2"/>
        <v>0</v>
      </c>
      <c r="T83" s="2">
        <f t="shared" si="2"/>
        <v>0</v>
      </c>
      <c r="U83" s="2">
        <f t="shared" si="2"/>
        <v>0</v>
      </c>
      <c r="V83" s="2">
        <f t="shared" si="2"/>
        <v>0</v>
      </c>
      <c r="W83" s="2">
        <f t="shared" si="2"/>
        <v>0</v>
      </c>
      <c r="X83" s="2">
        <f t="shared" si="2"/>
        <v>0</v>
      </c>
      <c r="Y83" s="2">
        <f t="shared" si="2"/>
        <v>0</v>
      </c>
      <c r="Z83" s="2">
        <f t="shared" si="2"/>
        <v>0</v>
      </c>
    </row>
    <row r="84" spans="1:26" x14ac:dyDescent="0.35">
      <c r="B84" s="13"/>
    </row>
    <row r="85" spans="1:26" x14ac:dyDescent="0.35">
      <c r="A85" t="str">
        <f t="shared" ref="A85:A91" si="3">A16</f>
        <v>Land preparation and plantation</v>
      </c>
      <c r="B85" s="13"/>
    </row>
    <row r="86" spans="1:26" x14ac:dyDescent="0.35">
      <c r="A86" t="str">
        <f t="shared" si="3"/>
        <v xml:space="preserve">  Surveying</v>
      </c>
      <c r="B86" s="13">
        <f>'Refor gazetted ECO'!B65</f>
        <v>3000</v>
      </c>
      <c r="C86" s="2">
        <f t="shared" ref="C86:Z91" si="4">$B86*C17</f>
        <v>0</v>
      </c>
      <c r="D86" s="2">
        <f t="shared" si="4"/>
        <v>0</v>
      </c>
      <c r="E86" s="2">
        <f t="shared" si="4"/>
        <v>0</v>
      </c>
      <c r="F86" s="2">
        <f t="shared" si="4"/>
        <v>0</v>
      </c>
      <c r="G86" s="2">
        <f t="shared" si="4"/>
        <v>0</v>
      </c>
      <c r="H86" s="2">
        <f t="shared" si="4"/>
        <v>0</v>
      </c>
      <c r="I86" s="2">
        <f t="shared" si="4"/>
        <v>0</v>
      </c>
      <c r="J86" s="2">
        <f t="shared" si="4"/>
        <v>0</v>
      </c>
      <c r="K86" s="2">
        <f t="shared" si="4"/>
        <v>0</v>
      </c>
      <c r="L86" s="2">
        <f t="shared" si="4"/>
        <v>0</v>
      </c>
      <c r="M86" s="2">
        <f t="shared" si="4"/>
        <v>0</v>
      </c>
      <c r="N86" s="2">
        <f t="shared" si="4"/>
        <v>0</v>
      </c>
      <c r="O86" s="2">
        <f t="shared" si="4"/>
        <v>0</v>
      </c>
      <c r="P86" s="2">
        <f t="shared" si="4"/>
        <v>0</v>
      </c>
      <c r="Q86" s="2">
        <f t="shared" si="4"/>
        <v>0</v>
      </c>
      <c r="R86" s="2">
        <f t="shared" si="4"/>
        <v>0</v>
      </c>
      <c r="S86" s="2">
        <f t="shared" si="4"/>
        <v>0</v>
      </c>
      <c r="T86" s="2">
        <f t="shared" si="4"/>
        <v>0</v>
      </c>
      <c r="U86" s="2">
        <f t="shared" si="4"/>
        <v>0</v>
      </c>
      <c r="V86" s="2">
        <f t="shared" si="4"/>
        <v>0</v>
      </c>
      <c r="W86" s="2">
        <f t="shared" si="4"/>
        <v>0</v>
      </c>
      <c r="X86" s="2">
        <f t="shared" si="4"/>
        <v>0</v>
      </c>
      <c r="Y86" s="2">
        <f t="shared" si="4"/>
        <v>0</v>
      </c>
      <c r="Z86" s="2">
        <f t="shared" si="4"/>
        <v>0</v>
      </c>
    </row>
    <row r="87" spans="1:26" x14ac:dyDescent="0.35">
      <c r="A87" t="str">
        <f t="shared" si="3"/>
        <v xml:space="preserve">  Area clearing</v>
      </c>
      <c r="B87" s="13">
        <f>'Refor gazetted ECO'!B66</f>
        <v>28080</v>
      </c>
      <c r="C87" s="2">
        <f t="shared" si="4"/>
        <v>28080</v>
      </c>
      <c r="D87" s="2">
        <f t="shared" si="4"/>
        <v>0</v>
      </c>
      <c r="E87" s="2">
        <f t="shared" si="4"/>
        <v>0</v>
      </c>
      <c r="F87" s="2">
        <f t="shared" si="4"/>
        <v>0</v>
      </c>
      <c r="G87" s="2">
        <f t="shared" si="4"/>
        <v>0</v>
      </c>
      <c r="H87" s="2">
        <f t="shared" si="4"/>
        <v>0</v>
      </c>
      <c r="I87" s="2">
        <f t="shared" si="4"/>
        <v>0</v>
      </c>
      <c r="J87" s="2">
        <f t="shared" si="4"/>
        <v>0</v>
      </c>
      <c r="K87" s="2">
        <f t="shared" si="4"/>
        <v>0</v>
      </c>
      <c r="L87" s="2">
        <f t="shared" si="4"/>
        <v>0</v>
      </c>
      <c r="M87" s="2">
        <f t="shared" si="4"/>
        <v>0</v>
      </c>
      <c r="N87" s="2">
        <f t="shared" si="4"/>
        <v>0</v>
      </c>
      <c r="O87" s="2">
        <f t="shared" si="4"/>
        <v>0</v>
      </c>
      <c r="P87" s="2">
        <f t="shared" si="4"/>
        <v>0</v>
      </c>
      <c r="Q87" s="2">
        <f t="shared" si="4"/>
        <v>0</v>
      </c>
      <c r="R87" s="2">
        <f t="shared" si="4"/>
        <v>0</v>
      </c>
      <c r="S87" s="2">
        <f t="shared" si="4"/>
        <v>0</v>
      </c>
      <c r="T87" s="2">
        <f t="shared" si="4"/>
        <v>0</v>
      </c>
      <c r="U87" s="2">
        <f t="shared" si="4"/>
        <v>0</v>
      </c>
      <c r="V87" s="2">
        <f t="shared" si="4"/>
        <v>0</v>
      </c>
      <c r="W87" s="2">
        <f t="shared" si="4"/>
        <v>0</v>
      </c>
      <c r="X87" s="2">
        <f t="shared" si="4"/>
        <v>0</v>
      </c>
      <c r="Y87" s="2">
        <f t="shared" si="4"/>
        <v>0</v>
      </c>
      <c r="Z87" s="2">
        <f t="shared" si="4"/>
        <v>0</v>
      </c>
    </row>
    <row r="88" spans="1:26" x14ac:dyDescent="0.35">
      <c r="A88" t="str">
        <f t="shared" si="3"/>
        <v xml:space="preserve">  Stump extraction, controlled fire and marking out</v>
      </c>
      <c r="B88" s="13">
        <f>'Refor gazetted ECO'!B67</f>
        <v>28080</v>
      </c>
      <c r="C88" s="2">
        <f t="shared" si="4"/>
        <v>28080</v>
      </c>
      <c r="D88" s="2">
        <f t="shared" si="4"/>
        <v>0</v>
      </c>
      <c r="E88" s="2">
        <f t="shared" si="4"/>
        <v>0</v>
      </c>
      <c r="F88" s="2">
        <f t="shared" si="4"/>
        <v>0</v>
      </c>
      <c r="G88" s="2">
        <f t="shared" si="4"/>
        <v>0</v>
      </c>
      <c r="H88" s="2">
        <f t="shared" si="4"/>
        <v>0</v>
      </c>
      <c r="I88" s="2">
        <f t="shared" si="4"/>
        <v>0</v>
      </c>
      <c r="J88" s="2">
        <f t="shared" si="4"/>
        <v>0</v>
      </c>
      <c r="K88" s="2">
        <f t="shared" si="4"/>
        <v>0</v>
      </c>
      <c r="L88" s="2">
        <f t="shared" si="4"/>
        <v>0</v>
      </c>
      <c r="M88" s="2">
        <f t="shared" si="4"/>
        <v>0</v>
      </c>
      <c r="N88" s="2">
        <f t="shared" si="4"/>
        <v>0</v>
      </c>
      <c r="O88" s="2">
        <f t="shared" si="4"/>
        <v>0</v>
      </c>
      <c r="P88" s="2">
        <f t="shared" si="4"/>
        <v>0</v>
      </c>
      <c r="Q88" s="2">
        <f t="shared" si="4"/>
        <v>0</v>
      </c>
      <c r="R88" s="2">
        <f t="shared" si="4"/>
        <v>0</v>
      </c>
      <c r="S88" s="2">
        <f t="shared" si="4"/>
        <v>0</v>
      </c>
      <c r="T88" s="2">
        <f t="shared" si="4"/>
        <v>0</v>
      </c>
      <c r="U88" s="2">
        <f t="shared" si="4"/>
        <v>0</v>
      </c>
      <c r="V88" s="2">
        <f t="shared" si="4"/>
        <v>0</v>
      </c>
      <c r="W88" s="2">
        <f t="shared" si="4"/>
        <v>0</v>
      </c>
      <c r="X88" s="2">
        <f t="shared" si="4"/>
        <v>0</v>
      </c>
      <c r="Y88" s="2">
        <f t="shared" si="4"/>
        <v>0</v>
      </c>
      <c r="Z88" s="2">
        <f t="shared" si="4"/>
        <v>0</v>
      </c>
    </row>
    <row r="89" spans="1:26" x14ac:dyDescent="0.35">
      <c r="A89" t="str">
        <f t="shared" si="3"/>
        <v xml:space="preserve">  Digging holes</v>
      </c>
      <c r="B89" s="13">
        <f>'Refor gazetted ECO'!B68</f>
        <v>28.08</v>
      </c>
      <c r="C89" s="2">
        <f t="shared" si="4"/>
        <v>23390.639999999999</v>
      </c>
      <c r="D89" s="2">
        <f t="shared" si="4"/>
        <v>0</v>
      </c>
      <c r="E89" s="2">
        <f t="shared" si="4"/>
        <v>0</v>
      </c>
      <c r="F89" s="2">
        <f t="shared" si="4"/>
        <v>0</v>
      </c>
      <c r="G89" s="2">
        <f t="shared" si="4"/>
        <v>0</v>
      </c>
      <c r="H89" s="2">
        <f t="shared" si="4"/>
        <v>0</v>
      </c>
      <c r="I89" s="2">
        <f t="shared" si="4"/>
        <v>0</v>
      </c>
      <c r="J89" s="2">
        <f t="shared" si="4"/>
        <v>0</v>
      </c>
      <c r="K89" s="2">
        <f t="shared" si="4"/>
        <v>0</v>
      </c>
      <c r="L89" s="2">
        <f t="shared" si="4"/>
        <v>0</v>
      </c>
      <c r="M89" s="2">
        <f t="shared" si="4"/>
        <v>0</v>
      </c>
      <c r="N89" s="2">
        <f t="shared" si="4"/>
        <v>0</v>
      </c>
      <c r="O89" s="2">
        <f t="shared" si="4"/>
        <v>0</v>
      </c>
      <c r="P89" s="2">
        <f t="shared" si="4"/>
        <v>0</v>
      </c>
      <c r="Q89" s="2">
        <f t="shared" si="4"/>
        <v>0</v>
      </c>
      <c r="R89" s="2">
        <f t="shared" si="4"/>
        <v>0</v>
      </c>
      <c r="S89" s="2">
        <f t="shared" si="4"/>
        <v>0</v>
      </c>
      <c r="T89" s="2">
        <f t="shared" si="4"/>
        <v>0</v>
      </c>
      <c r="U89" s="2">
        <f t="shared" si="4"/>
        <v>0</v>
      </c>
      <c r="V89" s="2">
        <f t="shared" si="4"/>
        <v>0</v>
      </c>
      <c r="W89" s="2">
        <f t="shared" si="4"/>
        <v>0</v>
      </c>
      <c r="X89" s="2">
        <f t="shared" si="4"/>
        <v>0</v>
      </c>
      <c r="Y89" s="2">
        <f t="shared" si="4"/>
        <v>0</v>
      </c>
      <c r="Z89" s="2">
        <f t="shared" si="4"/>
        <v>0</v>
      </c>
    </row>
    <row r="90" spans="1:26" x14ac:dyDescent="0.35">
      <c r="A90" t="str">
        <f t="shared" si="3"/>
        <v xml:space="preserve">  Transport of seedlings</v>
      </c>
      <c r="B90" s="13">
        <f>'Refor gazetted ECO'!B69</f>
        <v>6.93</v>
      </c>
      <c r="C90" s="2">
        <f t="shared" si="4"/>
        <v>5772.69</v>
      </c>
      <c r="D90" s="2">
        <f t="shared" si="4"/>
        <v>0</v>
      </c>
      <c r="E90" s="2">
        <f t="shared" si="4"/>
        <v>0</v>
      </c>
      <c r="F90" s="2">
        <f t="shared" si="4"/>
        <v>0</v>
      </c>
      <c r="G90" s="2">
        <f t="shared" si="4"/>
        <v>0</v>
      </c>
      <c r="H90" s="2">
        <f t="shared" si="4"/>
        <v>0</v>
      </c>
      <c r="I90" s="2">
        <f t="shared" si="4"/>
        <v>0</v>
      </c>
      <c r="J90" s="2">
        <f t="shared" si="4"/>
        <v>0</v>
      </c>
      <c r="K90" s="2">
        <f t="shared" si="4"/>
        <v>0</v>
      </c>
      <c r="L90" s="2">
        <f t="shared" si="4"/>
        <v>0</v>
      </c>
      <c r="M90" s="2">
        <f t="shared" si="4"/>
        <v>0</v>
      </c>
      <c r="N90" s="2">
        <f t="shared" si="4"/>
        <v>0</v>
      </c>
      <c r="O90" s="2">
        <f t="shared" si="4"/>
        <v>0</v>
      </c>
      <c r="P90" s="2">
        <f t="shared" si="4"/>
        <v>0</v>
      </c>
      <c r="Q90" s="2">
        <f t="shared" si="4"/>
        <v>0</v>
      </c>
      <c r="R90" s="2">
        <f t="shared" si="4"/>
        <v>0</v>
      </c>
      <c r="S90" s="2">
        <f t="shared" si="4"/>
        <v>0</v>
      </c>
      <c r="T90" s="2">
        <f t="shared" si="4"/>
        <v>0</v>
      </c>
      <c r="U90" s="2">
        <f t="shared" si="4"/>
        <v>0</v>
      </c>
      <c r="V90" s="2">
        <f t="shared" si="4"/>
        <v>0</v>
      </c>
      <c r="W90" s="2">
        <f t="shared" si="4"/>
        <v>0</v>
      </c>
      <c r="X90" s="2">
        <f t="shared" si="4"/>
        <v>0</v>
      </c>
      <c r="Y90" s="2">
        <f t="shared" si="4"/>
        <v>0</v>
      </c>
      <c r="Z90" s="2">
        <f t="shared" si="4"/>
        <v>0</v>
      </c>
    </row>
    <row r="91" spans="1:26" x14ac:dyDescent="0.35">
      <c r="A91" t="str">
        <f t="shared" si="3"/>
        <v xml:space="preserve">  Planting</v>
      </c>
      <c r="B91" s="13">
        <f>'Refor gazetted ECO'!B70</f>
        <v>28.08</v>
      </c>
      <c r="C91" s="2">
        <f t="shared" si="4"/>
        <v>23390.639999999999</v>
      </c>
      <c r="D91" s="2">
        <f t="shared" si="4"/>
        <v>0</v>
      </c>
      <c r="E91" s="2">
        <f t="shared" si="4"/>
        <v>0</v>
      </c>
      <c r="F91" s="2">
        <f t="shared" si="4"/>
        <v>0</v>
      </c>
      <c r="G91" s="2">
        <f t="shared" si="4"/>
        <v>0</v>
      </c>
      <c r="H91" s="2">
        <f t="shared" si="4"/>
        <v>0</v>
      </c>
      <c r="I91" s="2">
        <f t="shared" si="4"/>
        <v>0</v>
      </c>
      <c r="J91" s="2">
        <f t="shared" si="4"/>
        <v>0</v>
      </c>
      <c r="K91" s="2">
        <f t="shared" si="4"/>
        <v>0</v>
      </c>
      <c r="L91" s="2">
        <f t="shared" si="4"/>
        <v>0</v>
      </c>
      <c r="M91" s="2">
        <f t="shared" si="4"/>
        <v>0</v>
      </c>
      <c r="N91" s="2">
        <f t="shared" si="4"/>
        <v>0</v>
      </c>
      <c r="O91" s="2">
        <f t="shared" si="4"/>
        <v>0</v>
      </c>
      <c r="P91" s="2">
        <f t="shared" si="4"/>
        <v>0</v>
      </c>
      <c r="Q91" s="2">
        <f t="shared" si="4"/>
        <v>0</v>
      </c>
      <c r="R91" s="2">
        <f t="shared" si="4"/>
        <v>0</v>
      </c>
      <c r="S91" s="2">
        <f t="shared" si="4"/>
        <v>0</v>
      </c>
      <c r="T91" s="2">
        <f t="shared" si="4"/>
        <v>0</v>
      </c>
      <c r="U91" s="2">
        <f t="shared" si="4"/>
        <v>0</v>
      </c>
      <c r="V91" s="2">
        <f t="shared" si="4"/>
        <v>0</v>
      </c>
      <c r="W91" s="2">
        <f t="shared" si="4"/>
        <v>0</v>
      </c>
      <c r="X91" s="2">
        <f t="shared" si="4"/>
        <v>0</v>
      </c>
      <c r="Y91" s="2">
        <f t="shared" si="4"/>
        <v>0</v>
      </c>
      <c r="Z91" s="2">
        <f t="shared" si="4"/>
        <v>0</v>
      </c>
    </row>
    <row r="92" spans="1:26" x14ac:dyDescent="0.35">
      <c r="B92" s="13"/>
    </row>
    <row r="93" spans="1:26" x14ac:dyDescent="0.35">
      <c r="A93" t="str">
        <f t="shared" ref="A93:A99" si="5">A24</f>
        <v xml:space="preserve">Forest maintenance </v>
      </c>
      <c r="B93" s="13"/>
    </row>
    <row r="94" spans="1:26" x14ac:dyDescent="0.35">
      <c r="A94" t="str">
        <f t="shared" si="5"/>
        <v xml:space="preserve">  Weeding over total areas</v>
      </c>
      <c r="B94" s="13">
        <f>'Refor gazetted ECO'!B73</f>
        <v>23400</v>
      </c>
      <c r="C94" s="2">
        <f t="shared" ref="C94:Z99" si="6">$B94*C25</f>
        <v>23400</v>
      </c>
      <c r="D94" s="2">
        <f t="shared" si="6"/>
        <v>23400</v>
      </c>
      <c r="E94" s="2">
        <f t="shared" si="6"/>
        <v>23400</v>
      </c>
      <c r="F94" s="2">
        <f t="shared" si="6"/>
        <v>0</v>
      </c>
      <c r="G94" s="2">
        <f t="shared" si="6"/>
        <v>0</v>
      </c>
      <c r="H94" s="2">
        <f t="shared" si="6"/>
        <v>0</v>
      </c>
      <c r="I94" s="2">
        <f t="shared" si="6"/>
        <v>0</v>
      </c>
      <c r="J94" s="2">
        <f t="shared" si="6"/>
        <v>0</v>
      </c>
      <c r="K94" s="2">
        <f t="shared" si="6"/>
        <v>0</v>
      </c>
      <c r="L94" s="2">
        <f t="shared" si="6"/>
        <v>0</v>
      </c>
      <c r="M94" s="2">
        <f t="shared" si="6"/>
        <v>0</v>
      </c>
      <c r="N94" s="2">
        <f t="shared" si="6"/>
        <v>0</v>
      </c>
      <c r="O94" s="2">
        <f t="shared" si="6"/>
        <v>0</v>
      </c>
      <c r="P94" s="2">
        <f t="shared" si="6"/>
        <v>0</v>
      </c>
      <c r="Q94" s="2">
        <f t="shared" si="6"/>
        <v>0</v>
      </c>
      <c r="R94" s="2">
        <f t="shared" si="6"/>
        <v>0</v>
      </c>
      <c r="S94" s="2">
        <f t="shared" si="6"/>
        <v>0</v>
      </c>
      <c r="T94" s="2">
        <f t="shared" si="6"/>
        <v>0</v>
      </c>
      <c r="U94" s="2">
        <f t="shared" si="6"/>
        <v>0</v>
      </c>
      <c r="V94" s="2">
        <f t="shared" si="6"/>
        <v>0</v>
      </c>
      <c r="W94" s="2">
        <f t="shared" si="6"/>
        <v>0</v>
      </c>
      <c r="X94" s="2">
        <f t="shared" si="6"/>
        <v>0</v>
      </c>
      <c r="Y94" s="2">
        <f t="shared" si="6"/>
        <v>0</v>
      </c>
      <c r="Z94" s="2">
        <f t="shared" si="6"/>
        <v>0</v>
      </c>
    </row>
    <row r="95" spans="1:26" x14ac:dyDescent="0.35">
      <c r="A95" t="str">
        <f t="shared" si="5"/>
        <v xml:space="preserve">  Weeding over lines</v>
      </c>
      <c r="B95" s="13">
        <f>'Refor gazetted ECO'!B74</f>
        <v>14040</v>
      </c>
      <c r="C95" s="2">
        <f t="shared" si="6"/>
        <v>0</v>
      </c>
      <c r="D95" s="2">
        <f t="shared" si="6"/>
        <v>0</v>
      </c>
      <c r="E95" s="2">
        <f t="shared" si="6"/>
        <v>14040</v>
      </c>
      <c r="F95" s="2">
        <f t="shared" si="6"/>
        <v>0</v>
      </c>
      <c r="G95" s="2">
        <f t="shared" si="6"/>
        <v>0</v>
      </c>
      <c r="H95" s="2">
        <f t="shared" si="6"/>
        <v>0</v>
      </c>
      <c r="I95" s="2">
        <f t="shared" si="6"/>
        <v>0</v>
      </c>
      <c r="J95" s="2">
        <f t="shared" si="6"/>
        <v>0</v>
      </c>
      <c r="K95" s="2">
        <f t="shared" si="6"/>
        <v>0</v>
      </c>
      <c r="L95" s="2">
        <f t="shared" si="6"/>
        <v>0</v>
      </c>
      <c r="M95" s="2">
        <f t="shared" si="6"/>
        <v>0</v>
      </c>
      <c r="N95" s="2">
        <f t="shared" si="6"/>
        <v>0</v>
      </c>
      <c r="O95" s="2">
        <f t="shared" si="6"/>
        <v>0</v>
      </c>
      <c r="P95" s="2">
        <f t="shared" si="6"/>
        <v>0</v>
      </c>
      <c r="Q95" s="2">
        <f t="shared" si="6"/>
        <v>0</v>
      </c>
      <c r="R95" s="2">
        <f t="shared" si="6"/>
        <v>0</v>
      </c>
      <c r="S95" s="2">
        <f t="shared" si="6"/>
        <v>0</v>
      </c>
      <c r="T95" s="2">
        <f t="shared" si="6"/>
        <v>0</v>
      </c>
      <c r="U95" s="2">
        <f t="shared" si="6"/>
        <v>0</v>
      </c>
      <c r="V95" s="2">
        <f t="shared" si="6"/>
        <v>0</v>
      </c>
      <c r="W95" s="2">
        <f t="shared" si="6"/>
        <v>0</v>
      </c>
      <c r="X95" s="2">
        <f t="shared" si="6"/>
        <v>0</v>
      </c>
      <c r="Y95" s="2">
        <f t="shared" si="6"/>
        <v>0</v>
      </c>
      <c r="Z95" s="2">
        <f t="shared" si="6"/>
        <v>0</v>
      </c>
    </row>
    <row r="96" spans="1:26" x14ac:dyDescent="0.35">
      <c r="A96" t="str">
        <f t="shared" si="5"/>
        <v xml:space="preserve">  Compensatory planting (including transport)</v>
      </c>
      <c r="B96" s="13">
        <f>'Refor gazetted ECO'!B75</f>
        <v>35.01</v>
      </c>
      <c r="C96" s="2">
        <f t="shared" si="6"/>
        <v>4374.499499999999</v>
      </c>
      <c r="D96" s="2">
        <f t="shared" si="6"/>
        <v>4374.499499999999</v>
      </c>
      <c r="E96" s="2">
        <f t="shared" si="6"/>
        <v>0</v>
      </c>
      <c r="F96" s="2">
        <f t="shared" si="6"/>
        <v>0</v>
      </c>
      <c r="G96" s="2">
        <f t="shared" si="6"/>
        <v>0</v>
      </c>
      <c r="H96" s="2">
        <f t="shared" si="6"/>
        <v>0</v>
      </c>
      <c r="I96" s="2">
        <f t="shared" si="6"/>
        <v>0</v>
      </c>
      <c r="J96" s="2">
        <f t="shared" si="6"/>
        <v>0</v>
      </c>
      <c r="K96" s="2">
        <f t="shared" si="6"/>
        <v>0</v>
      </c>
      <c r="L96" s="2">
        <f t="shared" si="6"/>
        <v>0</v>
      </c>
      <c r="M96" s="2">
        <f t="shared" si="6"/>
        <v>0</v>
      </c>
      <c r="N96" s="2">
        <f t="shared" si="6"/>
        <v>0</v>
      </c>
      <c r="O96" s="2">
        <f t="shared" si="6"/>
        <v>0</v>
      </c>
      <c r="P96" s="2">
        <f t="shared" si="6"/>
        <v>0</v>
      </c>
      <c r="Q96" s="2">
        <f t="shared" si="6"/>
        <v>0</v>
      </c>
      <c r="R96" s="2">
        <f t="shared" si="6"/>
        <v>0</v>
      </c>
      <c r="S96" s="2">
        <f t="shared" si="6"/>
        <v>0</v>
      </c>
      <c r="T96" s="2">
        <f t="shared" si="6"/>
        <v>0</v>
      </c>
      <c r="U96" s="2">
        <f t="shared" si="6"/>
        <v>0</v>
      </c>
      <c r="V96" s="2">
        <f t="shared" si="6"/>
        <v>0</v>
      </c>
      <c r="W96" s="2">
        <f t="shared" si="6"/>
        <v>0</v>
      </c>
      <c r="X96" s="2">
        <f t="shared" si="6"/>
        <v>0</v>
      </c>
      <c r="Y96" s="2">
        <f t="shared" si="6"/>
        <v>0</v>
      </c>
      <c r="Z96" s="2">
        <f t="shared" si="6"/>
        <v>0</v>
      </c>
    </row>
    <row r="97" spans="1:26" x14ac:dyDescent="0.35">
      <c r="A97" t="str">
        <f t="shared" si="5"/>
        <v xml:space="preserve">  Shape pruning</v>
      </c>
      <c r="B97" s="13">
        <f>'Refor gazetted ECO'!B76</f>
        <v>2000</v>
      </c>
      <c r="C97" s="2">
        <f t="shared" si="6"/>
        <v>2000</v>
      </c>
      <c r="D97" s="2">
        <f t="shared" si="6"/>
        <v>2000</v>
      </c>
      <c r="E97" s="2">
        <f t="shared" si="6"/>
        <v>2000</v>
      </c>
      <c r="F97" s="2">
        <f t="shared" si="6"/>
        <v>0</v>
      </c>
      <c r="G97" s="2">
        <f t="shared" si="6"/>
        <v>0</v>
      </c>
      <c r="H97" s="2">
        <f t="shared" si="6"/>
        <v>0</v>
      </c>
      <c r="I97" s="2">
        <f t="shared" si="6"/>
        <v>0</v>
      </c>
      <c r="J97" s="2">
        <f t="shared" si="6"/>
        <v>0</v>
      </c>
      <c r="K97" s="2">
        <f t="shared" si="6"/>
        <v>0</v>
      </c>
      <c r="L97" s="2">
        <f t="shared" si="6"/>
        <v>0</v>
      </c>
      <c r="M97" s="2">
        <f t="shared" si="6"/>
        <v>0</v>
      </c>
      <c r="N97" s="2">
        <f t="shared" si="6"/>
        <v>0</v>
      </c>
      <c r="O97" s="2">
        <f t="shared" si="6"/>
        <v>0</v>
      </c>
      <c r="P97" s="2">
        <f t="shared" si="6"/>
        <v>0</v>
      </c>
      <c r="Q97" s="2">
        <f t="shared" si="6"/>
        <v>0</v>
      </c>
      <c r="R97" s="2">
        <f t="shared" si="6"/>
        <v>0</v>
      </c>
      <c r="S97" s="2">
        <f t="shared" si="6"/>
        <v>0</v>
      </c>
      <c r="T97" s="2">
        <f t="shared" si="6"/>
        <v>0</v>
      </c>
      <c r="U97" s="2">
        <f t="shared" si="6"/>
        <v>0</v>
      </c>
      <c r="V97" s="2">
        <f t="shared" si="6"/>
        <v>0</v>
      </c>
      <c r="W97" s="2">
        <f t="shared" si="6"/>
        <v>0</v>
      </c>
      <c r="X97" s="2">
        <f t="shared" si="6"/>
        <v>0</v>
      </c>
      <c r="Y97" s="2">
        <f t="shared" si="6"/>
        <v>0</v>
      </c>
      <c r="Z97" s="2">
        <f t="shared" si="6"/>
        <v>0</v>
      </c>
    </row>
    <row r="98" spans="1:26" x14ac:dyDescent="0.35">
      <c r="A98" t="str">
        <f t="shared" si="5"/>
        <v xml:space="preserve">  Fire breaking</v>
      </c>
      <c r="B98" s="13">
        <f>'Refor gazetted ECO'!B77</f>
        <v>9360</v>
      </c>
      <c r="C98" s="2">
        <f t="shared" si="6"/>
        <v>9360</v>
      </c>
      <c r="D98" s="2">
        <f t="shared" si="6"/>
        <v>9360</v>
      </c>
      <c r="E98" s="2">
        <f t="shared" si="6"/>
        <v>9360</v>
      </c>
      <c r="F98" s="2">
        <f t="shared" si="6"/>
        <v>14040</v>
      </c>
      <c r="G98" s="2">
        <f t="shared" si="6"/>
        <v>14040</v>
      </c>
      <c r="H98" s="2">
        <f t="shared" si="6"/>
        <v>14040</v>
      </c>
      <c r="I98" s="2">
        <f t="shared" si="6"/>
        <v>14040</v>
      </c>
      <c r="J98" s="2">
        <f t="shared" si="6"/>
        <v>14040</v>
      </c>
      <c r="K98" s="2">
        <f t="shared" si="6"/>
        <v>14040</v>
      </c>
      <c r="L98" s="2">
        <f t="shared" si="6"/>
        <v>14040</v>
      </c>
      <c r="M98" s="2">
        <f t="shared" si="6"/>
        <v>14040</v>
      </c>
      <c r="N98" s="2">
        <f t="shared" si="6"/>
        <v>14040</v>
      </c>
      <c r="O98" s="2">
        <f t="shared" si="6"/>
        <v>14040</v>
      </c>
      <c r="P98" s="2">
        <f t="shared" si="6"/>
        <v>14040</v>
      </c>
      <c r="Q98" s="2">
        <f t="shared" si="6"/>
        <v>14040</v>
      </c>
      <c r="R98" s="2">
        <f t="shared" si="6"/>
        <v>14040</v>
      </c>
      <c r="S98" s="2">
        <f t="shared" si="6"/>
        <v>14040</v>
      </c>
      <c r="T98" s="2">
        <f t="shared" si="6"/>
        <v>14040</v>
      </c>
      <c r="U98" s="2">
        <f t="shared" si="6"/>
        <v>14040</v>
      </c>
      <c r="V98" s="2">
        <f t="shared" si="6"/>
        <v>14040</v>
      </c>
      <c r="W98" s="2">
        <f t="shared" si="6"/>
        <v>14040</v>
      </c>
      <c r="X98" s="2">
        <f t="shared" si="6"/>
        <v>14040</v>
      </c>
      <c r="Y98" s="2">
        <f t="shared" si="6"/>
        <v>14040</v>
      </c>
      <c r="Z98" s="2">
        <f t="shared" si="6"/>
        <v>14040</v>
      </c>
    </row>
    <row r="99" spans="1:26" x14ac:dyDescent="0.35">
      <c r="A99" t="str">
        <f t="shared" si="5"/>
        <v xml:space="preserve">  Pruning</v>
      </c>
      <c r="B99" s="13">
        <f>'Refor gazetted ECO'!B78</f>
        <v>18720</v>
      </c>
      <c r="C99" s="2">
        <f t="shared" si="6"/>
        <v>0</v>
      </c>
      <c r="D99" s="2">
        <f t="shared" si="6"/>
        <v>0</v>
      </c>
      <c r="E99" s="2">
        <f t="shared" si="6"/>
        <v>0</v>
      </c>
      <c r="F99" s="2">
        <f t="shared" si="6"/>
        <v>0</v>
      </c>
      <c r="G99" s="2">
        <f t="shared" si="6"/>
        <v>18720</v>
      </c>
      <c r="H99" s="2">
        <f t="shared" si="6"/>
        <v>0</v>
      </c>
      <c r="I99" s="2">
        <f t="shared" si="6"/>
        <v>0</v>
      </c>
      <c r="J99" s="2">
        <f t="shared" si="6"/>
        <v>0</v>
      </c>
      <c r="K99" s="2">
        <f t="shared" si="6"/>
        <v>0</v>
      </c>
      <c r="L99" s="2">
        <f t="shared" si="6"/>
        <v>18720</v>
      </c>
      <c r="M99" s="2">
        <f t="shared" si="6"/>
        <v>0</v>
      </c>
      <c r="N99" s="2">
        <f t="shared" si="6"/>
        <v>0</v>
      </c>
      <c r="O99" s="2">
        <f t="shared" si="6"/>
        <v>0</v>
      </c>
      <c r="P99" s="2">
        <f t="shared" si="6"/>
        <v>0</v>
      </c>
      <c r="Q99" s="2">
        <f t="shared" si="6"/>
        <v>18720</v>
      </c>
      <c r="R99" s="2">
        <f t="shared" si="6"/>
        <v>0</v>
      </c>
      <c r="S99" s="2">
        <f t="shared" si="6"/>
        <v>0</v>
      </c>
      <c r="T99" s="2">
        <f t="shared" si="6"/>
        <v>0</v>
      </c>
      <c r="U99" s="2">
        <f t="shared" si="6"/>
        <v>0</v>
      </c>
      <c r="V99" s="2">
        <f t="shared" si="6"/>
        <v>18720</v>
      </c>
      <c r="W99" s="2">
        <f t="shared" si="6"/>
        <v>0</v>
      </c>
      <c r="X99" s="2">
        <f t="shared" si="6"/>
        <v>0</v>
      </c>
      <c r="Y99" s="2">
        <f t="shared" si="6"/>
        <v>0</v>
      </c>
      <c r="Z99" s="2">
        <f t="shared" si="6"/>
        <v>0</v>
      </c>
    </row>
    <row r="100" spans="1:26" x14ac:dyDescent="0.35">
      <c r="B100" s="13"/>
    </row>
    <row r="101" spans="1:26" x14ac:dyDescent="0.35">
      <c r="A101" t="str">
        <f t="shared" ref="A101:A118" si="7">A32</f>
        <v>Annual crops operations</v>
      </c>
      <c r="B101" s="13"/>
    </row>
    <row r="102" spans="1:26" x14ac:dyDescent="0.35">
      <c r="A102" t="str">
        <f t="shared" si="7"/>
        <v xml:space="preserve">  Transport to buy agricultural inputs</v>
      </c>
      <c r="B102" s="13">
        <f>'Prices &amp; assums'!D25</f>
        <v>29700</v>
      </c>
      <c r="C102" s="2">
        <f t="shared" ref="C102:Z111" si="8">$B102*C33</f>
        <v>29700</v>
      </c>
      <c r="D102" s="2">
        <f t="shared" si="8"/>
        <v>29700</v>
      </c>
      <c r="E102" s="2">
        <f t="shared" si="8"/>
        <v>0</v>
      </c>
      <c r="F102" s="2">
        <f t="shared" si="8"/>
        <v>0</v>
      </c>
      <c r="G102" s="2">
        <f t="shared" si="8"/>
        <v>0</v>
      </c>
      <c r="H102" s="2">
        <f t="shared" si="8"/>
        <v>0</v>
      </c>
      <c r="I102" s="2">
        <f t="shared" si="8"/>
        <v>0</v>
      </c>
      <c r="J102" s="2">
        <f t="shared" si="8"/>
        <v>0</v>
      </c>
      <c r="K102" s="2">
        <f t="shared" si="8"/>
        <v>0</v>
      </c>
      <c r="L102" s="2">
        <f t="shared" si="8"/>
        <v>0</v>
      </c>
      <c r="M102" s="2">
        <f t="shared" si="8"/>
        <v>0</v>
      </c>
      <c r="N102" s="2">
        <f t="shared" si="8"/>
        <v>0</v>
      </c>
      <c r="O102" s="2">
        <f t="shared" si="8"/>
        <v>0</v>
      </c>
      <c r="P102" s="2">
        <f t="shared" si="8"/>
        <v>0</v>
      </c>
      <c r="Q102" s="2">
        <f t="shared" si="8"/>
        <v>0</v>
      </c>
      <c r="R102" s="2">
        <f t="shared" si="8"/>
        <v>0</v>
      </c>
      <c r="S102" s="2">
        <f t="shared" si="8"/>
        <v>0</v>
      </c>
      <c r="T102" s="2">
        <f t="shared" si="8"/>
        <v>0</v>
      </c>
      <c r="U102" s="2">
        <f t="shared" si="8"/>
        <v>0</v>
      </c>
      <c r="V102" s="2">
        <f t="shared" si="8"/>
        <v>0</v>
      </c>
      <c r="W102" s="2">
        <f t="shared" si="8"/>
        <v>0</v>
      </c>
      <c r="X102" s="2">
        <f t="shared" si="8"/>
        <v>0</v>
      </c>
      <c r="Y102" s="2">
        <f t="shared" si="8"/>
        <v>0</v>
      </c>
      <c r="Z102" s="2">
        <f t="shared" si="8"/>
        <v>0</v>
      </c>
    </row>
    <row r="103" spans="1:26" x14ac:dyDescent="0.35">
      <c r="A103" t="str">
        <f t="shared" si="7"/>
        <v xml:space="preserve">  Fertilizer application</v>
      </c>
      <c r="B103" s="13">
        <f>'Prices &amp; assums'!D$3</f>
        <v>2340</v>
      </c>
      <c r="C103" s="2">
        <f t="shared" si="8"/>
        <v>18720</v>
      </c>
      <c r="D103" s="2">
        <f t="shared" si="8"/>
        <v>9360</v>
      </c>
      <c r="E103" s="2">
        <f t="shared" si="8"/>
        <v>0</v>
      </c>
      <c r="F103" s="2">
        <f t="shared" si="8"/>
        <v>0</v>
      </c>
      <c r="G103" s="2">
        <f t="shared" si="8"/>
        <v>0</v>
      </c>
      <c r="H103" s="2">
        <f t="shared" si="8"/>
        <v>0</v>
      </c>
      <c r="I103" s="2">
        <f t="shared" si="8"/>
        <v>0</v>
      </c>
      <c r="J103" s="2">
        <f t="shared" si="8"/>
        <v>0</v>
      </c>
      <c r="K103" s="2">
        <f t="shared" si="8"/>
        <v>0</v>
      </c>
      <c r="L103" s="2">
        <f t="shared" si="8"/>
        <v>0</v>
      </c>
      <c r="M103" s="2">
        <f t="shared" si="8"/>
        <v>0</v>
      </c>
      <c r="N103" s="2">
        <f t="shared" si="8"/>
        <v>0</v>
      </c>
      <c r="O103" s="2">
        <f t="shared" si="8"/>
        <v>0</v>
      </c>
      <c r="P103" s="2">
        <f t="shared" si="8"/>
        <v>0</v>
      </c>
      <c r="Q103" s="2">
        <f t="shared" si="8"/>
        <v>0</v>
      </c>
      <c r="R103" s="2">
        <f t="shared" si="8"/>
        <v>0</v>
      </c>
      <c r="S103" s="2">
        <f t="shared" si="8"/>
        <v>0</v>
      </c>
      <c r="T103" s="2">
        <f t="shared" si="8"/>
        <v>0</v>
      </c>
      <c r="U103" s="2">
        <f t="shared" si="8"/>
        <v>0</v>
      </c>
      <c r="V103" s="2">
        <f t="shared" si="8"/>
        <v>0</v>
      </c>
      <c r="W103" s="2">
        <f t="shared" si="8"/>
        <v>0</v>
      </c>
      <c r="X103" s="2">
        <f t="shared" si="8"/>
        <v>0</v>
      </c>
      <c r="Y103" s="2">
        <f t="shared" si="8"/>
        <v>0</v>
      </c>
      <c r="Z103" s="2">
        <f t="shared" si="8"/>
        <v>0</v>
      </c>
    </row>
    <row r="104" spans="1:26" x14ac:dyDescent="0.35">
      <c r="A104" t="str">
        <f t="shared" si="7"/>
        <v xml:space="preserve">  Ridging</v>
      </c>
      <c r="B104" s="13">
        <f>'Prices &amp; assums'!D$3</f>
        <v>2340</v>
      </c>
      <c r="C104" s="2">
        <f t="shared" si="8"/>
        <v>0</v>
      </c>
      <c r="D104" s="2">
        <f t="shared" si="8"/>
        <v>31590</v>
      </c>
      <c r="E104" s="2">
        <f t="shared" si="8"/>
        <v>0</v>
      </c>
      <c r="F104" s="2">
        <f t="shared" si="8"/>
        <v>0</v>
      </c>
      <c r="G104" s="2">
        <f t="shared" si="8"/>
        <v>0</v>
      </c>
      <c r="H104" s="2">
        <f t="shared" si="8"/>
        <v>0</v>
      </c>
      <c r="I104" s="2">
        <f t="shared" si="8"/>
        <v>0</v>
      </c>
      <c r="J104" s="2">
        <f t="shared" si="8"/>
        <v>0</v>
      </c>
      <c r="K104" s="2">
        <f t="shared" si="8"/>
        <v>0</v>
      </c>
      <c r="L104" s="2">
        <f t="shared" si="8"/>
        <v>0</v>
      </c>
      <c r="M104" s="2">
        <f t="shared" si="8"/>
        <v>0</v>
      </c>
      <c r="N104" s="2">
        <f t="shared" si="8"/>
        <v>0</v>
      </c>
      <c r="O104" s="2">
        <f t="shared" si="8"/>
        <v>0</v>
      </c>
      <c r="P104" s="2">
        <f t="shared" si="8"/>
        <v>0</v>
      </c>
      <c r="Q104" s="2">
        <f t="shared" si="8"/>
        <v>0</v>
      </c>
      <c r="R104" s="2">
        <f t="shared" si="8"/>
        <v>0</v>
      </c>
      <c r="S104" s="2">
        <f t="shared" si="8"/>
        <v>0</v>
      </c>
      <c r="T104" s="2">
        <f t="shared" si="8"/>
        <v>0</v>
      </c>
      <c r="U104" s="2">
        <f t="shared" si="8"/>
        <v>0</v>
      </c>
      <c r="V104" s="2">
        <f t="shared" si="8"/>
        <v>0</v>
      </c>
      <c r="W104" s="2">
        <f t="shared" si="8"/>
        <v>0</v>
      </c>
      <c r="X104" s="2">
        <f t="shared" si="8"/>
        <v>0</v>
      </c>
      <c r="Y104" s="2">
        <f t="shared" si="8"/>
        <v>0</v>
      </c>
      <c r="Z104" s="2">
        <f t="shared" si="8"/>
        <v>0</v>
      </c>
    </row>
    <row r="105" spans="1:26" x14ac:dyDescent="0.35">
      <c r="A105" t="str">
        <f t="shared" si="7"/>
        <v xml:space="preserve">  Seeding/planting</v>
      </c>
      <c r="B105" s="13">
        <f>'Prices &amp; assums'!D$3</f>
        <v>2340</v>
      </c>
      <c r="C105" s="2">
        <f t="shared" si="8"/>
        <v>35100</v>
      </c>
      <c r="D105" s="2">
        <f t="shared" si="8"/>
        <v>10530</v>
      </c>
      <c r="E105" s="2">
        <f t="shared" si="8"/>
        <v>0</v>
      </c>
      <c r="F105" s="2">
        <f t="shared" si="8"/>
        <v>0</v>
      </c>
      <c r="G105" s="2">
        <f t="shared" si="8"/>
        <v>0</v>
      </c>
      <c r="H105" s="2">
        <f t="shared" si="8"/>
        <v>0</v>
      </c>
      <c r="I105" s="2">
        <f t="shared" si="8"/>
        <v>0</v>
      </c>
      <c r="J105" s="2">
        <f t="shared" si="8"/>
        <v>0</v>
      </c>
      <c r="K105" s="2">
        <f t="shared" si="8"/>
        <v>0</v>
      </c>
      <c r="L105" s="2">
        <f t="shared" si="8"/>
        <v>0</v>
      </c>
      <c r="M105" s="2">
        <f t="shared" si="8"/>
        <v>0</v>
      </c>
      <c r="N105" s="2">
        <f t="shared" si="8"/>
        <v>0</v>
      </c>
      <c r="O105" s="2">
        <f t="shared" si="8"/>
        <v>0</v>
      </c>
      <c r="P105" s="2">
        <f t="shared" si="8"/>
        <v>0</v>
      </c>
      <c r="Q105" s="2">
        <f t="shared" si="8"/>
        <v>0</v>
      </c>
      <c r="R105" s="2">
        <f t="shared" si="8"/>
        <v>0</v>
      </c>
      <c r="S105" s="2">
        <f t="shared" si="8"/>
        <v>0</v>
      </c>
      <c r="T105" s="2">
        <f t="shared" si="8"/>
        <v>0</v>
      </c>
      <c r="U105" s="2">
        <f t="shared" si="8"/>
        <v>0</v>
      </c>
      <c r="V105" s="2">
        <f t="shared" si="8"/>
        <v>0</v>
      </c>
      <c r="W105" s="2">
        <f t="shared" si="8"/>
        <v>0</v>
      </c>
      <c r="X105" s="2">
        <f t="shared" si="8"/>
        <v>0</v>
      </c>
      <c r="Y105" s="2">
        <f t="shared" si="8"/>
        <v>0</v>
      </c>
      <c r="Z105" s="2">
        <f t="shared" si="8"/>
        <v>0</v>
      </c>
    </row>
    <row r="106" spans="1:26" x14ac:dyDescent="0.35">
      <c r="A106" t="str">
        <f t="shared" si="7"/>
        <v xml:space="preserve">  Herbicide application</v>
      </c>
      <c r="B106" s="13">
        <f>'Prices &amp; assums'!D$3</f>
        <v>2340</v>
      </c>
      <c r="C106" s="2">
        <f t="shared" si="8"/>
        <v>28080</v>
      </c>
      <c r="D106" s="2">
        <f t="shared" si="8"/>
        <v>28080</v>
      </c>
      <c r="E106" s="2">
        <f t="shared" si="8"/>
        <v>0</v>
      </c>
      <c r="F106" s="2">
        <f t="shared" si="8"/>
        <v>0</v>
      </c>
      <c r="G106" s="2">
        <f t="shared" si="8"/>
        <v>0</v>
      </c>
      <c r="H106" s="2">
        <f t="shared" si="8"/>
        <v>0</v>
      </c>
      <c r="I106" s="2">
        <f t="shared" si="8"/>
        <v>0</v>
      </c>
      <c r="J106" s="2">
        <f t="shared" si="8"/>
        <v>0</v>
      </c>
      <c r="K106" s="2">
        <f t="shared" si="8"/>
        <v>0</v>
      </c>
      <c r="L106" s="2">
        <f t="shared" si="8"/>
        <v>0</v>
      </c>
      <c r="M106" s="2">
        <f t="shared" si="8"/>
        <v>0</v>
      </c>
      <c r="N106" s="2">
        <f t="shared" si="8"/>
        <v>0</v>
      </c>
      <c r="O106" s="2">
        <f t="shared" si="8"/>
        <v>0</v>
      </c>
      <c r="P106" s="2">
        <f t="shared" si="8"/>
        <v>0</v>
      </c>
      <c r="Q106" s="2">
        <f t="shared" si="8"/>
        <v>0</v>
      </c>
      <c r="R106" s="2">
        <f t="shared" si="8"/>
        <v>0</v>
      </c>
      <c r="S106" s="2">
        <f t="shared" si="8"/>
        <v>0</v>
      </c>
      <c r="T106" s="2">
        <f t="shared" si="8"/>
        <v>0</v>
      </c>
      <c r="U106" s="2">
        <f t="shared" si="8"/>
        <v>0</v>
      </c>
      <c r="V106" s="2">
        <f t="shared" si="8"/>
        <v>0</v>
      </c>
      <c r="W106" s="2">
        <f t="shared" si="8"/>
        <v>0</v>
      </c>
      <c r="X106" s="2">
        <f t="shared" si="8"/>
        <v>0</v>
      </c>
      <c r="Y106" s="2">
        <f t="shared" si="8"/>
        <v>0</v>
      </c>
      <c r="Z106" s="2">
        <f t="shared" si="8"/>
        <v>0</v>
      </c>
    </row>
    <row r="107" spans="1:26" x14ac:dyDescent="0.35">
      <c r="A107" t="str">
        <f t="shared" si="7"/>
        <v xml:space="preserve">  Thinning</v>
      </c>
      <c r="B107" s="13">
        <f>'Prices &amp; assums'!D$3</f>
        <v>2340</v>
      </c>
      <c r="C107" s="2">
        <f t="shared" si="8"/>
        <v>11700</v>
      </c>
      <c r="D107" s="2">
        <f t="shared" si="8"/>
        <v>0</v>
      </c>
      <c r="E107" s="2">
        <f t="shared" si="8"/>
        <v>0</v>
      </c>
      <c r="F107" s="2">
        <f t="shared" si="8"/>
        <v>0</v>
      </c>
      <c r="G107" s="2">
        <f t="shared" si="8"/>
        <v>0</v>
      </c>
      <c r="H107" s="2">
        <f t="shared" si="8"/>
        <v>0</v>
      </c>
      <c r="I107" s="2">
        <f t="shared" si="8"/>
        <v>0</v>
      </c>
      <c r="J107" s="2">
        <f t="shared" si="8"/>
        <v>0</v>
      </c>
      <c r="K107" s="2">
        <f t="shared" si="8"/>
        <v>0</v>
      </c>
      <c r="L107" s="2">
        <f t="shared" si="8"/>
        <v>0</v>
      </c>
      <c r="M107" s="2">
        <f t="shared" si="8"/>
        <v>0</v>
      </c>
      <c r="N107" s="2">
        <f t="shared" si="8"/>
        <v>0</v>
      </c>
      <c r="O107" s="2">
        <f t="shared" si="8"/>
        <v>0</v>
      </c>
      <c r="P107" s="2">
        <f t="shared" si="8"/>
        <v>0</v>
      </c>
      <c r="Q107" s="2">
        <f t="shared" si="8"/>
        <v>0</v>
      </c>
      <c r="R107" s="2">
        <f t="shared" si="8"/>
        <v>0</v>
      </c>
      <c r="S107" s="2">
        <f t="shared" si="8"/>
        <v>0</v>
      </c>
      <c r="T107" s="2">
        <f t="shared" si="8"/>
        <v>0</v>
      </c>
      <c r="U107" s="2">
        <f t="shared" si="8"/>
        <v>0</v>
      </c>
      <c r="V107" s="2">
        <f t="shared" si="8"/>
        <v>0</v>
      </c>
      <c r="W107" s="2">
        <f t="shared" si="8"/>
        <v>0</v>
      </c>
      <c r="X107" s="2">
        <f t="shared" si="8"/>
        <v>0</v>
      </c>
      <c r="Y107" s="2">
        <f t="shared" si="8"/>
        <v>0</v>
      </c>
      <c r="Z107" s="2">
        <f t="shared" si="8"/>
        <v>0</v>
      </c>
    </row>
    <row r="108" spans="1:26" x14ac:dyDescent="0.35">
      <c r="A108" t="str">
        <f t="shared" si="7"/>
        <v xml:space="preserve">  Additional weeding</v>
      </c>
      <c r="B108" s="13">
        <f>'Prices &amp; assums'!D35</f>
        <v>23400</v>
      </c>
      <c r="C108" s="2">
        <f t="shared" si="8"/>
        <v>0</v>
      </c>
      <c r="D108" s="2">
        <f t="shared" si="8"/>
        <v>46800</v>
      </c>
      <c r="E108" s="2">
        <f t="shared" si="8"/>
        <v>0</v>
      </c>
      <c r="F108" s="2">
        <f t="shared" si="8"/>
        <v>0</v>
      </c>
      <c r="G108" s="2">
        <f t="shared" si="8"/>
        <v>0</v>
      </c>
      <c r="H108" s="2">
        <f t="shared" si="8"/>
        <v>0</v>
      </c>
      <c r="I108" s="2">
        <f t="shared" si="8"/>
        <v>0</v>
      </c>
      <c r="J108" s="2">
        <f t="shared" si="8"/>
        <v>0</v>
      </c>
      <c r="K108" s="2">
        <f t="shared" si="8"/>
        <v>0</v>
      </c>
      <c r="L108" s="2">
        <f t="shared" si="8"/>
        <v>0</v>
      </c>
      <c r="M108" s="2">
        <f t="shared" si="8"/>
        <v>0</v>
      </c>
      <c r="N108" s="2">
        <f t="shared" si="8"/>
        <v>0</v>
      </c>
      <c r="O108" s="2">
        <f t="shared" si="8"/>
        <v>0</v>
      </c>
      <c r="P108" s="2">
        <f t="shared" si="8"/>
        <v>0</v>
      </c>
      <c r="Q108" s="2">
        <f t="shared" si="8"/>
        <v>0</v>
      </c>
      <c r="R108" s="2">
        <f t="shared" si="8"/>
        <v>0</v>
      </c>
      <c r="S108" s="2">
        <f t="shared" si="8"/>
        <v>0</v>
      </c>
      <c r="T108" s="2">
        <f t="shared" si="8"/>
        <v>0</v>
      </c>
      <c r="U108" s="2">
        <f t="shared" si="8"/>
        <v>0</v>
      </c>
      <c r="V108" s="2">
        <f t="shared" si="8"/>
        <v>0</v>
      </c>
      <c r="W108" s="2">
        <f t="shared" si="8"/>
        <v>0</v>
      </c>
      <c r="X108" s="2">
        <f t="shared" si="8"/>
        <v>0</v>
      </c>
      <c r="Y108" s="2">
        <f t="shared" si="8"/>
        <v>0</v>
      </c>
      <c r="Z108" s="2">
        <f t="shared" si="8"/>
        <v>0</v>
      </c>
    </row>
    <row r="109" spans="1:26" x14ac:dyDescent="0.35">
      <c r="A109" t="str">
        <f t="shared" si="7"/>
        <v xml:space="preserve">  Harvest</v>
      </c>
      <c r="B109" s="13">
        <f>'Prices &amp; assums'!D$3</f>
        <v>2340</v>
      </c>
      <c r="C109" s="2">
        <f t="shared" si="8"/>
        <v>35100</v>
      </c>
      <c r="D109" s="2">
        <f t="shared" si="8"/>
        <v>42120</v>
      </c>
      <c r="E109" s="2">
        <f t="shared" si="8"/>
        <v>0</v>
      </c>
      <c r="F109" s="2">
        <f t="shared" si="8"/>
        <v>0</v>
      </c>
      <c r="G109" s="2">
        <f t="shared" si="8"/>
        <v>0</v>
      </c>
      <c r="H109" s="2">
        <f t="shared" si="8"/>
        <v>0</v>
      </c>
      <c r="I109" s="2">
        <f t="shared" si="8"/>
        <v>0</v>
      </c>
      <c r="J109" s="2">
        <f t="shared" si="8"/>
        <v>0</v>
      </c>
      <c r="K109" s="2">
        <f t="shared" si="8"/>
        <v>0</v>
      </c>
      <c r="L109" s="2">
        <f t="shared" si="8"/>
        <v>0</v>
      </c>
      <c r="M109" s="2">
        <f t="shared" si="8"/>
        <v>0</v>
      </c>
      <c r="N109" s="2">
        <f t="shared" si="8"/>
        <v>0</v>
      </c>
      <c r="O109" s="2">
        <f t="shared" si="8"/>
        <v>0</v>
      </c>
      <c r="P109" s="2">
        <f t="shared" si="8"/>
        <v>0</v>
      </c>
      <c r="Q109" s="2">
        <f t="shared" si="8"/>
        <v>0</v>
      </c>
      <c r="R109" s="2">
        <f t="shared" si="8"/>
        <v>0</v>
      </c>
      <c r="S109" s="2">
        <f t="shared" si="8"/>
        <v>0</v>
      </c>
      <c r="T109" s="2">
        <f t="shared" si="8"/>
        <v>0</v>
      </c>
      <c r="U109" s="2">
        <f t="shared" si="8"/>
        <v>0</v>
      </c>
      <c r="V109" s="2">
        <f t="shared" si="8"/>
        <v>0</v>
      </c>
      <c r="W109" s="2">
        <f t="shared" si="8"/>
        <v>0</v>
      </c>
      <c r="X109" s="2">
        <f t="shared" si="8"/>
        <v>0</v>
      </c>
      <c r="Y109" s="2">
        <f t="shared" si="8"/>
        <v>0</v>
      </c>
      <c r="Z109" s="2">
        <f t="shared" si="8"/>
        <v>0</v>
      </c>
    </row>
    <row r="110" spans="1:26" x14ac:dyDescent="0.35">
      <c r="A110" t="str">
        <f t="shared" si="7"/>
        <v xml:space="preserve">  Other post-harvest operations</v>
      </c>
      <c r="B110" s="13">
        <f>'Prices &amp; assums'!D$3</f>
        <v>2340</v>
      </c>
      <c r="C110" s="2">
        <f t="shared" si="8"/>
        <v>93600</v>
      </c>
      <c r="D110" s="2">
        <f t="shared" si="8"/>
        <v>63180</v>
      </c>
      <c r="E110" s="2">
        <f t="shared" si="8"/>
        <v>0</v>
      </c>
      <c r="F110" s="2">
        <f t="shared" si="8"/>
        <v>0</v>
      </c>
      <c r="G110" s="2">
        <f t="shared" si="8"/>
        <v>0</v>
      </c>
      <c r="H110" s="2">
        <f t="shared" si="8"/>
        <v>0</v>
      </c>
      <c r="I110" s="2">
        <f t="shared" si="8"/>
        <v>0</v>
      </c>
      <c r="J110" s="2">
        <f t="shared" si="8"/>
        <v>0</v>
      </c>
      <c r="K110" s="2">
        <f t="shared" si="8"/>
        <v>0</v>
      </c>
      <c r="L110" s="2">
        <f t="shared" si="8"/>
        <v>0</v>
      </c>
      <c r="M110" s="2">
        <f t="shared" si="8"/>
        <v>0</v>
      </c>
      <c r="N110" s="2">
        <f t="shared" si="8"/>
        <v>0</v>
      </c>
      <c r="O110" s="2">
        <f t="shared" si="8"/>
        <v>0</v>
      </c>
      <c r="P110" s="2">
        <f t="shared" si="8"/>
        <v>0</v>
      </c>
      <c r="Q110" s="2">
        <f t="shared" si="8"/>
        <v>0</v>
      </c>
      <c r="R110" s="2">
        <f t="shared" si="8"/>
        <v>0</v>
      </c>
      <c r="S110" s="2">
        <f t="shared" si="8"/>
        <v>0</v>
      </c>
      <c r="T110" s="2">
        <f t="shared" si="8"/>
        <v>0</v>
      </c>
      <c r="U110" s="2">
        <f t="shared" si="8"/>
        <v>0</v>
      </c>
      <c r="V110" s="2">
        <f t="shared" si="8"/>
        <v>0</v>
      </c>
      <c r="W110" s="2">
        <f t="shared" si="8"/>
        <v>0</v>
      </c>
      <c r="X110" s="2">
        <f t="shared" si="8"/>
        <v>0</v>
      </c>
      <c r="Y110" s="2">
        <f t="shared" si="8"/>
        <v>0</v>
      </c>
      <c r="Z110" s="2">
        <f t="shared" si="8"/>
        <v>0</v>
      </c>
    </row>
    <row r="111" spans="1:26" x14ac:dyDescent="0.35">
      <c r="A111" t="str">
        <f t="shared" si="7"/>
        <v xml:space="preserve">  Transport to sell produce</v>
      </c>
      <c r="B111" s="13">
        <f>'Prices &amp; assums'!D26</f>
        <v>9900</v>
      </c>
      <c r="C111" s="2">
        <f t="shared" si="8"/>
        <v>39600</v>
      </c>
      <c r="D111" s="2">
        <f t="shared" si="8"/>
        <v>160380</v>
      </c>
      <c r="E111" s="2">
        <f t="shared" si="8"/>
        <v>0</v>
      </c>
      <c r="F111" s="2">
        <f t="shared" si="8"/>
        <v>0</v>
      </c>
      <c r="G111" s="2">
        <f t="shared" si="8"/>
        <v>0</v>
      </c>
      <c r="H111" s="2">
        <f t="shared" si="8"/>
        <v>0</v>
      </c>
      <c r="I111" s="2">
        <f t="shared" si="8"/>
        <v>0</v>
      </c>
      <c r="J111" s="2">
        <f t="shared" si="8"/>
        <v>0</v>
      </c>
      <c r="K111" s="2">
        <f t="shared" si="8"/>
        <v>0</v>
      </c>
      <c r="L111" s="2">
        <f t="shared" si="8"/>
        <v>0</v>
      </c>
      <c r="M111" s="2">
        <f t="shared" si="8"/>
        <v>0</v>
      </c>
      <c r="N111" s="2">
        <f t="shared" si="8"/>
        <v>0</v>
      </c>
      <c r="O111" s="2">
        <f t="shared" si="8"/>
        <v>0</v>
      </c>
      <c r="P111" s="2">
        <f t="shared" si="8"/>
        <v>0</v>
      </c>
      <c r="Q111" s="2">
        <f t="shared" si="8"/>
        <v>0</v>
      </c>
      <c r="R111" s="2">
        <f t="shared" si="8"/>
        <v>0</v>
      </c>
      <c r="S111" s="2">
        <f t="shared" si="8"/>
        <v>0</v>
      </c>
      <c r="T111" s="2">
        <f t="shared" si="8"/>
        <v>0</v>
      </c>
      <c r="U111" s="2">
        <f t="shared" si="8"/>
        <v>0</v>
      </c>
      <c r="V111" s="2">
        <f t="shared" si="8"/>
        <v>0</v>
      </c>
      <c r="W111" s="2">
        <f t="shared" si="8"/>
        <v>0</v>
      </c>
      <c r="X111" s="2">
        <f t="shared" si="8"/>
        <v>0</v>
      </c>
      <c r="Y111" s="2">
        <f t="shared" si="8"/>
        <v>0</v>
      </c>
      <c r="Z111" s="2">
        <f t="shared" si="8"/>
        <v>0</v>
      </c>
    </row>
    <row r="112" spans="1:26" x14ac:dyDescent="0.35">
      <c r="A112" t="str">
        <f t="shared" si="7"/>
        <v>Annual crops inputs</v>
      </c>
      <c r="B112" s="8"/>
    </row>
    <row r="113" spans="1:26" x14ac:dyDescent="0.35">
      <c r="A113" t="str">
        <f t="shared" si="7"/>
        <v xml:space="preserve">  Maize seeds</v>
      </c>
      <c r="B113" s="8">
        <f>'Prices &amp; assums'!D65</f>
        <v>490</v>
      </c>
      <c r="C113" s="2">
        <f t="shared" ref="C113:Z118" si="9">$B113*C44</f>
        <v>10780</v>
      </c>
      <c r="D113" s="2">
        <f t="shared" si="9"/>
        <v>0</v>
      </c>
      <c r="E113" s="2">
        <f t="shared" si="9"/>
        <v>0</v>
      </c>
      <c r="F113" s="2">
        <f t="shared" si="9"/>
        <v>0</v>
      </c>
      <c r="G113" s="2">
        <f t="shared" si="9"/>
        <v>0</v>
      </c>
      <c r="H113" s="2">
        <f t="shared" si="9"/>
        <v>0</v>
      </c>
      <c r="I113" s="2">
        <f t="shared" si="9"/>
        <v>0</v>
      </c>
      <c r="J113" s="2">
        <f t="shared" si="9"/>
        <v>0</v>
      </c>
      <c r="K113" s="2">
        <f t="shared" si="9"/>
        <v>0</v>
      </c>
      <c r="L113" s="2">
        <f t="shared" si="9"/>
        <v>0</v>
      </c>
      <c r="M113" s="2">
        <f t="shared" si="9"/>
        <v>0</v>
      </c>
      <c r="N113" s="2">
        <f t="shared" si="9"/>
        <v>0</v>
      </c>
      <c r="O113" s="2">
        <f t="shared" si="9"/>
        <v>0</v>
      </c>
      <c r="P113" s="2">
        <f t="shared" si="9"/>
        <v>0</v>
      </c>
      <c r="Q113" s="2">
        <f t="shared" si="9"/>
        <v>0</v>
      </c>
      <c r="R113" s="2">
        <f t="shared" si="9"/>
        <v>0</v>
      </c>
      <c r="S113" s="2">
        <f t="shared" si="9"/>
        <v>0</v>
      </c>
      <c r="T113" s="2">
        <f t="shared" si="9"/>
        <v>0</v>
      </c>
      <c r="U113" s="2">
        <f t="shared" si="9"/>
        <v>0</v>
      </c>
      <c r="V113" s="2">
        <f t="shared" si="9"/>
        <v>0</v>
      </c>
      <c r="W113" s="2">
        <f t="shared" si="9"/>
        <v>0</v>
      </c>
      <c r="X113" s="2">
        <f t="shared" si="9"/>
        <v>0</v>
      </c>
      <c r="Y113" s="2">
        <f t="shared" si="9"/>
        <v>0</v>
      </c>
      <c r="Z113" s="2">
        <f t="shared" si="9"/>
        <v>0</v>
      </c>
    </row>
    <row r="114" spans="1:26" x14ac:dyDescent="0.35">
      <c r="A114" t="str">
        <f t="shared" si="7"/>
        <v xml:space="preserve">  Cassava cuttings</v>
      </c>
      <c r="B114" s="13">
        <f>'Prices &amp; assums'!D66</f>
        <v>58800</v>
      </c>
      <c r="C114" s="2">
        <f t="shared" si="9"/>
        <v>0</v>
      </c>
      <c r="D114" s="2">
        <f t="shared" si="9"/>
        <v>58800</v>
      </c>
      <c r="E114" s="2">
        <f t="shared" si="9"/>
        <v>0</v>
      </c>
      <c r="F114" s="2">
        <f t="shared" si="9"/>
        <v>0</v>
      </c>
      <c r="G114" s="2">
        <f t="shared" si="9"/>
        <v>0</v>
      </c>
      <c r="H114" s="2">
        <f t="shared" si="9"/>
        <v>0</v>
      </c>
      <c r="I114" s="2">
        <f t="shared" si="9"/>
        <v>0</v>
      </c>
      <c r="J114" s="2">
        <f t="shared" si="9"/>
        <v>0</v>
      </c>
      <c r="K114" s="2">
        <f t="shared" si="9"/>
        <v>0</v>
      </c>
      <c r="L114" s="2">
        <f t="shared" si="9"/>
        <v>0</v>
      </c>
      <c r="M114" s="2">
        <f t="shared" si="9"/>
        <v>0</v>
      </c>
      <c r="N114" s="2">
        <f t="shared" si="9"/>
        <v>0</v>
      </c>
      <c r="O114" s="2">
        <f t="shared" si="9"/>
        <v>0</v>
      </c>
      <c r="P114" s="2">
        <f t="shared" si="9"/>
        <v>0</v>
      </c>
      <c r="Q114" s="2">
        <f t="shared" si="9"/>
        <v>0</v>
      </c>
      <c r="R114" s="2">
        <f t="shared" si="9"/>
        <v>0</v>
      </c>
      <c r="S114" s="2">
        <f t="shared" si="9"/>
        <v>0</v>
      </c>
      <c r="T114" s="2">
        <f t="shared" si="9"/>
        <v>0</v>
      </c>
      <c r="U114" s="2">
        <f t="shared" si="9"/>
        <v>0</v>
      </c>
      <c r="V114" s="2">
        <f t="shared" si="9"/>
        <v>0</v>
      </c>
      <c r="W114" s="2">
        <f t="shared" si="9"/>
        <v>0</v>
      </c>
      <c r="X114" s="2">
        <f t="shared" si="9"/>
        <v>0</v>
      </c>
      <c r="Y114" s="2">
        <f t="shared" si="9"/>
        <v>0</v>
      </c>
      <c r="Z114" s="2">
        <f t="shared" si="9"/>
        <v>0</v>
      </c>
    </row>
    <row r="115" spans="1:26" x14ac:dyDescent="0.35">
      <c r="A115" t="str">
        <f t="shared" si="7"/>
        <v xml:space="preserve">  NPK</v>
      </c>
      <c r="B115" s="13">
        <f>'Prices &amp; assums'!D55</f>
        <v>490</v>
      </c>
      <c r="C115" s="2">
        <f t="shared" si="9"/>
        <v>73500</v>
      </c>
      <c r="D115" s="2">
        <f t="shared" si="9"/>
        <v>147000</v>
      </c>
      <c r="E115" s="2">
        <f t="shared" si="9"/>
        <v>0</v>
      </c>
      <c r="F115" s="2">
        <f t="shared" si="9"/>
        <v>0</v>
      </c>
      <c r="G115" s="2">
        <f t="shared" si="9"/>
        <v>0</v>
      </c>
      <c r="H115" s="2">
        <f t="shared" si="9"/>
        <v>0</v>
      </c>
      <c r="I115" s="2">
        <f t="shared" si="9"/>
        <v>0</v>
      </c>
      <c r="J115" s="2">
        <f t="shared" si="9"/>
        <v>0</v>
      </c>
      <c r="K115" s="2">
        <f t="shared" si="9"/>
        <v>0</v>
      </c>
      <c r="L115" s="2">
        <f t="shared" si="9"/>
        <v>0</v>
      </c>
      <c r="M115" s="2">
        <f t="shared" si="9"/>
        <v>0</v>
      </c>
      <c r="N115" s="2">
        <f t="shared" si="9"/>
        <v>0</v>
      </c>
      <c r="O115" s="2">
        <f t="shared" si="9"/>
        <v>0</v>
      </c>
      <c r="P115" s="2">
        <f t="shared" si="9"/>
        <v>0</v>
      </c>
      <c r="Q115" s="2">
        <f t="shared" si="9"/>
        <v>0</v>
      </c>
      <c r="R115" s="2">
        <f t="shared" si="9"/>
        <v>0</v>
      </c>
      <c r="S115" s="2">
        <f t="shared" si="9"/>
        <v>0</v>
      </c>
      <c r="T115" s="2">
        <f t="shared" si="9"/>
        <v>0</v>
      </c>
      <c r="U115" s="2">
        <f t="shared" si="9"/>
        <v>0</v>
      </c>
      <c r="V115" s="2">
        <f t="shared" si="9"/>
        <v>0</v>
      </c>
      <c r="W115" s="2">
        <f t="shared" si="9"/>
        <v>0</v>
      </c>
      <c r="X115" s="2">
        <f t="shared" si="9"/>
        <v>0</v>
      </c>
      <c r="Y115" s="2">
        <f t="shared" si="9"/>
        <v>0</v>
      </c>
      <c r="Z115" s="2">
        <f t="shared" si="9"/>
        <v>0</v>
      </c>
    </row>
    <row r="116" spans="1:26" x14ac:dyDescent="0.35">
      <c r="A116" t="str">
        <f t="shared" si="7"/>
        <v xml:space="preserve">  Urea</v>
      </c>
      <c r="B116" s="13">
        <f>'Prices &amp; assums'!D56</f>
        <v>490</v>
      </c>
      <c r="C116" s="2">
        <f t="shared" si="9"/>
        <v>49000</v>
      </c>
      <c r="D116" s="2">
        <f t="shared" si="9"/>
        <v>0</v>
      </c>
      <c r="E116" s="2">
        <f t="shared" si="9"/>
        <v>0</v>
      </c>
      <c r="F116" s="2">
        <f t="shared" si="9"/>
        <v>0</v>
      </c>
      <c r="G116" s="2">
        <f t="shared" si="9"/>
        <v>0</v>
      </c>
      <c r="H116" s="2">
        <f t="shared" si="9"/>
        <v>0</v>
      </c>
      <c r="I116" s="2">
        <f t="shared" si="9"/>
        <v>0</v>
      </c>
      <c r="J116" s="2">
        <f t="shared" si="9"/>
        <v>0</v>
      </c>
      <c r="K116" s="2">
        <f t="shared" si="9"/>
        <v>0</v>
      </c>
      <c r="L116" s="2">
        <f t="shared" si="9"/>
        <v>0</v>
      </c>
      <c r="M116" s="2">
        <f t="shared" si="9"/>
        <v>0</v>
      </c>
      <c r="N116" s="2">
        <f t="shared" si="9"/>
        <v>0</v>
      </c>
      <c r="O116" s="2">
        <f t="shared" si="9"/>
        <v>0</v>
      </c>
      <c r="P116" s="2">
        <f t="shared" si="9"/>
        <v>0</v>
      </c>
      <c r="Q116" s="2">
        <f t="shared" si="9"/>
        <v>0</v>
      </c>
      <c r="R116" s="2">
        <f t="shared" si="9"/>
        <v>0</v>
      </c>
      <c r="S116" s="2">
        <f t="shared" si="9"/>
        <v>0</v>
      </c>
      <c r="T116" s="2">
        <f t="shared" si="9"/>
        <v>0</v>
      </c>
      <c r="U116" s="2">
        <f t="shared" si="9"/>
        <v>0</v>
      </c>
      <c r="V116" s="2">
        <f t="shared" si="9"/>
        <v>0</v>
      </c>
      <c r="W116" s="2">
        <f t="shared" si="9"/>
        <v>0</v>
      </c>
      <c r="X116" s="2">
        <f t="shared" si="9"/>
        <v>0</v>
      </c>
      <c r="Y116" s="2">
        <f t="shared" si="9"/>
        <v>0</v>
      </c>
      <c r="Z116" s="2">
        <f t="shared" si="9"/>
        <v>0</v>
      </c>
    </row>
    <row r="117" spans="1:26" x14ac:dyDescent="0.35">
      <c r="A117" t="str">
        <f t="shared" si="7"/>
        <v xml:space="preserve">  Selective herbicide</v>
      </c>
      <c r="B117" s="13">
        <f>'Prices &amp; assums'!D60</f>
        <v>2940</v>
      </c>
      <c r="C117" s="2">
        <f t="shared" si="9"/>
        <v>17640</v>
      </c>
      <c r="D117" s="2">
        <f t="shared" si="9"/>
        <v>11760</v>
      </c>
      <c r="E117" s="2">
        <f t="shared" si="9"/>
        <v>0</v>
      </c>
      <c r="F117" s="2">
        <f t="shared" si="9"/>
        <v>0</v>
      </c>
      <c r="G117" s="2">
        <f t="shared" si="9"/>
        <v>0</v>
      </c>
      <c r="H117" s="2">
        <f t="shared" si="9"/>
        <v>0</v>
      </c>
      <c r="I117" s="2">
        <f t="shared" si="9"/>
        <v>0</v>
      </c>
      <c r="J117" s="2">
        <f t="shared" si="9"/>
        <v>0</v>
      </c>
      <c r="K117" s="2">
        <f t="shared" si="9"/>
        <v>0</v>
      </c>
      <c r="L117" s="2">
        <f t="shared" si="9"/>
        <v>0</v>
      </c>
      <c r="M117" s="2">
        <f t="shared" si="9"/>
        <v>0</v>
      </c>
      <c r="N117" s="2">
        <f t="shared" si="9"/>
        <v>0</v>
      </c>
      <c r="O117" s="2">
        <f t="shared" si="9"/>
        <v>0</v>
      </c>
      <c r="P117" s="2">
        <f t="shared" si="9"/>
        <v>0</v>
      </c>
      <c r="Q117" s="2">
        <f t="shared" si="9"/>
        <v>0</v>
      </c>
      <c r="R117" s="2">
        <f t="shared" si="9"/>
        <v>0</v>
      </c>
      <c r="S117" s="2">
        <f t="shared" si="9"/>
        <v>0</v>
      </c>
      <c r="T117" s="2">
        <f t="shared" si="9"/>
        <v>0</v>
      </c>
      <c r="U117" s="2">
        <f t="shared" si="9"/>
        <v>0</v>
      </c>
      <c r="V117" s="2">
        <f t="shared" si="9"/>
        <v>0</v>
      </c>
      <c r="W117" s="2">
        <f t="shared" si="9"/>
        <v>0</v>
      </c>
      <c r="X117" s="2">
        <f t="shared" si="9"/>
        <v>0</v>
      </c>
      <c r="Y117" s="2">
        <f t="shared" si="9"/>
        <v>0</v>
      </c>
      <c r="Z117" s="2">
        <f t="shared" si="9"/>
        <v>0</v>
      </c>
    </row>
    <row r="118" spans="1:26" x14ac:dyDescent="0.35">
      <c r="A118" t="str">
        <f t="shared" si="7"/>
        <v xml:space="preserve">  Bags</v>
      </c>
      <c r="B118" s="13">
        <f>'Prices &amp; assums'!D50</f>
        <v>245.99999999999997</v>
      </c>
      <c r="C118" s="2">
        <f t="shared" si="9"/>
        <v>9839.9999999999982</v>
      </c>
      <c r="D118" s="2">
        <f t="shared" si="9"/>
        <v>153276.92307692306</v>
      </c>
      <c r="E118" s="2">
        <f t="shared" si="9"/>
        <v>0</v>
      </c>
      <c r="F118" s="2">
        <f t="shared" si="9"/>
        <v>0</v>
      </c>
      <c r="G118" s="2">
        <f t="shared" si="9"/>
        <v>0</v>
      </c>
      <c r="H118" s="2">
        <f t="shared" si="9"/>
        <v>0</v>
      </c>
      <c r="I118" s="2">
        <f t="shared" si="9"/>
        <v>0</v>
      </c>
      <c r="J118" s="2">
        <f t="shared" si="9"/>
        <v>0</v>
      </c>
      <c r="K118" s="2">
        <f t="shared" si="9"/>
        <v>0</v>
      </c>
      <c r="L118" s="2">
        <f t="shared" si="9"/>
        <v>0</v>
      </c>
      <c r="M118" s="2">
        <f t="shared" si="9"/>
        <v>0</v>
      </c>
      <c r="N118" s="2">
        <f t="shared" si="9"/>
        <v>0</v>
      </c>
      <c r="O118" s="2">
        <f t="shared" si="9"/>
        <v>0</v>
      </c>
      <c r="P118" s="2">
        <f t="shared" si="9"/>
        <v>0</v>
      </c>
      <c r="Q118" s="2">
        <f t="shared" si="9"/>
        <v>0</v>
      </c>
      <c r="R118" s="2">
        <f t="shared" si="9"/>
        <v>0</v>
      </c>
      <c r="S118" s="2">
        <f t="shared" si="9"/>
        <v>0</v>
      </c>
      <c r="T118" s="2">
        <f t="shared" si="9"/>
        <v>0</v>
      </c>
      <c r="U118" s="2">
        <f t="shared" si="9"/>
        <v>0</v>
      </c>
      <c r="V118" s="2">
        <f t="shared" si="9"/>
        <v>0</v>
      </c>
      <c r="W118" s="2">
        <f t="shared" si="9"/>
        <v>0</v>
      </c>
      <c r="X118" s="2">
        <f t="shared" si="9"/>
        <v>0</v>
      </c>
      <c r="Y118" s="2">
        <f t="shared" si="9"/>
        <v>0</v>
      </c>
      <c r="Z118" s="2">
        <f t="shared" si="9"/>
        <v>0</v>
      </c>
    </row>
    <row r="119" spans="1:26" x14ac:dyDescent="0.35">
      <c r="B119" s="8"/>
    </row>
    <row r="120" spans="1:26" x14ac:dyDescent="0.35">
      <c r="A120" t="str">
        <f>A51</f>
        <v>Cuts</v>
      </c>
      <c r="B120" s="8"/>
    </row>
    <row r="121" spans="1:26" x14ac:dyDescent="0.35">
      <c r="A121" t="str">
        <f>A52</f>
        <v xml:space="preserve">  First cut</v>
      </c>
      <c r="B121" s="13">
        <f>'Refor gazetted ECO'!B81</f>
        <v>150</v>
      </c>
      <c r="C121" s="2">
        <f t="shared" ref="C121:Z124" si="10">$B121*C52</f>
        <v>0</v>
      </c>
      <c r="D121" s="2">
        <f t="shared" si="10"/>
        <v>0</v>
      </c>
      <c r="E121" s="2">
        <f t="shared" si="10"/>
        <v>0</v>
      </c>
      <c r="F121" s="2">
        <f t="shared" si="10"/>
        <v>0</v>
      </c>
      <c r="G121" s="2">
        <f t="shared" si="10"/>
        <v>0</v>
      </c>
      <c r="H121" s="2">
        <f t="shared" si="10"/>
        <v>4950</v>
      </c>
      <c r="I121" s="2">
        <f t="shared" si="10"/>
        <v>0</v>
      </c>
      <c r="J121" s="2">
        <f t="shared" si="10"/>
        <v>0</v>
      </c>
      <c r="K121" s="2">
        <f t="shared" si="10"/>
        <v>0</v>
      </c>
      <c r="L121" s="2">
        <f t="shared" si="10"/>
        <v>0</v>
      </c>
      <c r="M121" s="2">
        <f t="shared" si="10"/>
        <v>0</v>
      </c>
      <c r="N121" s="2">
        <f t="shared" si="10"/>
        <v>0</v>
      </c>
      <c r="O121" s="2">
        <f t="shared" si="10"/>
        <v>0</v>
      </c>
      <c r="P121" s="2">
        <f t="shared" si="10"/>
        <v>0</v>
      </c>
      <c r="Q121" s="2">
        <f t="shared" si="10"/>
        <v>0</v>
      </c>
      <c r="R121" s="2">
        <f t="shared" si="10"/>
        <v>0</v>
      </c>
      <c r="S121" s="2">
        <f t="shared" si="10"/>
        <v>0</v>
      </c>
      <c r="T121" s="2">
        <f t="shared" si="10"/>
        <v>0</v>
      </c>
      <c r="U121" s="2">
        <f t="shared" si="10"/>
        <v>0</v>
      </c>
      <c r="V121" s="2">
        <f t="shared" si="10"/>
        <v>0</v>
      </c>
      <c r="W121" s="2">
        <f t="shared" si="10"/>
        <v>0</v>
      </c>
      <c r="X121" s="2">
        <f t="shared" si="10"/>
        <v>0</v>
      </c>
      <c r="Y121" s="2">
        <f t="shared" si="10"/>
        <v>0</v>
      </c>
      <c r="Z121" s="2">
        <f t="shared" si="10"/>
        <v>0</v>
      </c>
    </row>
    <row r="122" spans="1:26" x14ac:dyDescent="0.35">
      <c r="A122" t="str">
        <f>A53</f>
        <v xml:space="preserve">  Second cut</v>
      </c>
      <c r="B122" s="13">
        <f>'Refor gazetted ECO'!B82</f>
        <v>270</v>
      </c>
      <c r="C122" s="2">
        <f t="shared" si="10"/>
        <v>0</v>
      </c>
      <c r="D122" s="2">
        <f t="shared" si="10"/>
        <v>0</v>
      </c>
      <c r="E122" s="2">
        <f t="shared" si="10"/>
        <v>0</v>
      </c>
      <c r="F122" s="2">
        <f t="shared" si="10"/>
        <v>0</v>
      </c>
      <c r="G122" s="2">
        <f t="shared" si="10"/>
        <v>0</v>
      </c>
      <c r="H122" s="2">
        <f t="shared" si="10"/>
        <v>0</v>
      </c>
      <c r="I122" s="2">
        <f t="shared" si="10"/>
        <v>0</v>
      </c>
      <c r="J122" s="2">
        <f t="shared" si="10"/>
        <v>0</v>
      </c>
      <c r="K122" s="2">
        <f t="shared" si="10"/>
        <v>0</v>
      </c>
      <c r="L122" s="2">
        <f t="shared" si="10"/>
        <v>94500</v>
      </c>
      <c r="M122" s="2">
        <f t="shared" si="10"/>
        <v>0</v>
      </c>
      <c r="N122" s="2">
        <f t="shared" si="10"/>
        <v>0</v>
      </c>
      <c r="O122" s="2">
        <f t="shared" si="10"/>
        <v>0</v>
      </c>
      <c r="P122" s="2">
        <f t="shared" si="10"/>
        <v>0</v>
      </c>
      <c r="Q122" s="2">
        <f t="shared" si="10"/>
        <v>0</v>
      </c>
      <c r="R122" s="2">
        <f t="shared" si="10"/>
        <v>0</v>
      </c>
      <c r="S122" s="2">
        <f t="shared" si="10"/>
        <v>0</v>
      </c>
      <c r="T122" s="2">
        <f t="shared" si="10"/>
        <v>0</v>
      </c>
      <c r="U122" s="2">
        <f t="shared" si="10"/>
        <v>0</v>
      </c>
      <c r="V122" s="2">
        <f t="shared" si="10"/>
        <v>0</v>
      </c>
      <c r="W122" s="2">
        <f t="shared" si="10"/>
        <v>0</v>
      </c>
      <c r="X122" s="2">
        <f t="shared" si="10"/>
        <v>0</v>
      </c>
      <c r="Y122" s="2">
        <f t="shared" si="10"/>
        <v>0</v>
      </c>
      <c r="Z122" s="2">
        <f t="shared" si="10"/>
        <v>0</v>
      </c>
    </row>
    <row r="123" spans="1:26" x14ac:dyDescent="0.35">
      <c r="A123" t="str">
        <f>A54</f>
        <v xml:space="preserve">  Third cut</v>
      </c>
      <c r="B123" s="13">
        <f>'Refor gazetted ECO'!B83</f>
        <v>2740</v>
      </c>
      <c r="C123" s="2">
        <f t="shared" si="10"/>
        <v>0</v>
      </c>
      <c r="D123" s="2">
        <f t="shared" si="10"/>
        <v>0</v>
      </c>
      <c r="E123" s="2">
        <f t="shared" si="10"/>
        <v>0</v>
      </c>
      <c r="F123" s="2">
        <f t="shared" si="10"/>
        <v>0</v>
      </c>
      <c r="G123" s="2">
        <f t="shared" si="10"/>
        <v>0</v>
      </c>
      <c r="H123" s="2">
        <f t="shared" si="10"/>
        <v>0</v>
      </c>
      <c r="I123" s="2">
        <f t="shared" si="10"/>
        <v>0</v>
      </c>
      <c r="J123" s="2">
        <f t="shared" si="10"/>
        <v>0</v>
      </c>
      <c r="K123" s="2">
        <f t="shared" si="10"/>
        <v>0</v>
      </c>
      <c r="L123" s="2">
        <f t="shared" si="10"/>
        <v>0</v>
      </c>
      <c r="M123" s="2">
        <f t="shared" si="10"/>
        <v>0</v>
      </c>
      <c r="N123" s="2">
        <f t="shared" si="10"/>
        <v>0</v>
      </c>
      <c r="O123" s="2">
        <f t="shared" si="10"/>
        <v>0</v>
      </c>
      <c r="P123" s="2">
        <f t="shared" si="10"/>
        <v>0</v>
      </c>
      <c r="Q123" s="2">
        <f t="shared" si="10"/>
        <v>0</v>
      </c>
      <c r="R123" s="2">
        <f t="shared" si="10"/>
        <v>0</v>
      </c>
      <c r="S123" s="2">
        <f t="shared" si="10"/>
        <v>0</v>
      </c>
      <c r="T123" s="2">
        <f t="shared" si="10"/>
        <v>0</v>
      </c>
      <c r="U123" s="2">
        <f t="shared" si="10"/>
        <v>0</v>
      </c>
      <c r="V123" s="2">
        <f t="shared" si="10"/>
        <v>0</v>
      </c>
      <c r="W123" s="2">
        <f t="shared" si="10"/>
        <v>0</v>
      </c>
      <c r="X123" s="2">
        <f t="shared" si="10"/>
        <v>0</v>
      </c>
      <c r="Y123" s="2">
        <f t="shared" si="10"/>
        <v>0</v>
      </c>
      <c r="Z123" s="2">
        <f t="shared" si="10"/>
        <v>0</v>
      </c>
    </row>
    <row r="124" spans="1:26" x14ac:dyDescent="0.35">
      <c r="A124" t="str">
        <f>A55</f>
        <v xml:space="preserve">  Fourth cut</v>
      </c>
      <c r="B124" s="13">
        <f>'Refor gazetted ECO'!B84</f>
        <v>6500</v>
      </c>
      <c r="C124" s="2">
        <f t="shared" si="10"/>
        <v>0</v>
      </c>
      <c r="D124" s="2">
        <f t="shared" si="10"/>
        <v>0</v>
      </c>
      <c r="E124" s="2">
        <f t="shared" si="10"/>
        <v>0</v>
      </c>
      <c r="F124" s="2">
        <f t="shared" si="10"/>
        <v>0</v>
      </c>
      <c r="G124" s="2">
        <f t="shared" si="10"/>
        <v>0</v>
      </c>
      <c r="H124" s="2">
        <f t="shared" si="10"/>
        <v>0</v>
      </c>
      <c r="I124" s="2">
        <f t="shared" si="10"/>
        <v>0</v>
      </c>
      <c r="J124" s="2">
        <f t="shared" si="10"/>
        <v>0</v>
      </c>
      <c r="K124" s="2">
        <f t="shared" si="10"/>
        <v>0</v>
      </c>
      <c r="L124" s="2">
        <f t="shared" si="10"/>
        <v>0</v>
      </c>
      <c r="M124" s="2">
        <f t="shared" si="10"/>
        <v>0</v>
      </c>
      <c r="N124" s="2">
        <f t="shared" si="10"/>
        <v>0</v>
      </c>
      <c r="O124" s="2">
        <f t="shared" si="10"/>
        <v>0</v>
      </c>
      <c r="P124" s="2">
        <f t="shared" si="10"/>
        <v>0</v>
      </c>
      <c r="Q124" s="2">
        <f t="shared" si="10"/>
        <v>0</v>
      </c>
      <c r="R124" s="2">
        <f t="shared" si="10"/>
        <v>0</v>
      </c>
      <c r="S124" s="2">
        <f t="shared" si="10"/>
        <v>0</v>
      </c>
      <c r="T124" s="2">
        <f t="shared" si="10"/>
        <v>0</v>
      </c>
      <c r="U124" s="2">
        <f t="shared" si="10"/>
        <v>0</v>
      </c>
      <c r="V124" s="2">
        <f t="shared" si="10"/>
        <v>0</v>
      </c>
      <c r="W124" s="2">
        <f t="shared" si="10"/>
        <v>0</v>
      </c>
      <c r="X124" s="2">
        <f t="shared" si="10"/>
        <v>0</v>
      </c>
      <c r="Y124" s="2">
        <f t="shared" si="10"/>
        <v>0</v>
      </c>
      <c r="Z124" s="2">
        <f t="shared" si="10"/>
        <v>0</v>
      </c>
    </row>
    <row r="125" spans="1:26" x14ac:dyDescent="0.35">
      <c r="B125" s="13"/>
    </row>
    <row r="126" spans="1:26" x14ac:dyDescent="0.35">
      <c r="A126" t="str">
        <f>A57</f>
        <v>Taxes</v>
      </c>
      <c r="B126" s="13"/>
    </row>
    <row r="127" spans="1:26" x14ac:dyDescent="0.35">
      <c r="A127" t="str">
        <f>A58</f>
        <v xml:space="preserve">  First cut</v>
      </c>
      <c r="B127" s="13">
        <f>'Refor gazetted ECO'!B87</f>
        <v>0</v>
      </c>
      <c r="C127" s="2">
        <f t="shared" ref="C127:Z129" si="11">$B127*C58</f>
        <v>0</v>
      </c>
      <c r="D127" s="2">
        <f t="shared" si="11"/>
        <v>0</v>
      </c>
      <c r="E127" s="2">
        <f t="shared" si="11"/>
        <v>0</v>
      </c>
      <c r="F127" s="2">
        <f t="shared" si="11"/>
        <v>0</v>
      </c>
      <c r="G127" s="2">
        <f t="shared" si="11"/>
        <v>0</v>
      </c>
      <c r="H127" s="2">
        <f t="shared" si="11"/>
        <v>0</v>
      </c>
      <c r="I127" s="2">
        <f t="shared" si="11"/>
        <v>0</v>
      </c>
      <c r="J127" s="2">
        <f t="shared" si="11"/>
        <v>0</v>
      </c>
      <c r="K127" s="2">
        <f t="shared" si="11"/>
        <v>0</v>
      </c>
      <c r="L127" s="2">
        <f t="shared" si="11"/>
        <v>0</v>
      </c>
      <c r="M127" s="2">
        <f t="shared" si="11"/>
        <v>0</v>
      </c>
      <c r="N127" s="2">
        <f t="shared" si="11"/>
        <v>0</v>
      </c>
      <c r="O127" s="2">
        <f t="shared" si="11"/>
        <v>0</v>
      </c>
      <c r="P127" s="2">
        <f t="shared" si="11"/>
        <v>0</v>
      </c>
      <c r="Q127" s="2">
        <f t="shared" si="11"/>
        <v>0</v>
      </c>
      <c r="R127" s="2">
        <f t="shared" si="11"/>
        <v>0</v>
      </c>
      <c r="S127" s="2">
        <f t="shared" si="11"/>
        <v>0</v>
      </c>
      <c r="T127" s="2">
        <f t="shared" si="11"/>
        <v>0</v>
      </c>
      <c r="U127" s="2">
        <f t="shared" si="11"/>
        <v>0</v>
      </c>
      <c r="V127" s="2">
        <f t="shared" si="11"/>
        <v>0</v>
      </c>
      <c r="W127" s="2">
        <f t="shared" si="11"/>
        <v>0</v>
      </c>
      <c r="X127" s="2">
        <f t="shared" si="11"/>
        <v>0</v>
      </c>
      <c r="Y127" s="2">
        <f t="shared" si="11"/>
        <v>0</v>
      </c>
      <c r="Z127" s="2">
        <f t="shared" si="11"/>
        <v>0</v>
      </c>
    </row>
    <row r="128" spans="1:26" x14ac:dyDescent="0.35">
      <c r="A128" t="str">
        <f>A59</f>
        <v xml:space="preserve">  Second cut</v>
      </c>
      <c r="B128" s="13">
        <f>'Refor gazetted ECO'!B88</f>
        <v>0</v>
      </c>
      <c r="C128" s="2">
        <f t="shared" si="11"/>
        <v>0</v>
      </c>
      <c r="D128" s="2">
        <f t="shared" si="11"/>
        <v>0</v>
      </c>
      <c r="E128" s="2">
        <f t="shared" si="11"/>
        <v>0</v>
      </c>
      <c r="F128" s="2">
        <f t="shared" si="11"/>
        <v>0</v>
      </c>
      <c r="G128" s="2">
        <f t="shared" si="11"/>
        <v>0</v>
      </c>
      <c r="H128" s="2">
        <f t="shared" si="11"/>
        <v>0</v>
      </c>
      <c r="I128" s="2">
        <f t="shared" si="11"/>
        <v>0</v>
      </c>
      <c r="J128" s="2">
        <f t="shared" si="11"/>
        <v>0</v>
      </c>
      <c r="K128" s="2">
        <f t="shared" si="11"/>
        <v>0</v>
      </c>
      <c r="L128" s="2">
        <f t="shared" si="11"/>
        <v>0</v>
      </c>
      <c r="M128" s="2">
        <f t="shared" si="11"/>
        <v>0</v>
      </c>
      <c r="N128" s="2">
        <f t="shared" si="11"/>
        <v>0</v>
      </c>
      <c r="O128" s="2">
        <f t="shared" si="11"/>
        <v>0</v>
      </c>
      <c r="P128" s="2">
        <f t="shared" si="11"/>
        <v>0</v>
      </c>
      <c r="Q128" s="2">
        <f t="shared" si="11"/>
        <v>0</v>
      </c>
      <c r="R128" s="2">
        <f t="shared" si="11"/>
        <v>0</v>
      </c>
      <c r="S128" s="2">
        <f t="shared" si="11"/>
        <v>0</v>
      </c>
      <c r="T128" s="2">
        <f t="shared" si="11"/>
        <v>0</v>
      </c>
      <c r="U128" s="2">
        <f t="shared" si="11"/>
        <v>0</v>
      </c>
      <c r="V128" s="2">
        <f t="shared" si="11"/>
        <v>0</v>
      </c>
      <c r="W128" s="2">
        <f t="shared" si="11"/>
        <v>0</v>
      </c>
      <c r="X128" s="2">
        <f t="shared" si="11"/>
        <v>0</v>
      </c>
      <c r="Y128" s="2">
        <f t="shared" si="11"/>
        <v>0</v>
      </c>
      <c r="Z128" s="2">
        <f t="shared" si="11"/>
        <v>0</v>
      </c>
    </row>
    <row r="129" spans="1:26" x14ac:dyDescent="0.35">
      <c r="A129" t="str">
        <f>A60</f>
        <v xml:space="preserve">  Third cut</v>
      </c>
      <c r="B129" s="13">
        <f>'Refor gazetted ECO'!B89</f>
        <v>0</v>
      </c>
      <c r="C129" s="2">
        <f t="shared" si="11"/>
        <v>0</v>
      </c>
      <c r="D129" s="2">
        <f t="shared" si="11"/>
        <v>0</v>
      </c>
      <c r="E129" s="2">
        <f t="shared" si="11"/>
        <v>0</v>
      </c>
      <c r="F129" s="2">
        <f t="shared" si="11"/>
        <v>0</v>
      </c>
      <c r="G129" s="2">
        <f t="shared" si="11"/>
        <v>0</v>
      </c>
      <c r="H129" s="2">
        <f t="shared" si="11"/>
        <v>0</v>
      </c>
      <c r="I129" s="2">
        <f t="shared" si="11"/>
        <v>0</v>
      </c>
      <c r="J129" s="2">
        <f t="shared" si="11"/>
        <v>0</v>
      </c>
      <c r="K129" s="2">
        <f t="shared" si="11"/>
        <v>0</v>
      </c>
      <c r="L129" s="2">
        <f t="shared" si="11"/>
        <v>0</v>
      </c>
      <c r="M129" s="2">
        <f t="shared" si="11"/>
        <v>0</v>
      </c>
      <c r="N129" s="2">
        <f t="shared" si="11"/>
        <v>0</v>
      </c>
      <c r="O129" s="2">
        <f t="shared" si="11"/>
        <v>0</v>
      </c>
      <c r="P129" s="2">
        <f t="shared" si="11"/>
        <v>0</v>
      </c>
      <c r="Q129" s="2">
        <f t="shared" si="11"/>
        <v>0</v>
      </c>
      <c r="R129" s="2">
        <f t="shared" si="11"/>
        <v>0</v>
      </c>
      <c r="S129" s="2">
        <f t="shared" si="11"/>
        <v>0</v>
      </c>
      <c r="T129" s="2">
        <f t="shared" si="11"/>
        <v>0</v>
      </c>
      <c r="U129" s="2">
        <f t="shared" si="11"/>
        <v>0</v>
      </c>
      <c r="V129" s="2">
        <f t="shared" si="11"/>
        <v>0</v>
      </c>
      <c r="W129" s="2">
        <f t="shared" si="11"/>
        <v>0</v>
      </c>
      <c r="X129" s="2">
        <f t="shared" si="11"/>
        <v>0</v>
      </c>
      <c r="Y129" s="2">
        <f t="shared" si="11"/>
        <v>0</v>
      </c>
      <c r="Z129" s="2">
        <f t="shared" si="11"/>
        <v>0</v>
      </c>
    </row>
    <row r="130" spans="1:26" x14ac:dyDescent="0.35">
      <c r="B130" s="13"/>
    </row>
    <row r="131" spans="1:26" x14ac:dyDescent="0.35">
      <c r="A131" t="str">
        <f>A62</f>
        <v>Production</v>
      </c>
      <c r="B131" s="13"/>
    </row>
    <row r="132" spans="1:26" x14ac:dyDescent="0.35">
      <c r="A132" t="str">
        <f>A66</f>
        <v xml:space="preserve">  Trees 11 cm diameter</v>
      </c>
      <c r="B132" s="13">
        <f>'Refor gazetted ECO'!B92</f>
        <v>114.99999999999999</v>
      </c>
      <c r="C132" s="2">
        <f t="shared" ref="C132:Z137" si="12">$B132*C66</f>
        <v>0</v>
      </c>
      <c r="D132" s="2">
        <f t="shared" si="12"/>
        <v>0</v>
      </c>
      <c r="E132" s="2">
        <f t="shared" si="12"/>
        <v>0</v>
      </c>
      <c r="F132" s="2">
        <f t="shared" si="12"/>
        <v>0</v>
      </c>
      <c r="G132" s="2">
        <f t="shared" si="12"/>
        <v>0</v>
      </c>
      <c r="H132" s="2">
        <f t="shared" si="12"/>
        <v>3794.9999999999995</v>
      </c>
      <c r="I132" s="2">
        <f t="shared" si="12"/>
        <v>0</v>
      </c>
      <c r="J132" s="2">
        <f t="shared" si="12"/>
        <v>0</v>
      </c>
      <c r="K132" s="2">
        <f t="shared" si="12"/>
        <v>0</v>
      </c>
      <c r="L132" s="2">
        <f t="shared" si="12"/>
        <v>0</v>
      </c>
      <c r="M132" s="2">
        <f t="shared" si="12"/>
        <v>0</v>
      </c>
      <c r="N132" s="2">
        <f t="shared" si="12"/>
        <v>0</v>
      </c>
      <c r="O132" s="2">
        <f t="shared" si="12"/>
        <v>0</v>
      </c>
      <c r="P132" s="2">
        <f t="shared" si="12"/>
        <v>0</v>
      </c>
      <c r="Q132" s="2">
        <f t="shared" si="12"/>
        <v>0</v>
      </c>
      <c r="R132" s="2">
        <f t="shared" si="12"/>
        <v>0</v>
      </c>
      <c r="S132" s="2">
        <f t="shared" si="12"/>
        <v>0</v>
      </c>
      <c r="T132" s="2">
        <f t="shared" si="12"/>
        <v>0</v>
      </c>
      <c r="U132" s="2">
        <f t="shared" si="12"/>
        <v>0</v>
      </c>
      <c r="V132" s="2">
        <f t="shared" si="12"/>
        <v>0</v>
      </c>
      <c r="W132" s="2">
        <f t="shared" si="12"/>
        <v>0</v>
      </c>
      <c r="X132" s="2">
        <f t="shared" si="12"/>
        <v>0</v>
      </c>
      <c r="Y132" s="2">
        <f t="shared" si="12"/>
        <v>0</v>
      </c>
      <c r="Z132" s="2">
        <f t="shared" si="12"/>
        <v>0</v>
      </c>
    </row>
    <row r="133" spans="1:26" x14ac:dyDescent="0.35">
      <c r="A133" t="str">
        <f>A67</f>
        <v xml:space="preserve">  Trees 16 cm diameter</v>
      </c>
      <c r="B133" s="13">
        <f>'Refor gazetted ECO'!B93</f>
        <v>5750</v>
      </c>
      <c r="C133" s="2">
        <f t="shared" si="12"/>
        <v>0</v>
      </c>
      <c r="D133" s="2">
        <f t="shared" si="12"/>
        <v>0</v>
      </c>
      <c r="E133" s="2">
        <f t="shared" si="12"/>
        <v>0</v>
      </c>
      <c r="F133" s="2">
        <f t="shared" si="12"/>
        <v>0</v>
      </c>
      <c r="G133" s="2">
        <f t="shared" si="12"/>
        <v>0</v>
      </c>
      <c r="H133" s="2">
        <f t="shared" si="12"/>
        <v>0</v>
      </c>
      <c r="I133" s="2">
        <f t="shared" si="12"/>
        <v>0</v>
      </c>
      <c r="J133" s="2">
        <f t="shared" si="12"/>
        <v>0</v>
      </c>
      <c r="K133" s="2">
        <f t="shared" si="12"/>
        <v>0</v>
      </c>
      <c r="L133" s="2">
        <f t="shared" si="12"/>
        <v>2012500</v>
      </c>
      <c r="M133" s="2">
        <f t="shared" si="12"/>
        <v>0</v>
      </c>
      <c r="N133" s="2">
        <f t="shared" si="12"/>
        <v>0</v>
      </c>
      <c r="O133" s="2">
        <f t="shared" si="12"/>
        <v>0</v>
      </c>
      <c r="P133" s="2">
        <f t="shared" si="12"/>
        <v>0</v>
      </c>
      <c r="Q133" s="2">
        <f t="shared" si="12"/>
        <v>0</v>
      </c>
      <c r="R133" s="2">
        <f t="shared" si="12"/>
        <v>0</v>
      </c>
      <c r="S133" s="2">
        <f t="shared" si="12"/>
        <v>0</v>
      </c>
      <c r="T133" s="2">
        <f t="shared" si="12"/>
        <v>0</v>
      </c>
      <c r="U133" s="2">
        <f t="shared" si="12"/>
        <v>0</v>
      </c>
      <c r="V133" s="2">
        <f t="shared" si="12"/>
        <v>0</v>
      </c>
      <c r="W133" s="2">
        <f t="shared" si="12"/>
        <v>0</v>
      </c>
      <c r="X133" s="2">
        <f t="shared" si="12"/>
        <v>0</v>
      </c>
      <c r="Y133" s="2">
        <f t="shared" si="12"/>
        <v>0</v>
      </c>
      <c r="Z133" s="2">
        <f t="shared" si="12"/>
        <v>0</v>
      </c>
    </row>
    <row r="134" spans="1:26" x14ac:dyDescent="0.35">
      <c r="A134" t="str">
        <f>A68</f>
        <v xml:space="preserve">  Trees 23 cm diameter</v>
      </c>
      <c r="B134" s="13">
        <f>'Refor gazetted ECO'!B94</f>
        <v>20700</v>
      </c>
      <c r="C134" s="2">
        <f t="shared" si="12"/>
        <v>0</v>
      </c>
      <c r="D134" s="2">
        <f t="shared" si="12"/>
        <v>0</v>
      </c>
      <c r="E134" s="2">
        <f t="shared" si="12"/>
        <v>0</v>
      </c>
      <c r="F134" s="2">
        <f t="shared" si="12"/>
        <v>0</v>
      </c>
      <c r="G134" s="2">
        <f t="shared" si="12"/>
        <v>0</v>
      </c>
      <c r="H134" s="2">
        <f t="shared" si="12"/>
        <v>0</v>
      </c>
      <c r="I134" s="2">
        <f t="shared" si="12"/>
        <v>0</v>
      </c>
      <c r="J134" s="2">
        <f t="shared" si="12"/>
        <v>0</v>
      </c>
      <c r="K134" s="2">
        <f t="shared" si="12"/>
        <v>0</v>
      </c>
      <c r="L134" s="2">
        <f t="shared" si="12"/>
        <v>0</v>
      </c>
      <c r="M134" s="2">
        <f t="shared" si="12"/>
        <v>0</v>
      </c>
      <c r="N134" s="2">
        <f t="shared" si="12"/>
        <v>0</v>
      </c>
      <c r="O134" s="2">
        <f t="shared" si="12"/>
        <v>0</v>
      </c>
      <c r="P134" s="2">
        <f t="shared" si="12"/>
        <v>0</v>
      </c>
      <c r="Q134" s="2">
        <f t="shared" si="12"/>
        <v>0</v>
      </c>
      <c r="R134" s="2">
        <f t="shared" si="12"/>
        <v>3105000</v>
      </c>
      <c r="S134" s="2">
        <f t="shared" si="12"/>
        <v>0</v>
      </c>
      <c r="T134" s="2">
        <f t="shared" si="12"/>
        <v>0</v>
      </c>
      <c r="U134" s="2">
        <f t="shared" si="12"/>
        <v>0</v>
      </c>
      <c r="V134" s="2">
        <f t="shared" si="12"/>
        <v>0</v>
      </c>
      <c r="W134" s="2">
        <f t="shared" si="12"/>
        <v>0</v>
      </c>
      <c r="X134" s="2">
        <f t="shared" si="12"/>
        <v>0</v>
      </c>
      <c r="Y134" s="2">
        <f t="shared" si="12"/>
        <v>0</v>
      </c>
      <c r="Z134" s="2">
        <f t="shared" si="12"/>
        <v>0</v>
      </c>
    </row>
    <row r="135" spans="1:26" x14ac:dyDescent="0.35">
      <c r="A135" t="str">
        <f t="shared" ref="A135:A137" si="13">A69</f>
        <v xml:space="preserve">  Trees 30 cm diameter</v>
      </c>
      <c r="B135" s="13">
        <f>'Refor gazetted ECO'!B95</f>
        <v>27599.999999999996</v>
      </c>
      <c r="C135" s="2">
        <f t="shared" si="12"/>
        <v>0</v>
      </c>
      <c r="D135" s="2">
        <f t="shared" si="12"/>
        <v>0</v>
      </c>
      <c r="E135" s="2">
        <f t="shared" si="12"/>
        <v>0</v>
      </c>
      <c r="F135" s="2">
        <f t="shared" si="12"/>
        <v>0</v>
      </c>
      <c r="G135" s="2">
        <f t="shared" si="12"/>
        <v>0</v>
      </c>
      <c r="H135" s="2">
        <f t="shared" si="12"/>
        <v>0</v>
      </c>
      <c r="I135" s="2">
        <f t="shared" si="12"/>
        <v>0</v>
      </c>
      <c r="J135" s="2">
        <f t="shared" si="12"/>
        <v>0</v>
      </c>
      <c r="K135" s="2">
        <f t="shared" si="12"/>
        <v>0</v>
      </c>
      <c r="L135" s="2">
        <f t="shared" si="12"/>
        <v>0</v>
      </c>
      <c r="M135" s="2">
        <f t="shared" si="12"/>
        <v>0</v>
      </c>
      <c r="N135" s="2">
        <f t="shared" si="12"/>
        <v>0</v>
      </c>
      <c r="O135" s="2">
        <f t="shared" si="12"/>
        <v>0</v>
      </c>
      <c r="P135" s="2">
        <f t="shared" si="12"/>
        <v>0</v>
      </c>
      <c r="Q135" s="2">
        <f t="shared" si="12"/>
        <v>0</v>
      </c>
      <c r="R135" s="2">
        <f t="shared" si="12"/>
        <v>0</v>
      </c>
      <c r="S135" s="2">
        <f t="shared" si="12"/>
        <v>0</v>
      </c>
      <c r="T135" s="2">
        <f t="shared" si="12"/>
        <v>0</v>
      </c>
      <c r="U135" s="2">
        <f t="shared" si="12"/>
        <v>0</v>
      </c>
      <c r="V135" s="2">
        <f t="shared" si="12"/>
        <v>0</v>
      </c>
      <c r="W135" s="2">
        <f t="shared" si="12"/>
        <v>0</v>
      </c>
      <c r="X135" s="2">
        <f t="shared" si="12"/>
        <v>0</v>
      </c>
      <c r="Y135" s="2">
        <f t="shared" si="12"/>
        <v>0</v>
      </c>
      <c r="Z135" s="2">
        <f t="shared" si="12"/>
        <v>8279999.9999999991</v>
      </c>
    </row>
    <row r="136" spans="1:26" x14ac:dyDescent="0.35">
      <c r="A136" t="str">
        <f t="shared" si="13"/>
        <v xml:space="preserve">  Maize</v>
      </c>
      <c r="B136" s="13">
        <f>'Prices &amp; assums'!D105</f>
        <v>100</v>
      </c>
      <c r="C136" s="2">
        <f t="shared" si="12"/>
        <v>400000</v>
      </c>
      <c r="D136" s="2">
        <f t="shared" si="12"/>
        <v>0</v>
      </c>
      <c r="E136" s="2">
        <f t="shared" si="12"/>
        <v>0</v>
      </c>
      <c r="F136" s="2">
        <f t="shared" si="12"/>
        <v>0</v>
      </c>
      <c r="G136" s="2">
        <f t="shared" si="12"/>
        <v>0</v>
      </c>
      <c r="H136" s="2">
        <f t="shared" si="12"/>
        <v>0</v>
      </c>
      <c r="I136" s="2">
        <f t="shared" si="12"/>
        <v>0</v>
      </c>
      <c r="J136" s="2">
        <f t="shared" si="12"/>
        <v>0</v>
      </c>
      <c r="K136" s="2">
        <f t="shared" si="12"/>
        <v>0</v>
      </c>
      <c r="L136" s="2">
        <f t="shared" si="12"/>
        <v>0</v>
      </c>
      <c r="M136" s="2">
        <f t="shared" si="12"/>
        <v>0</v>
      </c>
      <c r="N136" s="2">
        <f t="shared" si="12"/>
        <v>0</v>
      </c>
      <c r="O136" s="2">
        <f t="shared" si="12"/>
        <v>0</v>
      </c>
      <c r="P136" s="2">
        <f t="shared" si="12"/>
        <v>0</v>
      </c>
      <c r="Q136" s="2">
        <f t="shared" si="12"/>
        <v>0</v>
      </c>
      <c r="R136" s="2">
        <f t="shared" si="12"/>
        <v>0</v>
      </c>
      <c r="S136" s="2">
        <f t="shared" si="12"/>
        <v>0</v>
      </c>
      <c r="T136" s="2">
        <f t="shared" si="12"/>
        <v>0</v>
      </c>
      <c r="U136" s="2">
        <f t="shared" si="12"/>
        <v>0</v>
      </c>
      <c r="V136" s="2">
        <f t="shared" si="12"/>
        <v>0</v>
      </c>
      <c r="W136" s="2">
        <f t="shared" si="12"/>
        <v>0</v>
      </c>
      <c r="X136" s="2">
        <f t="shared" si="12"/>
        <v>0</v>
      </c>
      <c r="Y136" s="2">
        <f t="shared" si="12"/>
        <v>0</v>
      </c>
      <c r="Z136" s="2">
        <f t="shared" si="12"/>
        <v>0</v>
      </c>
    </row>
    <row r="137" spans="1:26" x14ac:dyDescent="0.35">
      <c r="A137" s="11" t="str">
        <f t="shared" si="13"/>
        <v xml:space="preserve">  Cassava</v>
      </c>
      <c r="B137" s="22">
        <f>'Prices &amp; assums'!D106</f>
        <v>90</v>
      </c>
      <c r="C137" s="42">
        <f t="shared" si="12"/>
        <v>0</v>
      </c>
      <c r="D137" s="14">
        <f t="shared" si="12"/>
        <v>0</v>
      </c>
      <c r="E137" s="14">
        <f t="shared" si="12"/>
        <v>1458000</v>
      </c>
      <c r="F137" s="14">
        <f t="shared" si="12"/>
        <v>0</v>
      </c>
      <c r="G137" s="14">
        <f t="shared" si="12"/>
        <v>0</v>
      </c>
      <c r="H137" s="14">
        <f t="shared" si="12"/>
        <v>0</v>
      </c>
      <c r="I137" s="14">
        <f t="shared" si="12"/>
        <v>0</v>
      </c>
      <c r="J137" s="14">
        <f t="shared" si="12"/>
        <v>0</v>
      </c>
      <c r="K137" s="14">
        <f t="shared" si="12"/>
        <v>0</v>
      </c>
      <c r="L137" s="14">
        <f t="shared" si="12"/>
        <v>0</v>
      </c>
      <c r="M137" s="14">
        <f t="shared" si="12"/>
        <v>0</v>
      </c>
      <c r="N137" s="14">
        <f t="shared" si="12"/>
        <v>0</v>
      </c>
      <c r="O137" s="14">
        <f t="shared" si="12"/>
        <v>0</v>
      </c>
      <c r="P137" s="14">
        <f t="shared" si="12"/>
        <v>0</v>
      </c>
      <c r="Q137" s="14">
        <f t="shared" si="12"/>
        <v>0</v>
      </c>
      <c r="R137" s="14">
        <f t="shared" si="12"/>
        <v>0</v>
      </c>
      <c r="S137" s="14">
        <f t="shared" si="12"/>
        <v>0</v>
      </c>
      <c r="T137" s="14">
        <f t="shared" si="12"/>
        <v>0</v>
      </c>
      <c r="U137" s="14">
        <f t="shared" si="12"/>
        <v>0</v>
      </c>
      <c r="V137" s="14">
        <f t="shared" si="12"/>
        <v>0</v>
      </c>
      <c r="W137" s="14">
        <f t="shared" si="12"/>
        <v>0</v>
      </c>
      <c r="X137" s="14">
        <f t="shared" si="12"/>
        <v>0</v>
      </c>
      <c r="Y137" s="14">
        <f t="shared" si="12"/>
        <v>0</v>
      </c>
      <c r="Z137" s="14">
        <f t="shared" si="12"/>
        <v>0</v>
      </c>
    </row>
    <row r="138" spans="1:26" x14ac:dyDescent="0.35">
      <c r="A138" t="s">
        <v>156</v>
      </c>
      <c r="C138" s="60"/>
    </row>
    <row r="139" spans="1:26" x14ac:dyDescent="0.35">
      <c r="A139" t="s">
        <v>157</v>
      </c>
      <c r="C139" s="2">
        <f>SUM(C76:C83)+SUM(C86:C91)+SUM(C94:C99)+SUM(C102:C118)+SUM(C121:C124)+SUM(C127:C129)</f>
        <v>746894.13749999995</v>
      </c>
      <c r="D139" s="2">
        <f t="shared" ref="D139:Z139" si="14">SUM(D76:D83)+SUM(D86:D91)+SUM(D94:D99)+SUM(D102:D118)+SUM(D121:D124)+SUM(D127:D129)</f>
        <v>844741.12137692305</v>
      </c>
      <c r="E139" s="2">
        <f t="shared" si="14"/>
        <v>48800</v>
      </c>
      <c r="F139" s="2">
        <f t="shared" si="14"/>
        <v>14040</v>
      </c>
      <c r="G139" s="2">
        <f t="shared" si="14"/>
        <v>32760</v>
      </c>
      <c r="H139" s="2">
        <f t="shared" si="14"/>
        <v>18990</v>
      </c>
      <c r="I139" s="2">
        <f t="shared" si="14"/>
        <v>14040</v>
      </c>
      <c r="J139" s="2">
        <f t="shared" si="14"/>
        <v>14040</v>
      </c>
      <c r="K139" s="2">
        <f t="shared" si="14"/>
        <v>14040</v>
      </c>
      <c r="L139" s="2">
        <f t="shared" si="14"/>
        <v>127260</v>
      </c>
      <c r="M139" s="2">
        <f t="shared" si="14"/>
        <v>14040</v>
      </c>
      <c r="N139" s="2">
        <f t="shared" si="14"/>
        <v>14040</v>
      </c>
      <c r="O139" s="2">
        <f t="shared" si="14"/>
        <v>14040</v>
      </c>
      <c r="P139" s="2">
        <f t="shared" si="14"/>
        <v>14040</v>
      </c>
      <c r="Q139" s="2">
        <f t="shared" si="14"/>
        <v>32760</v>
      </c>
      <c r="R139" s="2">
        <f t="shared" si="14"/>
        <v>14040</v>
      </c>
      <c r="S139" s="2">
        <f t="shared" si="14"/>
        <v>14040</v>
      </c>
      <c r="T139" s="2">
        <f t="shared" si="14"/>
        <v>14040</v>
      </c>
      <c r="U139" s="2">
        <f t="shared" si="14"/>
        <v>14040</v>
      </c>
      <c r="V139" s="2">
        <f t="shared" si="14"/>
        <v>32760</v>
      </c>
      <c r="W139" s="2">
        <f t="shared" si="14"/>
        <v>14040</v>
      </c>
      <c r="X139" s="2">
        <f t="shared" si="14"/>
        <v>14040</v>
      </c>
      <c r="Y139" s="2">
        <f t="shared" si="14"/>
        <v>14040</v>
      </c>
      <c r="Z139" s="2">
        <f t="shared" si="14"/>
        <v>14040</v>
      </c>
    </row>
    <row r="140" spans="1:26" x14ac:dyDescent="0.35">
      <c r="A140" t="s">
        <v>158</v>
      </c>
      <c r="C140" s="2">
        <f>C139-C88-C91/3-C94/3-C95/3-C99/3-C103-C105/3-C107/2-C108/3-C109/3-C110/2</f>
        <v>608447.25749999995</v>
      </c>
      <c r="D140" s="2">
        <f t="shared" ref="D140:Z140" si="15">D139-D88-D91/3-D94/3-D95/3-D99/3-D103-D105/3-D107/2-D108/3-D109/3-D110/2</f>
        <v>762841.12137692305</v>
      </c>
      <c r="E140" s="2">
        <f t="shared" si="15"/>
        <v>36320</v>
      </c>
      <c r="F140" s="2">
        <f t="shared" si="15"/>
        <v>14040</v>
      </c>
      <c r="G140" s="2">
        <f t="shared" si="15"/>
        <v>26520</v>
      </c>
      <c r="H140" s="2">
        <f t="shared" si="15"/>
        <v>18990</v>
      </c>
      <c r="I140" s="2">
        <f t="shared" si="15"/>
        <v>14040</v>
      </c>
      <c r="J140" s="2">
        <f t="shared" si="15"/>
        <v>14040</v>
      </c>
      <c r="K140" s="2">
        <f t="shared" si="15"/>
        <v>14040</v>
      </c>
      <c r="L140" s="2">
        <f t="shared" si="15"/>
        <v>121020</v>
      </c>
      <c r="M140" s="2">
        <f t="shared" si="15"/>
        <v>14040</v>
      </c>
      <c r="N140" s="2">
        <f t="shared" si="15"/>
        <v>14040</v>
      </c>
      <c r="O140" s="2">
        <f t="shared" si="15"/>
        <v>14040</v>
      </c>
      <c r="P140" s="2">
        <f t="shared" si="15"/>
        <v>14040</v>
      </c>
      <c r="Q140" s="2">
        <f t="shared" si="15"/>
        <v>26520</v>
      </c>
      <c r="R140" s="2">
        <f t="shared" si="15"/>
        <v>14040</v>
      </c>
      <c r="S140" s="2">
        <f t="shared" si="15"/>
        <v>14040</v>
      </c>
      <c r="T140" s="2">
        <f t="shared" si="15"/>
        <v>14040</v>
      </c>
      <c r="U140" s="2">
        <f t="shared" si="15"/>
        <v>14040</v>
      </c>
      <c r="V140" s="2">
        <f t="shared" si="15"/>
        <v>26520</v>
      </c>
      <c r="W140" s="2">
        <f t="shared" si="15"/>
        <v>14040</v>
      </c>
      <c r="X140" s="2">
        <f t="shared" si="15"/>
        <v>14040</v>
      </c>
      <c r="Y140" s="2">
        <f t="shared" si="15"/>
        <v>14040</v>
      </c>
      <c r="Z140" s="2">
        <f t="shared" si="15"/>
        <v>14040</v>
      </c>
    </row>
    <row r="141" spans="1:26" x14ac:dyDescent="0.35">
      <c r="A141" t="s">
        <v>159</v>
      </c>
      <c r="C141" s="2">
        <f>SUM(C76:C83)+C97+C113+C114</f>
        <v>159465.66800000001</v>
      </c>
      <c r="D141" s="2">
        <f>SUM(D76:D83)+D97+D113+D114</f>
        <v>73829.698799999998</v>
      </c>
      <c r="E141" s="2">
        <f>SUM(E76:E83)+E97+E113+E114</f>
        <v>2000</v>
      </c>
      <c r="F141" s="2">
        <f>SUM(F76:F83)+F87+F96+F97</f>
        <v>0</v>
      </c>
      <c r="G141" s="2">
        <f t="shared" ref="G141:Z141" si="16">SUM(G76:G83)+G87+G96+G97</f>
        <v>0</v>
      </c>
      <c r="H141" s="2">
        <f t="shared" si="16"/>
        <v>0</v>
      </c>
      <c r="I141" s="2">
        <f t="shared" si="16"/>
        <v>0</v>
      </c>
      <c r="J141" s="2">
        <f t="shared" si="16"/>
        <v>0</v>
      </c>
      <c r="K141" s="2">
        <f t="shared" si="16"/>
        <v>0</v>
      </c>
      <c r="L141" s="2">
        <f t="shared" si="16"/>
        <v>0</v>
      </c>
      <c r="M141" s="2">
        <f t="shared" si="16"/>
        <v>0</v>
      </c>
      <c r="N141" s="2">
        <f t="shared" si="16"/>
        <v>0</v>
      </c>
      <c r="O141" s="2">
        <f t="shared" si="16"/>
        <v>0</v>
      </c>
      <c r="P141" s="2">
        <f t="shared" si="16"/>
        <v>0</v>
      </c>
      <c r="Q141" s="2">
        <f t="shared" si="16"/>
        <v>0</v>
      </c>
      <c r="R141" s="2">
        <f t="shared" si="16"/>
        <v>0</v>
      </c>
      <c r="S141" s="2">
        <f t="shared" si="16"/>
        <v>0</v>
      </c>
      <c r="T141" s="2">
        <f t="shared" si="16"/>
        <v>0</v>
      </c>
      <c r="U141" s="2">
        <f t="shared" si="16"/>
        <v>0</v>
      </c>
      <c r="V141" s="2">
        <f t="shared" si="16"/>
        <v>0</v>
      </c>
      <c r="W141" s="2">
        <f t="shared" si="16"/>
        <v>0</v>
      </c>
      <c r="X141" s="2">
        <f t="shared" si="16"/>
        <v>0</v>
      </c>
      <c r="Y141" s="2">
        <f t="shared" si="16"/>
        <v>0</v>
      </c>
      <c r="Z141" s="2">
        <f t="shared" si="16"/>
        <v>0</v>
      </c>
    </row>
    <row r="142" spans="1:26" x14ac:dyDescent="0.35">
      <c r="A142" s="44" t="s">
        <v>160</v>
      </c>
      <c r="C142" s="30">
        <f>C139-C141</f>
        <v>587428.46949999989</v>
      </c>
      <c r="D142" s="30">
        <f>D139-D141</f>
        <v>770911.42257692304</v>
      </c>
      <c r="E142" s="30">
        <f>E139-E141</f>
        <v>46800</v>
      </c>
      <c r="F142" s="30">
        <f>F139-F141</f>
        <v>14040</v>
      </c>
      <c r="G142" s="30">
        <f t="shared" ref="G142:Z142" si="17">G139-G141</f>
        <v>32760</v>
      </c>
      <c r="H142" s="30">
        <f t="shared" si="17"/>
        <v>18990</v>
      </c>
      <c r="I142" s="30">
        <f t="shared" si="17"/>
        <v>14040</v>
      </c>
      <c r="J142" s="30">
        <f t="shared" si="17"/>
        <v>14040</v>
      </c>
      <c r="K142" s="30">
        <f t="shared" si="17"/>
        <v>14040</v>
      </c>
      <c r="L142" s="30">
        <f t="shared" si="17"/>
        <v>127260</v>
      </c>
      <c r="M142" s="30">
        <f t="shared" si="17"/>
        <v>14040</v>
      </c>
      <c r="N142" s="30">
        <f t="shared" si="17"/>
        <v>14040</v>
      </c>
      <c r="O142" s="30">
        <f t="shared" si="17"/>
        <v>14040</v>
      </c>
      <c r="P142" s="30">
        <f t="shared" si="17"/>
        <v>14040</v>
      </c>
      <c r="Q142" s="30">
        <f t="shared" si="17"/>
        <v>32760</v>
      </c>
      <c r="R142" s="30">
        <f t="shared" si="17"/>
        <v>14040</v>
      </c>
      <c r="S142" s="30">
        <f t="shared" si="17"/>
        <v>14040</v>
      </c>
      <c r="T142" s="30">
        <f t="shared" si="17"/>
        <v>14040</v>
      </c>
      <c r="U142" s="30">
        <f t="shared" si="17"/>
        <v>14040</v>
      </c>
      <c r="V142" s="30">
        <f t="shared" si="17"/>
        <v>32760</v>
      </c>
      <c r="W142" s="30">
        <f t="shared" si="17"/>
        <v>14040</v>
      </c>
      <c r="X142" s="30">
        <f t="shared" si="17"/>
        <v>14040</v>
      </c>
      <c r="Y142" s="30">
        <f t="shared" si="17"/>
        <v>14040</v>
      </c>
      <c r="Z142" s="30">
        <f t="shared" si="17"/>
        <v>14040</v>
      </c>
    </row>
    <row r="143" spans="1:26" x14ac:dyDescent="0.35">
      <c r="A143" s="44" t="s">
        <v>65</v>
      </c>
      <c r="C143" s="2">
        <f>SUM(C132:C137)</f>
        <v>400000</v>
      </c>
      <c r="D143" s="2">
        <f t="shared" ref="D143:Z143" si="18">SUM(D132:D137)</f>
        <v>0</v>
      </c>
      <c r="E143" s="2">
        <f t="shared" si="18"/>
        <v>1458000</v>
      </c>
      <c r="F143" s="2">
        <f t="shared" si="18"/>
        <v>0</v>
      </c>
      <c r="G143" s="2">
        <f t="shared" si="18"/>
        <v>0</v>
      </c>
      <c r="H143" s="2">
        <f t="shared" si="18"/>
        <v>3794.9999999999995</v>
      </c>
      <c r="I143" s="2">
        <f t="shared" si="18"/>
        <v>0</v>
      </c>
      <c r="J143" s="2">
        <f t="shared" si="18"/>
        <v>0</v>
      </c>
      <c r="K143" s="2">
        <f t="shared" si="18"/>
        <v>0</v>
      </c>
      <c r="L143" s="2">
        <f t="shared" si="18"/>
        <v>2012500</v>
      </c>
      <c r="M143" s="2">
        <f t="shared" si="18"/>
        <v>0</v>
      </c>
      <c r="N143" s="2">
        <f t="shared" si="18"/>
        <v>0</v>
      </c>
      <c r="O143" s="2">
        <f t="shared" si="18"/>
        <v>0</v>
      </c>
      <c r="P143" s="2">
        <f t="shared" si="18"/>
        <v>0</v>
      </c>
      <c r="Q143" s="2">
        <f t="shared" si="18"/>
        <v>0</v>
      </c>
      <c r="R143" s="2">
        <f t="shared" si="18"/>
        <v>3105000</v>
      </c>
      <c r="S143" s="2">
        <f t="shared" si="18"/>
        <v>0</v>
      </c>
      <c r="T143" s="2">
        <f t="shared" si="18"/>
        <v>0</v>
      </c>
      <c r="U143" s="2">
        <f t="shared" si="18"/>
        <v>0</v>
      </c>
      <c r="V143" s="2">
        <f t="shared" si="18"/>
        <v>0</v>
      </c>
      <c r="W143" s="2">
        <f t="shared" si="18"/>
        <v>0</v>
      </c>
      <c r="X143" s="2">
        <f t="shared" si="18"/>
        <v>0</v>
      </c>
      <c r="Y143" s="2">
        <f t="shared" si="18"/>
        <v>0</v>
      </c>
      <c r="Z143" s="2">
        <f t="shared" si="18"/>
        <v>8279999.9999999991</v>
      </c>
    </row>
    <row r="144" spans="1:26" x14ac:dyDescent="0.35">
      <c r="A144" s="45" t="s">
        <v>154</v>
      </c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Z144" t="s">
        <v>178</v>
      </c>
    </row>
    <row r="145" spans="1:27" x14ac:dyDescent="0.35">
      <c r="A145" t="s">
        <v>179</v>
      </c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Z145" t="s">
        <v>178</v>
      </c>
    </row>
    <row r="146" spans="1:27" x14ac:dyDescent="0.35">
      <c r="A146" t="s">
        <v>152</v>
      </c>
      <c r="C146" s="2">
        <f t="shared" ref="C146:Z146" si="19">C143-C139</f>
        <v>-346894.13749999995</v>
      </c>
      <c r="D146" s="2">
        <f t="shared" si="19"/>
        <v>-844741.12137692305</v>
      </c>
      <c r="E146" s="2">
        <f t="shared" si="19"/>
        <v>1409200</v>
      </c>
      <c r="F146" s="2">
        <f t="shared" si="19"/>
        <v>-14040</v>
      </c>
      <c r="G146" s="2">
        <f t="shared" si="19"/>
        <v>-32760</v>
      </c>
      <c r="H146" s="2">
        <f t="shared" si="19"/>
        <v>-15195</v>
      </c>
      <c r="I146" s="2">
        <f t="shared" si="19"/>
        <v>-14040</v>
      </c>
      <c r="J146" s="2">
        <f t="shared" si="19"/>
        <v>-14040</v>
      </c>
      <c r="K146" s="2">
        <f t="shared" si="19"/>
        <v>-14040</v>
      </c>
      <c r="L146" s="2">
        <f t="shared" si="19"/>
        <v>1885240</v>
      </c>
      <c r="M146" s="2">
        <f t="shared" si="19"/>
        <v>-14040</v>
      </c>
      <c r="N146" s="2">
        <f t="shared" si="19"/>
        <v>-14040</v>
      </c>
      <c r="O146" s="2">
        <f t="shared" si="19"/>
        <v>-14040</v>
      </c>
      <c r="P146" s="2">
        <f t="shared" si="19"/>
        <v>-14040</v>
      </c>
      <c r="Q146" s="2">
        <f t="shared" si="19"/>
        <v>-32760</v>
      </c>
      <c r="R146" s="2">
        <f t="shared" si="19"/>
        <v>3090960</v>
      </c>
      <c r="S146" s="2">
        <f t="shared" si="19"/>
        <v>-14040</v>
      </c>
      <c r="T146" s="2">
        <f t="shared" si="19"/>
        <v>-14040</v>
      </c>
      <c r="U146" s="2">
        <f t="shared" si="19"/>
        <v>-14040</v>
      </c>
      <c r="V146" s="2">
        <f t="shared" si="19"/>
        <v>-32760</v>
      </c>
      <c r="W146" s="2">
        <f t="shared" si="19"/>
        <v>-14040</v>
      </c>
      <c r="X146" s="2">
        <f t="shared" si="19"/>
        <v>-14040</v>
      </c>
      <c r="Y146" s="2">
        <f t="shared" si="19"/>
        <v>-14040</v>
      </c>
      <c r="Z146" s="2">
        <f t="shared" si="19"/>
        <v>8265959.9999999991</v>
      </c>
    </row>
    <row r="147" spans="1:27" x14ac:dyDescent="0.35">
      <c r="A147" t="s">
        <v>153</v>
      </c>
      <c r="C147" s="2">
        <f t="shared" ref="C147:Z147" si="20">C143-C140</f>
        <v>-208447.25749999995</v>
      </c>
      <c r="D147" s="2">
        <f t="shared" si="20"/>
        <v>-762841.12137692305</v>
      </c>
      <c r="E147" s="2">
        <f t="shared" si="20"/>
        <v>1421680</v>
      </c>
      <c r="F147" s="2">
        <f t="shared" si="20"/>
        <v>-14040</v>
      </c>
      <c r="G147" s="2">
        <f t="shared" si="20"/>
        <v>-26520</v>
      </c>
      <c r="H147" s="2">
        <f t="shared" si="20"/>
        <v>-15195</v>
      </c>
      <c r="I147" s="2">
        <f t="shared" si="20"/>
        <v>-14040</v>
      </c>
      <c r="J147" s="2">
        <f t="shared" si="20"/>
        <v>-14040</v>
      </c>
      <c r="K147" s="2">
        <f t="shared" si="20"/>
        <v>-14040</v>
      </c>
      <c r="L147" s="2">
        <f t="shared" si="20"/>
        <v>1891480</v>
      </c>
      <c r="M147" s="2">
        <f t="shared" si="20"/>
        <v>-14040</v>
      </c>
      <c r="N147" s="2">
        <f t="shared" si="20"/>
        <v>-14040</v>
      </c>
      <c r="O147" s="2">
        <f t="shared" si="20"/>
        <v>-14040</v>
      </c>
      <c r="P147" s="2">
        <f t="shared" si="20"/>
        <v>-14040</v>
      </c>
      <c r="Q147" s="2">
        <f t="shared" si="20"/>
        <v>-26520</v>
      </c>
      <c r="R147" s="2">
        <f t="shared" si="20"/>
        <v>3090960</v>
      </c>
      <c r="S147" s="2">
        <f t="shared" si="20"/>
        <v>-14040</v>
      </c>
      <c r="T147" s="2">
        <f t="shared" si="20"/>
        <v>-14040</v>
      </c>
      <c r="U147" s="2">
        <f t="shared" si="20"/>
        <v>-14040</v>
      </c>
      <c r="V147" s="2">
        <f t="shared" si="20"/>
        <v>-26520</v>
      </c>
      <c r="W147" s="2">
        <f t="shared" si="20"/>
        <v>-14040</v>
      </c>
      <c r="X147" s="2">
        <f t="shared" si="20"/>
        <v>-14040</v>
      </c>
      <c r="Y147" s="2">
        <f t="shared" si="20"/>
        <v>-14040</v>
      </c>
      <c r="Z147" s="2">
        <f t="shared" si="20"/>
        <v>8265959.9999999991</v>
      </c>
    </row>
    <row r="148" spans="1:27" x14ac:dyDescent="0.35">
      <c r="A148" t="s">
        <v>215</v>
      </c>
      <c r="C148" s="2">
        <f>C143-C139+C141</f>
        <v>-187428.46949999995</v>
      </c>
      <c r="D148" s="2">
        <f t="shared" ref="D148:Z148" si="21">D143-D139+D141</f>
        <v>-770911.42257692304</v>
      </c>
      <c r="E148" s="2">
        <f t="shared" si="21"/>
        <v>1411200</v>
      </c>
      <c r="F148" s="2">
        <f t="shared" si="21"/>
        <v>-14040</v>
      </c>
      <c r="G148" s="2">
        <f t="shared" si="21"/>
        <v>-32760</v>
      </c>
      <c r="H148" s="2">
        <f t="shared" si="21"/>
        <v>-15195</v>
      </c>
      <c r="I148" s="2">
        <f t="shared" si="21"/>
        <v>-14040</v>
      </c>
      <c r="J148" s="2">
        <f t="shared" si="21"/>
        <v>-14040</v>
      </c>
      <c r="K148" s="2">
        <f t="shared" si="21"/>
        <v>-14040</v>
      </c>
      <c r="L148" s="2">
        <f t="shared" si="21"/>
        <v>1885240</v>
      </c>
      <c r="M148" s="2">
        <f t="shared" si="21"/>
        <v>-14040</v>
      </c>
      <c r="N148" s="2">
        <f t="shared" si="21"/>
        <v>-14040</v>
      </c>
      <c r="O148" s="2">
        <f t="shared" si="21"/>
        <v>-14040</v>
      </c>
      <c r="P148" s="2">
        <f t="shared" si="21"/>
        <v>-14040</v>
      </c>
      <c r="Q148" s="2">
        <f t="shared" si="21"/>
        <v>-32760</v>
      </c>
      <c r="R148" s="2">
        <f t="shared" si="21"/>
        <v>3090960</v>
      </c>
      <c r="S148" s="2">
        <f t="shared" si="21"/>
        <v>-14040</v>
      </c>
      <c r="T148" s="2">
        <f t="shared" si="21"/>
        <v>-14040</v>
      </c>
      <c r="U148" s="2">
        <f t="shared" si="21"/>
        <v>-14040</v>
      </c>
      <c r="V148" s="2">
        <f t="shared" si="21"/>
        <v>-32760</v>
      </c>
      <c r="W148" s="2">
        <f t="shared" si="21"/>
        <v>-14040</v>
      </c>
      <c r="X148" s="2">
        <f t="shared" si="21"/>
        <v>-14040</v>
      </c>
      <c r="Y148" s="2">
        <f t="shared" si="21"/>
        <v>-14040</v>
      </c>
      <c r="Z148" s="2">
        <f t="shared" si="21"/>
        <v>8265959.9999999991</v>
      </c>
    </row>
    <row r="149" spans="1:27" x14ac:dyDescent="0.35">
      <c r="A149" t="s">
        <v>213</v>
      </c>
      <c r="C149" s="2">
        <f t="shared" ref="C149:Z149" si="22">C143-C140+C141</f>
        <v>-48981.589499999944</v>
      </c>
      <c r="D149" s="2">
        <f t="shared" si="22"/>
        <v>-689011.42257692304</v>
      </c>
      <c r="E149" s="2">
        <f t="shared" si="22"/>
        <v>1423680</v>
      </c>
      <c r="F149" s="2">
        <f t="shared" si="22"/>
        <v>-14040</v>
      </c>
      <c r="G149" s="2">
        <f t="shared" si="22"/>
        <v>-26520</v>
      </c>
      <c r="H149" s="2">
        <f t="shared" si="22"/>
        <v>-15195</v>
      </c>
      <c r="I149" s="2">
        <f t="shared" si="22"/>
        <v>-14040</v>
      </c>
      <c r="J149" s="2">
        <f t="shared" si="22"/>
        <v>-14040</v>
      </c>
      <c r="K149" s="2">
        <f t="shared" si="22"/>
        <v>-14040</v>
      </c>
      <c r="L149" s="2">
        <f t="shared" si="22"/>
        <v>1891480</v>
      </c>
      <c r="M149" s="2">
        <f t="shared" si="22"/>
        <v>-14040</v>
      </c>
      <c r="N149" s="2">
        <f t="shared" si="22"/>
        <v>-14040</v>
      </c>
      <c r="O149" s="2">
        <f t="shared" si="22"/>
        <v>-14040</v>
      </c>
      <c r="P149" s="2">
        <f t="shared" si="22"/>
        <v>-14040</v>
      </c>
      <c r="Q149" s="2">
        <f t="shared" si="22"/>
        <v>-26520</v>
      </c>
      <c r="R149" s="2">
        <f t="shared" si="22"/>
        <v>3090960</v>
      </c>
      <c r="S149" s="2">
        <f t="shared" si="22"/>
        <v>-14040</v>
      </c>
      <c r="T149" s="2">
        <f t="shared" si="22"/>
        <v>-14040</v>
      </c>
      <c r="U149" s="2">
        <f t="shared" si="22"/>
        <v>-14040</v>
      </c>
      <c r="V149" s="2">
        <f t="shared" si="22"/>
        <v>-26520</v>
      </c>
      <c r="W149" s="2">
        <f t="shared" si="22"/>
        <v>-14040</v>
      </c>
      <c r="X149" s="2">
        <f t="shared" si="22"/>
        <v>-14040</v>
      </c>
      <c r="Y149" s="2">
        <f t="shared" si="22"/>
        <v>-14040</v>
      </c>
      <c r="Z149" s="2">
        <f t="shared" si="22"/>
        <v>8265959.9999999991</v>
      </c>
    </row>
    <row r="150" spans="1:27" hidden="1" x14ac:dyDescent="0.35">
      <c r="A150" t="s">
        <v>180</v>
      </c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7" hidden="1" x14ac:dyDescent="0.35">
      <c r="A151" t="s">
        <v>152</v>
      </c>
      <c r="C151" s="2">
        <f>C146</f>
        <v>-346894.13749999995</v>
      </c>
      <c r="D151" s="2">
        <f>C151+D146</f>
        <v>-1191635.258876923</v>
      </c>
      <c r="E151" s="2">
        <f t="shared" ref="E151:Z154" si="23">D151+E146</f>
        <v>217564.74112307699</v>
      </c>
      <c r="F151" s="2">
        <f t="shared" si="23"/>
        <v>203524.74112307699</v>
      </c>
      <c r="G151" s="2">
        <f t="shared" si="23"/>
        <v>170764.74112307699</v>
      </c>
      <c r="H151" s="2">
        <f t="shared" si="23"/>
        <v>155569.74112307699</v>
      </c>
      <c r="I151" s="2">
        <f t="shared" si="23"/>
        <v>141529.74112307699</v>
      </c>
      <c r="J151" s="2">
        <f t="shared" si="23"/>
        <v>127489.74112307699</v>
      </c>
      <c r="K151" s="2">
        <f t="shared" si="23"/>
        <v>113449.74112307699</v>
      </c>
      <c r="L151" s="2">
        <f t="shared" si="23"/>
        <v>1998689.741123077</v>
      </c>
      <c r="M151" s="2">
        <f t="shared" si="23"/>
        <v>1984649.741123077</v>
      </c>
      <c r="N151" s="2">
        <f t="shared" si="23"/>
        <v>1970609.741123077</v>
      </c>
      <c r="O151" s="2">
        <f t="shared" si="23"/>
        <v>1956569.741123077</v>
      </c>
      <c r="P151" s="2">
        <f t="shared" si="23"/>
        <v>1942529.741123077</v>
      </c>
      <c r="Q151" s="2">
        <f t="shared" si="23"/>
        <v>1909769.741123077</v>
      </c>
      <c r="R151" s="2">
        <f t="shared" si="23"/>
        <v>5000729.7411230765</v>
      </c>
      <c r="S151" s="2">
        <f t="shared" si="23"/>
        <v>4986689.7411230765</v>
      </c>
      <c r="T151" s="2">
        <f t="shared" si="23"/>
        <v>4972649.7411230765</v>
      </c>
      <c r="U151" s="2">
        <f t="shared" si="23"/>
        <v>4958609.7411230765</v>
      </c>
      <c r="V151" s="2">
        <f t="shared" si="23"/>
        <v>4925849.7411230765</v>
      </c>
      <c r="W151" s="2">
        <f t="shared" si="23"/>
        <v>4911809.7411230765</v>
      </c>
      <c r="X151" s="2">
        <f t="shared" si="23"/>
        <v>4897769.7411230765</v>
      </c>
      <c r="Y151" s="2">
        <f t="shared" si="23"/>
        <v>4883729.7411230765</v>
      </c>
      <c r="Z151" s="2">
        <f t="shared" si="23"/>
        <v>13149689.741123077</v>
      </c>
    </row>
    <row r="152" spans="1:27" hidden="1" x14ac:dyDescent="0.35">
      <c r="A152" t="s">
        <v>153</v>
      </c>
      <c r="C152" s="2">
        <f>C147</f>
        <v>-208447.25749999995</v>
      </c>
      <c r="D152" s="2">
        <f>C152+D147</f>
        <v>-971288.378876923</v>
      </c>
      <c r="E152" s="2">
        <f t="shared" si="23"/>
        <v>450391.621123077</v>
      </c>
      <c r="F152" s="2">
        <f t="shared" si="23"/>
        <v>436351.621123077</v>
      </c>
      <c r="G152" s="2">
        <f t="shared" si="23"/>
        <v>409831.621123077</v>
      </c>
      <c r="H152" s="2">
        <f t="shared" si="23"/>
        <v>394636.621123077</v>
      </c>
      <c r="I152" s="2">
        <f t="shared" si="23"/>
        <v>380596.621123077</v>
      </c>
      <c r="J152" s="2">
        <f t="shared" si="23"/>
        <v>366556.621123077</v>
      </c>
      <c r="K152" s="2">
        <f t="shared" si="23"/>
        <v>352516.621123077</v>
      </c>
      <c r="L152" s="2">
        <f t="shared" si="23"/>
        <v>2243996.6211230769</v>
      </c>
      <c r="M152" s="2">
        <f t="shared" si="23"/>
        <v>2229956.6211230769</v>
      </c>
      <c r="N152" s="2">
        <f t="shared" si="23"/>
        <v>2215916.6211230769</v>
      </c>
      <c r="O152" s="2">
        <f t="shared" si="23"/>
        <v>2201876.6211230769</v>
      </c>
      <c r="P152" s="2">
        <f t="shared" si="23"/>
        <v>2187836.6211230769</v>
      </c>
      <c r="Q152" s="2">
        <f t="shared" si="23"/>
        <v>2161316.6211230769</v>
      </c>
      <c r="R152" s="2">
        <f t="shared" si="23"/>
        <v>5252276.6211230773</v>
      </c>
      <c r="S152" s="2">
        <f t="shared" si="23"/>
        <v>5238236.6211230773</v>
      </c>
      <c r="T152" s="2">
        <f t="shared" si="23"/>
        <v>5224196.6211230773</v>
      </c>
      <c r="U152" s="2">
        <f t="shared" si="23"/>
        <v>5210156.6211230773</v>
      </c>
      <c r="V152" s="2">
        <f t="shared" si="23"/>
        <v>5183636.6211230773</v>
      </c>
      <c r="W152" s="2">
        <f t="shared" si="23"/>
        <v>5169596.6211230773</v>
      </c>
      <c r="X152" s="2">
        <f t="shared" si="23"/>
        <v>5155556.6211230773</v>
      </c>
      <c r="Y152" s="2">
        <f t="shared" si="23"/>
        <v>5141516.6211230773</v>
      </c>
      <c r="Z152" s="2">
        <f t="shared" si="23"/>
        <v>13407476.621123075</v>
      </c>
    </row>
    <row r="153" spans="1:27" hidden="1" x14ac:dyDescent="0.35">
      <c r="A153" t="s">
        <v>215</v>
      </c>
      <c r="C153" s="2">
        <f>C148</f>
        <v>-187428.46949999995</v>
      </c>
      <c r="D153" s="2">
        <f>C153+D148</f>
        <v>-958339.89207692305</v>
      </c>
      <c r="E153" s="2">
        <f t="shared" si="23"/>
        <v>452860.10792307695</v>
      </c>
      <c r="F153" s="2">
        <f t="shared" si="23"/>
        <v>438820.10792307695</v>
      </c>
      <c r="G153" s="2">
        <f t="shared" si="23"/>
        <v>406060.10792307695</v>
      </c>
      <c r="H153" s="2">
        <f t="shared" si="23"/>
        <v>390865.10792307695</v>
      </c>
      <c r="I153" s="2">
        <f t="shared" si="23"/>
        <v>376825.10792307695</v>
      </c>
      <c r="J153" s="2">
        <f t="shared" si="23"/>
        <v>362785.10792307695</v>
      </c>
      <c r="K153" s="2">
        <f t="shared" si="23"/>
        <v>348745.10792307695</v>
      </c>
      <c r="L153" s="2">
        <f t="shared" si="23"/>
        <v>2233985.107923077</v>
      </c>
      <c r="M153" s="2">
        <f t="shared" si="23"/>
        <v>2219945.107923077</v>
      </c>
      <c r="N153" s="2">
        <f t="shared" si="23"/>
        <v>2205905.107923077</v>
      </c>
      <c r="O153" s="2">
        <f t="shared" si="23"/>
        <v>2191865.107923077</v>
      </c>
      <c r="P153" s="2">
        <f t="shared" si="23"/>
        <v>2177825.107923077</v>
      </c>
      <c r="Q153" s="2">
        <f t="shared" si="23"/>
        <v>2145065.107923077</v>
      </c>
      <c r="R153" s="2">
        <f t="shared" si="23"/>
        <v>5236025.1079230774</v>
      </c>
      <c r="S153" s="2">
        <f t="shared" si="23"/>
        <v>5221985.1079230774</v>
      </c>
      <c r="T153" s="2">
        <f t="shared" si="23"/>
        <v>5207945.1079230774</v>
      </c>
      <c r="U153" s="2">
        <f t="shared" si="23"/>
        <v>5193905.1079230774</v>
      </c>
      <c r="V153" s="2">
        <f t="shared" si="23"/>
        <v>5161145.1079230774</v>
      </c>
      <c r="W153" s="2">
        <f t="shared" si="23"/>
        <v>5147105.1079230774</v>
      </c>
      <c r="X153" s="2">
        <f t="shared" si="23"/>
        <v>5133065.1079230774</v>
      </c>
      <c r="Y153" s="2">
        <f t="shared" si="23"/>
        <v>5119025.1079230774</v>
      </c>
      <c r="Z153" s="2">
        <f t="shared" si="23"/>
        <v>13384985.107923076</v>
      </c>
    </row>
    <row r="154" spans="1:27" hidden="1" x14ac:dyDescent="0.35">
      <c r="A154" t="s">
        <v>213</v>
      </c>
      <c r="C154" s="2">
        <f>C149</f>
        <v>-48981.589499999944</v>
      </c>
      <c r="D154" s="2">
        <f>C154+D149</f>
        <v>-737993.01207692293</v>
      </c>
      <c r="E154" s="2">
        <f t="shared" si="23"/>
        <v>685686.98792307707</v>
      </c>
      <c r="F154" s="2">
        <f t="shared" si="23"/>
        <v>671646.98792307707</v>
      </c>
      <c r="G154" s="2">
        <f t="shared" si="23"/>
        <v>645126.98792307707</v>
      </c>
      <c r="H154" s="2">
        <f t="shared" si="23"/>
        <v>629931.98792307707</v>
      </c>
      <c r="I154" s="2">
        <f t="shared" si="23"/>
        <v>615891.98792307707</v>
      </c>
      <c r="J154" s="2">
        <f t="shared" si="23"/>
        <v>601851.98792307707</v>
      </c>
      <c r="K154" s="2">
        <f t="shared" si="23"/>
        <v>587811.98792307707</v>
      </c>
      <c r="L154" s="2">
        <f t="shared" si="23"/>
        <v>2479291.9879230773</v>
      </c>
      <c r="M154" s="2">
        <f t="shared" si="23"/>
        <v>2465251.9879230773</v>
      </c>
      <c r="N154" s="2">
        <f t="shared" si="23"/>
        <v>2451211.9879230773</v>
      </c>
      <c r="O154" s="2">
        <f t="shared" si="23"/>
        <v>2437171.9879230773</v>
      </c>
      <c r="P154" s="2">
        <f t="shared" si="23"/>
        <v>2423131.9879230773</v>
      </c>
      <c r="Q154" s="2">
        <f t="shared" si="23"/>
        <v>2396611.9879230773</v>
      </c>
      <c r="R154" s="2">
        <f t="shared" si="23"/>
        <v>5487571.9879230773</v>
      </c>
      <c r="S154" s="2">
        <f t="shared" si="23"/>
        <v>5473531.9879230773</v>
      </c>
      <c r="T154" s="2">
        <f t="shared" si="23"/>
        <v>5459491.9879230773</v>
      </c>
      <c r="U154" s="2">
        <f t="shared" si="23"/>
        <v>5445451.9879230773</v>
      </c>
      <c r="V154" s="2">
        <f t="shared" si="23"/>
        <v>5418931.9879230773</v>
      </c>
      <c r="W154" s="2">
        <f t="shared" si="23"/>
        <v>5404891.9879230773</v>
      </c>
      <c r="X154" s="2">
        <f t="shared" si="23"/>
        <v>5390851.9879230773</v>
      </c>
      <c r="Y154" s="2">
        <f t="shared" si="23"/>
        <v>5376811.9879230773</v>
      </c>
      <c r="Z154" s="2">
        <f t="shared" si="23"/>
        <v>13642771.987923076</v>
      </c>
    </row>
    <row r="155" spans="1:27" hidden="1" x14ac:dyDescent="0.35">
      <c r="A155" t="s">
        <v>181</v>
      </c>
      <c r="AA155" s="2"/>
    </row>
    <row r="156" spans="1:27" hidden="1" x14ac:dyDescent="0.35">
      <c r="A156" t="s">
        <v>152</v>
      </c>
      <c r="C156" s="2" t="e">
        <f>C151/((1+fin_disc_rate)^1)</f>
        <v>#REF!</v>
      </c>
      <c r="D156" s="2" t="e">
        <f>D151/((1+fin_disc_rate)^2)</f>
        <v>#REF!</v>
      </c>
      <c r="E156" s="2" t="e">
        <f>E151/((1+fin_disc_rate)^3)</f>
        <v>#REF!</v>
      </c>
      <c r="F156" s="2" t="e">
        <f>F151/((1+fin_disc_rate)^4)</f>
        <v>#REF!</v>
      </c>
      <c r="G156" s="2" t="e">
        <f>G151/((1+fin_disc_rate)^5)</f>
        <v>#REF!</v>
      </c>
      <c r="H156" s="2" t="e">
        <f>H151/((1+fin_disc_rate)^6)</f>
        <v>#REF!</v>
      </c>
      <c r="I156" s="2" t="e">
        <f>I151/((1+fin_disc_rate)^7)</f>
        <v>#REF!</v>
      </c>
      <c r="J156" s="2" t="e">
        <f>J151/((1+fin_disc_rate)^8)</f>
        <v>#REF!</v>
      </c>
      <c r="K156" s="2" t="e">
        <f>K151/((1+fin_disc_rate)^9)</f>
        <v>#REF!</v>
      </c>
      <c r="L156" s="2" t="e">
        <f>L151/((1+fin_disc_rate)^10)</f>
        <v>#REF!</v>
      </c>
      <c r="M156" s="2" t="e">
        <f>M151/((1+fin_disc_rate)^11)</f>
        <v>#REF!</v>
      </c>
      <c r="N156" s="2" t="e">
        <f>N151/((1+fin_disc_rate)^12)</f>
        <v>#REF!</v>
      </c>
      <c r="O156" s="2" t="e">
        <f>O151/((1+fin_disc_rate)^13)</f>
        <v>#REF!</v>
      </c>
      <c r="P156" s="2" t="e">
        <f>P151/((1+fin_disc_rate)^14)</f>
        <v>#REF!</v>
      </c>
      <c r="Q156" s="2" t="e">
        <f>Q151/((1+fin_disc_rate)^15)</f>
        <v>#REF!</v>
      </c>
      <c r="R156" s="2" t="e">
        <f>R151/((1+fin_disc_rate)^16)</f>
        <v>#REF!</v>
      </c>
      <c r="S156" s="2" t="e">
        <f>S151/((1+fin_disc_rate)^17)</f>
        <v>#REF!</v>
      </c>
      <c r="T156" s="2" t="e">
        <f>T151/((1+fin_disc_rate)^18)</f>
        <v>#REF!</v>
      </c>
      <c r="U156" s="2" t="e">
        <f>U151/((1+fin_disc_rate)^19)</f>
        <v>#REF!</v>
      </c>
      <c r="V156" s="2" t="e">
        <f>V151/((1+fin_disc_rate)^20)</f>
        <v>#REF!</v>
      </c>
      <c r="W156" s="2" t="e">
        <f>W151/((1+fin_disc_rate)^21)</f>
        <v>#REF!</v>
      </c>
      <c r="X156" s="2" t="e">
        <f>X151/((1+fin_disc_rate)^22)</f>
        <v>#REF!</v>
      </c>
      <c r="Y156" s="2" t="e">
        <f>Y151/((1+fin_disc_rate)^23)</f>
        <v>#REF!</v>
      </c>
      <c r="Z156" s="2" t="e">
        <f>Z151/((1+fin_disc_rate)^24)</f>
        <v>#REF!</v>
      </c>
    </row>
    <row r="157" spans="1:27" hidden="1" x14ac:dyDescent="0.35">
      <c r="A157" t="s">
        <v>153</v>
      </c>
      <c r="C157" s="2" t="e">
        <f>C152/((1+fin_disc_rate)^1)</f>
        <v>#REF!</v>
      </c>
      <c r="D157" s="2" t="e">
        <f>D152/((1+fin_disc_rate)^2)</f>
        <v>#REF!</v>
      </c>
      <c r="E157" s="2" t="e">
        <f>E152/((1+fin_disc_rate)^3)</f>
        <v>#REF!</v>
      </c>
      <c r="F157" s="2" t="e">
        <f>F152/((1+fin_disc_rate)^4)</f>
        <v>#REF!</v>
      </c>
      <c r="G157" s="2" t="e">
        <f>G152/((1+fin_disc_rate)^5)</f>
        <v>#REF!</v>
      </c>
      <c r="H157" s="2" t="e">
        <f>H152/((1+fin_disc_rate)^6)</f>
        <v>#REF!</v>
      </c>
      <c r="I157" s="2" t="e">
        <f>I152/((1+fin_disc_rate)^7)</f>
        <v>#REF!</v>
      </c>
      <c r="J157" s="2" t="e">
        <f>J152/((1+fin_disc_rate)^8)</f>
        <v>#REF!</v>
      </c>
      <c r="K157" s="2" t="e">
        <f>K152/((1+fin_disc_rate)^9)</f>
        <v>#REF!</v>
      </c>
      <c r="L157" s="2" t="e">
        <f>L152/((1+fin_disc_rate)^10)</f>
        <v>#REF!</v>
      </c>
      <c r="M157" s="2" t="e">
        <f>M152/((1+fin_disc_rate)^11)</f>
        <v>#REF!</v>
      </c>
      <c r="N157" s="2" t="e">
        <f>N152/((1+fin_disc_rate)^12)</f>
        <v>#REF!</v>
      </c>
      <c r="O157" s="2" t="e">
        <f>O152/((1+fin_disc_rate)^13)</f>
        <v>#REF!</v>
      </c>
      <c r="P157" s="2" t="e">
        <f>P152/((1+fin_disc_rate)^14)</f>
        <v>#REF!</v>
      </c>
      <c r="Q157" s="2" t="e">
        <f>Q152/((1+fin_disc_rate)^15)</f>
        <v>#REF!</v>
      </c>
      <c r="R157" s="2" t="e">
        <f>R152/((1+fin_disc_rate)^16)</f>
        <v>#REF!</v>
      </c>
      <c r="S157" s="2" t="e">
        <f>S152/((1+fin_disc_rate)^17)</f>
        <v>#REF!</v>
      </c>
      <c r="T157" s="2" t="e">
        <f>T152/((1+fin_disc_rate)^18)</f>
        <v>#REF!</v>
      </c>
      <c r="U157" s="2" t="e">
        <f>U152/((1+fin_disc_rate)^19)</f>
        <v>#REF!</v>
      </c>
      <c r="V157" s="2" t="e">
        <f>V152/((1+fin_disc_rate)^20)</f>
        <v>#REF!</v>
      </c>
      <c r="W157" s="2" t="e">
        <f>W152/((1+fin_disc_rate)^21)</f>
        <v>#REF!</v>
      </c>
      <c r="X157" s="2" t="e">
        <f>X152/((1+fin_disc_rate)^22)</f>
        <v>#REF!</v>
      </c>
      <c r="Y157" s="2" t="e">
        <f>Y152/((1+fin_disc_rate)^23)</f>
        <v>#REF!</v>
      </c>
      <c r="Z157" s="2" t="e">
        <f>Z152/((1+fin_disc_rate)^24)</f>
        <v>#REF!</v>
      </c>
    </row>
    <row r="158" spans="1:27" hidden="1" x14ac:dyDescent="0.35">
      <c r="A158" t="s">
        <v>215</v>
      </c>
      <c r="C158" s="2" t="e">
        <f>C153/((1+fin_disc_rate)^1)</f>
        <v>#REF!</v>
      </c>
      <c r="D158" s="2" t="e">
        <f>D153/((1+fin_disc_rate)^2)</f>
        <v>#REF!</v>
      </c>
      <c r="E158" s="2" t="e">
        <f>E153/((1+fin_disc_rate)^3)</f>
        <v>#REF!</v>
      </c>
      <c r="F158" s="2" t="e">
        <f>F153/((1+fin_disc_rate)^4)</f>
        <v>#REF!</v>
      </c>
      <c r="G158" s="2" t="e">
        <f>G153/((1+fin_disc_rate)^5)</f>
        <v>#REF!</v>
      </c>
      <c r="H158" s="2" t="e">
        <f>H153/((1+fin_disc_rate)^6)</f>
        <v>#REF!</v>
      </c>
      <c r="I158" s="2" t="e">
        <f>I153/((1+fin_disc_rate)^7)</f>
        <v>#REF!</v>
      </c>
      <c r="J158" s="2" t="e">
        <f>J153/((1+fin_disc_rate)^8)</f>
        <v>#REF!</v>
      </c>
      <c r="K158" s="2" t="e">
        <f>K153/((1+fin_disc_rate)^9)</f>
        <v>#REF!</v>
      </c>
      <c r="L158" s="2" t="e">
        <f>L153/((1+fin_disc_rate)^10)</f>
        <v>#REF!</v>
      </c>
      <c r="M158" s="2" t="e">
        <f>M153/((1+fin_disc_rate)^11)</f>
        <v>#REF!</v>
      </c>
      <c r="N158" s="2" t="e">
        <f>N153/((1+fin_disc_rate)^12)</f>
        <v>#REF!</v>
      </c>
      <c r="O158" s="2" t="e">
        <f>O153/((1+fin_disc_rate)^13)</f>
        <v>#REF!</v>
      </c>
      <c r="P158" s="2" t="e">
        <f>P153/((1+fin_disc_rate)^14)</f>
        <v>#REF!</v>
      </c>
      <c r="Q158" s="2" t="e">
        <f>Q153/((1+fin_disc_rate)^15)</f>
        <v>#REF!</v>
      </c>
      <c r="R158" s="2" t="e">
        <f>R153/((1+fin_disc_rate)^16)</f>
        <v>#REF!</v>
      </c>
      <c r="S158" s="2" t="e">
        <f>S153/((1+fin_disc_rate)^17)</f>
        <v>#REF!</v>
      </c>
      <c r="T158" s="2" t="e">
        <f>T153/((1+fin_disc_rate)^18)</f>
        <v>#REF!</v>
      </c>
      <c r="U158" s="2" t="e">
        <f>U153/((1+fin_disc_rate)^19)</f>
        <v>#REF!</v>
      </c>
      <c r="V158" s="2" t="e">
        <f>V153/((1+fin_disc_rate)^20)</f>
        <v>#REF!</v>
      </c>
      <c r="W158" s="2" t="e">
        <f>W153/((1+fin_disc_rate)^21)</f>
        <v>#REF!</v>
      </c>
      <c r="X158" s="2" t="e">
        <f>X153/((1+fin_disc_rate)^22)</f>
        <v>#REF!</v>
      </c>
      <c r="Y158" s="2" t="e">
        <f>Y153/((1+fin_disc_rate)^23)</f>
        <v>#REF!</v>
      </c>
      <c r="Z158" s="2" t="e">
        <f>Z153/((1+fin_disc_rate)^24)</f>
        <v>#REF!</v>
      </c>
    </row>
    <row r="159" spans="1:27" hidden="1" x14ac:dyDescent="0.35">
      <c r="A159" t="s">
        <v>213</v>
      </c>
      <c r="C159" s="2" t="e">
        <f>C154/((1+fin_disc_rate)^1)</f>
        <v>#REF!</v>
      </c>
      <c r="D159" s="2" t="e">
        <f>D154/((1+fin_disc_rate)^2)</f>
        <v>#REF!</v>
      </c>
      <c r="E159" s="2" t="e">
        <f>E154/((1+fin_disc_rate)^3)</f>
        <v>#REF!</v>
      </c>
      <c r="F159" s="2" t="e">
        <f>F154/((1+fin_disc_rate)^4)</f>
        <v>#REF!</v>
      </c>
      <c r="G159" s="2" t="e">
        <f>G154/((1+fin_disc_rate)^5)</f>
        <v>#REF!</v>
      </c>
      <c r="H159" s="2" t="e">
        <f>H154/((1+fin_disc_rate)^6)</f>
        <v>#REF!</v>
      </c>
      <c r="I159" s="2" t="e">
        <f>I154/((1+fin_disc_rate)^7)</f>
        <v>#REF!</v>
      </c>
      <c r="J159" s="2" t="e">
        <f>J154/((1+fin_disc_rate)^8)</f>
        <v>#REF!</v>
      </c>
      <c r="K159" s="2" t="e">
        <f>K154/((1+fin_disc_rate)^9)</f>
        <v>#REF!</v>
      </c>
      <c r="L159" s="2" t="e">
        <f>L154/((1+fin_disc_rate)^10)</f>
        <v>#REF!</v>
      </c>
      <c r="M159" s="2" t="e">
        <f>M154/((1+fin_disc_rate)^11)</f>
        <v>#REF!</v>
      </c>
      <c r="N159" s="2" t="e">
        <f>N154/((1+fin_disc_rate)^12)</f>
        <v>#REF!</v>
      </c>
      <c r="O159" s="2" t="e">
        <f>O154/((1+fin_disc_rate)^13)</f>
        <v>#REF!</v>
      </c>
      <c r="P159" s="2" t="e">
        <f>P154/((1+fin_disc_rate)^14)</f>
        <v>#REF!</v>
      </c>
      <c r="Q159" s="2" t="e">
        <f>Q154/((1+fin_disc_rate)^15)</f>
        <v>#REF!</v>
      </c>
      <c r="R159" s="2" t="e">
        <f>R154/((1+fin_disc_rate)^16)</f>
        <v>#REF!</v>
      </c>
      <c r="S159" s="2" t="e">
        <f>S154/((1+fin_disc_rate)^17)</f>
        <v>#REF!</v>
      </c>
      <c r="T159" s="2" t="e">
        <f>T154/((1+fin_disc_rate)^18)</f>
        <v>#REF!</v>
      </c>
      <c r="U159" s="2" t="e">
        <f>U154/((1+fin_disc_rate)^19)</f>
        <v>#REF!</v>
      </c>
      <c r="V159" s="2" t="e">
        <f>V154/((1+fin_disc_rate)^20)</f>
        <v>#REF!</v>
      </c>
      <c r="W159" s="2" t="e">
        <f>W154/((1+fin_disc_rate)^21)</f>
        <v>#REF!</v>
      </c>
      <c r="X159" s="2" t="e">
        <f>X154/((1+fin_disc_rate)^22)</f>
        <v>#REF!</v>
      </c>
      <c r="Y159" s="2" t="e">
        <f>Y154/((1+fin_disc_rate)^23)</f>
        <v>#REF!</v>
      </c>
      <c r="Z159" s="2" t="e">
        <f>Z154/((1+fin_disc_rate)^24)</f>
        <v>#REF!</v>
      </c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opLeftCell="A10" workbookViewId="0">
      <selection activeCell="J1" sqref="J1:Q8"/>
    </sheetView>
  </sheetViews>
  <sheetFormatPr defaultRowHeight="14.5" x14ac:dyDescent="0.35"/>
  <cols>
    <col min="1" max="1" width="23.1796875" customWidth="1"/>
    <col min="2" max="2" width="16.453125" customWidth="1"/>
    <col min="3" max="3" width="14.81640625" customWidth="1"/>
  </cols>
  <sheetData>
    <row r="1" spans="1:8" ht="46.5" customHeight="1" x14ac:dyDescent="0.35">
      <c r="B1" s="90" t="s">
        <v>316</v>
      </c>
      <c r="C1" s="90" t="s">
        <v>312</v>
      </c>
      <c r="D1" s="90" t="s">
        <v>317</v>
      </c>
      <c r="E1" s="90" t="s">
        <v>313</v>
      </c>
      <c r="F1" s="90" t="s">
        <v>437</v>
      </c>
      <c r="G1" s="90" t="s">
        <v>434</v>
      </c>
      <c r="H1" s="90"/>
    </row>
    <row r="2" spans="1:8" x14ac:dyDescent="0.35">
      <c r="A2" t="s">
        <v>399</v>
      </c>
      <c r="B2" s="91">
        <f>$B15*B$13</f>
        <v>100</v>
      </c>
      <c r="C2" s="91">
        <f>$B16*B$13</f>
        <v>50</v>
      </c>
      <c r="D2" s="91">
        <f>$B23*B$20</f>
        <v>0</v>
      </c>
      <c r="E2" s="91">
        <f>$B24*B$20</f>
        <v>0</v>
      </c>
      <c r="F2" s="91">
        <f>$B25*B$20</f>
        <v>0</v>
      </c>
      <c r="G2" s="92">
        <f>$B26*B$20</f>
        <v>0</v>
      </c>
    </row>
    <row r="3" spans="1:8" x14ac:dyDescent="0.35">
      <c r="A3" t="s">
        <v>400</v>
      </c>
      <c r="B3" s="91">
        <f>$B15*C$13</f>
        <v>200</v>
      </c>
      <c r="C3" s="91">
        <f>$B16*C$13</f>
        <v>100</v>
      </c>
      <c r="D3" s="148">
        <f>$B23*C$20</f>
        <v>602.25</v>
      </c>
      <c r="E3" s="91">
        <f>$B24*C$20</f>
        <v>109.5</v>
      </c>
      <c r="F3" s="91">
        <f>$B25*C$20</f>
        <v>219</v>
      </c>
      <c r="G3" s="92">
        <f>$B26*C$20</f>
        <v>164.25</v>
      </c>
    </row>
    <row r="4" spans="1:8" x14ac:dyDescent="0.35">
      <c r="A4" t="s">
        <v>401</v>
      </c>
      <c r="B4" s="91">
        <f>$B15*D$13</f>
        <v>300</v>
      </c>
      <c r="C4" s="91">
        <f>$B16*D$13</f>
        <v>150</v>
      </c>
      <c r="D4" s="148">
        <f>$B23*D$20</f>
        <v>602.25</v>
      </c>
      <c r="E4" s="91">
        <f>$B24*D$20</f>
        <v>109.5</v>
      </c>
      <c r="F4" s="91">
        <f>$B25*D$20</f>
        <v>219</v>
      </c>
      <c r="G4" s="92">
        <f>$B26*D$20</f>
        <v>164.25</v>
      </c>
    </row>
    <row r="5" spans="1:8" x14ac:dyDescent="0.35">
      <c r="A5" t="s">
        <v>402</v>
      </c>
      <c r="B5" s="91">
        <f>$B15*E$13</f>
        <v>300</v>
      </c>
      <c r="C5" s="91">
        <f>$B16*E$13</f>
        <v>150</v>
      </c>
      <c r="D5" s="148">
        <f>$B23*E$20</f>
        <v>602.25</v>
      </c>
      <c r="E5" s="91">
        <f>$B24*E$20</f>
        <v>109.5</v>
      </c>
      <c r="F5" s="91">
        <f>$B25*E$20</f>
        <v>219</v>
      </c>
      <c r="G5" s="92">
        <f>$B26*E$20</f>
        <v>164.25</v>
      </c>
    </row>
    <row r="6" spans="1:8" x14ac:dyDescent="0.35">
      <c r="A6" t="s">
        <v>403</v>
      </c>
      <c r="B6" s="91">
        <f>$B15*F$13</f>
        <v>100</v>
      </c>
      <c r="C6" s="91">
        <f>$B16*F$13</f>
        <v>50</v>
      </c>
      <c r="D6" s="148">
        <f>$B23*F$20</f>
        <v>200.75000000000003</v>
      </c>
      <c r="E6" s="91">
        <f>$B24*F$20</f>
        <v>36.5</v>
      </c>
      <c r="F6" s="91">
        <f>$B25*F$20</f>
        <v>73</v>
      </c>
      <c r="G6" s="92">
        <f>$B26*F$20</f>
        <v>54.75</v>
      </c>
    </row>
    <row r="7" spans="1:8" x14ac:dyDescent="0.35">
      <c r="A7" t="s">
        <v>479</v>
      </c>
      <c r="B7" s="91">
        <f t="shared" ref="B7:G7" si="0">SUM(B2:B6)</f>
        <v>1000</v>
      </c>
      <c r="C7" s="91">
        <f t="shared" si="0"/>
        <v>500</v>
      </c>
      <c r="D7" s="92">
        <f t="shared" si="0"/>
        <v>2007.5</v>
      </c>
      <c r="E7" s="92">
        <f t="shared" si="0"/>
        <v>365</v>
      </c>
      <c r="F7" s="92">
        <f t="shared" si="0"/>
        <v>730</v>
      </c>
      <c r="G7" s="92">
        <f t="shared" si="0"/>
        <v>547.5</v>
      </c>
    </row>
    <row r="8" spans="1:8" x14ac:dyDescent="0.35">
      <c r="B8" s="3"/>
      <c r="C8" s="3"/>
      <c r="D8" s="3"/>
      <c r="E8" s="3"/>
      <c r="F8" s="3"/>
    </row>
    <row r="9" spans="1:8" x14ac:dyDescent="0.35">
      <c r="B9" s="3"/>
      <c r="C9" s="3"/>
      <c r="D9" s="3"/>
      <c r="E9" s="3"/>
      <c r="F9" s="3"/>
    </row>
    <row r="10" spans="1:8" x14ac:dyDescent="0.35">
      <c r="A10" s="77" t="s">
        <v>314</v>
      </c>
      <c r="B10" s="78" t="s">
        <v>382</v>
      </c>
      <c r="C10" s="78"/>
      <c r="D10" s="78"/>
      <c r="E10" s="78"/>
      <c r="F10" s="79"/>
    </row>
    <row r="11" spans="1:8" x14ac:dyDescent="0.35">
      <c r="A11" s="39" t="s">
        <v>470</v>
      </c>
      <c r="B11" s="3"/>
      <c r="C11" s="3"/>
      <c r="D11" s="3"/>
      <c r="E11" s="3"/>
      <c r="F11" s="6"/>
    </row>
    <row r="12" spans="1:8" x14ac:dyDescent="0.35">
      <c r="A12" s="39"/>
      <c r="B12" s="3" t="s">
        <v>399</v>
      </c>
      <c r="C12" s="3" t="s">
        <v>400</v>
      </c>
      <c r="D12" s="3" t="s">
        <v>401</v>
      </c>
      <c r="E12" s="3" t="s">
        <v>402</v>
      </c>
      <c r="F12" s="6" t="s">
        <v>403</v>
      </c>
    </row>
    <row r="13" spans="1:8" x14ac:dyDescent="0.35">
      <c r="A13" s="39" t="s">
        <v>472</v>
      </c>
      <c r="B13" s="142">
        <v>0.1</v>
      </c>
      <c r="C13" s="142">
        <v>0.2</v>
      </c>
      <c r="D13" s="142">
        <v>0.3</v>
      </c>
      <c r="E13" s="142">
        <v>0.3</v>
      </c>
      <c r="F13" s="143">
        <v>0.1</v>
      </c>
    </row>
    <row r="14" spans="1:8" x14ac:dyDescent="0.35">
      <c r="A14" s="39"/>
      <c r="B14" s="3" t="s">
        <v>382</v>
      </c>
      <c r="C14" s="3"/>
      <c r="D14" s="3"/>
      <c r="E14" s="3"/>
      <c r="F14" s="6"/>
    </row>
    <row r="15" spans="1:8" x14ac:dyDescent="0.35">
      <c r="A15" s="39" t="s">
        <v>309</v>
      </c>
      <c r="B15" s="3">
        <f>1000</f>
        <v>1000</v>
      </c>
      <c r="C15" s="3"/>
      <c r="D15" s="3"/>
      <c r="E15" s="3"/>
      <c r="F15" s="6"/>
    </row>
    <row r="16" spans="1:8" x14ac:dyDescent="0.35">
      <c r="A16" s="39" t="s">
        <v>310</v>
      </c>
      <c r="B16" s="3">
        <f>500</f>
        <v>500</v>
      </c>
      <c r="C16" s="3"/>
      <c r="D16" s="3"/>
      <c r="E16" s="3"/>
      <c r="F16" s="6"/>
    </row>
    <row r="17" spans="1:6" x14ac:dyDescent="0.35">
      <c r="A17" s="39"/>
      <c r="B17" s="3"/>
      <c r="C17" s="3"/>
      <c r="D17" s="3"/>
      <c r="E17" s="3"/>
      <c r="F17" s="6"/>
    </row>
    <row r="18" spans="1:6" x14ac:dyDescent="0.35">
      <c r="A18" s="39" t="s">
        <v>471</v>
      </c>
      <c r="B18" s="3"/>
      <c r="C18" s="3"/>
      <c r="D18" s="3"/>
      <c r="E18" s="3"/>
      <c r="F18" s="6"/>
    </row>
    <row r="19" spans="1:6" x14ac:dyDescent="0.35">
      <c r="A19" s="39" t="s">
        <v>472</v>
      </c>
      <c r="B19" s="3" t="s">
        <v>399</v>
      </c>
      <c r="C19" s="3" t="s">
        <v>400</v>
      </c>
      <c r="D19" s="3" t="s">
        <v>401</v>
      </c>
      <c r="E19" s="3" t="s">
        <v>402</v>
      </c>
      <c r="F19" s="6" t="s">
        <v>403</v>
      </c>
    </row>
    <row r="20" spans="1:6" x14ac:dyDescent="0.35">
      <c r="A20" s="39"/>
      <c r="B20" s="3">
        <v>0</v>
      </c>
      <c r="C20" s="142">
        <v>0.3</v>
      </c>
      <c r="D20" s="142">
        <v>0.3</v>
      </c>
      <c r="E20" s="142">
        <v>0.3</v>
      </c>
      <c r="F20" s="143">
        <v>0.1</v>
      </c>
    </row>
    <row r="21" spans="1:6" x14ac:dyDescent="0.35">
      <c r="A21" s="39"/>
      <c r="B21" s="3" t="s">
        <v>382</v>
      </c>
      <c r="C21" s="3"/>
      <c r="D21" s="3"/>
      <c r="E21" s="3"/>
      <c r="F21" s="6"/>
    </row>
    <row r="22" spans="1:6" x14ac:dyDescent="0.35">
      <c r="A22" s="39" t="s">
        <v>435</v>
      </c>
      <c r="B22" s="62">
        <f>(3250+400)</f>
        <v>3650</v>
      </c>
      <c r="C22" s="3"/>
      <c r="D22" s="3"/>
      <c r="E22" s="3"/>
      <c r="F22" s="6"/>
    </row>
    <row r="23" spans="1:6" x14ac:dyDescent="0.35">
      <c r="A23" s="39" t="s">
        <v>308</v>
      </c>
      <c r="B23" s="62">
        <f>C23*B$22</f>
        <v>2007.5000000000002</v>
      </c>
      <c r="C23" s="80">
        <v>0.55000000000000004</v>
      </c>
      <c r="D23" s="3"/>
      <c r="E23" s="3"/>
      <c r="F23" s="6"/>
    </row>
    <row r="24" spans="1:6" x14ac:dyDescent="0.35">
      <c r="A24" s="39" t="s">
        <v>306</v>
      </c>
      <c r="B24" s="62">
        <f>C24*B$22</f>
        <v>365</v>
      </c>
      <c r="C24" s="80">
        <v>0.1</v>
      </c>
      <c r="D24" s="3"/>
      <c r="E24" s="3"/>
      <c r="F24" s="6"/>
    </row>
    <row r="25" spans="1:6" x14ac:dyDescent="0.35">
      <c r="A25" s="39" t="s">
        <v>436</v>
      </c>
      <c r="B25" s="62">
        <f>C25*B$22</f>
        <v>730</v>
      </c>
      <c r="C25" s="80">
        <v>0.2</v>
      </c>
      <c r="D25" s="3"/>
      <c r="E25" s="3"/>
      <c r="F25" s="6"/>
    </row>
    <row r="26" spans="1:6" x14ac:dyDescent="0.35">
      <c r="A26" s="39" t="s">
        <v>307</v>
      </c>
      <c r="B26" s="62">
        <f>C26*B$22</f>
        <v>547.5</v>
      </c>
      <c r="C26" s="80">
        <v>0.15</v>
      </c>
      <c r="D26" s="3"/>
      <c r="E26" s="3"/>
      <c r="F26" s="6"/>
    </row>
    <row r="27" spans="1:6" x14ac:dyDescent="0.35">
      <c r="A27" s="72"/>
      <c r="B27" s="14"/>
      <c r="C27" s="144"/>
      <c r="D27" s="11"/>
      <c r="E27" s="11"/>
      <c r="F27" s="1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3"/>
  <sheetViews>
    <sheetView workbookViewId="0">
      <pane xSplit="2" ySplit="1" topLeftCell="C23" activePane="bottomRight" state="frozen"/>
      <selection pane="topRight" activeCell="C1" sqref="C1"/>
      <selection pane="bottomLeft" activeCell="A2" sqref="A2"/>
      <selection pane="bottomRight" activeCell="C35" sqref="C35"/>
    </sheetView>
  </sheetViews>
  <sheetFormatPr defaultColWidth="9.1796875" defaultRowHeight="11.5" x14ac:dyDescent="0.25"/>
  <cols>
    <col min="1" max="1" width="14.7265625" style="88" customWidth="1"/>
    <col min="2" max="2" width="12.81640625" style="88" bestFit="1" customWidth="1"/>
    <col min="3" max="3" width="14" style="88" bestFit="1" customWidth="1"/>
    <col min="4" max="4" width="9.7265625" style="88" customWidth="1"/>
    <col min="5" max="5" width="11.453125" style="88" customWidth="1"/>
    <col min="6" max="6" width="9.7265625" style="88" customWidth="1"/>
    <col min="7" max="7" width="10.26953125" style="88" customWidth="1"/>
    <col min="8" max="30" width="10.1796875" style="88" bestFit="1" customWidth="1"/>
    <col min="31" max="16384" width="9.1796875" style="88"/>
  </cols>
  <sheetData>
    <row r="1" spans="1:32" x14ac:dyDescent="0.25">
      <c r="A1" s="81" t="s">
        <v>298</v>
      </c>
      <c r="B1" s="81"/>
      <c r="C1" s="82" t="s">
        <v>399</v>
      </c>
      <c r="D1" s="82" t="s">
        <v>400</v>
      </c>
      <c r="E1" s="82" t="s">
        <v>401</v>
      </c>
      <c r="F1" s="82" t="s">
        <v>402</v>
      </c>
      <c r="G1" s="82" t="s">
        <v>403</v>
      </c>
      <c r="H1" s="82" t="s">
        <v>404</v>
      </c>
      <c r="I1" s="82" t="s">
        <v>405</v>
      </c>
      <c r="J1" s="82" t="s">
        <v>406</v>
      </c>
      <c r="K1" s="82" t="s">
        <v>407</v>
      </c>
      <c r="L1" s="82" t="s">
        <v>408</v>
      </c>
      <c r="M1" s="82" t="s">
        <v>409</v>
      </c>
      <c r="N1" s="82" t="s">
        <v>410</v>
      </c>
      <c r="O1" s="82" t="s">
        <v>411</v>
      </c>
      <c r="P1" s="82" t="s">
        <v>412</v>
      </c>
      <c r="Q1" s="82" t="s">
        <v>413</v>
      </c>
      <c r="R1" s="83" t="s">
        <v>414</v>
      </c>
      <c r="S1" s="83" t="s">
        <v>415</v>
      </c>
      <c r="T1" s="83" t="s">
        <v>416</v>
      </c>
      <c r="U1" s="83" t="s">
        <v>417</v>
      </c>
      <c r="V1" s="83" t="s">
        <v>418</v>
      </c>
      <c r="W1" s="83" t="s">
        <v>425</v>
      </c>
      <c r="X1" s="83" t="s">
        <v>428</v>
      </c>
      <c r="Y1" s="83" t="s">
        <v>429</v>
      </c>
      <c r="Z1" s="83" t="s">
        <v>430</v>
      </c>
      <c r="AA1" s="83" t="s">
        <v>431</v>
      </c>
      <c r="AB1" s="83" t="s">
        <v>432</v>
      </c>
      <c r="AC1" s="83" t="s">
        <v>433</v>
      </c>
      <c r="AD1" s="83" t="s">
        <v>438</v>
      </c>
    </row>
    <row r="2" spans="1:32" x14ac:dyDescent="0.25">
      <c r="A2" s="84" t="s">
        <v>315</v>
      </c>
      <c r="B2" s="84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6"/>
      <c r="Q2" s="87"/>
      <c r="R2" s="87"/>
      <c r="S2" s="87"/>
      <c r="T2" s="87"/>
      <c r="U2" s="87"/>
      <c r="V2" s="87"/>
    </row>
    <row r="3" spans="1:32" ht="15.75" customHeight="1" x14ac:dyDescent="0.25">
      <c r="A3" s="89" t="s">
        <v>318</v>
      </c>
      <c r="B3" s="88" t="s">
        <v>311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6"/>
      <c r="Q3" s="87"/>
      <c r="R3" s="87"/>
      <c r="S3" s="87"/>
      <c r="T3" s="87"/>
      <c r="U3" s="87"/>
      <c r="V3" s="87"/>
    </row>
    <row r="4" spans="1:32" x14ac:dyDescent="0.25">
      <c r="A4" s="89" t="s">
        <v>325</v>
      </c>
      <c r="B4" s="88">
        <f>'Ben- Hectares'!B2</f>
        <v>100</v>
      </c>
      <c r="C4" s="87">
        <f>$B4*'Refor gazetted ECO'!C$99/usd</f>
        <v>-65691.800726392263</v>
      </c>
      <c r="D4" s="87">
        <f>$B4*'Refor gazetted ECO'!D$99/usd</f>
        <v>-15918.14847457627</v>
      </c>
      <c r="E4" s="87">
        <f>$B4*'Refor gazetted ECO'!E$99/usd</f>
        <v>-8271.1864406779659</v>
      </c>
      <c r="F4" s="87">
        <f>$B4*'Refor gazetted ECO'!F$99/usd</f>
        <v>-2379.6610169491523</v>
      </c>
      <c r="G4" s="87">
        <f>$B4*'Refor gazetted ECO'!G$99/usd</f>
        <v>-5552.5423728813557</v>
      </c>
      <c r="H4" s="87">
        <f>$B4*'Refor gazetted ECO'!H$99/usd</f>
        <v>-4159.3220338983065</v>
      </c>
      <c r="I4" s="87">
        <f>$B4*'Refor gazetted ECO'!I$99/usd</f>
        <v>-2379.6610169491523</v>
      </c>
      <c r="J4" s="87">
        <f>$B4*'Refor gazetted ECO'!J$99/usd</f>
        <v>-2379.6610169491523</v>
      </c>
      <c r="K4" s="87">
        <f>$B4*'Refor gazetted ECO'!K$99/usd</f>
        <v>-2379.6610169491523</v>
      </c>
      <c r="L4" s="87">
        <f>$B4*'Refor gazetted ECO'!L$99/usd</f>
        <v>319532.20338983048</v>
      </c>
      <c r="M4" s="87">
        <f>$B4*'Refor gazetted ECO'!M$99/usd</f>
        <v>-2379.6610169491523</v>
      </c>
      <c r="N4" s="87">
        <f>$B4*'Refor gazetted ECO'!N$99/usd</f>
        <v>-2379.6610169491523</v>
      </c>
      <c r="O4" s="87">
        <f>$B4*'Refor gazetted ECO'!O$99/usd</f>
        <v>-2379.6610169491523</v>
      </c>
      <c r="P4" s="87">
        <f>$B4*'Refor gazetted ECO'!P$99/usd</f>
        <v>-2379.6610169491523</v>
      </c>
      <c r="Q4" s="87">
        <f>$B4*'Refor gazetted ECO'!Q$99/usd</f>
        <v>-5552.5423728813557</v>
      </c>
      <c r="R4" s="87">
        <f>$B4*'Refor gazetted ECO'!R$99/usd</f>
        <v>523891.5254237288</v>
      </c>
      <c r="S4" s="87">
        <f>$B4*'Refor gazetted ECO'!S$99/usd</f>
        <v>-2379.6610169491523</v>
      </c>
      <c r="T4" s="87">
        <f>$B4*'Refor gazetted ECO'!T$99/usd</f>
        <v>-2379.6610169491523</v>
      </c>
      <c r="U4" s="87">
        <f>$B4*'Refor gazetted ECO'!U$99/usd</f>
        <v>-2379.6610169491523</v>
      </c>
      <c r="V4" s="87">
        <f>$B4*'Refor gazetted ECO'!V$99/usd</f>
        <v>-5552.5423728813557</v>
      </c>
      <c r="W4" s="87">
        <f>$B4*'Refor gazetted ECO'!W$99/usd</f>
        <v>-2379.6610169491523</v>
      </c>
      <c r="X4" s="87">
        <f>$B4*'Refor gazetted ECO'!X$99/usd</f>
        <v>-2379.6610169491523</v>
      </c>
      <c r="Y4" s="87">
        <f>$B4*'Refor gazetted ECO'!Y$99/usd</f>
        <v>-2379.6610169491523</v>
      </c>
      <c r="Z4" s="87">
        <f>$B4*'Refor gazetted ECO'!Z$99/usd</f>
        <v>1401010.1694915253</v>
      </c>
      <c r="AA4" s="87"/>
    </row>
    <row r="5" spans="1:32" x14ac:dyDescent="0.25">
      <c r="B5" s="88">
        <f>'Ben- Hectares'!B3</f>
        <v>200</v>
      </c>
      <c r="D5" s="87">
        <f>$B5*'Refor gazetted ECO'!C$99/usd</f>
        <v>-131383.60145278453</v>
      </c>
      <c r="E5" s="87">
        <f>$B5*'Refor gazetted ECO'!D$99/usd</f>
        <v>-31836.29694915254</v>
      </c>
      <c r="F5" s="87">
        <f>$B5*'Refor gazetted ECO'!E$99/usd</f>
        <v>-16542.372881355932</v>
      </c>
      <c r="G5" s="87">
        <f>$B5*'Refor gazetted ECO'!F$99/usd</f>
        <v>-4759.3220338983047</v>
      </c>
      <c r="H5" s="87">
        <f>$B5*'Refor gazetted ECO'!G$99/usd</f>
        <v>-11105.084745762711</v>
      </c>
      <c r="I5" s="87">
        <f>$B5*'Refor gazetted ECO'!H$99/usd</f>
        <v>-8318.6440677966129</v>
      </c>
      <c r="J5" s="87">
        <f>$B5*'Refor gazetted ECO'!I$99/usd</f>
        <v>-4759.3220338983047</v>
      </c>
      <c r="K5" s="87">
        <f>$B5*'Refor gazetted ECO'!J$99/usd</f>
        <v>-4759.3220338983047</v>
      </c>
      <c r="L5" s="87">
        <f>$B5*'Refor gazetted ECO'!K$99/usd</f>
        <v>-4759.3220338983047</v>
      </c>
      <c r="M5" s="87">
        <f>$B5*'Refor gazetted ECO'!L$99/usd</f>
        <v>639064.40677966096</v>
      </c>
      <c r="N5" s="87">
        <f>$B5*'Refor gazetted ECO'!M$99/usd</f>
        <v>-4759.3220338983047</v>
      </c>
      <c r="O5" s="87">
        <f>$B5*'Refor gazetted ECO'!N$99/usd</f>
        <v>-4759.3220338983047</v>
      </c>
      <c r="P5" s="87">
        <f>$B5*'Refor gazetted ECO'!O$99/usd</f>
        <v>-4759.3220338983047</v>
      </c>
      <c r="Q5" s="87">
        <f>$B5*'Refor gazetted ECO'!P$99/usd</f>
        <v>-4759.3220338983047</v>
      </c>
      <c r="R5" s="87">
        <f>$B5*'Refor gazetted ECO'!Q$99/usd</f>
        <v>-11105.084745762711</v>
      </c>
      <c r="S5" s="87">
        <f>$B5*'Refor gazetted ECO'!R$99/usd</f>
        <v>1047783.0508474576</v>
      </c>
      <c r="T5" s="87">
        <f>$B5*'Refor gazetted ECO'!S$99/usd</f>
        <v>-4759.3220338983047</v>
      </c>
      <c r="U5" s="87">
        <f>$B5*'Refor gazetted ECO'!T$99/usd</f>
        <v>-4759.3220338983047</v>
      </c>
      <c r="V5" s="87">
        <f>$B5*'Refor gazetted ECO'!U$99/usd</f>
        <v>-4759.3220338983047</v>
      </c>
      <c r="W5" s="87">
        <f>$B5*'Refor gazetted ECO'!V$99/usd</f>
        <v>-11105.084745762711</v>
      </c>
      <c r="X5" s="87">
        <f>$B5*'Refor gazetted ECO'!W$99/usd</f>
        <v>-4759.3220338983047</v>
      </c>
      <c r="Y5" s="87">
        <f>$B5*'Refor gazetted ECO'!X$99/usd</f>
        <v>-4759.3220338983047</v>
      </c>
      <c r="Z5" s="87">
        <f>$B5*'Refor gazetted ECO'!Y$99/usd</f>
        <v>-4759.3220338983047</v>
      </c>
      <c r="AA5" s="87">
        <f>$B5*'Refor gazetted ECO'!Z$99/usd</f>
        <v>2802020.3389830505</v>
      </c>
      <c r="AB5" s="87"/>
    </row>
    <row r="6" spans="1:32" x14ac:dyDescent="0.25">
      <c r="B6" s="88">
        <f>'Ben- Hectares'!B4</f>
        <v>300</v>
      </c>
      <c r="E6" s="87">
        <f>$B6*'Refor gazetted ECO'!C$99/usd</f>
        <v>-197075.40217917674</v>
      </c>
      <c r="F6" s="87">
        <f>$B6*'Refor gazetted ECO'!D$99/usd</f>
        <v>-47754.445423728816</v>
      </c>
      <c r="G6" s="87">
        <f>$B6*'Refor gazetted ECO'!E$99/usd</f>
        <v>-24813.5593220339</v>
      </c>
      <c r="H6" s="87">
        <f>$B6*'Refor gazetted ECO'!F$99/usd</f>
        <v>-7138.9830508474579</v>
      </c>
      <c r="I6" s="87">
        <f>$B6*'Refor gazetted ECO'!G$99/usd</f>
        <v>-16657.627118644068</v>
      </c>
      <c r="J6" s="87">
        <f>$B6*'Refor gazetted ECO'!H$99/usd</f>
        <v>-12477.966101694918</v>
      </c>
      <c r="K6" s="87">
        <f>$B6*'Refor gazetted ECO'!I$99/usd</f>
        <v>-7138.9830508474579</v>
      </c>
      <c r="L6" s="87">
        <f>$B6*'Refor gazetted ECO'!J$99/usd</f>
        <v>-7138.9830508474579</v>
      </c>
      <c r="M6" s="87">
        <f>$B6*'Refor gazetted ECO'!K$99/usd</f>
        <v>-7138.9830508474579</v>
      </c>
      <c r="N6" s="87">
        <f>$B6*'Refor gazetted ECO'!L$99/usd</f>
        <v>958596.6101694915</v>
      </c>
      <c r="O6" s="87">
        <f>$B6*'Refor gazetted ECO'!M$99/usd</f>
        <v>-7138.9830508474579</v>
      </c>
      <c r="P6" s="87">
        <f>$B6*'Refor gazetted ECO'!N$99/usd</f>
        <v>-7138.9830508474579</v>
      </c>
      <c r="Q6" s="87">
        <f>$B6*'Refor gazetted ECO'!O$99/usd</f>
        <v>-7138.9830508474579</v>
      </c>
      <c r="R6" s="87">
        <f>$B6*'Refor gazetted ECO'!P$99/usd</f>
        <v>-7138.9830508474579</v>
      </c>
      <c r="S6" s="87">
        <f>$B6*'Refor gazetted ECO'!Q$99/usd</f>
        <v>-16657.627118644068</v>
      </c>
      <c r="T6" s="87">
        <f>$B6*'Refor gazetted ECO'!R$99/usd</f>
        <v>1571674.5762711863</v>
      </c>
      <c r="U6" s="87">
        <f>$B6*'Refor gazetted ECO'!S$99/usd</f>
        <v>-7138.9830508474579</v>
      </c>
      <c r="V6" s="87">
        <f>$B6*'Refor gazetted ECO'!T$99/usd</f>
        <v>-7138.9830508474579</v>
      </c>
      <c r="W6" s="87">
        <f>$B6*'Refor gazetted ECO'!U$99/usd</f>
        <v>-7138.9830508474579</v>
      </c>
      <c r="X6" s="87">
        <f>$B6*'Refor gazetted ECO'!V$99/usd</f>
        <v>-16657.627118644068</v>
      </c>
      <c r="Y6" s="87">
        <f>$B6*'Refor gazetted ECO'!W$99/usd</f>
        <v>-7138.9830508474579</v>
      </c>
      <c r="Z6" s="87">
        <f>$B6*'Refor gazetted ECO'!X$99/usd</f>
        <v>-7138.9830508474579</v>
      </c>
      <c r="AA6" s="87">
        <f>$B6*'Refor gazetted ECO'!Y$99/usd</f>
        <v>-7138.9830508474579</v>
      </c>
      <c r="AB6" s="87">
        <f>$B6*'Refor gazetted ECO'!Z$99/usd</f>
        <v>4203030.5084745754</v>
      </c>
      <c r="AC6" s="87"/>
    </row>
    <row r="7" spans="1:32" x14ac:dyDescent="0.25">
      <c r="B7" s="88">
        <f>'Ben- Hectares'!B5</f>
        <v>300</v>
      </c>
      <c r="F7" s="87">
        <f>$B7*'Refor gazetted ECO'!C$99/usd</f>
        <v>-197075.40217917674</v>
      </c>
      <c r="G7" s="87">
        <f>$B7*'Refor gazetted ECO'!D$99/usd</f>
        <v>-47754.445423728816</v>
      </c>
      <c r="H7" s="87">
        <f>$B7*'Refor gazetted ECO'!E$99/usd</f>
        <v>-24813.5593220339</v>
      </c>
      <c r="I7" s="87">
        <f>$B7*'Refor gazetted ECO'!F$99/usd</f>
        <v>-7138.9830508474579</v>
      </c>
      <c r="J7" s="87">
        <f>$B7*'Refor gazetted ECO'!G$99/usd</f>
        <v>-16657.627118644068</v>
      </c>
      <c r="K7" s="87">
        <f>$B7*'Refor gazetted ECO'!H$99/usd</f>
        <v>-12477.966101694918</v>
      </c>
      <c r="L7" s="87">
        <f>$B7*'Refor gazetted ECO'!I$99/usd</f>
        <v>-7138.9830508474579</v>
      </c>
      <c r="M7" s="87">
        <f>$B7*'Refor gazetted ECO'!J$99/usd</f>
        <v>-7138.9830508474579</v>
      </c>
      <c r="N7" s="87">
        <f>$B7*'Refor gazetted ECO'!K$99/usd</f>
        <v>-7138.9830508474579</v>
      </c>
      <c r="O7" s="87">
        <f>$B7*'Refor gazetted ECO'!L$99/usd</f>
        <v>958596.6101694915</v>
      </c>
      <c r="P7" s="87">
        <f>$B7*'Refor gazetted ECO'!M$99/usd</f>
        <v>-7138.9830508474579</v>
      </c>
      <c r="Q7" s="87">
        <f>$B7*'Refor gazetted ECO'!N$99/usd</f>
        <v>-7138.9830508474579</v>
      </c>
      <c r="R7" s="87">
        <f>$B7*'Refor gazetted ECO'!O$99/usd</f>
        <v>-7138.9830508474579</v>
      </c>
      <c r="S7" s="87">
        <f>$B7*'Refor gazetted ECO'!P$99/usd</f>
        <v>-7138.9830508474579</v>
      </c>
      <c r="T7" s="87">
        <f>$B7*'Refor gazetted ECO'!Q$99/usd</f>
        <v>-16657.627118644068</v>
      </c>
      <c r="U7" s="87">
        <f>$B7*'Refor gazetted ECO'!R$99/usd</f>
        <v>1571674.5762711863</v>
      </c>
      <c r="V7" s="87">
        <f>$B7*'Refor gazetted ECO'!S$99/usd</f>
        <v>-7138.9830508474579</v>
      </c>
      <c r="W7" s="87">
        <f>$B7*'Refor gazetted ECO'!T$99/usd</f>
        <v>-7138.9830508474579</v>
      </c>
      <c r="X7" s="87">
        <f>$B7*'Refor gazetted ECO'!U$99/usd</f>
        <v>-7138.9830508474579</v>
      </c>
      <c r="Y7" s="87">
        <f>$B7*'Refor gazetted ECO'!V$99/usd</f>
        <v>-16657.627118644068</v>
      </c>
      <c r="Z7" s="87">
        <f>$B7*'Refor gazetted ECO'!W$99/usd</f>
        <v>-7138.9830508474579</v>
      </c>
      <c r="AA7" s="87">
        <f>$B7*'Refor gazetted ECO'!X$99/usd</f>
        <v>-7138.9830508474579</v>
      </c>
      <c r="AB7" s="87">
        <f>$B7*'Refor gazetted ECO'!Y$99/usd</f>
        <v>-7138.9830508474579</v>
      </c>
      <c r="AC7" s="87">
        <f>$B7*'Refor gazetted ECO'!Z$99/usd</f>
        <v>4203030.5084745754</v>
      </c>
      <c r="AD7" s="87"/>
    </row>
    <row r="8" spans="1:32" x14ac:dyDescent="0.25">
      <c r="B8" s="88">
        <f>'Ben- Hectares'!B6</f>
        <v>100</v>
      </c>
      <c r="G8" s="87">
        <f>$B8*'Refor gazetted ECO'!C$99/usd</f>
        <v>-65691.800726392263</v>
      </c>
      <c r="H8" s="87">
        <f>$B8*'Refor gazetted ECO'!D$99/usd</f>
        <v>-15918.14847457627</v>
      </c>
      <c r="I8" s="87">
        <f>$B8*'Refor gazetted ECO'!E$99/usd</f>
        <v>-8271.1864406779659</v>
      </c>
      <c r="J8" s="87">
        <f>$B8*'Refor gazetted ECO'!F$99/usd</f>
        <v>-2379.6610169491523</v>
      </c>
      <c r="K8" s="87">
        <f>$B8*'Refor gazetted ECO'!G$99/usd</f>
        <v>-5552.5423728813557</v>
      </c>
      <c r="L8" s="87">
        <f>$B8*'Refor gazetted ECO'!H$99/usd</f>
        <v>-4159.3220338983065</v>
      </c>
      <c r="M8" s="87">
        <f>$B8*'Refor gazetted ECO'!I$99/usd</f>
        <v>-2379.6610169491523</v>
      </c>
      <c r="N8" s="87">
        <f>$B8*'Refor gazetted ECO'!J$99/usd</f>
        <v>-2379.6610169491523</v>
      </c>
      <c r="O8" s="87">
        <f>$B8*'Refor gazetted ECO'!K$99/usd</f>
        <v>-2379.6610169491523</v>
      </c>
      <c r="P8" s="87">
        <f>$B8*'Refor gazetted ECO'!L$99/usd</f>
        <v>319532.20338983048</v>
      </c>
      <c r="Q8" s="87">
        <f>$B8*'Refor gazetted ECO'!M$99/usd</f>
        <v>-2379.6610169491523</v>
      </c>
      <c r="R8" s="87">
        <f>$B8*'Refor gazetted ECO'!N$99/usd</f>
        <v>-2379.6610169491523</v>
      </c>
      <c r="S8" s="87">
        <f>$B8*'Refor gazetted ECO'!O$99/usd</f>
        <v>-2379.6610169491523</v>
      </c>
      <c r="T8" s="87">
        <f>$B8*'Refor gazetted ECO'!P$99/usd</f>
        <v>-2379.6610169491523</v>
      </c>
      <c r="U8" s="87">
        <f>$B8*'Refor gazetted ECO'!Q$99/usd</f>
        <v>-5552.5423728813557</v>
      </c>
      <c r="V8" s="87">
        <f>$B8*'Refor gazetted ECO'!R$99/usd</f>
        <v>523891.5254237288</v>
      </c>
      <c r="W8" s="87">
        <f>$B8*'Refor gazetted ECO'!S$99/usd</f>
        <v>-2379.6610169491523</v>
      </c>
      <c r="X8" s="87">
        <f>$B8*'Refor gazetted ECO'!T$99/usd</f>
        <v>-2379.6610169491523</v>
      </c>
      <c r="Y8" s="87">
        <f>$B8*'Refor gazetted ECO'!U$99/usd</f>
        <v>-2379.6610169491523</v>
      </c>
      <c r="Z8" s="87">
        <f>$B8*'Refor gazetted ECO'!V$99/usd</f>
        <v>-5552.5423728813557</v>
      </c>
      <c r="AA8" s="87">
        <f>$B8*'Refor gazetted ECO'!W$99/usd</f>
        <v>-2379.6610169491523</v>
      </c>
      <c r="AB8" s="87">
        <f>$B8*'Refor gazetted ECO'!X$99/usd</f>
        <v>-2379.6610169491523</v>
      </c>
      <c r="AC8" s="87">
        <f>$B8*'Refor gazetted ECO'!Y$99/usd</f>
        <v>-2379.6610169491523</v>
      </c>
      <c r="AD8" s="87">
        <f>$B8*'Refor gazetted ECO'!Z$99/usd</f>
        <v>1401010.1694915253</v>
      </c>
      <c r="AE8" s="87"/>
      <c r="AF8" s="87"/>
    </row>
    <row r="9" spans="1:32" x14ac:dyDescent="0.25">
      <c r="A9" s="89" t="s">
        <v>439</v>
      </c>
      <c r="B9" s="88">
        <f>'Ben- Hectares'!C2</f>
        <v>50</v>
      </c>
      <c r="C9" s="87">
        <f>$B9*'Refort smallholders ECO'!C$146/usd</f>
        <v>-29397.808262711857</v>
      </c>
      <c r="D9" s="87">
        <f>$B9*'Refort smallholders ECO'!D$146/usd</f>
        <v>-71588.230625162963</v>
      </c>
      <c r="E9" s="87">
        <f>$B9*'Refort smallholders ECO'!E$146/usd</f>
        <v>119423.72881355933</v>
      </c>
      <c r="F9" s="87">
        <f>$B9*'Refort smallholders ECO'!F$146/usd</f>
        <v>-1189.8305084745762</v>
      </c>
      <c r="G9" s="87">
        <f>$B9*'Refort smallholders ECO'!G$146/usd</f>
        <v>-2776.2711864406779</v>
      </c>
      <c r="H9" s="87">
        <f>$B9*'Refort smallholders ECO'!H$146/usd</f>
        <v>-1287.7118644067796</v>
      </c>
      <c r="I9" s="87">
        <f>$B9*'Refort smallholders ECO'!I$146/usd</f>
        <v>-1189.8305084745762</v>
      </c>
      <c r="J9" s="87">
        <f>$B9*'Refort smallholders ECO'!J$146/usd</f>
        <v>-1189.8305084745762</v>
      </c>
      <c r="K9" s="87">
        <f>$B9*'Refort smallholders ECO'!K$146/usd</f>
        <v>-1189.8305084745762</v>
      </c>
      <c r="L9" s="87">
        <f>$B9*'Refort smallholders ECO'!L$146/usd</f>
        <v>159766.10169491524</v>
      </c>
      <c r="M9" s="87">
        <f>$B9*'Refort smallholders ECO'!M$146/usd</f>
        <v>-1189.8305084745762</v>
      </c>
      <c r="N9" s="87">
        <f>$B9*'Refort smallholders ECO'!N$146/usd</f>
        <v>-1189.8305084745762</v>
      </c>
      <c r="O9" s="87">
        <f>$B9*'Refort smallholders ECO'!O$146/usd</f>
        <v>-1189.8305084745762</v>
      </c>
      <c r="P9" s="87">
        <f>$B9*'Refort smallholders ECO'!P$146/usd</f>
        <v>-1189.8305084745762</v>
      </c>
      <c r="Q9" s="87">
        <f>$B9*'Refort smallholders ECO'!Q$146/usd</f>
        <v>-2776.2711864406779</v>
      </c>
      <c r="R9" s="87">
        <f>$B9*'Refort smallholders ECO'!R$146/usd</f>
        <v>261945.7627118644</v>
      </c>
      <c r="S9" s="87">
        <f>$B9*'Refort smallholders ECO'!S$146/usd</f>
        <v>-1189.8305084745762</v>
      </c>
      <c r="T9" s="87">
        <f>$B9*'Refort smallholders ECO'!T$146/usd</f>
        <v>-1189.8305084745762</v>
      </c>
      <c r="U9" s="87">
        <f>$B9*'Refort smallholders ECO'!U$146/usd</f>
        <v>-1189.8305084745762</v>
      </c>
      <c r="V9" s="87">
        <f>$B9*'Refort smallholders ECO'!V$146/usd</f>
        <v>-2776.2711864406779</v>
      </c>
      <c r="W9" s="87">
        <f>$B9*'Refort smallholders ECO'!W$146/usd</f>
        <v>-1189.8305084745762</v>
      </c>
      <c r="X9" s="87">
        <f>$B9*'Refort smallholders ECO'!X$146/usd</f>
        <v>-1189.8305084745762</v>
      </c>
      <c r="Y9" s="87">
        <f>$B9*'Refort smallholders ECO'!Y$146/usd</f>
        <v>-1189.8305084745762</v>
      </c>
      <c r="Z9" s="87">
        <f>$B9*'Refort smallholders ECO'!Z$146/usd</f>
        <v>700505.08474576264</v>
      </c>
    </row>
    <row r="10" spans="1:32" x14ac:dyDescent="0.25">
      <c r="B10" s="88">
        <f>'Ben- Hectares'!C3</f>
        <v>100</v>
      </c>
      <c r="D10" s="87">
        <f>$B10*'Refort smallholders ECO'!C$146/usd</f>
        <v>-58795.616525423713</v>
      </c>
      <c r="E10" s="87">
        <f>$B10*'Refort smallholders ECO'!D$146/usd</f>
        <v>-143176.46125032593</v>
      </c>
      <c r="F10" s="87">
        <f>$B10*'Refort smallholders ECO'!E$146/usd</f>
        <v>238847.45762711865</v>
      </c>
      <c r="G10" s="87">
        <f>$B10*'Refort smallholders ECO'!F$146/usd</f>
        <v>-2379.6610169491523</v>
      </c>
      <c r="H10" s="87">
        <f>$B10*'Refort smallholders ECO'!G$146/usd</f>
        <v>-5552.5423728813557</v>
      </c>
      <c r="I10" s="87">
        <f>$B10*'Refort smallholders ECO'!H$146/usd</f>
        <v>-2575.4237288135591</v>
      </c>
      <c r="J10" s="87">
        <f>$B10*'Refort smallholders ECO'!I$146/usd</f>
        <v>-2379.6610169491523</v>
      </c>
      <c r="K10" s="87">
        <f>$B10*'Refort smallholders ECO'!J$146/usd</f>
        <v>-2379.6610169491523</v>
      </c>
      <c r="L10" s="87">
        <f>$B10*'Refort smallholders ECO'!K$146/usd</f>
        <v>-2379.6610169491523</v>
      </c>
      <c r="M10" s="87">
        <f>$B10*'Refort smallholders ECO'!L$146/usd</f>
        <v>319532.20338983048</v>
      </c>
      <c r="N10" s="87">
        <f>$B10*'Refort smallholders ECO'!M$146/usd</f>
        <v>-2379.6610169491523</v>
      </c>
      <c r="O10" s="87">
        <f>$B10*'Refort smallholders ECO'!N$146/usd</f>
        <v>-2379.6610169491523</v>
      </c>
      <c r="P10" s="87">
        <f>$B10*'Refort smallholders ECO'!O$146/usd</f>
        <v>-2379.6610169491523</v>
      </c>
      <c r="Q10" s="87">
        <f>$B10*'Refort smallholders ECO'!P$146/usd</f>
        <v>-2379.6610169491523</v>
      </c>
      <c r="R10" s="87">
        <f>$B10*'Refort smallholders ECO'!Q$146/usd</f>
        <v>-5552.5423728813557</v>
      </c>
      <c r="S10" s="87">
        <f>$B10*'Refort smallholders ECO'!R$146/usd</f>
        <v>523891.5254237288</v>
      </c>
      <c r="T10" s="87">
        <f>$B10*'Refort smallholders ECO'!S$146/usd</f>
        <v>-2379.6610169491523</v>
      </c>
      <c r="U10" s="87">
        <f>$B10*'Refort smallholders ECO'!T$146/usd</f>
        <v>-2379.6610169491523</v>
      </c>
      <c r="V10" s="87">
        <f>$B10*'Refort smallholders ECO'!U$146/usd</f>
        <v>-2379.6610169491523</v>
      </c>
      <c r="W10" s="87">
        <f>$B10*'Refort smallholders ECO'!V$146/usd</f>
        <v>-5552.5423728813557</v>
      </c>
      <c r="X10" s="87">
        <f>$B10*'Refort smallholders ECO'!W$146/usd</f>
        <v>-2379.6610169491523</v>
      </c>
      <c r="Y10" s="87">
        <f>$B10*'Refort smallholders ECO'!X$146/usd</f>
        <v>-2379.6610169491523</v>
      </c>
      <c r="Z10" s="87">
        <f>$B10*'Refort smallholders ECO'!Y$146/usd</f>
        <v>-2379.6610169491523</v>
      </c>
      <c r="AA10" s="87">
        <f>$B10*'Refort smallholders ECO'!Z$146/usd</f>
        <v>1401010.1694915253</v>
      </c>
    </row>
    <row r="11" spans="1:32" x14ac:dyDescent="0.25">
      <c r="B11" s="88">
        <f>'Ben- Hectares'!C4</f>
        <v>150</v>
      </c>
      <c r="E11" s="87">
        <f>$B11*'Refort smallholders ECO'!C$146/usd</f>
        <v>-88193.424788135584</v>
      </c>
      <c r="F11" s="87">
        <f>$B11*'Refort smallholders ECO'!D$146/usd</f>
        <v>-214764.6918754889</v>
      </c>
      <c r="G11" s="87">
        <f>$B11*'Refort smallholders ECO'!E$146/usd</f>
        <v>358271.18644067796</v>
      </c>
      <c r="H11" s="87">
        <f>$B11*'Refort smallholders ECO'!F$146/usd</f>
        <v>-3569.4915254237289</v>
      </c>
      <c r="I11" s="87">
        <f>$B11*'Refort smallholders ECO'!G$146/usd</f>
        <v>-8328.8135593220341</v>
      </c>
      <c r="J11" s="87">
        <f>$B11*'Refort smallholders ECO'!H$146/usd</f>
        <v>-3863.1355932203392</v>
      </c>
      <c r="K11" s="87">
        <f>$B11*'Refort smallholders ECO'!I$146/usd</f>
        <v>-3569.4915254237289</v>
      </c>
      <c r="L11" s="87">
        <f>$B11*'Refort smallholders ECO'!J$146/usd</f>
        <v>-3569.4915254237289</v>
      </c>
      <c r="M11" s="87">
        <f>$B11*'Refort smallholders ECO'!K$146/usd</f>
        <v>-3569.4915254237289</v>
      </c>
      <c r="N11" s="87">
        <f>$B11*'Refort smallholders ECO'!L$146/usd</f>
        <v>479298.30508474575</v>
      </c>
      <c r="O11" s="87">
        <f>$B11*'Refort smallholders ECO'!M$146/usd</f>
        <v>-3569.4915254237289</v>
      </c>
      <c r="P11" s="87">
        <f>$B11*'Refort smallholders ECO'!N$146/usd</f>
        <v>-3569.4915254237289</v>
      </c>
      <c r="Q11" s="87">
        <f>$B11*'Refort smallholders ECO'!O$146/usd</f>
        <v>-3569.4915254237289</v>
      </c>
      <c r="R11" s="87">
        <f>$B11*'Refort smallholders ECO'!P$146/usd</f>
        <v>-3569.4915254237289</v>
      </c>
      <c r="S11" s="87">
        <f>$B11*'Refort smallholders ECO'!Q$146/usd</f>
        <v>-8328.8135593220341</v>
      </c>
      <c r="T11" s="87">
        <f>$B11*'Refort smallholders ECO'!R$146/usd</f>
        <v>785837.28813559317</v>
      </c>
      <c r="U11" s="87">
        <f>$B11*'Refort smallholders ECO'!S$146/usd</f>
        <v>-3569.4915254237289</v>
      </c>
      <c r="V11" s="87">
        <f>$B11*'Refort smallholders ECO'!T$146/usd</f>
        <v>-3569.4915254237289</v>
      </c>
      <c r="W11" s="87">
        <f>$B11*'Refort smallholders ECO'!U$146/usd</f>
        <v>-3569.4915254237289</v>
      </c>
      <c r="X11" s="87">
        <f>$B11*'Refort smallholders ECO'!V$146/usd</f>
        <v>-8328.8135593220341</v>
      </c>
      <c r="Y11" s="87">
        <f>$B11*'Refort smallholders ECO'!W$146/usd</f>
        <v>-3569.4915254237289</v>
      </c>
      <c r="Z11" s="87">
        <f>$B11*'Refort smallholders ECO'!X$146/usd</f>
        <v>-3569.4915254237289</v>
      </c>
      <c r="AA11" s="87">
        <f>$B11*'Refort smallholders ECO'!Y$146/usd</f>
        <v>-3569.4915254237289</v>
      </c>
      <c r="AB11" s="87">
        <f>$B11*'Refort smallholders ECO'!Z$146/usd</f>
        <v>2101515.2542372877</v>
      </c>
    </row>
    <row r="12" spans="1:32" x14ac:dyDescent="0.25">
      <c r="B12" s="88">
        <f>'Ben- Hectares'!C5</f>
        <v>150</v>
      </c>
      <c r="F12" s="87">
        <f>$B12*'Refort smallholders ECO'!C$146/usd</f>
        <v>-88193.424788135584</v>
      </c>
      <c r="G12" s="87">
        <f>$B12*'Refort smallholders ECO'!D$146/usd</f>
        <v>-214764.6918754889</v>
      </c>
      <c r="H12" s="87">
        <f>$B12*'Refort smallholders ECO'!E$146/usd</f>
        <v>358271.18644067796</v>
      </c>
      <c r="I12" s="87">
        <f>$B12*'Refort smallholders ECO'!F$146/usd</f>
        <v>-3569.4915254237289</v>
      </c>
      <c r="J12" s="87">
        <f>$B12*'Refort smallholders ECO'!G$146/usd</f>
        <v>-8328.8135593220341</v>
      </c>
      <c r="K12" s="87">
        <f>$B12*'Refort smallholders ECO'!H$146/usd</f>
        <v>-3863.1355932203392</v>
      </c>
      <c r="L12" s="87">
        <f>$B12*'Refort smallholders ECO'!I$146/usd</f>
        <v>-3569.4915254237289</v>
      </c>
      <c r="M12" s="87">
        <f>$B12*'Refort smallholders ECO'!J$146/usd</f>
        <v>-3569.4915254237289</v>
      </c>
      <c r="N12" s="87">
        <f>$B12*'Refort smallholders ECO'!K$146/usd</f>
        <v>-3569.4915254237289</v>
      </c>
      <c r="O12" s="87">
        <f>$B12*'Refort smallholders ECO'!L$146/usd</f>
        <v>479298.30508474575</v>
      </c>
      <c r="P12" s="87">
        <f>$B12*'Refort smallholders ECO'!M$146/usd</f>
        <v>-3569.4915254237289</v>
      </c>
      <c r="Q12" s="87">
        <f>$B12*'Refort smallholders ECO'!N$146/usd</f>
        <v>-3569.4915254237289</v>
      </c>
      <c r="R12" s="87">
        <f>$B12*'Refort smallholders ECO'!O$146/usd</f>
        <v>-3569.4915254237289</v>
      </c>
      <c r="S12" s="87">
        <f>$B12*'Refort smallholders ECO'!P$146/usd</f>
        <v>-3569.4915254237289</v>
      </c>
      <c r="T12" s="87">
        <f>$B12*'Refort smallholders ECO'!Q$146/usd</f>
        <v>-8328.8135593220341</v>
      </c>
      <c r="U12" s="87">
        <f>$B12*'Refort smallholders ECO'!R$146/usd</f>
        <v>785837.28813559317</v>
      </c>
      <c r="V12" s="87">
        <f>$B12*'Refort smallholders ECO'!S$146/usd</f>
        <v>-3569.4915254237289</v>
      </c>
      <c r="W12" s="87">
        <f>$B12*'Refort smallholders ECO'!T$146/usd</f>
        <v>-3569.4915254237289</v>
      </c>
      <c r="X12" s="87">
        <f>$B12*'Refort smallholders ECO'!U$146/usd</f>
        <v>-3569.4915254237289</v>
      </c>
      <c r="Y12" s="87">
        <f>$B12*'Refort smallholders ECO'!V$146/usd</f>
        <v>-8328.8135593220341</v>
      </c>
      <c r="Z12" s="87">
        <f>$B12*'Refort smallholders ECO'!W$146/usd</f>
        <v>-3569.4915254237289</v>
      </c>
      <c r="AA12" s="87">
        <f>$B12*'Refort smallholders ECO'!X$146/usd</f>
        <v>-3569.4915254237289</v>
      </c>
      <c r="AB12" s="87">
        <f>$B12*'Refort smallholders ECO'!Y$146/usd</f>
        <v>-3569.4915254237289</v>
      </c>
      <c r="AC12" s="87">
        <f>$B12*'Refort smallholders ECO'!Z$146/usd</f>
        <v>2101515.2542372877</v>
      </c>
    </row>
    <row r="13" spans="1:32" x14ac:dyDescent="0.25">
      <c r="B13" s="88">
        <f>'Ben- Hectares'!C6</f>
        <v>50</v>
      </c>
      <c r="G13" s="87">
        <f>$B13*'Refort smallholders ECO'!C$146/usd</f>
        <v>-29397.808262711857</v>
      </c>
      <c r="H13" s="87">
        <f>$B13*'Refort smallholders ECO'!D$146/usd</f>
        <v>-71588.230625162963</v>
      </c>
      <c r="I13" s="87">
        <f>$B13*'Refort smallholders ECO'!E$146/usd</f>
        <v>119423.72881355933</v>
      </c>
      <c r="J13" s="87">
        <f>$B13*'Refort smallholders ECO'!F$146/usd</f>
        <v>-1189.8305084745762</v>
      </c>
      <c r="K13" s="87">
        <f>$B13*'Refort smallholders ECO'!G$146/usd</f>
        <v>-2776.2711864406779</v>
      </c>
      <c r="L13" s="87">
        <f>$B13*'Refort smallholders ECO'!H$146/usd</f>
        <v>-1287.7118644067796</v>
      </c>
      <c r="M13" s="87">
        <f>$B13*'Refort smallholders ECO'!I$146/usd</f>
        <v>-1189.8305084745762</v>
      </c>
      <c r="N13" s="87">
        <f>$B13*'Refort smallholders ECO'!J$146/usd</f>
        <v>-1189.8305084745762</v>
      </c>
      <c r="O13" s="87">
        <f>$B13*'Refort smallholders ECO'!K$146/usd</f>
        <v>-1189.8305084745762</v>
      </c>
      <c r="P13" s="87">
        <f>$B13*'Refort smallholders ECO'!L$146/usd</f>
        <v>159766.10169491524</v>
      </c>
      <c r="Q13" s="87">
        <f>$B13*'Refort smallholders ECO'!M$146/usd</f>
        <v>-1189.8305084745762</v>
      </c>
      <c r="R13" s="87">
        <f>$B13*'Refort smallholders ECO'!N$146/usd</f>
        <v>-1189.8305084745762</v>
      </c>
      <c r="S13" s="87">
        <f>$B13*'Refort smallholders ECO'!O$146/usd</f>
        <v>-1189.8305084745762</v>
      </c>
      <c r="T13" s="87">
        <f>$B13*'Refort smallholders ECO'!P$146/usd</f>
        <v>-1189.8305084745762</v>
      </c>
      <c r="U13" s="87">
        <f>$B13*'Refort smallholders ECO'!Q$146/usd</f>
        <v>-2776.2711864406779</v>
      </c>
      <c r="V13" s="87">
        <f>$B13*'Refort smallholders ECO'!R$146/usd</f>
        <v>261945.7627118644</v>
      </c>
      <c r="W13" s="87">
        <f>$B13*'Refort smallholders ECO'!S$146/usd</f>
        <v>-1189.8305084745762</v>
      </c>
      <c r="X13" s="87">
        <f>$B13*'Refort smallholders ECO'!T$146/usd</f>
        <v>-1189.8305084745762</v>
      </c>
      <c r="Y13" s="87">
        <f>$B13*'Refort smallholders ECO'!U$146/usd</f>
        <v>-1189.8305084745762</v>
      </c>
      <c r="Z13" s="87">
        <f>$B13*'Refort smallholders ECO'!V$146/usd</f>
        <v>-2776.2711864406779</v>
      </c>
      <c r="AA13" s="87">
        <f>$B13*'Refort smallholders ECO'!W$146/usd</f>
        <v>-1189.8305084745762</v>
      </c>
      <c r="AB13" s="87">
        <f>$B13*'Refort smallholders ECO'!X$146/usd</f>
        <v>-1189.8305084745762</v>
      </c>
      <c r="AC13" s="87">
        <f>$B13*'Refort smallholders ECO'!Y$146/usd</f>
        <v>-1189.8305084745762</v>
      </c>
      <c r="AD13" s="87">
        <f>$B13*'Refort smallholders ECO'!Z$146/usd</f>
        <v>700505.08474576264</v>
      </c>
    </row>
    <row r="14" spans="1:32" x14ac:dyDescent="0.25">
      <c r="A14" s="89" t="s">
        <v>319</v>
      </c>
      <c r="B14" s="93">
        <f>'Ben- Hectares'!D2</f>
        <v>0</v>
      </c>
      <c r="C14" s="87">
        <f>$B14*'Cocoa ECO'!C$127/usd</f>
        <v>0</v>
      </c>
      <c r="D14" s="87">
        <f>$B14*'Cocoa ECO'!D$127/usd</f>
        <v>0</v>
      </c>
      <c r="E14" s="87">
        <f>$B14*'Cocoa ECO'!E$127/usd</f>
        <v>0</v>
      </c>
      <c r="F14" s="87">
        <f>$B14*'Cocoa ECO'!F$127/usd</f>
        <v>0</v>
      </c>
      <c r="G14" s="87">
        <f>$B14*'Cocoa ECO'!G$127/usd</f>
        <v>0</v>
      </c>
      <c r="H14" s="87">
        <f>$B14*'Cocoa ECO'!H$127/usd</f>
        <v>0</v>
      </c>
      <c r="I14" s="87">
        <f>$B14*'Cocoa ECO'!I$127/usd</f>
        <v>0</v>
      </c>
      <c r="J14" s="87">
        <f>$B14*'Cocoa ECO'!J$127/usd</f>
        <v>0</v>
      </c>
      <c r="K14" s="87">
        <f>$B14*'Cocoa ECO'!K$127/usd</f>
        <v>0</v>
      </c>
      <c r="L14" s="87">
        <f>$B14*'Cocoa ECO'!L$127/usd</f>
        <v>0</v>
      </c>
      <c r="M14" s="87">
        <f>$B14*'Cocoa ECO'!M$127/usd</f>
        <v>0</v>
      </c>
      <c r="N14" s="87">
        <f>$B14*'Cocoa ECO'!N$127/usd</f>
        <v>0</v>
      </c>
      <c r="O14" s="87">
        <f>$B14*'Cocoa ECO'!O$127/usd</f>
        <v>0</v>
      </c>
      <c r="P14" s="87">
        <f>$B14*'Cocoa ECO'!P$127/usd</f>
        <v>0</v>
      </c>
      <c r="Q14" s="87">
        <f>$B14*'Cocoa ECO'!Q$127/usd</f>
        <v>0</v>
      </c>
      <c r="R14" s="87">
        <f>$B14*'Cocoa ECO'!R$127/usd</f>
        <v>0</v>
      </c>
      <c r="S14" s="87">
        <f>$B14*'Cocoa ECO'!S$127/usd</f>
        <v>0</v>
      </c>
      <c r="T14" s="87">
        <f>$B14*'Cocoa ECO'!T$127/usd</f>
        <v>0</v>
      </c>
      <c r="U14" s="87">
        <f>$B14*'Cocoa ECO'!U$127/usd</f>
        <v>0</v>
      </c>
      <c r="V14" s="87">
        <f>$B14*'Cocoa ECO'!V$127/usd</f>
        <v>0</v>
      </c>
    </row>
    <row r="15" spans="1:32" x14ac:dyDescent="0.25">
      <c r="B15" s="93">
        <f>'Ben- Hectares'!D3</f>
        <v>602.25</v>
      </c>
      <c r="D15" s="87">
        <f>$B15*'Cocoa ECO'!C$127/usd</f>
        <v>-203925.00204234259</v>
      </c>
      <c r="E15" s="87">
        <f>$B15*'Cocoa ECO'!D$127/usd</f>
        <v>-253001.09917305497</v>
      </c>
      <c r="F15" s="87">
        <f>$B15*'Cocoa ECO'!E$127/usd</f>
        <v>-301890.08589373808</v>
      </c>
      <c r="G15" s="87">
        <f>$B15*'Cocoa ECO'!F$127/usd</f>
        <v>-143448.28534606853</v>
      </c>
      <c r="H15" s="87">
        <f>$B15*'Cocoa ECO'!G$127/usd</f>
        <v>-93746.193912842617</v>
      </c>
      <c r="I15" s="87">
        <f>$B15*'Cocoa ECO'!H$127/usd</f>
        <v>-34970.506128842593</v>
      </c>
      <c r="J15" s="87">
        <f>$B15*'Cocoa ECO'!I$127/usd</f>
        <v>-6853.4263956900422</v>
      </c>
      <c r="K15" s="87">
        <f>$B15*'Cocoa ECO'!J$127/usd</f>
        <v>37345.429608648985</v>
      </c>
      <c r="L15" s="87">
        <f>$B15*'Cocoa ECO'!K$127/usd</f>
        <v>69311.465274004804</v>
      </c>
      <c r="M15" s="87">
        <f>$B15*'Cocoa ECO'!L$127/usd</f>
        <v>101277.50093936082</v>
      </c>
      <c r="N15" s="87">
        <f>$B15*'Cocoa ECO'!M$127/usd</f>
        <v>133243.5366047167</v>
      </c>
      <c r="O15" s="87">
        <f>$B15*'Cocoa ECO'!N$127/usd</f>
        <v>165209.57227007271</v>
      </c>
      <c r="P15" s="87">
        <f>$B15*'Cocoa ECO'!O$127/usd</f>
        <v>197175.60793542862</v>
      </c>
      <c r="Q15" s="87">
        <f>$B15*'Cocoa ECO'!P$127/usd</f>
        <v>231999.77919400486</v>
      </c>
      <c r="R15" s="87">
        <f>$B15*'Cocoa ECO'!Q$127/usd</f>
        <v>261107.67926614042</v>
      </c>
      <c r="S15" s="87">
        <f>$B15*'Cocoa ECO'!R$127/usd</f>
        <v>269697.39748647943</v>
      </c>
      <c r="T15" s="87">
        <f>$B15*'Cocoa ECO'!S$127/usd</f>
        <v>261617.88978722514</v>
      </c>
      <c r="U15" s="87">
        <f>$B15*'Cocoa ECO'!T$127/usd</f>
        <v>236358.94564729292</v>
      </c>
      <c r="V15" s="87">
        <f>$B15*'Cocoa ECO'!U$127/usd</f>
        <v>211100.00150736084</v>
      </c>
      <c r="W15" s="87">
        <f>$B15*'Cocoa ECO'!V$127/usd</f>
        <v>974686.48109624221</v>
      </c>
    </row>
    <row r="16" spans="1:32" x14ac:dyDescent="0.25">
      <c r="B16" s="93">
        <f>'Ben- Hectares'!D4</f>
        <v>602.25</v>
      </c>
      <c r="E16" s="87">
        <f>$B16*'Cocoa ECO'!C$127/usd</f>
        <v>-203925.00204234259</v>
      </c>
      <c r="F16" s="87">
        <f>$B16*'Cocoa ECO'!D$127/usd</f>
        <v>-253001.09917305497</v>
      </c>
      <c r="G16" s="87">
        <f>$B16*'Cocoa ECO'!E$127/usd</f>
        <v>-301890.08589373808</v>
      </c>
      <c r="H16" s="87">
        <f>$B16*'Cocoa ECO'!F$127/usd</f>
        <v>-143448.28534606853</v>
      </c>
      <c r="I16" s="87">
        <f>$B16*'Cocoa ECO'!G$127/usd</f>
        <v>-93746.193912842617</v>
      </c>
      <c r="J16" s="87">
        <f>$B16*'Cocoa ECO'!H$127/usd</f>
        <v>-34970.506128842593</v>
      </c>
      <c r="K16" s="87">
        <f>$B16*'Cocoa ECO'!I$127/usd</f>
        <v>-6853.4263956900422</v>
      </c>
      <c r="L16" s="87">
        <f>$B16*'Cocoa ECO'!J$127/usd</f>
        <v>37345.429608648985</v>
      </c>
      <c r="M16" s="87">
        <f>$B16*'Cocoa ECO'!K$127/usd</f>
        <v>69311.465274004804</v>
      </c>
      <c r="N16" s="87">
        <f>$B16*'Cocoa ECO'!L$127/usd</f>
        <v>101277.50093936082</v>
      </c>
      <c r="O16" s="87">
        <f>$B16*'Cocoa ECO'!M$127/usd</f>
        <v>133243.5366047167</v>
      </c>
      <c r="P16" s="87">
        <f>$B16*'Cocoa ECO'!N$127/usd</f>
        <v>165209.57227007271</v>
      </c>
      <c r="Q16" s="87">
        <f>$B16*'Cocoa ECO'!O$127/usd</f>
        <v>197175.60793542862</v>
      </c>
      <c r="R16" s="87">
        <f>$B16*'Cocoa ECO'!P$127/usd</f>
        <v>231999.77919400486</v>
      </c>
      <c r="S16" s="87">
        <f>$B16*'Cocoa ECO'!Q$127/usd</f>
        <v>261107.67926614042</v>
      </c>
      <c r="T16" s="87">
        <f>$B16*'Cocoa ECO'!R$127/usd</f>
        <v>269697.39748647943</v>
      </c>
      <c r="U16" s="87">
        <f>$B16*'Cocoa ECO'!S$127/usd</f>
        <v>261617.88978722514</v>
      </c>
      <c r="V16" s="87">
        <f>$B16*'Cocoa ECO'!T$127/usd</f>
        <v>236358.94564729292</v>
      </c>
      <c r="W16" s="87">
        <f>$B16*'Cocoa ECO'!U$127/usd</f>
        <v>211100.00150736084</v>
      </c>
      <c r="X16" s="87">
        <f>$B16*'Cocoa ECO'!V$127/usd</f>
        <v>974686.48109624221</v>
      </c>
    </row>
    <row r="17" spans="1:26" x14ac:dyDescent="0.25">
      <c r="B17" s="93">
        <f>'Ben- Hectares'!D5</f>
        <v>602.25</v>
      </c>
      <c r="F17" s="87">
        <f>$B17*'Cocoa ECO'!C$127/usd</f>
        <v>-203925.00204234259</v>
      </c>
      <c r="G17" s="87">
        <f>$B17*'Cocoa ECO'!D$127/usd</f>
        <v>-253001.09917305497</v>
      </c>
      <c r="H17" s="87">
        <f>$B17*'Cocoa ECO'!E$127/usd</f>
        <v>-301890.08589373808</v>
      </c>
      <c r="I17" s="87">
        <f>$B17*'Cocoa ECO'!F$127/usd</f>
        <v>-143448.28534606853</v>
      </c>
      <c r="J17" s="87">
        <f>$B17*'Cocoa ECO'!G$127/usd</f>
        <v>-93746.193912842617</v>
      </c>
      <c r="K17" s="87">
        <f>$B17*'Cocoa ECO'!H$127/usd</f>
        <v>-34970.506128842593</v>
      </c>
      <c r="L17" s="87">
        <f>$B17*'Cocoa ECO'!I$127/usd</f>
        <v>-6853.4263956900422</v>
      </c>
      <c r="M17" s="87">
        <f>$B17*'Cocoa ECO'!J$127/usd</f>
        <v>37345.429608648985</v>
      </c>
      <c r="N17" s="87">
        <f>$B17*'Cocoa ECO'!K$127/usd</f>
        <v>69311.465274004804</v>
      </c>
      <c r="O17" s="87">
        <f>$B17*'Cocoa ECO'!L$127/usd</f>
        <v>101277.50093936082</v>
      </c>
      <c r="P17" s="87">
        <f>$B17*'Cocoa ECO'!M$127/usd</f>
        <v>133243.5366047167</v>
      </c>
      <c r="Q17" s="87">
        <f>$B17*'Cocoa ECO'!N$127/usd</f>
        <v>165209.57227007271</v>
      </c>
      <c r="R17" s="87">
        <f>$B17*'Cocoa ECO'!O$127/usd</f>
        <v>197175.60793542862</v>
      </c>
      <c r="S17" s="87">
        <f>$B17*'Cocoa ECO'!P$127/usd</f>
        <v>231999.77919400486</v>
      </c>
      <c r="T17" s="87">
        <f>$B17*'Cocoa ECO'!Q$127/usd</f>
        <v>261107.67926614042</v>
      </c>
      <c r="U17" s="87">
        <f>$B17*'Cocoa ECO'!R$127/usd</f>
        <v>269697.39748647943</v>
      </c>
      <c r="V17" s="87">
        <f>$B17*'Cocoa ECO'!S$127/usd</f>
        <v>261617.88978722514</v>
      </c>
      <c r="W17" s="87">
        <f>$B17*'Cocoa ECO'!T$127/usd</f>
        <v>236358.94564729292</v>
      </c>
      <c r="X17" s="87">
        <f>$B17*'Cocoa ECO'!U$127/usd</f>
        <v>211100.00150736084</v>
      </c>
      <c r="Y17" s="87">
        <f>$B17*'Cocoa ECO'!V$127/usd</f>
        <v>974686.48109624221</v>
      </c>
    </row>
    <row r="18" spans="1:26" x14ac:dyDescent="0.25">
      <c r="B18" s="93">
        <f>'Ben- Hectares'!D6</f>
        <v>200.75000000000003</v>
      </c>
      <c r="G18" s="87">
        <f>$B18*'Cocoa ECO'!C$127/usd</f>
        <v>-67975.000680780882</v>
      </c>
      <c r="H18" s="87">
        <f>$B18*'Cocoa ECO'!D$127/usd</f>
        <v>-84333.699724351682</v>
      </c>
      <c r="I18" s="87">
        <f>$B18*'Cocoa ECO'!E$127/usd</f>
        <v>-100630.02863124602</v>
      </c>
      <c r="J18" s="87">
        <f>$B18*'Cocoa ECO'!F$127/usd</f>
        <v>-47816.095115356191</v>
      </c>
      <c r="K18" s="87">
        <f>$B18*'Cocoa ECO'!G$127/usd</f>
        <v>-31248.731304280878</v>
      </c>
      <c r="L18" s="87">
        <f>$B18*'Cocoa ECO'!H$127/usd</f>
        <v>-11656.835376280866</v>
      </c>
      <c r="M18" s="87">
        <f>$B18*'Cocoa ECO'!I$127/usd</f>
        <v>-2284.4754652300148</v>
      </c>
      <c r="N18" s="87">
        <f>$B18*'Cocoa ECO'!J$127/usd</f>
        <v>12448.476536216329</v>
      </c>
      <c r="O18" s="87">
        <f>$B18*'Cocoa ECO'!K$127/usd</f>
        <v>23103.821758001606</v>
      </c>
      <c r="P18" s="87">
        <f>$B18*'Cocoa ECO'!L$127/usd</f>
        <v>33759.16697978694</v>
      </c>
      <c r="Q18" s="87">
        <f>$B18*'Cocoa ECO'!M$127/usd</f>
        <v>44414.512201572245</v>
      </c>
      <c r="R18" s="87">
        <f>$B18*'Cocoa ECO'!N$127/usd</f>
        <v>55069.857423357578</v>
      </c>
      <c r="S18" s="87">
        <f>$B18*'Cocoa ECO'!O$127/usd</f>
        <v>65725.202645142883</v>
      </c>
      <c r="T18" s="87">
        <f>$B18*'Cocoa ECO'!P$127/usd</f>
        <v>77333.259731334969</v>
      </c>
      <c r="U18" s="87">
        <f>$B18*'Cocoa ECO'!Q$127/usd</f>
        <v>87035.893088713492</v>
      </c>
      <c r="V18" s="87">
        <f>$B18*'Cocoa ECO'!R$127/usd</f>
        <v>89899.132495493162</v>
      </c>
      <c r="W18" s="87">
        <f>$B18*'Cocoa ECO'!S$127/usd</f>
        <v>87205.963262408404</v>
      </c>
      <c r="X18" s="87">
        <f>$B18*'Cocoa ECO'!T$127/usd</f>
        <v>78786.31521576432</v>
      </c>
      <c r="Y18" s="87">
        <f>$B18*'Cocoa ECO'!U$127/usd</f>
        <v>70366.667169120294</v>
      </c>
      <c r="Z18" s="87">
        <f>$B18*'Cocoa ECO'!V$127/usd</f>
        <v>324895.49369874742</v>
      </c>
    </row>
    <row r="19" spans="1:26" x14ac:dyDescent="0.25">
      <c r="A19" s="88" t="s">
        <v>320</v>
      </c>
      <c r="B19" s="93">
        <f>'Ben- Hectares'!E2</f>
        <v>0</v>
      </c>
      <c r="C19" s="87">
        <f>$B19*'Cocoa ECO'!C$220/usd</f>
        <v>0</v>
      </c>
      <c r="D19" s="87">
        <f>$B19*'Cocoa ECO'!D$220/usd</f>
        <v>0</v>
      </c>
      <c r="E19" s="87">
        <f>$B19*'Cocoa ECO'!E$220/usd</f>
        <v>0</v>
      </c>
      <c r="F19" s="87">
        <f>$B19*'Cocoa ECO'!F$220/usd</f>
        <v>0</v>
      </c>
      <c r="G19" s="87">
        <f>$B19*'Cocoa ECO'!G$220/usd</f>
        <v>0</v>
      </c>
      <c r="H19" s="87">
        <f>$B19*'Cocoa ECO'!H$220/usd</f>
        <v>0</v>
      </c>
      <c r="I19" s="87">
        <f>$B19*'Cocoa ECO'!I$220/usd</f>
        <v>0</v>
      </c>
      <c r="J19" s="87">
        <f>$B19*'Cocoa ECO'!J$220/usd</f>
        <v>0</v>
      </c>
      <c r="K19" s="87">
        <f>$B19*'Cocoa ECO'!K$220/usd</f>
        <v>0</v>
      </c>
      <c r="L19" s="87">
        <f>$B19*'Cocoa ECO'!L$220/usd</f>
        <v>0</v>
      </c>
      <c r="M19" s="87">
        <f>$B19*'Cocoa ECO'!M$220/usd</f>
        <v>0</v>
      </c>
      <c r="N19" s="87">
        <f>$B19*'Cocoa ECO'!N$220/usd</f>
        <v>0</v>
      </c>
      <c r="O19" s="87">
        <f>$B19*'Cocoa ECO'!O$220/usd</f>
        <v>0</v>
      </c>
      <c r="P19" s="87">
        <f>$B19*'Cocoa ECO'!P$220/usd</f>
        <v>0</v>
      </c>
      <c r="Q19" s="87">
        <f>$B19*'Cocoa ECO'!Q$220/usd</f>
        <v>0</v>
      </c>
      <c r="R19" s="87">
        <f>$B19*'Cocoa ECO'!R$220/usd</f>
        <v>0</v>
      </c>
      <c r="S19" s="87">
        <f>$B19*'Cocoa ECO'!S$220/usd</f>
        <v>0</v>
      </c>
      <c r="T19" s="87">
        <f>$B19*'Cocoa ECO'!T$220/usd</f>
        <v>0</v>
      </c>
      <c r="U19" s="87">
        <f>$B19*'Cocoa ECO'!U$220/usd</f>
        <v>0</v>
      </c>
      <c r="V19" s="87">
        <f>$B19*'Cocoa ECO'!V$220/usd</f>
        <v>0</v>
      </c>
    </row>
    <row r="20" spans="1:26" x14ac:dyDescent="0.25">
      <c r="B20" s="93">
        <f>'Ben- Hectares'!E3</f>
        <v>109.5</v>
      </c>
      <c r="D20" s="87">
        <f>$B20*'Cocoa ECO'!C$220/usd</f>
        <v>-23881.099139462443</v>
      </c>
      <c r="E20" s="87">
        <f>$B20*'Cocoa ECO'!D$220/usd</f>
        <v>-34333.782463382398</v>
      </c>
      <c r="F20" s="87">
        <f>$B20*'Cocoa ECO'!E$220/usd</f>
        <v>-44752.445712751593</v>
      </c>
      <c r="G20" s="87">
        <f>$B20*'Cocoa ECO'!F$220/usd</f>
        <v>-20731.244655548202</v>
      </c>
      <c r="H20" s="87">
        <f>$B20*'Cocoa ECO'!G$220/usd</f>
        <v>-10159.644997140404</v>
      </c>
      <c r="I20" s="87">
        <f>$B20*'Cocoa ECO'!H$220/usd</f>
        <v>2264.9164341138394</v>
      </c>
      <c r="J20" s="87">
        <f>$B20*'Cocoa ECO'!I$220/usd</f>
        <v>8145.6929077409541</v>
      </c>
      <c r="K20" s="87">
        <f>$B20*'Cocoa ECO'!J$220/usd</f>
        <v>16950.428703401973</v>
      </c>
      <c r="L20" s="87">
        <f>$B20*'Cocoa ECO'!K$220/usd</f>
        <v>23531.015346520613</v>
      </c>
      <c r="M20" s="87">
        <f>$B20*'Cocoa ECO'!L$220/usd</f>
        <v>30111.601989639272</v>
      </c>
      <c r="N20" s="87">
        <f>$B20*'Cocoa ECO'!M$220/usd</f>
        <v>36692.18863275792</v>
      </c>
      <c r="O20" s="87">
        <f>$B20*'Cocoa ECO'!N$220/usd</f>
        <v>43272.775275876556</v>
      </c>
      <c r="P20" s="87">
        <f>$B20*'Cocoa ECO'!O$220/usd</f>
        <v>49853.361918995186</v>
      </c>
      <c r="Q20" s="87">
        <f>$B20*'Cocoa ECO'!P$220/usd</f>
        <v>56953.609579062992</v>
      </c>
      <c r="R20" s="87">
        <f>$B20*'Cocoa ECO'!Q$220/usd</f>
        <v>63014.535205232467</v>
      </c>
      <c r="S20" s="87">
        <f>$B20*'Cocoa ECO'!R$220/usd</f>
        <v>64824.765078113822</v>
      </c>
      <c r="T20" s="87">
        <f>$B20*'Cocoa ECO'!S$220/usd</f>
        <v>63084.109367198558</v>
      </c>
      <c r="U20" s="87">
        <f>$B20*'Cocoa ECO'!T$220/usd</f>
        <v>57722.993910520599</v>
      </c>
      <c r="V20" s="87">
        <f>$B20*'Cocoa ECO'!U$220/usd</f>
        <v>52361.878453842648</v>
      </c>
      <c r="W20" s="87">
        <f>$B20*'Cocoa ECO'!V$220/usd</f>
        <v>190427.20367513082</v>
      </c>
    </row>
    <row r="21" spans="1:26" x14ac:dyDescent="0.25">
      <c r="B21" s="93">
        <f>'Ben- Hectares'!E4</f>
        <v>109.5</v>
      </c>
      <c r="E21" s="87">
        <f>$B21*'Cocoa ECO'!C$220/usd</f>
        <v>-23881.099139462443</v>
      </c>
      <c r="F21" s="87">
        <f>$B21*'Cocoa ECO'!D$220/usd</f>
        <v>-34333.782463382398</v>
      </c>
      <c r="G21" s="87">
        <f>$B21*'Cocoa ECO'!E$220/usd</f>
        <v>-44752.445712751593</v>
      </c>
      <c r="H21" s="87">
        <f>$B21*'Cocoa ECO'!F$220/usd</f>
        <v>-20731.244655548202</v>
      </c>
      <c r="I21" s="87">
        <f>$B21*'Cocoa ECO'!G$220/usd</f>
        <v>-10159.644997140404</v>
      </c>
      <c r="J21" s="87">
        <f>$B21*'Cocoa ECO'!H$220/usd</f>
        <v>2264.9164341138394</v>
      </c>
      <c r="K21" s="87">
        <f>$B21*'Cocoa ECO'!I$220/usd</f>
        <v>8145.6929077409541</v>
      </c>
      <c r="L21" s="87">
        <f>$B21*'Cocoa ECO'!J$220/usd</f>
        <v>16950.428703401973</v>
      </c>
      <c r="M21" s="87">
        <f>$B21*'Cocoa ECO'!K$220/usd</f>
        <v>23531.015346520613</v>
      </c>
      <c r="N21" s="87">
        <f>$B21*'Cocoa ECO'!L$220/usd</f>
        <v>30111.601989639272</v>
      </c>
      <c r="O21" s="87">
        <f>$B21*'Cocoa ECO'!M$220/usd</f>
        <v>36692.18863275792</v>
      </c>
      <c r="P21" s="87">
        <f>$B21*'Cocoa ECO'!N$220/usd</f>
        <v>43272.775275876556</v>
      </c>
      <c r="Q21" s="87">
        <f>$B21*'Cocoa ECO'!O$220/usd</f>
        <v>49853.361918995186</v>
      </c>
      <c r="R21" s="87">
        <f>$B21*'Cocoa ECO'!P$220/usd</f>
        <v>56953.609579062992</v>
      </c>
      <c r="S21" s="87">
        <f>$B21*'Cocoa ECO'!Q$220/usd</f>
        <v>63014.535205232467</v>
      </c>
      <c r="T21" s="87">
        <f>$B21*'Cocoa ECO'!R$220/usd</f>
        <v>64824.765078113822</v>
      </c>
      <c r="U21" s="87">
        <f>$B21*'Cocoa ECO'!S$220/usd</f>
        <v>63084.109367198558</v>
      </c>
      <c r="V21" s="87">
        <f>$B21*'Cocoa ECO'!T$220/usd</f>
        <v>57722.993910520599</v>
      </c>
      <c r="W21" s="87">
        <f>$B21*'Cocoa ECO'!U$220/usd</f>
        <v>52361.878453842648</v>
      </c>
      <c r="X21" s="87">
        <f>$B21*'Cocoa ECO'!V$220/usd</f>
        <v>190427.20367513082</v>
      </c>
    </row>
    <row r="22" spans="1:26" x14ac:dyDescent="0.25">
      <c r="B22" s="93">
        <f>'Ben- Hectares'!E5</f>
        <v>109.5</v>
      </c>
      <c r="F22" s="87">
        <f>$B22*'Cocoa ECO'!C$220/usd</f>
        <v>-23881.099139462443</v>
      </c>
      <c r="G22" s="87">
        <f>$B22*'Cocoa ECO'!D$220/usd</f>
        <v>-34333.782463382398</v>
      </c>
      <c r="H22" s="87">
        <f>$B22*'Cocoa ECO'!E$220/usd</f>
        <v>-44752.445712751593</v>
      </c>
      <c r="I22" s="87">
        <f>$B22*'Cocoa ECO'!F$220/usd</f>
        <v>-20731.244655548202</v>
      </c>
      <c r="J22" s="87">
        <f>$B22*'Cocoa ECO'!G$220/usd</f>
        <v>-10159.644997140404</v>
      </c>
      <c r="K22" s="87">
        <f>$B22*'Cocoa ECO'!H$220/usd</f>
        <v>2264.9164341138394</v>
      </c>
      <c r="L22" s="87">
        <f>$B22*'Cocoa ECO'!I$220/usd</f>
        <v>8145.6929077409541</v>
      </c>
      <c r="M22" s="87">
        <f>$B22*'Cocoa ECO'!J$220/usd</f>
        <v>16950.428703401973</v>
      </c>
      <c r="N22" s="87">
        <f>$B22*'Cocoa ECO'!K$220/usd</f>
        <v>23531.015346520613</v>
      </c>
      <c r="O22" s="87">
        <f>$B22*'Cocoa ECO'!L$220/usd</f>
        <v>30111.601989639272</v>
      </c>
      <c r="P22" s="87">
        <f>$B22*'Cocoa ECO'!M$220/usd</f>
        <v>36692.18863275792</v>
      </c>
      <c r="Q22" s="87">
        <f>$B22*'Cocoa ECO'!N$220/usd</f>
        <v>43272.775275876556</v>
      </c>
      <c r="R22" s="87">
        <f>$B22*'Cocoa ECO'!O$220/usd</f>
        <v>49853.361918995186</v>
      </c>
      <c r="S22" s="87">
        <f>$B22*'Cocoa ECO'!P$220/usd</f>
        <v>56953.609579062992</v>
      </c>
      <c r="T22" s="87">
        <f>$B22*'Cocoa ECO'!Q$220/usd</f>
        <v>63014.535205232467</v>
      </c>
      <c r="U22" s="87">
        <f>$B22*'Cocoa ECO'!R$220/usd</f>
        <v>64824.765078113822</v>
      </c>
      <c r="V22" s="87">
        <f>$B22*'Cocoa ECO'!S$220/usd</f>
        <v>63084.109367198558</v>
      </c>
      <c r="W22" s="87">
        <f>$B22*'Cocoa ECO'!T$220/usd</f>
        <v>57722.993910520599</v>
      </c>
      <c r="X22" s="87">
        <f>$B22*'Cocoa ECO'!U$220/usd</f>
        <v>52361.878453842648</v>
      </c>
      <c r="Y22" s="87">
        <f>$B22*'Cocoa ECO'!V$220/usd</f>
        <v>190427.20367513082</v>
      </c>
    </row>
    <row r="23" spans="1:26" x14ac:dyDescent="0.25">
      <c r="B23" s="93">
        <f>'Ben- Hectares'!E6</f>
        <v>36.5</v>
      </c>
      <c r="G23" s="87">
        <f>$B23*'Cocoa ECO'!C$220/usd</f>
        <v>-7960.3663798208145</v>
      </c>
      <c r="H23" s="87">
        <f>$B23*'Cocoa ECO'!D$220/usd</f>
        <v>-11444.594154460801</v>
      </c>
      <c r="I23" s="87">
        <f>$B23*'Cocoa ECO'!E$220/usd</f>
        <v>-14917.481904250531</v>
      </c>
      <c r="J23" s="87">
        <f>$B23*'Cocoa ECO'!F$220/usd</f>
        <v>-6910.4148851827331</v>
      </c>
      <c r="K23" s="87">
        <f>$B23*'Cocoa ECO'!G$220/usd</f>
        <v>-3386.5483323801345</v>
      </c>
      <c r="L23" s="87">
        <f>$B23*'Cocoa ECO'!H$220/usd</f>
        <v>754.97214470461324</v>
      </c>
      <c r="M23" s="87">
        <f>$B23*'Cocoa ECO'!I$220/usd</f>
        <v>2715.2309692469844</v>
      </c>
      <c r="N23" s="87">
        <f>$B23*'Cocoa ECO'!J$220/usd</f>
        <v>5650.1429011339915</v>
      </c>
      <c r="O23" s="87">
        <f>$B23*'Cocoa ECO'!K$220/usd</f>
        <v>7843.6717821735365</v>
      </c>
      <c r="P23" s="87">
        <f>$B23*'Cocoa ECO'!L$220/usd</f>
        <v>10037.200663213089</v>
      </c>
      <c r="Q23" s="87">
        <f>$B23*'Cocoa ECO'!M$220/usd</f>
        <v>12230.729544252639</v>
      </c>
      <c r="R23" s="87">
        <f>$B23*'Cocoa ECO'!N$220/usd</f>
        <v>14424.258425292186</v>
      </c>
      <c r="S23" s="87">
        <f>$B23*'Cocoa ECO'!O$220/usd</f>
        <v>16617.787306331731</v>
      </c>
      <c r="T23" s="87">
        <f>$B23*'Cocoa ECO'!P$220/usd</f>
        <v>18984.536526354332</v>
      </c>
      <c r="U23" s="87">
        <f>$B23*'Cocoa ECO'!Q$220/usd</f>
        <v>21004.845068410821</v>
      </c>
      <c r="V23" s="87">
        <f>$B23*'Cocoa ECO'!R$220/usd</f>
        <v>21608.255026037939</v>
      </c>
      <c r="W23" s="87">
        <f>$B23*'Cocoa ECO'!S$220/usd</f>
        <v>21028.036455732854</v>
      </c>
      <c r="X23" s="87">
        <f>$B23*'Cocoa ECO'!T$220/usd</f>
        <v>19240.997970173532</v>
      </c>
      <c r="Y23" s="87">
        <f>$B23*'Cocoa ECO'!U$220/usd</f>
        <v>17453.959484614217</v>
      </c>
      <c r="Z23" s="87">
        <f>$B23*'Cocoa ECO'!V$220/usd</f>
        <v>63475.734558376949</v>
      </c>
    </row>
    <row r="24" spans="1:26" x14ac:dyDescent="0.25">
      <c r="A24" s="88" t="s">
        <v>440</v>
      </c>
      <c r="B24" s="93">
        <f>'Ben- Hectares'!F2</f>
        <v>0</v>
      </c>
      <c r="C24" s="87">
        <f>$B24*'Coffee ECO'!C$139/usd</f>
        <v>0</v>
      </c>
      <c r="D24" s="87">
        <f>$B24*'Coffee ECO'!D$139/usd</f>
        <v>0</v>
      </c>
      <c r="E24" s="87">
        <f>$B24*'Coffee ECO'!E$139/usd</f>
        <v>0</v>
      </c>
      <c r="F24" s="87">
        <f>$B24*'Coffee ECO'!F$139/usd</f>
        <v>0</v>
      </c>
      <c r="G24" s="87">
        <f>$B24*'Coffee ECO'!G$139/usd</f>
        <v>0</v>
      </c>
      <c r="H24" s="87">
        <f>$B24*'Coffee ECO'!H$139/usd</f>
        <v>0</v>
      </c>
      <c r="I24" s="87">
        <f>$B24*'Coffee ECO'!I$139/usd</f>
        <v>0</v>
      </c>
      <c r="J24" s="87">
        <f>$B24*'Coffee ECO'!J$139/usd</f>
        <v>0</v>
      </c>
      <c r="K24" s="87">
        <f>$B24*'Coffee ECO'!K$139/usd</f>
        <v>0</v>
      </c>
      <c r="L24" s="87">
        <f>$B24*'Coffee ECO'!L$139/usd</f>
        <v>0</v>
      </c>
      <c r="M24" s="87">
        <f>$B24*'Coffee ECO'!M$139/usd</f>
        <v>0</v>
      </c>
      <c r="N24" s="87">
        <f>$B24*'Coffee ECO'!N$139/usd</f>
        <v>0</v>
      </c>
      <c r="O24" s="87">
        <f>$B24*'Coffee ECO'!O$139/usd</f>
        <v>0</v>
      </c>
      <c r="P24" s="87">
        <f>$B24*'Coffee ECO'!P$139/usd</f>
        <v>0</v>
      </c>
      <c r="Q24" s="87">
        <f>$B24*'Coffee ECO'!Q$139/usd</f>
        <v>0</v>
      </c>
      <c r="R24" s="87">
        <f>$B24*'Coffee ECO'!R$139/usd</f>
        <v>0</v>
      </c>
      <c r="S24" s="87">
        <f>$B24*'Coffee ECO'!S$139/usd</f>
        <v>0</v>
      </c>
      <c r="T24" s="87">
        <f>$B24*'Coffee ECO'!T$139/usd</f>
        <v>0</v>
      </c>
      <c r="U24" s="87">
        <f>$B24*'Coffee ECO'!U$139/usd</f>
        <v>0</v>
      </c>
      <c r="V24" s="87">
        <f>$B24*'Coffee ECO'!V$139/usd</f>
        <v>0</v>
      </c>
    </row>
    <row r="25" spans="1:26" x14ac:dyDescent="0.25">
      <c r="B25" s="93">
        <f>'Ben- Hectares'!F3</f>
        <v>219</v>
      </c>
      <c r="D25" s="87">
        <f>$B25*'Coffee ECO'!C$139/usd</f>
        <v>-279812.60147023218</v>
      </c>
      <c r="E25" s="87">
        <f>$B25*'Coffee ECO'!D$139/usd</f>
        <v>-178595.22919420313</v>
      </c>
      <c r="F25" s="87">
        <f>$B25*'Coffee ECO'!E$139/usd</f>
        <v>-173964.2152518908</v>
      </c>
      <c r="G25" s="87">
        <f>$B25*'Coffee ECO'!F$139/usd</f>
        <v>-14211.486238876245</v>
      </c>
      <c r="H25" s="87">
        <f>$B25*'Coffee ECO'!G$139/usd</f>
        <v>1796.4006475038882</v>
      </c>
      <c r="I25" s="87">
        <f>$B25*'Coffee ECO'!H$139/usd</f>
        <v>18732.708126862268</v>
      </c>
      <c r="J25" s="87">
        <f>$B25*'Coffee ECO'!I$139/usd</f>
        <v>31574.38600870247</v>
      </c>
      <c r="K25" s="87">
        <f>$B25*'Coffee ECO'!J$139/usd</f>
        <v>38501.467364634671</v>
      </c>
      <c r="L25" s="87">
        <f>$B25*'Coffee ECO'!K$139/usd</f>
        <v>38501.467364634671</v>
      </c>
      <c r="M25" s="87">
        <f>$B25*'Coffee ECO'!L$139/usd</f>
        <v>38501.467364634671</v>
      </c>
      <c r="N25" s="87">
        <f>$B25*'Coffee ECO'!M$139/usd</f>
        <v>38501.467364634671</v>
      </c>
      <c r="O25" s="87">
        <f>$B25*'Coffee ECO'!N$139/usd</f>
        <v>38501.467364634671</v>
      </c>
      <c r="P25" s="87">
        <f>$B25*'Coffee ECO'!O$139/usd</f>
        <v>38501.467364634671</v>
      </c>
      <c r="Q25" s="87">
        <f>$B25*'Coffee ECO'!P$139/usd</f>
        <v>38501.467364634671</v>
      </c>
      <c r="R25" s="87">
        <f>$B25*'Coffee ECO'!Q$139/usd</f>
        <v>38501.467364634671</v>
      </c>
      <c r="S25" s="87">
        <f>$B25*'Coffee ECO'!R$139/usd</f>
        <v>38501.467364634671</v>
      </c>
      <c r="T25" s="87">
        <f>$B25*'Coffee ECO'!S$139/usd</f>
        <v>38501.467364634671</v>
      </c>
      <c r="U25" s="87">
        <f>$B25*'Coffee ECO'!T$139/usd</f>
        <v>38501.467364634671</v>
      </c>
      <c r="V25" s="87">
        <f>$B25*'Coffee ECO'!U$139/usd</f>
        <v>38501.467364634671</v>
      </c>
      <c r="W25" s="87">
        <f>$B25*'Coffee ECO'!V$139/usd</f>
        <v>38501.467364634671</v>
      </c>
    </row>
    <row r="26" spans="1:26" x14ac:dyDescent="0.25">
      <c r="B26" s="93">
        <f>'Ben- Hectares'!F4</f>
        <v>219</v>
      </c>
      <c r="E26" s="87">
        <f>$B26*'Coffee ECO'!C$139/usd</f>
        <v>-279812.60147023218</v>
      </c>
      <c r="F26" s="87">
        <f>$B26*'Coffee ECO'!D$139/usd</f>
        <v>-178595.22919420313</v>
      </c>
      <c r="G26" s="87">
        <f>$B26*'Coffee ECO'!E$139/usd</f>
        <v>-173964.2152518908</v>
      </c>
      <c r="H26" s="87">
        <f>$B26*'Coffee ECO'!F$139/usd</f>
        <v>-14211.486238876245</v>
      </c>
      <c r="I26" s="87">
        <f>$B26*'Coffee ECO'!G$139/usd</f>
        <v>1796.4006475038882</v>
      </c>
      <c r="J26" s="87">
        <f>$B26*'Coffee ECO'!H$139/usd</f>
        <v>18732.708126862268</v>
      </c>
      <c r="K26" s="87">
        <f>$B26*'Coffee ECO'!I$139/usd</f>
        <v>31574.38600870247</v>
      </c>
      <c r="L26" s="87">
        <f>$B26*'Coffee ECO'!J$139/usd</f>
        <v>38501.467364634671</v>
      </c>
      <c r="M26" s="87">
        <f>$B26*'Coffee ECO'!K$139/usd</f>
        <v>38501.467364634671</v>
      </c>
      <c r="N26" s="87">
        <f>$B26*'Coffee ECO'!L$139/usd</f>
        <v>38501.467364634671</v>
      </c>
      <c r="O26" s="87">
        <f>$B26*'Coffee ECO'!M$139/usd</f>
        <v>38501.467364634671</v>
      </c>
      <c r="P26" s="87">
        <f>$B26*'Coffee ECO'!N$139/usd</f>
        <v>38501.467364634671</v>
      </c>
      <c r="Q26" s="87">
        <f>$B26*'Coffee ECO'!O$139/usd</f>
        <v>38501.467364634671</v>
      </c>
      <c r="R26" s="87">
        <f>$B26*'Coffee ECO'!P$139/usd</f>
        <v>38501.467364634671</v>
      </c>
      <c r="S26" s="87">
        <f>$B26*'Coffee ECO'!Q$139/usd</f>
        <v>38501.467364634671</v>
      </c>
      <c r="T26" s="87">
        <f>$B26*'Coffee ECO'!R$139/usd</f>
        <v>38501.467364634671</v>
      </c>
      <c r="U26" s="87">
        <f>$B26*'Coffee ECO'!S$139/usd</f>
        <v>38501.467364634671</v>
      </c>
      <c r="V26" s="87">
        <f>$B26*'Coffee ECO'!T$139/usd</f>
        <v>38501.467364634671</v>
      </c>
      <c r="W26" s="87">
        <f>$B26*'Coffee ECO'!U$139/usd</f>
        <v>38501.467364634671</v>
      </c>
      <c r="X26" s="87">
        <f>$B26*'Coffee ECO'!V$139/usd</f>
        <v>38501.467364634671</v>
      </c>
    </row>
    <row r="27" spans="1:26" x14ac:dyDescent="0.25">
      <c r="B27" s="93">
        <f>'Ben- Hectares'!F5</f>
        <v>219</v>
      </c>
      <c r="F27" s="87">
        <f>$B27*'Coffee ECO'!C$139/usd</f>
        <v>-279812.60147023218</v>
      </c>
      <c r="G27" s="87">
        <f>$B27*'Coffee ECO'!D$139/usd</f>
        <v>-178595.22919420313</v>
      </c>
      <c r="H27" s="87">
        <f>$B27*'Coffee ECO'!E$139/usd</f>
        <v>-173964.2152518908</v>
      </c>
      <c r="I27" s="87">
        <f>$B27*'Coffee ECO'!F$139/usd</f>
        <v>-14211.486238876245</v>
      </c>
      <c r="J27" s="87">
        <f>$B27*'Coffee ECO'!G$139/usd</f>
        <v>1796.4006475038882</v>
      </c>
      <c r="K27" s="87">
        <f>$B27*'Coffee ECO'!H$139/usd</f>
        <v>18732.708126862268</v>
      </c>
      <c r="L27" s="87">
        <f>$B27*'Coffee ECO'!I$139/usd</f>
        <v>31574.38600870247</v>
      </c>
      <c r="M27" s="87">
        <f>$B27*'Coffee ECO'!J$139/usd</f>
        <v>38501.467364634671</v>
      </c>
      <c r="N27" s="87">
        <f>$B27*'Coffee ECO'!K$139/usd</f>
        <v>38501.467364634671</v>
      </c>
      <c r="O27" s="87">
        <f>$B27*'Coffee ECO'!L$139/usd</f>
        <v>38501.467364634671</v>
      </c>
      <c r="P27" s="87">
        <f>$B27*'Coffee ECO'!M$139/usd</f>
        <v>38501.467364634671</v>
      </c>
      <c r="Q27" s="87">
        <f>$B27*'Coffee ECO'!N$139/usd</f>
        <v>38501.467364634671</v>
      </c>
      <c r="R27" s="87">
        <f>$B27*'Coffee ECO'!O$139/usd</f>
        <v>38501.467364634671</v>
      </c>
      <c r="S27" s="87">
        <f>$B27*'Coffee ECO'!P$139/usd</f>
        <v>38501.467364634671</v>
      </c>
      <c r="T27" s="87">
        <f>$B27*'Coffee ECO'!Q$139/usd</f>
        <v>38501.467364634671</v>
      </c>
      <c r="U27" s="87">
        <f>$B27*'Coffee ECO'!R$139/usd</f>
        <v>38501.467364634671</v>
      </c>
      <c r="V27" s="87">
        <f>$B27*'Coffee ECO'!S$139/usd</f>
        <v>38501.467364634671</v>
      </c>
      <c r="W27" s="87">
        <f>$B27*'Coffee ECO'!T$139/usd</f>
        <v>38501.467364634671</v>
      </c>
      <c r="X27" s="87">
        <f>$B27*'Coffee ECO'!U$139/usd</f>
        <v>38501.467364634671</v>
      </c>
      <c r="Y27" s="87">
        <f>$B27*'Coffee ECO'!V$139/usd</f>
        <v>38501.467364634671</v>
      </c>
    </row>
    <row r="28" spans="1:26" x14ac:dyDescent="0.25">
      <c r="B28" s="93">
        <f>'Ben- Hectares'!F6</f>
        <v>73</v>
      </c>
      <c r="G28" s="87">
        <f>$B28*'Coffee ECO'!C$139/usd</f>
        <v>-93270.867156744076</v>
      </c>
      <c r="H28" s="87">
        <f>$B28*'Coffee ECO'!D$139/usd</f>
        <v>-59531.743064734364</v>
      </c>
      <c r="I28" s="87">
        <f>$B28*'Coffee ECO'!E$139/usd</f>
        <v>-57988.071750630261</v>
      </c>
      <c r="J28" s="87">
        <f>$B28*'Coffee ECO'!F$139/usd</f>
        <v>-4737.1620796254147</v>
      </c>
      <c r="K28" s="87">
        <f>$B28*'Coffee ECO'!G$139/usd</f>
        <v>598.8002158346294</v>
      </c>
      <c r="L28" s="87">
        <f>$B28*'Coffee ECO'!H$139/usd</f>
        <v>6244.2360422874226</v>
      </c>
      <c r="M28" s="87">
        <f>$B28*'Coffee ECO'!I$139/usd</f>
        <v>10524.795336234158</v>
      </c>
      <c r="N28" s="87">
        <f>$B28*'Coffee ECO'!J$139/usd</f>
        <v>12833.822454878225</v>
      </c>
      <c r="O28" s="87">
        <f>$B28*'Coffee ECO'!K$139/usd</f>
        <v>12833.822454878225</v>
      </c>
      <c r="P28" s="87">
        <f>$B28*'Coffee ECO'!L$139/usd</f>
        <v>12833.822454878225</v>
      </c>
      <c r="Q28" s="87">
        <f>$B28*'Coffee ECO'!M$139/usd</f>
        <v>12833.822454878225</v>
      </c>
      <c r="R28" s="87">
        <f>$B28*'Coffee ECO'!N$139/usd</f>
        <v>12833.822454878225</v>
      </c>
      <c r="S28" s="87">
        <f>$B28*'Coffee ECO'!O$139/usd</f>
        <v>12833.822454878225</v>
      </c>
      <c r="T28" s="87">
        <f>$B28*'Coffee ECO'!P$139/usd</f>
        <v>12833.822454878225</v>
      </c>
      <c r="U28" s="87">
        <f>$B28*'Coffee ECO'!Q$139/usd</f>
        <v>12833.822454878225</v>
      </c>
      <c r="V28" s="87">
        <f>$B28*'Coffee ECO'!R$139/usd</f>
        <v>12833.822454878225</v>
      </c>
      <c r="W28" s="87">
        <f>$B28*'Coffee ECO'!S$139/usd</f>
        <v>12833.822454878225</v>
      </c>
      <c r="X28" s="87">
        <f>$B28*'Coffee ECO'!T$139/usd</f>
        <v>12833.822454878225</v>
      </c>
      <c r="Y28" s="87">
        <f>$B28*'Coffee ECO'!U$139/usd</f>
        <v>12833.822454878225</v>
      </c>
      <c r="Z28" s="87">
        <f>$B28*'Coffee ECO'!V$139/usd</f>
        <v>12833.822454878225</v>
      </c>
    </row>
    <row r="29" spans="1:26" x14ac:dyDescent="0.25">
      <c r="A29" s="88" t="s">
        <v>321</v>
      </c>
      <c r="B29" s="93">
        <f>'Ben- Hectares'!G2</f>
        <v>0</v>
      </c>
      <c r="C29" s="87">
        <f>$B29*'Rubber ECO'!C$109/usd</f>
        <v>0</v>
      </c>
      <c r="D29" s="87">
        <f>$B29*'Rubber ECO'!D$109/usd</f>
        <v>0</v>
      </c>
      <c r="E29" s="87">
        <f>$B29*'Rubber ECO'!E$109/usd</f>
        <v>0</v>
      </c>
      <c r="F29" s="87">
        <f>$B29*'Rubber ECO'!F$109/usd</f>
        <v>0</v>
      </c>
      <c r="G29" s="87">
        <f>$B29*'Rubber ECO'!G$109/usd</f>
        <v>0</v>
      </c>
      <c r="H29" s="87">
        <f>$B29*'Rubber ECO'!H$109/usd</f>
        <v>0</v>
      </c>
      <c r="I29" s="87">
        <f>$B29*'Rubber ECO'!I$109/usd</f>
        <v>0</v>
      </c>
      <c r="J29" s="87">
        <f>$B29*'Rubber ECO'!J$109/usd</f>
        <v>0</v>
      </c>
      <c r="K29" s="87">
        <f>$B29*'Rubber ECO'!K$109/usd</f>
        <v>0</v>
      </c>
      <c r="L29" s="87">
        <f>$B29*'Rubber ECO'!L$109/usd</f>
        <v>0</v>
      </c>
      <c r="M29" s="87">
        <f>$B29*'Rubber ECO'!M$109/usd</f>
        <v>0</v>
      </c>
      <c r="N29" s="87">
        <f>$B29*'Rubber ECO'!N$109/usd</f>
        <v>0</v>
      </c>
      <c r="O29" s="87">
        <f>$B29*'Rubber ECO'!O$109/usd</f>
        <v>0</v>
      </c>
      <c r="P29" s="87">
        <f>$B29*'Rubber ECO'!P$109/usd</f>
        <v>0</v>
      </c>
      <c r="Q29" s="87">
        <f>$B29*'Rubber ECO'!Q$109/usd</f>
        <v>0</v>
      </c>
      <c r="R29" s="87">
        <f>$B29*'Rubber ECO'!R$109/usd</f>
        <v>0</v>
      </c>
      <c r="S29" s="87">
        <f>$B29*'Rubber ECO'!S$109/usd</f>
        <v>0</v>
      </c>
      <c r="T29" s="87">
        <f>$B29*'Rubber ECO'!T$109/usd</f>
        <v>0</v>
      </c>
      <c r="U29" s="87">
        <f>$B29*'Rubber ECO'!U$109/usd</f>
        <v>0</v>
      </c>
      <c r="V29" s="87">
        <f>$B29*'Rubber ECO'!V$109/usd</f>
        <v>0</v>
      </c>
    </row>
    <row r="30" spans="1:26" x14ac:dyDescent="0.25">
      <c r="B30" s="93">
        <f>'Ben- Hectares'!G3</f>
        <v>164.25</v>
      </c>
      <c r="D30" s="87">
        <f>$B30*'Rubber ECO'!C$109/usd</f>
        <v>110079.03919700372</v>
      </c>
      <c r="E30" s="87">
        <f>$B30*'Rubber ECO'!D$109/usd</f>
        <v>119056.94935329513</v>
      </c>
      <c r="F30" s="87">
        <f>$B30*'Rubber ECO'!E$109/usd</f>
        <v>120528.01364176092</v>
      </c>
      <c r="G30" s="87">
        <f>$B30*'Rubber ECO'!F$109/usd</f>
        <v>126127.82508243888</v>
      </c>
      <c r="H30" s="87">
        <f>$B30*'Rubber ECO'!G$109/usd</f>
        <v>127484.14033667617</v>
      </c>
      <c r="I30" s="87">
        <f>$B30*'Rubber ECO'!H$109/usd</f>
        <v>127484.14033667617</v>
      </c>
      <c r="J30" s="87">
        <f>$B30*'Rubber ECO'!I$109/usd</f>
        <v>138914.19260746994</v>
      </c>
      <c r="K30" s="87">
        <f>$B30*'Rubber ECO'!J$109/usd</f>
        <v>144050.48498035129</v>
      </c>
      <c r="L30" s="87">
        <f>$B30*'Rubber ECO'!K$109/usd</f>
        <v>145707.11944471882</v>
      </c>
      <c r="M30" s="87">
        <f>$B30*'Rubber ECO'!L$109/usd</f>
        <v>145707.11944471882</v>
      </c>
      <c r="N30" s="87">
        <f>$B30*'Rubber ECO'!M$109/usd</f>
        <v>147363.75390908634</v>
      </c>
      <c r="O30" s="87">
        <f>$B30*'Rubber ECO'!N$109/usd</f>
        <v>142227.461536205</v>
      </c>
      <c r="P30" s="87">
        <f>$B30*'Rubber ECO'!O$109/usd</f>
        <v>147363.75390908634</v>
      </c>
      <c r="Q30" s="87">
        <f>$B30*'Rubber ECO'!P$109/usd</f>
        <v>147363.75390908634</v>
      </c>
      <c r="R30" s="87">
        <f>$B30*'Rubber ECO'!Q$109/usd</f>
        <v>147363.75390908634</v>
      </c>
      <c r="S30" s="87">
        <f>$B30*'Rubber ECO'!R$109/usd</f>
        <v>147363.75390908634</v>
      </c>
      <c r="T30" s="87">
        <f>$B30*'Rubber ECO'!S$109/usd</f>
        <v>142227.461536205</v>
      </c>
      <c r="U30" s="87">
        <f>$B30*'Rubber ECO'!T$109/usd</f>
        <v>147363.75390908634</v>
      </c>
      <c r="V30" s="87">
        <f>$B30*'Rubber ECO'!U$109/usd</f>
        <v>147363.75390908634</v>
      </c>
      <c r="W30" s="87">
        <f>$B30*'Rubber ECO'!V$109/usd</f>
        <v>147363.75390908634</v>
      </c>
    </row>
    <row r="31" spans="1:26" x14ac:dyDescent="0.25">
      <c r="B31" s="93">
        <f>'Ben- Hectares'!G4</f>
        <v>164.25</v>
      </c>
      <c r="E31" s="87">
        <f>$B31*'Rubber ECO'!C$109/usd</f>
        <v>110079.03919700372</v>
      </c>
      <c r="F31" s="87">
        <f>$B31*'Rubber ECO'!D$109/usd</f>
        <v>119056.94935329513</v>
      </c>
      <c r="G31" s="87">
        <f>$B31*'Rubber ECO'!E$109/usd</f>
        <v>120528.01364176092</v>
      </c>
      <c r="H31" s="87">
        <f>$B31*'Rubber ECO'!F$109/usd</f>
        <v>126127.82508243888</v>
      </c>
      <c r="I31" s="87">
        <f>$B31*'Rubber ECO'!G$109/usd</f>
        <v>127484.14033667617</v>
      </c>
      <c r="J31" s="87">
        <f>$B31*'Rubber ECO'!H$109/usd</f>
        <v>127484.14033667617</v>
      </c>
      <c r="K31" s="87">
        <f>$B31*'Rubber ECO'!I$109/usd</f>
        <v>138914.19260746994</v>
      </c>
      <c r="L31" s="87">
        <f>$B31*'Rubber ECO'!J$109/usd</f>
        <v>144050.48498035129</v>
      </c>
      <c r="M31" s="87">
        <f>$B31*'Rubber ECO'!K$109/usd</f>
        <v>145707.11944471882</v>
      </c>
      <c r="N31" s="87">
        <f>$B31*'Rubber ECO'!L$109/usd</f>
        <v>145707.11944471882</v>
      </c>
      <c r="O31" s="87">
        <f>$B31*'Rubber ECO'!M$109/usd</f>
        <v>147363.75390908634</v>
      </c>
      <c r="P31" s="87">
        <f>$B31*'Rubber ECO'!N$109/usd</f>
        <v>142227.461536205</v>
      </c>
      <c r="Q31" s="87">
        <f>$B31*'Rubber ECO'!O$109/usd</f>
        <v>147363.75390908634</v>
      </c>
      <c r="R31" s="87">
        <f>$B31*'Rubber ECO'!P$109/usd</f>
        <v>147363.75390908634</v>
      </c>
      <c r="S31" s="87">
        <f>$B31*'Rubber ECO'!Q$109/usd</f>
        <v>147363.75390908634</v>
      </c>
      <c r="T31" s="87">
        <f>$B31*'Rubber ECO'!R$109/usd</f>
        <v>147363.75390908634</v>
      </c>
      <c r="U31" s="87">
        <f>$B31*'Rubber ECO'!S$109/usd</f>
        <v>142227.461536205</v>
      </c>
      <c r="V31" s="87">
        <f>$B31*'Rubber ECO'!T$109/usd</f>
        <v>147363.75390908634</v>
      </c>
      <c r="W31" s="87">
        <f>$B31*'Rubber ECO'!U$109/usd</f>
        <v>147363.75390908634</v>
      </c>
      <c r="X31" s="87">
        <f>$B31*'Rubber ECO'!V$109/usd</f>
        <v>147363.75390908634</v>
      </c>
    </row>
    <row r="32" spans="1:26" x14ac:dyDescent="0.25">
      <c r="B32" s="93">
        <f>'Ben- Hectares'!G5</f>
        <v>164.25</v>
      </c>
      <c r="F32" s="87">
        <f>$B32*'Rubber ECO'!C$109/usd</f>
        <v>110079.03919700372</v>
      </c>
      <c r="G32" s="87">
        <f>$B32*'Rubber ECO'!D$109/usd</f>
        <v>119056.94935329513</v>
      </c>
      <c r="H32" s="87">
        <f>$B32*'Rubber ECO'!E$109/usd</f>
        <v>120528.01364176092</v>
      </c>
      <c r="I32" s="87">
        <f>$B32*'Rubber ECO'!F$109/usd</f>
        <v>126127.82508243888</v>
      </c>
      <c r="J32" s="87">
        <f>$B32*'Rubber ECO'!G$109/usd</f>
        <v>127484.14033667617</v>
      </c>
      <c r="K32" s="87">
        <f>$B32*'Rubber ECO'!H$109/usd</f>
        <v>127484.14033667617</v>
      </c>
      <c r="L32" s="87">
        <f>$B32*'Rubber ECO'!I$109/usd</f>
        <v>138914.19260746994</v>
      </c>
      <c r="M32" s="87">
        <f>$B32*'Rubber ECO'!J$109/usd</f>
        <v>144050.48498035129</v>
      </c>
      <c r="N32" s="87">
        <f>$B32*'Rubber ECO'!K$109/usd</f>
        <v>145707.11944471882</v>
      </c>
      <c r="O32" s="87">
        <f>$B32*'Rubber ECO'!L$109/usd</f>
        <v>145707.11944471882</v>
      </c>
      <c r="P32" s="87">
        <f>$B32*'Rubber ECO'!M$109/usd</f>
        <v>147363.75390908634</v>
      </c>
      <c r="Q32" s="87">
        <f>$B32*'Rubber ECO'!N$109/usd</f>
        <v>142227.461536205</v>
      </c>
      <c r="R32" s="87">
        <f>$B32*'Rubber ECO'!O$109/usd</f>
        <v>147363.75390908634</v>
      </c>
      <c r="S32" s="87">
        <f>$B32*'Rubber ECO'!P$109/usd</f>
        <v>147363.75390908634</v>
      </c>
      <c r="T32" s="87">
        <f>$B32*'Rubber ECO'!Q$109/usd</f>
        <v>147363.75390908634</v>
      </c>
      <c r="U32" s="87">
        <f>$B32*'Rubber ECO'!R$109/usd</f>
        <v>147363.75390908634</v>
      </c>
      <c r="V32" s="87">
        <f>$B32*'Rubber ECO'!S$109/usd</f>
        <v>142227.461536205</v>
      </c>
      <c r="W32" s="87">
        <f>$B32*'Rubber ECO'!T$109/usd</f>
        <v>147363.75390908634</v>
      </c>
      <c r="X32" s="87">
        <f>$B32*'Rubber ECO'!U$109/usd</f>
        <v>147363.75390908634</v>
      </c>
      <c r="Y32" s="87">
        <f>$B32*'Rubber ECO'!V$109/usd</f>
        <v>147363.75390908634</v>
      </c>
    </row>
    <row r="33" spans="1:30" x14ac:dyDescent="0.25">
      <c r="B33" s="93">
        <f>'Ben- Hectares'!G6</f>
        <v>54.75</v>
      </c>
      <c r="G33" s="87">
        <f>$B33*'Rubber ECO'!C$109/usd</f>
        <v>36693.013065667903</v>
      </c>
      <c r="H33" s="87">
        <f>$B33*'Rubber ECO'!D$109/usd</f>
        <v>39685.649784431705</v>
      </c>
      <c r="I33" s="87">
        <f>$B33*'Rubber ECO'!E$109/usd</f>
        <v>40176.004547253637</v>
      </c>
      <c r="J33" s="87">
        <f>$B33*'Rubber ECO'!F$109/usd</f>
        <v>42042.608360812956</v>
      </c>
      <c r="K33" s="87">
        <f>$B33*'Rubber ECO'!G$109/usd</f>
        <v>42494.713445558722</v>
      </c>
      <c r="L33" s="87">
        <f>$B33*'Rubber ECO'!H$109/usd</f>
        <v>42494.713445558722</v>
      </c>
      <c r="M33" s="87">
        <f>$B33*'Rubber ECO'!I$109/usd</f>
        <v>46304.730869156643</v>
      </c>
      <c r="N33" s="87">
        <f>$B33*'Rubber ECO'!J$109/usd</f>
        <v>48016.828326783761</v>
      </c>
      <c r="O33" s="87">
        <f>$B33*'Rubber ECO'!K$109/usd</f>
        <v>48569.039814906275</v>
      </c>
      <c r="P33" s="87">
        <f>$B33*'Rubber ECO'!L$109/usd</f>
        <v>48569.039814906275</v>
      </c>
      <c r="Q33" s="87">
        <f>$B33*'Rubber ECO'!M$109/usd</f>
        <v>49121.251303028781</v>
      </c>
      <c r="R33" s="87">
        <f>$B33*'Rubber ECO'!N$109/usd</f>
        <v>47409.153845401663</v>
      </c>
      <c r="S33" s="87">
        <f>$B33*'Rubber ECO'!O$109/usd</f>
        <v>49121.251303028781</v>
      </c>
      <c r="T33" s="87">
        <f>$B33*'Rubber ECO'!P$109/usd</f>
        <v>49121.251303028781</v>
      </c>
      <c r="U33" s="87">
        <f>$B33*'Rubber ECO'!Q$109/usd</f>
        <v>49121.251303028781</v>
      </c>
      <c r="V33" s="87">
        <f>$B33*'Rubber ECO'!R$109/usd</f>
        <v>49121.251303028781</v>
      </c>
      <c r="W33" s="87">
        <f>$B33*'Rubber ECO'!S$109/usd</f>
        <v>47409.153845401663</v>
      </c>
      <c r="X33" s="87">
        <f>$B33*'Rubber ECO'!T$109/usd</f>
        <v>49121.251303028781</v>
      </c>
      <c r="Y33" s="87">
        <f>$B33*'Rubber ECO'!U$109/usd</f>
        <v>49121.251303028781</v>
      </c>
      <c r="Z33" s="87">
        <f>$B33*'Rubber ECO'!V$109/usd</f>
        <v>49121.251303028781</v>
      </c>
    </row>
    <row r="34" spans="1:30" x14ac:dyDescent="0.25">
      <c r="A34" s="88" t="s">
        <v>322</v>
      </c>
      <c r="B34" s="93"/>
      <c r="C34" s="87">
        <f t="shared" ref="C34:L34" si="0">SUM(C4:C33)</f>
        <v>-95089.608989104119</v>
      </c>
      <c r="D34" s="87">
        <f t="shared" si="0"/>
        <v>-675225.26053298102</v>
      </c>
      <c r="E34" s="87">
        <f t="shared" si="0"/>
        <v>-1093541.8677262883</v>
      </c>
      <c r="F34" s="87">
        <f t="shared" si="0"/>
        <v>-1473543.9291951896</v>
      </c>
      <c r="G34" s="87">
        <f t="shared" si="0"/>
        <v>-971347.22278354398</v>
      </c>
      <c r="H34" s="87">
        <f t="shared" si="0"/>
        <v>-329453.49703390733</v>
      </c>
      <c r="I34" s="87">
        <f t="shared" si="0"/>
        <v>14257.259742689646</v>
      </c>
      <c r="J34" s="87">
        <f t="shared" si="0"/>
        <v>237640.23377730243</v>
      </c>
      <c r="K34" s="87">
        <f t="shared" si="0"/>
        <v>484511.2841720226</v>
      </c>
      <c r="L34" s="87">
        <f t="shared" si="0"/>
        <v>1168812.1484544596</v>
      </c>
      <c r="M34" s="87">
        <f t="shared" ref="M34:AD34" si="1">SUM(M4:M33)</f>
        <v>1816797.5275007784</v>
      </c>
      <c r="N34" s="87">
        <f t="shared" si="1"/>
        <v>2440307.4484747103</v>
      </c>
      <c r="O34" s="87">
        <f t="shared" si="1"/>
        <v>2565868.743082569</v>
      </c>
      <c r="P34" s="87">
        <f t="shared" si="1"/>
        <v>1730278.5253548457</v>
      </c>
      <c r="Q34" s="87">
        <f t="shared" si="1"/>
        <v>1375070.1558373189</v>
      </c>
      <c r="R34" s="87">
        <f t="shared" si="1"/>
        <v>2291630.5494079399</v>
      </c>
      <c r="S34" s="87">
        <f t="shared" si="1"/>
        <v>3178332.1713056811</v>
      </c>
      <c r="T34" s="87">
        <f t="shared" si="1"/>
        <v>4012326.0752813867</v>
      </c>
      <c r="U34" s="87">
        <f t="shared" si="1"/>
        <v>4003527.3863350591</v>
      </c>
      <c r="V34" s="87">
        <f t="shared" si="1"/>
        <v>2357120.1937740417</v>
      </c>
      <c r="W34" s="87">
        <f t="shared" si="1"/>
        <v>2403516.5848079398</v>
      </c>
      <c r="X34" s="87">
        <f t="shared" si="1"/>
        <v>1910315.512867931</v>
      </c>
      <c r="Y34" s="87">
        <f t="shared" si="1"/>
        <v>1450781.7251008032</v>
      </c>
      <c r="Z34" s="87">
        <f t="shared" si="1"/>
        <v>2514956.8104896075</v>
      </c>
      <c r="AA34" s="87">
        <f t="shared" si="1"/>
        <v>4178044.0677966098</v>
      </c>
      <c r="AB34" s="87">
        <f t="shared" si="1"/>
        <v>6290267.7966101682</v>
      </c>
      <c r="AC34" s="87">
        <f t="shared" si="1"/>
        <v>6300976.2711864393</v>
      </c>
      <c r="AD34" s="87">
        <f t="shared" si="1"/>
        <v>2101515.2542372877</v>
      </c>
    </row>
    <row r="35" spans="1:30" x14ac:dyDescent="0.25">
      <c r="A35" s="88" t="s">
        <v>330</v>
      </c>
      <c r="B35" s="93"/>
      <c r="C35" s="87">
        <f>'CO2'!B2*'Prices &amp; assums'!$D108</f>
        <v>1376660</v>
      </c>
      <c r="D35" s="87">
        <f>'CO2'!C2*'Prices &amp; assums'!$D108</f>
        <v>1376660</v>
      </c>
      <c r="E35" s="87">
        <f>'CO2'!D2*'Prices &amp; assums'!$D108</f>
        <v>1376660</v>
      </c>
      <c r="F35" s="87">
        <f>'CO2'!E2*'Prices &amp; assums'!$D108</f>
        <v>1376660</v>
      </c>
      <c r="G35" s="87">
        <f>'CO2'!F2*'Prices &amp; assums'!$D108</f>
        <v>1376660</v>
      </c>
      <c r="H35" s="87">
        <f>'CO2'!G2*'Prices &amp; assums'!$D108</f>
        <v>1376660</v>
      </c>
      <c r="I35" s="87">
        <f>'CO2'!H2*'Prices &amp; assums'!$D108</f>
        <v>1376660</v>
      </c>
      <c r="J35" s="87">
        <f>'CO2'!I2*'Prices &amp; assums'!$D108</f>
        <v>1376660</v>
      </c>
      <c r="K35" s="87">
        <f>'CO2'!J2*'Prices &amp; assums'!$D108</f>
        <v>1376660</v>
      </c>
      <c r="L35" s="87">
        <f>'CO2'!K2*'Prices &amp; assums'!$D108</f>
        <v>1376660</v>
      </c>
      <c r="M35" s="87">
        <f>'CO2'!L2*'Prices &amp; assums'!$D108</f>
        <v>1376660</v>
      </c>
      <c r="N35" s="87">
        <f>'CO2'!M2*'Prices &amp; assums'!$D108</f>
        <v>1376660</v>
      </c>
      <c r="O35" s="87">
        <f>'CO2'!N2*'Prices &amp; assums'!$D108</f>
        <v>1376660</v>
      </c>
      <c r="P35" s="87">
        <f>'CO2'!O2*'Prices &amp; assums'!$D108</f>
        <v>1376660</v>
      </c>
      <c r="Q35" s="87">
        <f>'CO2'!P2*'Prices &amp; assums'!$D108</f>
        <v>1376660</v>
      </c>
      <c r="R35" s="87">
        <f>'CO2'!Q2*'Prices &amp; assums'!$D108</f>
        <v>1376660</v>
      </c>
      <c r="S35" s="87">
        <f>'CO2'!R2*'Prices &amp; assums'!$D108</f>
        <v>1376660</v>
      </c>
      <c r="T35" s="87">
        <f>'CO2'!S2*'Prices &amp; assums'!$D108</f>
        <v>1376660</v>
      </c>
      <c r="U35" s="87">
        <f>'CO2'!T2*'Prices &amp; assums'!$D108</f>
        <v>1376660</v>
      </c>
      <c r="V35" s="87">
        <f>'CO2'!U2*'Prices &amp; assums'!$D108</f>
        <v>1376660</v>
      </c>
      <c r="W35" s="87">
        <f>'CO2'!V2*'Prices &amp; assums'!$D108</f>
        <v>1376660</v>
      </c>
      <c r="X35" s="87">
        <f>'CO2'!W2*'Prices &amp; assums'!$D108</f>
        <v>1376660</v>
      </c>
      <c r="Y35" s="87">
        <f>'CO2'!X2*'Prices &amp; assums'!$D108</f>
        <v>1376660</v>
      </c>
      <c r="Z35" s="87">
        <f>'CO2'!Y2*'Prices &amp; assums'!$D108</f>
        <v>1376660</v>
      </c>
      <c r="AA35" s="87">
        <f>'CO2'!Z2*'Prices &amp; assums'!$D108</f>
        <v>1376660</v>
      </c>
      <c r="AB35" s="87">
        <f>'CO2'!AA2*'Prices &amp; assums'!$D108</f>
        <v>1376660</v>
      </c>
      <c r="AC35" s="87">
        <f>'CO2'!AB2*'Prices &amp; assums'!$D108</f>
        <v>1376660</v>
      </c>
      <c r="AD35" s="87">
        <f>'CO2'!AC2*'Prices &amp; assums'!$D108</f>
        <v>1376660</v>
      </c>
    </row>
    <row r="37" spans="1:30" x14ac:dyDescent="0.25">
      <c r="A37" s="84" t="s">
        <v>323</v>
      </c>
    </row>
    <row r="38" spans="1:30" s="87" customFormat="1" x14ac:dyDescent="0.25">
      <c r="A38" s="88" t="s">
        <v>473</v>
      </c>
      <c r="B38" s="88"/>
      <c r="C38" s="87">
        <v>1062149</v>
      </c>
      <c r="D38" s="87">
        <v>1908288.9</v>
      </c>
      <c r="E38" s="87">
        <v>2092831.0999999999</v>
      </c>
      <c r="F38" s="87">
        <v>1965671.0999999999</v>
      </c>
      <c r="G38" s="87">
        <v>1414700.3</v>
      </c>
    </row>
    <row r="39" spans="1:30" s="87" customFormat="1" x14ac:dyDescent="0.25">
      <c r="A39" s="88" t="s">
        <v>478</v>
      </c>
      <c r="B39" s="88"/>
      <c r="C39" s="87">
        <f>-82000</f>
        <v>-82000</v>
      </c>
      <c r="D39" s="87">
        <f>-164000</f>
        <v>-164000</v>
      </c>
      <c r="E39" s="87">
        <f>-246000</f>
        <v>-246000</v>
      </c>
      <c r="F39" s="87">
        <f>-246000</f>
        <v>-246000</v>
      </c>
      <c r="G39" s="87">
        <f>-82000</f>
        <v>-82000</v>
      </c>
    </row>
    <row r="40" spans="1:30" s="87" customFormat="1" x14ac:dyDescent="0.25">
      <c r="A40" s="88" t="s">
        <v>441</v>
      </c>
      <c r="B40" s="88"/>
      <c r="H40" s="87">
        <f t="shared" ref="H40:AD40" si="2">AVERAGE($C38:$G38)*0.05</f>
        <v>84436.40400000001</v>
      </c>
      <c r="I40" s="87">
        <f t="shared" si="2"/>
        <v>84436.40400000001</v>
      </c>
      <c r="J40" s="87">
        <f t="shared" si="2"/>
        <v>84436.40400000001</v>
      </c>
      <c r="K40" s="87">
        <f t="shared" si="2"/>
        <v>84436.40400000001</v>
      </c>
      <c r="L40" s="87">
        <f t="shared" si="2"/>
        <v>84436.40400000001</v>
      </c>
      <c r="M40" s="87">
        <f t="shared" si="2"/>
        <v>84436.40400000001</v>
      </c>
      <c r="N40" s="87">
        <f t="shared" si="2"/>
        <v>84436.40400000001</v>
      </c>
      <c r="O40" s="87">
        <f t="shared" si="2"/>
        <v>84436.40400000001</v>
      </c>
      <c r="P40" s="87">
        <f t="shared" si="2"/>
        <v>84436.40400000001</v>
      </c>
      <c r="Q40" s="87">
        <f t="shared" si="2"/>
        <v>84436.40400000001</v>
      </c>
      <c r="R40" s="87">
        <f t="shared" si="2"/>
        <v>84436.40400000001</v>
      </c>
      <c r="S40" s="87">
        <f t="shared" si="2"/>
        <v>84436.40400000001</v>
      </c>
      <c r="T40" s="87">
        <f t="shared" si="2"/>
        <v>84436.40400000001</v>
      </c>
      <c r="U40" s="87">
        <f t="shared" si="2"/>
        <v>84436.40400000001</v>
      </c>
      <c r="V40" s="87">
        <f t="shared" si="2"/>
        <v>84436.40400000001</v>
      </c>
      <c r="W40" s="87">
        <f t="shared" si="2"/>
        <v>84436.40400000001</v>
      </c>
      <c r="X40" s="87">
        <f t="shared" si="2"/>
        <v>84436.40400000001</v>
      </c>
      <c r="Y40" s="87">
        <f t="shared" si="2"/>
        <v>84436.40400000001</v>
      </c>
      <c r="Z40" s="87">
        <f t="shared" si="2"/>
        <v>84436.40400000001</v>
      </c>
      <c r="AA40" s="87">
        <f t="shared" si="2"/>
        <v>84436.40400000001</v>
      </c>
      <c r="AB40" s="87">
        <f t="shared" si="2"/>
        <v>84436.40400000001</v>
      </c>
      <c r="AC40" s="87">
        <f t="shared" si="2"/>
        <v>84436.40400000001</v>
      </c>
      <c r="AD40" s="87">
        <f t="shared" si="2"/>
        <v>84436.40400000001</v>
      </c>
    </row>
    <row r="41" spans="1:30" x14ac:dyDescent="0.25">
      <c r="A41" s="88" t="s">
        <v>324</v>
      </c>
      <c r="C41" s="87">
        <f>SUM(C38:C40)</f>
        <v>980149</v>
      </c>
      <c r="D41" s="87">
        <f>SUM(D38:D40)</f>
        <v>1744288.9</v>
      </c>
      <c r="E41" s="87">
        <f t="shared" ref="E41:AD41" si="3">SUM(E38:E40)</f>
        <v>1846831.0999999999</v>
      </c>
      <c r="F41" s="87">
        <f t="shared" si="3"/>
        <v>1719671.0999999999</v>
      </c>
      <c r="G41" s="87">
        <f t="shared" si="3"/>
        <v>1332700.3</v>
      </c>
      <c r="H41" s="87">
        <f t="shared" si="3"/>
        <v>84436.40400000001</v>
      </c>
      <c r="I41" s="87">
        <f t="shared" si="3"/>
        <v>84436.40400000001</v>
      </c>
      <c r="J41" s="87">
        <f t="shared" si="3"/>
        <v>84436.40400000001</v>
      </c>
      <c r="K41" s="87">
        <f t="shared" si="3"/>
        <v>84436.40400000001</v>
      </c>
      <c r="L41" s="87">
        <f t="shared" si="3"/>
        <v>84436.40400000001</v>
      </c>
      <c r="M41" s="87">
        <f t="shared" si="3"/>
        <v>84436.40400000001</v>
      </c>
      <c r="N41" s="87">
        <f t="shared" si="3"/>
        <v>84436.40400000001</v>
      </c>
      <c r="O41" s="87">
        <f t="shared" si="3"/>
        <v>84436.40400000001</v>
      </c>
      <c r="P41" s="87">
        <f t="shared" si="3"/>
        <v>84436.40400000001</v>
      </c>
      <c r="Q41" s="87">
        <f t="shared" si="3"/>
        <v>84436.40400000001</v>
      </c>
      <c r="R41" s="87">
        <f t="shared" si="3"/>
        <v>84436.40400000001</v>
      </c>
      <c r="S41" s="87">
        <f t="shared" si="3"/>
        <v>84436.40400000001</v>
      </c>
      <c r="T41" s="87">
        <f t="shared" si="3"/>
        <v>84436.40400000001</v>
      </c>
      <c r="U41" s="87">
        <f t="shared" si="3"/>
        <v>84436.40400000001</v>
      </c>
      <c r="V41" s="87">
        <f t="shared" si="3"/>
        <v>84436.40400000001</v>
      </c>
      <c r="W41" s="87">
        <f t="shared" si="3"/>
        <v>84436.40400000001</v>
      </c>
      <c r="X41" s="87">
        <f t="shared" si="3"/>
        <v>84436.40400000001</v>
      </c>
      <c r="Y41" s="87">
        <f t="shared" si="3"/>
        <v>84436.40400000001</v>
      </c>
      <c r="Z41" s="87">
        <f t="shared" si="3"/>
        <v>84436.40400000001</v>
      </c>
      <c r="AA41" s="87">
        <f t="shared" si="3"/>
        <v>84436.40400000001</v>
      </c>
      <c r="AB41" s="87">
        <f t="shared" si="3"/>
        <v>84436.40400000001</v>
      </c>
      <c r="AC41" s="87">
        <f t="shared" si="3"/>
        <v>84436.40400000001</v>
      </c>
      <c r="AD41" s="87">
        <f t="shared" si="3"/>
        <v>84436.40400000001</v>
      </c>
    </row>
    <row r="43" spans="1:30" x14ac:dyDescent="0.25">
      <c r="A43" s="88" t="s">
        <v>442</v>
      </c>
      <c r="C43" s="87">
        <f t="shared" ref="C43:AD43" si="4">C34-C41</f>
        <v>-1075238.6089891042</v>
      </c>
      <c r="D43" s="87">
        <f t="shared" si="4"/>
        <v>-2419514.1605329812</v>
      </c>
      <c r="E43" s="87">
        <f t="shared" si="4"/>
        <v>-2940372.9677262884</v>
      </c>
      <c r="F43" s="87">
        <f t="shared" si="4"/>
        <v>-3193215.0291951895</v>
      </c>
      <c r="G43" s="87">
        <f t="shared" si="4"/>
        <v>-2304047.5227835439</v>
      </c>
      <c r="H43" s="87">
        <f t="shared" si="4"/>
        <v>-413889.90103390731</v>
      </c>
      <c r="I43" s="87">
        <f t="shared" si="4"/>
        <v>-70179.14425731037</v>
      </c>
      <c r="J43" s="87">
        <f t="shared" si="4"/>
        <v>153203.82977730242</v>
      </c>
      <c r="K43" s="87">
        <f t="shared" si="4"/>
        <v>400074.88017202262</v>
      </c>
      <c r="L43" s="87">
        <f t="shared" si="4"/>
        <v>1084375.7444544595</v>
      </c>
      <c r="M43" s="87">
        <f t="shared" si="4"/>
        <v>1732361.1235007783</v>
      </c>
      <c r="N43" s="87">
        <f t="shared" si="4"/>
        <v>2355871.0444747102</v>
      </c>
      <c r="O43" s="87">
        <f t="shared" si="4"/>
        <v>2481432.3390825689</v>
      </c>
      <c r="P43" s="87">
        <f t="shared" si="4"/>
        <v>1645842.1213548456</v>
      </c>
      <c r="Q43" s="87">
        <f t="shared" si="4"/>
        <v>1290633.7518373188</v>
      </c>
      <c r="R43" s="87">
        <f t="shared" si="4"/>
        <v>2207194.1454079398</v>
      </c>
      <c r="S43" s="87">
        <f t="shared" si="4"/>
        <v>3093895.767305681</v>
      </c>
      <c r="T43" s="87">
        <f t="shared" si="4"/>
        <v>3927889.6712813866</v>
      </c>
      <c r="U43" s="87">
        <f t="shared" si="4"/>
        <v>3919090.982335059</v>
      </c>
      <c r="V43" s="87">
        <f t="shared" si="4"/>
        <v>2272683.7897740416</v>
      </c>
      <c r="W43" s="87">
        <f t="shared" si="4"/>
        <v>2319080.1808079397</v>
      </c>
      <c r="X43" s="87">
        <f t="shared" si="4"/>
        <v>1825879.1088679309</v>
      </c>
      <c r="Y43" s="87">
        <f t="shared" si="4"/>
        <v>1366345.3211008031</v>
      </c>
      <c r="Z43" s="87">
        <f t="shared" si="4"/>
        <v>2430520.4064896074</v>
      </c>
      <c r="AA43" s="87">
        <f t="shared" si="4"/>
        <v>4093607.6637966097</v>
      </c>
      <c r="AB43" s="87">
        <f t="shared" si="4"/>
        <v>6205831.3926101681</v>
      </c>
      <c r="AC43" s="87">
        <f t="shared" si="4"/>
        <v>6216539.8671864392</v>
      </c>
      <c r="AD43" s="87">
        <f t="shared" si="4"/>
        <v>2017078.8502372876</v>
      </c>
    </row>
    <row r="44" spans="1:30" x14ac:dyDescent="0.25">
      <c r="A44" s="88" t="s">
        <v>443</v>
      </c>
      <c r="C44" s="87">
        <f t="shared" ref="C44:AD44" si="5">C43+C35</f>
        <v>301421.39101089584</v>
      </c>
      <c r="D44" s="87">
        <f t="shared" si="5"/>
        <v>-1042854.1605329812</v>
      </c>
      <c r="E44" s="87">
        <f t="shared" si="5"/>
        <v>-1563712.9677262884</v>
      </c>
      <c r="F44" s="87">
        <f t="shared" si="5"/>
        <v>-1816555.0291951895</v>
      </c>
      <c r="G44" s="87">
        <f t="shared" si="5"/>
        <v>-927387.52278354391</v>
      </c>
      <c r="H44" s="87">
        <f t="shared" si="5"/>
        <v>962770.09896609269</v>
      </c>
      <c r="I44" s="87">
        <f t="shared" si="5"/>
        <v>1306480.8557426897</v>
      </c>
      <c r="J44" s="87">
        <f t="shared" si="5"/>
        <v>1529863.8297773025</v>
      </c>
      <c r="K44" s="87">
        <f t="shared" si="5"/>
        <v>1776734.8801720226</v>
      </c>
      <c r="L44" s="87">
        <f t="shared" si="5"/>
        <v>2461035.7444544593</v>
      </c>
      <c r="M44" s="87">
        <f t="shared" si="5"/>
        <v>3109021.1235007783</v>
      </c>
      <c r="N44" s="87">
        <f t="shared" si="5"/>
        <v>3732531.0444747102</v>
      </c>
      <c r="O44" s="87">
        <f t="shared" si="5"/>
        <v>3858092.3390825689</v>
      </c>
      <c r="P44" s="87">
        <f t="shared" si="5"/>
        <v>3022502.1213548454</v>
      </c>
      <c r="Q44" s="87">
        <f t="shared" si="5"/>
        <v>2667293.7518373188</v>
      </c>
      <c r="R44" s="87">
        <f t="shared" si="5"/>
        <v>3583854.1454079398</v>
      </c>
      <c r="S44" s="87">
        <f t="shared" si="5"/>
        <v>4470555.7673056815</v>
      </c>
      <c r="T44" s="87">
        <f t="shared" si="5"/>
        <v>5304549.6712813862</v>
      </c>
      <c r="U44" s="87">
        <f t="shared" si="5"/>
        <v>5295750.982335059</v>
      </c>
      <c r="V44" s="87">
        <f t="shared" si="5"/>
        <v>3649343.7897740416</v>
      </c>
      <c r="W44" s="87">
        <f t="shared" si="5"/>
        <v>3695740.1808079397</v>
      </c>
      <c r="X44" s="87">
        <f t="shared" si="5"/>
        <v>3202539.1088679312</v>
      </c>
      <c r="Y44" s="87">
        <f t="shared" si="5"/>
        <v>2743005.3211008031</v>
      </c>
      <c r="Z44" s="87">
        <f t="shared" si="5"/>
        <v>3807180.4064896074</v>
      </c>
      <c r="AA44" s="87">
        <f t="shared" si="5"/>
        <v>5470267.6637966093</v>
      </c>
      <c r="AB44" s="87">
        <f t="shared" si="5"/>
        <v>7582491.3926101681</v>
      </c>
      <c r="AC44" s="87">
        <f t="shared" si="5"/>
        <v>7593199.8671864392</v>
      </c>
      <c r="AD44" s="87">
        <f t="shared" si="5"/>
        <v>3393738.8502372876</v>
      </c>
    </row>
    <row r="46" spans="1:30" x14ac:dyDescent="0.25">
      <c r="A46" s="88" t="s">
        <v>444</v>
      </c>
    </row>
    <row r="47" spans="1:30" x14ac:dyDescent="0.25">
      <c r="A47" s="88" t="s">
        <v>328</v>
      </c>
    </row>
    <row r="48" spans="1:30" x14ac:dyDescent="0.25">
      <c r="A48" s="88" t="s">
        <v>326</v>
      </c>
      <c r="C48" s="95">
        <f>NPV(disc_rate_econ,C43:V43)</f>
        <v>-978110.63442250376</v>
      </c>
      <c r="D48" s="146"/>
    </row>
    <row r="49" spans="1:30" x14ac:dyDescent="0.25">
      <c r="A49" s="88" t="s">
        <v>327</v>
      </c>
      <c r="C49" s="106">
        <f>IRR(C43:V43)</f>
        <v>6.5347934025348442E-2</v>
      </c>
    </row>
    <row r="50" spans="1:30" x14ac:dyDescent="0.25">
      <c r="A50" s="88" t="s">
        <v>329</v>
      </c>
    </row>
    <row r="51" spans="1:30" x14ac:dyDescent="0.25">
      <c r="A51" s="88" t="s">
        <v>326</v>
      </c>
      <c r="C51" s="95">
        <f>NPV(disc_rate_econ,C43:AD43)</f>
        <v>3355307.2386282547</v>
      </c>
      <c r="D51" s="146"/>
    </row>
    <row r="52" spans="1:30" x14ac:dyDescent="0.25">
      <c r="A52" s="88" t="s">
        <v>327</v>
      </c>
      <c r="C52" s="106">
        <f>IRR(C43:AD43)</f>
        <v>9.6876398624577309E-2</v>
      </c>
    </row>
    <row r="53" spans="1:30" x14ac:dyDescent="0.25">
      <c r="A53" s="88" t="s">
        <v>445</v>
      </c>
    </row>
    <row r="54" spans="1:30" x14ac:dyDescent="0.25">
      <c r="A54" s="88" t="s">
        <v>328</v>
      </c>
    </row>
    <row r="55" spans="1:30" x14ac:dyDescent="0.25">
      <c r="A55" s="88" t="s">
        <v>326</v>
      </c>
      <c r="C55" s="95">
        <f>NPV(disc_rate_econ,C44:V44)</f>
        <v>13056237.840122642</v>
      </c>
      <c r="D55" s="146"/>
    </row>
    <row r="56" spans="1:30" x14ac:dyDescent="0.25">
      <c r="A56" s="88" t="s">
        <v>327</v>
      </c>
      <c r="C56" s="106">
        <f>IRR(C44:V44)</f>
        <v>0.2766519673051766</v>
      </c>
    </row>
    <row r="57" spans="1:30" x14ac:dyDescent="0.25">
      <c r="A57" s="88" t="s">
        <v>329</v>
      </c>
    </row>
    <row r="58" spans="1:30" x14ac:dyDescent="0.25">
      <c r="A58" s="88" t="s">
        <v>326</v>
      </c>
      <c r="C58" s="95">
        <f>NPV(disc_rate_econ,C44:AD44)</f>
        <v>19287913.284215625</v>
      </c>
      <c r="D58" s="147"/>
    </row>
    <row r="59" spans="1:30" x14ac:dyDescent="0.25">
      <c r="A59" s="88" t="s">
        <v>327</v>
      </c>
      <c r="C59" s="106">
        <f>IRR(C44:AD44)</f>
        <v>0.28396998057699707</v>
      </c>
    </row>
    <row r="62" spans="1:30" x14ac:dyDescent="0.25">
      <c r="A62" s="106"/>
      <c r="B62" s="139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</row>
    <row r="63" spans="1:30" x14ac:dyDescent="0.25">
      <c r="A63" s="106"/>
      <c r="B63" s="139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5"/>
  <sheetViews>
    <sheetView topLeftCell="A41" workbookViewId="0">
      <selection activeCell="E50" sqref="E50"/>
    </sheetView>
  </sheetViews>
  <sheetFormatPr defaultColWidth="9.1796875" defaultRowHeight="11.5" x14ac:dyDescent="0.25"/>
  <cols>
    <col min="1" max="1" width="23.81640625" style="88" customWidth="1"/>
    <col min="2" max="2" width="5.1796875" style="88" customWidth="1"/>
    <col min="3" max="3" width="11" style="88" customWidth="1"/>
    <col min="4" max="4" width="9.26953125" style="88" bestFit="1" customWidth="1"/>
    <col min="5" max="5" width="14.1796875" style="88" bestFit="1" customWidth="1"/>
    <col min="6" max="6" width="9.26953125" style="88" bestFit="1" customWidth="1"/>
    <col min="7" max="11" width="11" style="88" bestFit="1" customWidth="1"/>
    <col min="12" max="14" width="10.81640625" style="88" bestFit="1" customWidth="1"/>
    <col min="15" max="15" width="9.453125" style="88" bestFit="1" customWidth="1"/>
    <col min="16" max="34" width="10.26953125" style="88" bestFit="1" customWidth="1"/>
    <col min="35" max="16384" width="9.1796875" style="88"/>
  </cols>
  <sheetData>
    <row r="1" spans="1:34" x14ac:dyDescent="0.25">
      <c r="A1" s="96" t="s">
        <v>446</v>
      </c>
      <c r="B1" s="97"/>
      <c r="G1" s="155" t="s">
        <v>334</v>
      </c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</row>
    <row r="2" spans="1:34" x14ac:dyDescent="0.25">
      <c r="A2" s="117"/>
      <c r="B2" s="98"/>
      <c r="C2" s="98"/>
      <c r="D2" s="98"/>
      <c r="E2" s="98"/>
      <c r="F2" s="98"/>
      <c r="G2" s="115"/>
      <c r="H2" s="115"/>
      <c r="I2" s="115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</row>
    <row r="3" spans="1:34" x14ac:dyDescent="0.25">
      <c r="A3" s="96"/>
      <c r="B3" s="98"/>
      <c r="C3" s="153" t="s">
        <v>333</v>
      </c>
      <c r="D3" s="154"/>
      <c r="E3" s="151" t="s">
        <v>338</v>
      </c>
      <c r="F3" s="152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</row>
    <row r="4" spans="1:34" x14ac:dyDescent="0.25">
      <c r="A4" s="111"/>
      <c r="B4" s="111"/>
      <c r="C4" s="133" t="s">
        <v>335</v>
      </c>
      <c r="D4" s="130" t="s">
        <v>336</v>
      </c>
      <c r="E4" s="111" t="s">
        <v>335</v>
      </c>
      <c r="F4" s="112" t="s">
        <v>336</v>
      </c>
      <c r="G4" s="82" t="s">
        <v>399</v>
      </c>
      <c r="H4" s="82" t="s">
        <v>400</v>
      </c>
      <c r="I4" s="82" t="s">
        <v>401</v>
      </c>
      <c r="J4" s="82" t="s">
        <v>402</v>
      </c>
      <c r="K4" s="82" t="s">
        <v>403</v>
      </c>
      <c r="L4" s="82" t="s">
        <v>404</v>
      </c>
      <c r="M4" s="82" t="s">
        <v>405</v>
      </c>
      <c r="N4" s="82" t="s">
        <v>406</v>
      </c>
      <c r="O4" s="82" t="s">
        <v>407</v>
      </c>
      <c r="P4" s="82" t="s">
        <v>408</v>
      </c>
      <c r="Q4" s="82" t="s">
        <v>409</v>
      </c>
      <c r="R4" s="82" t="s">
        <v>410</v>
      </c>
      <c r="S4" s="82" t="s">
        <v>411</v>
      </c>
      <c r="T4" s="82" t="s">
        <v>412</v>
      </c>
      <c r="U4" s="82" t="s">
        <v>413</v>
      </c>
      <c r="V4" s="83" t="s">
        <v>414</v>
      </c>
      <c r="W4" s="83" t="s">
        <v>415</v>
      </c>
      <c r="X4" s="83" t="s">
        <v>416</v>
      </c>
      <c r="Y4" s="83" t="s">
        <v>417</v>
      </c>
      <c r="Z4" s="83" t="s">
        <v>418</v>
      </c>
      <c r="AA4" s="83" t="s">
        <v>425</v>
      </c>
      <c r="AB4" s="83" t="s">
        <v>428</v>
      </c>
      <c r="AC4" s="83" t="s">
        <v>429</v>
      </c>
      <c r="AD4" s="83" t="s">
        <v>430</v>
      </c>
      <c r="AE4" s="83" t="s">
        <v>431</v>
      </c>
      <c r="AF4" s="83" t="s">
        <v>432</v>
      </c>
      <c r="AG4" s="83" t="s">
        <v>433</v>
      </c>
      <c r="AH4" s="83" t="s">
        <v>438</v>
      </c>
    </row>
    <row r="5" spans="1:34" x14ac:dyDescent="0.25">
      <c r="A5" s="99" t="s">
        <v>337</v>
      </c>
      <c r="B5" s="102"/>
      <c r="C5" s="101"/>
      <c r="D5" s="102"/>
      <c r="E5" s="102"/>
      <c r="F5" s="100"/>
      <c r="G5" s="103">
        <f>Aggr!C34</f>
        <v>-95089.608989104119</v>
      </c>
      <c r="H5" s="103">
        <f>Aggr!D34</f>
        <v>-675225.26053298102</v>
      </c>
      <c r="I5" s="103">
        <f>Aggr!E34</f>
        <v>-1093541.8677262883</v>
      </c>
      <c r="J5" s="103">
        <f>Aggr!F34</f>
        <v>-1473543.9291951896</v>
      </c>
      <c r="K5" s="103">
        <f>Aggr!G34</f>
        <v>-971347.22278354398</v>
      </c>
      <c r="L5" s="103">
        <f>Aggr!H34</f>
        <v>-329453.49703390733</v>
      </c>
      <c r="M5" s="103">
        <f>Aggr!I34</f>
        <v>14257.259742689646</v>
      </c>
      <c r="N5" s="103">
        <f>Aggr!J34</f>
        <v>237640.23377730243</v>
      </c>
      <c r="O5" s="103">
        <f>Aggr!K34</f>
        <v>484511.2841720226</v>
      </c>
      <c r="P5" s="103">
        <f>Aggr!L34</f>
        <v>1168812.1484544596</v>
      </c>
      <c r="Q5" s="103">
        <f>Aggr!M34</f>
        <v>1816797.5275007784</v>
      </c>
      <c r="R5" s="103">
        <f>Aggr!N34</f>
        <v>2440307.4484747103</v>
      </c>
      <c r="S5" s="103">
        <f>Aggr!O34</f>
        <v>2565868.743082569</v>
      </c>
      <c r="T5" s="103">
        <f>Aggr!P34</f>
        <v>1730278.5253548457</v>
      </c>
      <c r="U5" s="103">
        <f>Aggr!Q34</f>
        <v>1375070.1558373189</v>
      </c>
      <c r="V5" s="103">
        <f>Aggr!R34</f>
        <v>2291630.5494079399</v>
      </c>
      <c r="W5" s="103">
        <f>Aggr!S34</f>
        <v>3178332.1713056811</v>
      </c>
      <c r="X5" s="103">
        <f>Aggr!T34</f>
        <v>4012326.0752813867</v>
      </c>
      <c r="Y5" s="103">
        <f>Aggr!U34</f>
        <v>4003527.3863350591</v>
      </c>
      <c r="Z5" s="103">
        <f>Aggr!V34</f>
        <v>2357120.1937740417</v>
      </c>
      <c r="AA5" s="103">
        <f>Aggr!W34</f>
        <v>2403516.5848079398</v>
      </c>
      <c r="AB5" s="103">
        <f>Aggr!X34</f>
        <v>1910315.512867931</v>
      </c>
      <c r="AC5" s="103">
        <f>Aggr!Y34</f>
        <v>1450781.7251008032</v>
      </c>
      <c r="AD5" s="103">
        <f>Aggr!Z34</f>
        <v>2514956.8104896075</v>
      </c>
      <c r="AE5" s="103">
        <f>Aggr!AA34</f>
        <v>4178044.0677966098</v>
      </c>
      <c r="AF5" s="103">
        <f>Aggr!AB34</f>
        <v>6290267.7966101682</v>
      </c>
      <c r="AG5" s="103">
        <f>Aggr!AC34</f>
        <v>6300976.2711864393</v>
      </c>
      <c r="AH5" s="103">
        <f>Aggr!AD34</f>
        <v>2101515.2542372877</v>
      </c>
    </row>
    <row r="6" spans="1:34" x14ac:dyDescent="0.25">
      <c r="A6" s="88" t="s">
        <v>339</v>
      </c>
      <c r="B6" s="131">
        <f>B19</f>
        <v>0.1</v>
      </c>
      <c r="C6" s="132"/>
      <c r="D6" s="128"/>
      <c r="E6" s="98"/>
      <c r="F6" s="97"/>
      <c r="G6" s="88">
        <f t="shared" ref="G6:P7" si="0">(100%-$B6)*G$5</f>
        <v>-85580.648090193703</v>
      </c>
      <c r="H6" s="88">
        <f t="shared" si="0"/>
        <v>-607702.73447968299</v>
      </c>
      <c r="I6" s="88">
        <f t="shared" si="0"/>
        <v>-984187.68095365947</v>
      </c>
      <c r="J6" s="88">
        <f t="shared" si="0"/>
        <v>-1326189.5362756706</v>
      </c>
      <c r="K6" s="88">
        <f t="shared" si="0"/>
        <v>-874212.50050518964</v>
      </c>
      <c r="L6" s="88">
        <f t="shared" si="0"/>
        <v>-296508.1473305166</v>
      </c>
      <c r="M6" s="88">
        <f t="shared" si="0"/>
        <v>12831.533768420682</v>
      </c>
      <c r="N6" s="88">
        <f t="shared" si="0"/>
        <v>213876.21039957218</v>
      </c>
      <c r="O6" s="88">
        <f t="shared" si="0"/>
        <v>436060.15575482033</v>
      </c>
      <c r="P6" s="88">
        <f t="shared" si="0"/>
        <v>1051930.9336090137</v>
      </c>
      <c r="Q6" s="88">
        <f t="shared" ref="Q6:Z7" si="1">(100%-$B6)*Q$5</f>
        <v>1635117.7747507007</v>
      </c>
      <c r="R6" s="88">
        <f t="shared" si="1"/>
        <v>2196276.7036272394</v>
      </c>
      <c r="S6" s="88">
        <f t="shared" si="1"/>
        <v>2309281.8687743121</v>
      </c>
      <c r="T6" s="88">
        <f t="shared" si="1"/>
        <v>1557250.6728193611</v>
      </c>
      <c r="U6" s="88">
        <f t="shared" si="1"/>
        <v>1237563.1402535869</v>
      </c>
      <c r="V6" s="88">
        <f t="shared" si="1"/>
        <v>2062467.494467146</v>
      </c>
      <c r="W6" s="88">
        <f t="shared" si="1"/>
        <v>2860498.9541751132</v>
      </c>
      <c r="X6" s="88">
        <f t="shared" si="1"/>
        <v>3611093.4677532483</v>
      </c>
      <c r="Y6" s="88">
        <f t="shared" si="1"/>
        <v>3603174.6477015531</v>
      </c>
      <c r="Z6" s="88">
        <f t="shared" si="1"/>
        <v>2121408.1743966378</v>
      </c>
      <c r="AA6" s="88">
        <f t="shared" ref="AA6:AH7" si="2">(100%-$B6)*AA$5</f>
        <v>2163164.9263271461</v>
      </c>
      <c r="AB6" s="88">
        <f t="shared" si="2"/>
        <v>1719283.961581138</v>
      </c>
      <c r="AC6" s="88">
        <f t="shared" si="2"/>
        <v>1305703.5525907229</v>
      </c>
      <c r="AD6" s="88">
        <f t="shared" si="2"/>
        <v>2263461.1294406466</v>
      </c>
      <c r="AE6" s="88">
        <f t="shared" si="2"/>
        <v>3760239.661016949</v>
      </c>
      <c r="AF6" s="88">
        <f t="shared" si="2"/>
        <v>5661241.0169491516</v>
      </c>
      <c r="AG6" s="88">
        <f t="shared" si="2"/>
        <v>5670878.6440677959</v>
      </c>
      <c r="AH6" s="88">
        <f t="shared" si="2"/>
        <v>1891363.728813559</v>
      </c>
    </row>
    <row r="7" spans="1:34" x14ac:dyDescent="0.25">
      <c r="A7" s="88" t="s">
        <v>339</v>
      </c>
      <c r="B7" s="131">
        <f>B20</f>
        <v>0.2</v>
      </c>
      <c r="C7" s="132"/>
      <c r="D7" s="128"/>
      <c r="E7" s="98"/>
      <c r="F7" s="97"/>
      <c r="G7" s="88">
        <f t="shared" si="0"/>
        <v>-76071.687191283301</v>
      </c>
      <c r="H7" s="88">
        <f t="shared" si="0"/>
        <v>-540180.20842638484</v>
      </c>
      <c r="I7" s="88">
        <f t="shared" si="0"/>
        <v>-874833.49418103066</v>
      </c>
      <c r="J7" s="88">
        <f t="shared" si="0"/>
        <v>-1178835.1433561516</v>
      </c>
      <c r="K7" s="88">
        <f t="shared" si="0"/>
        <v>-777077.77822683519</v>
      </c>
      <c r="L7" s="88">
        <f t="shared" si="0"/>
        <v>-263562.79762712587</v>
      </c>
      <c r="M7" s="88">
        <f t="shared" si="0"/>
        <v>11405.807794151719</v>
      </c>
      <c r="N7" s="88">
        <f t="shared" si="0"/>
        <v>190112.18702184196</v>
      </c>
      <c r="O7" s="88">
        <f t="shared" si="0"/>
        <v>387609.02733761811</v>
      </c>
      <c r="P7" s="88">
        <f t="shared" si="0"/>
        <v>935049.71876356774</v>
      </c>
      <c r="Q7" s="88">
        <f t="shared" si="1"/>
        <v>1453438.0220006229</v>
      </c>
      <c r="R7" s="88">
        <f t="shared" si="1"/>
        <v>1952245.9587797683</v>
      </c>
      <c r="S7" s="88">
        <f t="shared" si="1"/>
        <v>2052694.9944660552</v>
      </c>
      <c r="T7" s="88">
        <f t="shared" si="1"/>
        <v>1384222.8202838767</v>
      </c>
      <c r="U7" s="88">
        <f t="shared" si="1"/>
        <v>1100056.1246698552</v>
      </c>
      <c r="V7" s="88">
        <f t="shared" si="1"/>
        <v>1833304.4395263521</v>
      </c>
      <c r="W7" s="88">
        <f t="shared" si="1"/>
        <v>2542665.7370445449</v>
      </c>
      <c r="X7" s="88">
        <f t="shared" si="1"/>
        <v>3209860.8602251094</v>
      </c>
      <c r="Y7" s="88">
        <f t="shared" si="1"/>
        <v>3202821.9090680475</v>
      </c>
      <c r="Z7" s="88">
        <f t="shared" si="1"/>
        <v>1885696.1550192335</v>
      </c>
      <c r="AA7" s="88">
        <f t="shared" si="2"/>
        <v>1922813.267846352</v>
      </c>
      <c r="AB7" s="88">
        <f t="shared" si="2"/>
        <v>1528252.4102943449</v>
      </c>
      <c r="AC7" s="88">
        <f t="shared" si="2"/>
        <v>1160625.3800806426</v>
      </c>
      <c r="AD7" s="88">
        <f t="shared" si="2"/>
        <v>2011965.4483916862</v>
      </c>
      <c r="AE7" s="88">
        <f t="shared" si="2"/>
        <v>3342435.2542372881</v>
      </c>
      <c r="AF7" s="88">
        <f t="shared" si="2"/>
        <v>5032214.2372881351</v>
      </c>
      <c r="AG7" s="88">
        <f t="shared" si="2"/>
        <v>5040781.0169491516</v>
      </c>
      <c r="AH7" s="88">
        <f t="shared" si="2"/>
        <v>1681212.2033898302</v>
      </c>
    </row>
    <row r="8" spans="1:34" x14ac:dyDescent="0.25">
      <c r="A8" s="88" t="s">
        <v>339</v>
      </c>
      <c r="B8" s="131">
        <f>B21</f>
        <v>0.3</v>
      </c>
      <c r="C8" s="132"/>
      <c r="D8" s="128"/>
      <c r="E8" s="98"/>
      <c r="F8" s="97"/>
      <c r="G8" s="88">
        <f t="shared" ref="G8:AH8" si="3">(100%-$B8)*G$5</f>
        <v>-66562.726292372885</v>
      </c>
      <c r="H8" s="88">
        <f t="shared" si="3"/>
        <v>-472657.68237308669</v>
      </c>
      <c r="I8" s="88">
        <f t="shared" si="3"/>
        <v>-765479.30740840174</v>
      </c>
      <c r="J8" s="88">
        <f t="shared" si="3"/>
        <v>-1031480.7504366327</v>
      </c>
      <c r="K8" s="88">
        <f t="shared" si="3"/>
        <v>-679943.05594848073</v>
      </c>
      <c r="L8" s="88">
        <f t="shared" si="3"/>
        <v>-230617.4479237351</v>
      </c>
      <c r="M8" s="88">
        <f t="shared" si="3"/>
        <v>9980.081819882751</v>
      </c>
      <c r="N8" s="88">
        <f t="shared" si="3"/>
        <v>166348.16364411169</v>
      </c>
      <c r="O8" s="88">
        <f t="shared" si="3"/>
        <v>339157.89892041578</v>
      </c>
      <c r="P8" s="88">
        <f t="shared" si="3"/>
        <v>818168.50391812169</v>
      </c>
      <c r="Q8" s="88">
        <f t="shared" si="3"/>
        <v>1271758.2692505447</v>
      </c>
      <c r="R8" s="88">
        <f t="shared" si="3"/>
        <v>1708215.2139322972</v>
      </c>
      <c r="S8" s="88">
        <f t="shared" si="3"/>
        <v>1796108.1201577983</v>
      </c>
      <c r="T8" s="88">
        <f t="shared" si="3"/>
        <v>1211194.9677483919</v>
      </c>
      <c r="U8" s="88">
        <f t="shared" si="3"/>
        <v>962549.10908612318</v>
      </c>
      <c r="V8" s="88">
        <f t="shared" si="3"/>
        <v>1604141.3845855577</v>
      </c>
      <c r="W8" s="88">
        <f t="shared" si="3"/>
        <v>2224832.5199139765</v>
      </c>
      <c r="X8" s="88">
        <f t="shared" si="3"/>
        <v>2808628.2526969705</v>
      </c>
      <c r="Y8" s="88">
        <f t="shared" si="3"/>
        <v>2802469.1704345411</v>
      </c>
      <c r="Z8" s="88">
        <f t="shared" si="3"/>
        <v>1649984.1356418291</v>
      </c>
      <c r="AA8" s="88">
        <f t="shared" si="3"/>
        <v>1682461.6093655578</v>
      </c>
      <c r="AB8" s="88">
        <f t="shared" si="3"/>
        <v>1337220.8590075516</v>
      </c>
      <c r="AC8" s="88">
        <f t="shared" si="3"/>
        <v>1015547.2075705621</v>
      </c>
      <c r="AD8" s="88">
        <f t="shared" si="3"/>
        <v>1760469.7673427251</v>
      </c>
      <c r="AE8" s="88">
        <f t="shared" si="3"/>
        <v>2924630.8474576268</v>
      </c>
      <c r="AF8" s="88">
        <f t="shared" si="3"/>
        <v>4403187.4576271176</v>
      </c>
      <c r="AG8" s="88">
        <f t="shared" si="3"/>
        <v>4410683.3898305073</v>
      </c>
      <c r="AH8" s="88">
        <f t="shared" si="3"/>
        <v>1471060.6779661013</v>
      </c>
    </row>
    <row r="9" spans="1:34" x14ac:dyDescent="0.25">
      <c r="A9" s="88" t="s">
        <v>340</v>
      </c>
      <c r="B9" s="131"/>
      <c r="C9" s="132"/>
      <c r="D9" s="128"/>
      <c r="E9" s="98"/>
      <c r="F9" s="97"/>
      <c r="G9" s="88">
        <v>0</v>
      </c>
      <c r="H9" s="87">
        <f>G5</f>
        <v>-95089.608989104119</v>
      </c>
      <c r="I9" s="87">
        <f t="shared" ref="I9:AH9" si="4">H5</f>
        <v>-675225.26053298102</v>
      </c>
      <c r="J9" s="87">
        <f t="shared" si="4"/>
        <v>-1093541.8677262883</v>
      </c>
      <c r="K9" s="87">
        <f t="shared" si="4"/>
        <v>-1473543.9291951896</v>
      </c>
      <c r="L9" s="87">
        <f t="shared" si="4"/>
        <v>-971347.22278354398</v>
      </c>
      <c r="M9" s="87">
        <f t="shared" si="4"/>
        <v>-329453.49703390733</v>
      </c>
      <c r="N9" s="87">
        <f t="shared" si="4"/>
        <v>14257.259742689646</v>
      </c>
      <c r="O9" s="87">
        <f t="shared" si="4"/>
        <v>237640.23377730243</v>
      </c>
      <c r="P9" s="87">
        <f t="shared" si="4"/>
        <v>484511.2841720226</v>
      </c>
      <c r="Q9" s="87">
        <f t="shared" si="4"/>
        <v>1168812.1484544596</v>
      </c>
      <c r="R9" s="87">
        <f t="shared" si="4"/>
        <v>1816797.5275007784</v>
      </c>
      <c r="S9" s="87">
        <f t="shared" si="4"/>
        <v>2440307.4484747103</v>
      </c>
      <c r="T9" s="87">
        <f t="shared" si="4"/>
        <v>2565868.743082569</v>
      </c>
      <c r="U9" s="87">
        <f t="shared" si="4"/>
        <v>1730278.5253548457</v>
      </c>
      <c r="V9" s="87">
        <f t="shared" si="4"/>
        <v>1375070.1558373189</v>
      </c>
      <c r="W9" s="87">
        <f t="shared" si="4"/>
        <v>2291630.5494079399</v>
      </c>
      <c r="X9" s="87">
        <f t="shared" si="4"/>
        <v>3178332.1713056811</v>
      </c>
      <c r="Y9" s="87">
        <f t="shared" si="4"/>
        <v>4012326.0752813867</v>
      </c>
      <c r="Z9" s="87">
        <f t="shared" si="4"/>
        <v>4003527.3863350591</v>
      </c>
      <c r="AA9" s="87">
        <f t="shared" si="4"/>
        <v>2357120.1937740417</v>
      </c>
      <c r="AB9" s="87">
        <f t="shared" si="4"/>
        <v>2403516.5848079398</v>
      </c>
      <c r="AC9" s="87">
        <f t="shared" si="4"/>
        <v>1910315.512867931</v>
      </c>
      <c r="AD9" s="87">
        <f t="shared" si="4"/>
        <v>1450781.7251008032</v>
      </c>
      <c r="AE9" s="87">
        <f t="shared" si="4"/>
        <v>2514956.8104896075</v>
      </c>
      <c r="AF9" s="87">
        <f t="shared" si="4"/>
        <v>4178044.0677966098</v>
      </c>
      <c r="AG9" s="87">
        <f t="shared" si="4"/>
        <v>6290267.7966101682</v>
      </c>
      <c r="AH9" s="87">
        <f t="shared" si="4"/>
        <v>6300976.2711864393</v>
      </c>
    </row>
    <row r="10" spans="1:34" x14ac:dyDescent="0.25">
      <c r="A10" s="88" t="s">
        <v>341</v>
      </c>
      <c r="B10" s="131"/>
      <c r="C10" s="132"/>
      <c r="D10" s="128"/>
      <c r="E10" s="98"/>
      <c r="F10" s="97"/>
      <c r="G10" s="88">
        <v>0</v>
      </c>
      <c r="H10" s="87">
        <v>0</v>
      </c>
      <c r="I10" s="87">
        <f>G5</f>
        <v>-95089.608989104119</v>
      </c>
      <c r="J10" s="87">
        <f t="shared" ref="J10:AH10" si="5">H5</f>
        <v>-675225.26053298102</v>
      </c>
      <c r="K10" s="87">
        <f t="shared" si="5"/>
        <v>-1093541.8677262883</v>
      </c>
      <c r="L10" s="87">
        <f t="shared" si="5"/>
        <v>-1473543.9291951896</v>
      </c>
      <c r="M10" s="87">
        <f t="shared" si="5"/>
        <v>-971347.22278354398</v>
      </c>
      <c r="N10" s="87">
        <f t="shared" si="5"/>
        <v>-329453.49703390733</v>
      </c>
      <c r="O10" s="87">
        <f t="shared" si="5"/>
        <v>14257.259742689646</v>
      </c>
      <c r="P10" s="87">
        <f t="shared" si="5"/>
        <v>237640.23377730243</v>
      </c>
      <c r="Q10" s="87">
        <f t="shared" si="5"/>
        <v>484511.2841720226</v>
      </c>
      <c r="R10" s="87">
        <f t="shared" si="5"/>
        <v>1168812.1484544596</v>
      </c>
      <c r="S10" s="87">
        <f t="shared" si="5"/>
        <v>1816797.5275007784</v>
      </c>
      <c r="T10" s="87">
        <f t="shared" si="5"/>
        <v>2440307.4484747103</v>
      </c>
      <c r="U10" s="87">
        <f t="shared" si="5"/>
        <v>2565868.743082569</v>
      </c>
      <c r="V10" s="87">
        <f t="shared" si="5"/>
        <v>1730278.5253548457</v>
      </c>
      <c r="W10" s="87">
        <f t="shared" si="5"/>
        <v>1375070.1558373189</v>
      </c>
      <c r="X10" s="87">
        <f t="shared" si="5"/>
        <v>2291630.5494079399</v>
      </c>
      <c r="Y10" s="87">
        <f t="shared" si="5"/>
        <v>3178332.1713056811</v>
      </c>
      <c r="Z10" s="87">
        <f t="shared" si="5"/>
        <v>4012326.0752813867</v>
      </c>
      <c r="AA10" s="87">
        <f t="shared" si="5"/>
        <v>4003527.3863350591</v>
      </c>
      <c r="AB10" s="87">
        <f t="shared" si="5"/>
        <v>2357120.1937740417</v>
      </c>
      <c r="AC10" s="87">
        <f t="shared" si="5"/>
        <v>2403516.5848079398</v>
      </c>
      <c r="AD10" s="87">
        <f t="shared" si="5"/>
        <v>1910315.512867931</v>
      </c>
      <c r="AE10" s="87">
        <f t="shared" si="5"/>
        <v>1450781.7251008032</v>
      </c>
      <c r="AF10" s="87">
        <f t="shared" si="5"/>
        <v>2514956.8104896075</v>
      </c>
      <c r="AG10" s="87">
        <f t="shared" si="5"/>
        <v>4178044.0677966098</v>
      </c>
      <c r="AH10" s="87">
        <f t="shared" si="5"/>
        <v>6290267.7966101682</v>
      </c>
    </row>
    <row r="11" spans="1:34" x14ac:dyDescent="0.25">
      <c r="A11" s="88" t="s">
        <v>342</v>
      </c>
      <c r="B11" s="131"/>
      <c r="C11" s="132"/>
      <c r="D11" s="128"/>
      <c r="E11" s="98"/>
      <c r="F11" s="97"/>
      <c r="G11" s="88">
        <v>0</v>
      </c>
      <c r="H11" s="87">
        <v>0</v>
      </c>
      <c r="I11" s="87">
        <v>0</v>
      </c>
      <c r="J11" s="87">
        <f>G5</f>
        <v>-95089.608989104119</v>
      </c>
      <c r="K11" s="87">
        <f t="shared" ref="K11:AH11" si="6">H5</f>
        <v>-675225.26053298102</v>
      </c>
      <c r="L11" s="87">
        <f t="shared" si="6"/>
        <v>-1093541.8677262883</v>
      </c>
      <c r="M11" s="87">
        <f t="shared" si="6"/>
        <v>-1473543.9291951896</v>
      </c>
      <c r="N11" s="87">
        <f t="shared" si="6"/>
        <v>-971347.22278354398</v>
      </c>
      <c r="O11" s="87">
        <f t="shared" si="6"/>
        <v>-329453.49703390733</v>
      </c>
      <c r="P11" s="87">
        <f t="shared" si="6"/>
        <v>14257.259742689646</v>
      </c>
      <c r="Q11" s="87">
        <f t="shared" si="6"/>
        <v>237640.23377730243</v>
      </c>
      <c r="R11" s="87">
        <f t="shared" si="6"/>
        <v>484511.2841720226</v>
      </c>
      <c r="S11" s="87">
        <f t="shared" si="6"/>
        <v>1168812.1484544596</v>
      </c>
      <c r="T11" s="87">
        <f t="shared" si="6"/>
        <v>1816797.5275007784</v>
      </c>
      <c r="U11" s="87">
        <f t="shared" si="6"/>
        <v>2440307.4484747103</v>
      </c>
      <c r="V11" s="87">
        <f t="shared" si="6"/>
        <v>2565868.743082569</v>
      </c>
      <c r="W11" s="87">
        <f t="shared" si="6"/>
        <v>1730278.5253548457</v>
      </c>
      <c r="X11" s="87">
        <f t="shared" si="6"/>
        <v>1375070.1558373189</v>
      </c>
      <c r="Y11" s="87">
        <f t="shared" si="6"/>
        <v>2291630.5494079399</v>
      </c>
      <c r="Z11" s="87">
        <f t="shared" si="6"/>
        <v>3178332.1713056811</v>
      </c>
      <c r="AA11" s="87">
        <f t="shared" si="6"/>
        <v>4012326.0752813867</v>
      </c>
      <c r="AB11" s="87">
        <f t="shared" si="6"/>
        <v>4003527.3863350591</v>
      </c>
      <c r="AC11" s="87">
        <f t="shared" si="6"/>
        <v>2357120.1937740417</v>
      </c>
      <c r="AD11" s="87">
        <f t="shared" si="6"/>
        <v>2403516.5848079398</v>
      </c>
      <c r="AE11" s="87">
        <f t="shared" si="6"/>
        <v>1910315.512867931</v>
      </c>
      <c r="AF11" s="87">
        <f t="shared" si="6"/>
        <v>1450781.7251008032</v>
      </c>
      <c r="AG11" s="87">
        <f t="shared" si="6"/>
        <v>2514956.8104896075</v>
      </c>
      <c r="AH11" s="87">
        <f t="shared" si="6"/>
        <v>4178044.0677966098</v>
      </c>
    </row>
    <row r="12" spans="1:34" x14ac:dyDescent="0.25">
      <c r="B12" s="98"/>
      <c r="C12" s="132"/>
      <c r="D12" s="128"/>
      <c r="E12" s="98"/>
      <c r="F12" s="97"/>
    </row>
    <row r="13" spans="1:34" x14ac:dyDescent="0.25">
      <c r="A13" s="99" t="s">
        <v>343</v>
      </c>
      <c r="B13" s="102"/>
      <c r="C13" s="101"/>
      <c r="D13" s="102"/>
      <c r="E13" s="102"/>
      <c r="F13" s="100"/>
      <c r="G13" s="103">
        <f>Aggr!C41</f>
        <v>980149</v>
      </c>
      <c r="H13" s="103">
        <f>Aggr!D41</f>
        <v>1744288.9</v>
      </c>
      <c r="I13" s="103">
        <f>Aggr!E41</f>
        <v>1846831.0999999999</v>
      </c>
      <c r="J13" s="103">
        <f>Aggr!F41</f>
        <v>1719671.0999999999</v>
      </c>
      <c r="K13" s="103">
        <f>Aggr!G41</f>
        <v>1332700.3</v>
      </c>
      <c r="L13" s="103">
        <f>Aggr!H41</f>
        <v>84436.40400000001</v>
      </c>
      <c r="M13" s="103">
        <f>Aggr!I41</f>
        <v>84436.40400000001</v>
      </c>
      <c r="N13" s="103">
        <f>Aggr!J41</f>
        <v>84436.40400000001</v>
      </c>
      <c r="O13" s="103">
        <f>Aggr!K41</f>
        <v>84436.40400000001</v>
      </c>
      <c r="P13" s="103">
        <f>Aggr!L41</f>
        <v>84436.40400000001</v>
      </c>
      <c r="Q13" s="103">
        <f>Aggr!M41</f>
        <v>84436.40400000001</v>
      </c>
      <c r="R13" s="103">
        <f>Aggr!N41</f>
        <v>84436.40400000001</v>
      </c>
      <c r="S13" s="103">
        <f>Aggr!O41</f>
        <v>84436.40400000001</v>
      </c>
      <c r="T13" s="103">
        <f>Aggr!P41</f>
        <v>84436.40400000001</v>
      </c>
      <c r="U13" s="103">
        <f>Aggr!Q41</f>
        <v>84436.40400000001</v>
      </c>
      <c r="V13" s="103">
        <f>Aggr!R41</f>
        <v>84436.40400000001</v>
      </c>
      <c r="W13" s="103">
        <f>Aggr!S41</f>
        <v>84436.40400000001</v>
      </c>
      <c r="X13" s="103">
        <f>Aggr!T41</f>
        <v>84436.40400000001</v>
      </c>
      <c r="Y13" s="103">
        <f>Aggr!U41</f>
        <v>84436.40400000001</v>
      </c>
      <c r="Z13" s="103">
        <f>Aggr!V41</f>
        <v>84436.40400000001</v>
      </c>
      <c r="AA13" s="103">
        <f>Aggr!W41</f>
        <v>84436.40400000001</v>
      </c>
      <c r="AB13" s="103">
        <f>Aggr!X41</f>
        <v>84436.40400000001</v>
      </c>
      <c r="AC13" s="103">
        <f>Aggr!Y41</f>
        <v>84436.40400000001</v>
      </c>
      <c r="AD13" s="103">
        <f>Aggr!Z41</f>
        <v>84436.40400000001</v>
      </c>
      <c r="AE13" s="103">
        <f>Aggr!AA41</f>
        <v>84436.40400000001</v>
      </c>
      <c r="AF13" s="103">
        <f>Aggr!AB41</f>
        <v>84436.40400000001</v>
      </c>
      <c r="AG13" s="103">
        <f>Aggr!AC41</f>
        <v>84436.40400000001</v>
      </c>
      <c r="AH13" s="103">
        <f>Aggr!AD41</f>
        <v>84436.40400000001</v>
      </c>
    </row>
    <row r="14" spans="1:34" x14ac:dyDescent="0.25">
      <c r="A14" s="88" t="s">
        <v>344</v>
      </c>
      <c r="B14" s="114">
        <f>B25</f>
        <v>0.1</v>
      </c>
      <c r="C14" s="132"/>
      <c r="D14" s="128"/>
      <c r="E14" s="98"/>
      <c r="F14" s="97"/>
      <c r="G14" s="105">
        <f>G$13*(100%+$B14)</f>
        <v>1078163.9000000001</v>
      </c>
      <c r="H14" s="105">
        <f t="shared" ref="H14:AF17" si="7">H$13*(100%+$B14)</f>
        <v>1918717.79</v>
      </c>
      <c r="I14" s="105">
        <f t="shared" si="7"/>
        <v>2031514.21</v>
      </c>
      <c r="J14" s="105">
        <f t="shared" si="7"/>
        <v>1891638.21</v>
      </c>
      <c r="K14" s="105">
        <f t="shared" si="7"/>
        <v>1465970.33</v>
      </c>
      <c r="L14" s="105">
        <f t="shared" si="7"/>
        <v>92880.044400000013</v>
      </c>
      <c r="M14" s="105">
        <f t="shared" si="7"/>
        <v>92880.044400000013</v>
      </c>
      <c r="N14" s="105">
        <f t="shared" si="7"/>
        <v>92880.044400000013</v>
      </c>
      <c r="O14" s="105">
        <f t="shared" si="7"/>
        <v>92880.044400000013</v>
      </c>
      <c r="P14" s="105">
        <f t="shared" si="7"/>
        <v>92880.044400000013</v>
      </c>
      <c r="Q14" s="105">
        <f t="shared" si="7"/>
        <v>92880.044400000013</v>
      </c>
      <c r="R14" s="105">
        <f t="shared" si="7"/>
        <v>92880.044400000013</v>
      </c>
      <c r="S14" s="105">
        <f t="shared" si="7"/>
        <v>92880.044400000013</v>
      </c>
      <c r="T14" s="105">
        <f t="shared" si="7"/>
        <v>92880.044400000013</v>
      </c>
      <c r="U14" s="105">
        <f t="shared" si="7"/>
        <v>92880.044400000013</v>
      </c>
      <c r="V14" s="105">
        <f t="shared" si="7"/>
        <v>92880.044400000013</v>
      </c>
      <c r="W14" s="105">
        <f t="shared" si="7"/>
        <v>92880.044400000013</v>
      </c>
      <c r="X14" s="105">
        <f t="shared" si="7"/>
        <v>92880.044400000013</v>
      </c>
      <c r="Y14" s="105">
        <f t="shared" si="7"/>
        <v>92880.044400000013</v>
      </c>
      <c r="Z14" s="105">
        <f t="shared" si="7"/>
        <v>92880.044400000013</v>
      </c>
      <c r="AA14" s="105">
        <f t="shared" si="7"/>
        <v>92880.044400000013</v>
      </c>
      <c r="AB14" s="105">
        <f t="shared" si="7"/>
        <v>92880.044400000013</v>
      </c>
      <c r="AC14" s="105">
        <f t="shared" si="7"/>
        <v>92880.044400000013</v>
      </c>
      <c r="AD14" s="105">
        <f t="shared" si="7"/>
        <v>92880.044400000013</v>
      </c>
      <c r="AE14" s="105">
        <f t="shared" si="7"/>
        <v>92880.044400000013</v>
      </c>
      <c r="AF14" s="105">
        <f t="shared" si="7"/>
        <v>92880.044400000013</v>
      </c>
      <c r="AG14" s="105">
        <f t="shared" ref="AF14:AH17" si="8">AG$13*(100%+$B14)</f>
        <v>92880.044400000013</v>
      </c>
      <c r="AH14" s="105">
        <f t="shared" si="8"/>
        <v>92880.044400000013</v>
      </c>
    </row>
    <row r="15" spans="1:34" x14ac:dyDescent="0.25">
      <c r="A15" s="88" t="s">
        <v>344</v>
      </c>
      <c r="B15" s="114">
        <f>B26</f>
        <v>0.2</v>
      </c>
      <c r="C15" s="132"/>
      <c r="D15" s="128"/>
      <c r="E15" s="98"/>
      <c r="F15" s="97"/>
      <c r="G15" s="105">
        <f>G$13*(100%+$B15)</f>
        <v>1176178.8</v>
      </c>
      <c r="H15" s="105">
        <f t="shared" si="7"/>
        <v>2093146.6799999997</v>
      </c>
      <c r="I15" s="105">
        <f t="shared" si="7"/>
        <v>2216197.3199999998</v>
      </c>
      <c r="J15" s="105">
        <f t="shared" si="7"/>
        <v>2063605.3199999998</v>
      </c>
      <c r="K15" s="105">
        <f t="shared" si="7"/>
        <v>1599240.36</v>
      </c>
      <c r="L15" s="105">
        <f t="shared" si="7"/>
        <v>101323.6848</v>
      </c>
      <c r="M15" s="105">
        <f t="shared" si="7"/>
        <v>101323.6848</v>
      </c>
      <c r="N15" s="105">
        <f t="shared" si="7"/>
        <v>101323.6848</v>
      </c>
      <c r="O15" s="105">
        <f t="shared" si="7"/>
        <v>101323.6848</v>
      </c>
      <c r="P15" s="105">
        <f t="shared" si="7"/>
        <v>101323.6848</v>
      </c>
      <c r="Q15" s="105">
        <f t="shared" si="7"/>
        <v>101323.6848</v>
      </c>
      <c r="R15" s="105">
        <f t="shared" si="7"/>
        <v>101323.6848</v>
      </c>
      <c r="S15" s="105">
        <f t="shared" si="7"/>
        <v>101323.6848</v>
      </c>
      <c r="T15" s="105">
        <f t="shared" si="7"/>
        <v>101323.6848</v>
      </c>
      <c r="U15" s="105">
        <f t="shared" si="7"/>
        <v>101323.6848</v>
      </c>
      <c r="V15" s="105">
        <f t="shared" si="7"/>
        <v>101323.6848</v>
      </c>
      <c r="W15" s="105">
        <f t="shared" si="7"/>
        <v>101323.6848</v>
      </c>
      <c r="X15" s="105">
        <f t="shared" si="7"/>
        <v>101323.6848</v>
      </c>
      <c r="Y15" s="105">
        <f t="shared" si="7"/>
        <v>101323.6848</v>
      </c>
      <c r="Z15" s="105">
        <f t="shared" si="7"/>
        <v>101323.6848</v>
      </c>
      <c r="AA15" s="105">
        <f t="shared" si="7"/>
        <v>101323.6848</v>
      </c>
      <c r="AB15" s="105">
        <f t="shared" si="7"/>
        <v>101323.6848</v>
      </c>
      <c r="AC15" s="105">
        <f t="shared" si="7"/>
        <v>101323.6848</v>
      </c>
      <c r="AD15" s="105">
        <f t="shared" si="7"/>
        <v>101323.6848</v>
      </c>
      <c r="AE15" s="105">
        <f t="shared" si="7"/>
        <v>101323.6848</v>
      </c>
      <c r="AF15" s="105">
        <f t="shared" si="8"/>
        <v>101323.6848</v>
      </c>
      <c r="AG15" s="105">
        <f t="shared" si="8"/>
        <v>101323.6848</v>
      </c>
      <c r="AH15" s="105">
        <f t="shared" si="8"/>
        <v>101323.6848</v>
      </c>
    </row>
    <row r="16" spans="1:34" x14ac:dyDescent="0.25">
      <c r="A16" s="88" t="s">
        <v>344</v>
      </c>
      <c r="B16" s="114">
        <f>B27</f>
        <v>0.3</v>
      </c>
      <c r="C16" s="132"/>
      <c r="D16" s="128"/>
      <c r="E16" s="98"/>
      <c r="F16" s="97"/>
      <c r="G16" s="105">
        <f>G$13*(100%+$B16)</f>
        <v>1274193.7</v>
      </c>
      <c r="H16" s="105">
        <f t="shared" si="7"/>
        <v>2267575.5699999998</v>
      </c>
      <c r="I16" s="105">
        <f t="shared" si="7"/>
        <v>2400880.4299999997</v>
      </c>
      <c r="J16" s="105">
        <f t="shared" si="7"/>
        <v>2235572.4299999997</v>
      </c>
      <c r="K16" s="105">
        <f t="shared" si="7"/>
        <v>1732510.3900000001</v>
      </c>
      <c r="L16" s="105">
        <f t="shared" si="7"/>
        <v>109767.32520000002</v>
      </c>
      <c r="M16" s="105">
        <f t="shared" si="7"/>
        <v>109767.32520000002</v>
      </c>
      <c r="N16" s="105">
        <f t="shared" si="7"/>
        <v>109767.32520000002</v>
      </c>
      <c r="O16" s="105">
        <f t="shared" si="7"/>
        <v>109767.32520000002</v>
      </c>
      <c r="P16" s="105">
        <f t="shared" si="7"/>
        <v>109767.32520000002</v>
      </c>
      <c r="Q16" s="105">
        <f t="shared" si="7"/>
        <v>109767.32520000002</v>
      </c>
      <c r="R16" s="105">
        <f t="shared" si="7"/>
        <v>109767.32520000002</v>
      </c>
      <c r="S16" s="105">
        <f t="shared" si="7"/>
        <v>109767.32520000002</v>
      </c>
      <c r="T16" s="105">
        <f t="shared" si="7"/>
        <v>109767.32520000002</v>
      </c>
      <c r="U16" s="105">
        <f t="shared" si="7"/>
        <v>109767.32520000002</v>
      </c>
      <c r="V16" s="105">
        <f t="shared" si="7"/>
        <v>109767.32520000002</v>
      </c>
      <c r="W16" s="105">
        <f t="shared" si="7"/>
        <v>109767.32520000002</v>
      </c>
      <c r="X16" s="105">
        <f t="shared" si="7"/>
        <v>109767.32520000002</v>
      </c>
      <c r="Y16" s="105">
        <f t="shared" si="7"/>
        <v>109767.32520000002</v>
      </c>
      <c r="Z16" s="105">
        <f t="shared" si="7"/>
        <v>109767.32520000002</v>
      </c>
      <c r="AA16" s="105">
        <f t="shared" si="7"/>
        <v>109767.32520000002</v>
      </c>
      <c r="AB16" s="105">
        <f t="shared" si="7"/>
        <v>109767.32520000002</v>
      </c>
      <c r="AC16" s="105">
        <f t="shared" si="7"/>
        <v>109767.32520000002</v>
      </c>
      <c r="AD16" s="105">
        <f t="shared" si="7"/>
        <v>109767.32520000002</v>
      </c>
      <c r="AE16" s="105">
        <f t="shared" si="7"/>
        <v>109767.32520000002</v>
      </c>
      <c r="AF16" s="105">
        <f t="shared" si="8"/>
        <v>109767.32520000002</v>
      </c>
      <c r="AG16" s="105">
        <f t="shared" si="8"/>
        <v>109767.32520000002</v>
      </c>
      <c r="AH16" s="105">
        <f t="shared" si="8"/>
        <v>109767.32520000002</v>
      </c>
    </row>
    <row r="17" spans="1:34" x14ac:dyDescent="0.25">
      <c r="A17" s="88" t="s">
        <v>344</v>
      </c>
      <c r="B17" s="114">
        <f>B28</f>
        <v>0.4</v>
      </c>
      <c r="C17" s="132"/>
      <c r="D17" s="128"/>
      <c r="E17" s="98"/>
      <c r="F17" s="97"/>
      <c r="G17" s="105">
        <f>G$13*(100%+$B17)</f>
        <v>1372208.5999999999</v>
      </c>
      <c r="H17" s="105">
        <f t="shared" si="7"/>
        <v>2442004.4599999995</v>
      </c>
      <c r="I17" s="105">
        <f t="shared" si="7"/>
        <v>2585563.5399999996</v>
      </c>
      <c r="J17" s="105">
        <f t="shared" si="7"/>
        <v>2407539.5399999996</v>
      </c>
      <c r="K17" s="105">
        <f t="shared" si="7"/>
        <v>1865780.42</v>
      </c>
      <c r="L17" s="105">
        <f t="shared" si="7"/>
        <v>118210.96560000001</v>
      </c>
      <c r="M17" s="105">
        <f t="shared" si="7"/>
        <v>118210.96560000001</v>
      </c>
      <c r="N17" s="105">
        <f t="shared" si="7"/>
        <v>118210.96560000001</v>
      </c>
      <c r="O17" s="105">
        <f t="shared" si="7"/>
        <v>118210.96560000001</v>
      </c>
      <c r="P17" s="105">
        <f t="shared" si="7"/>
        <v>118210.96560000001</v>
      </c>
      <c r="Q17" s="105">
        <f t="shared" si="7"/>
        <v>118210.96560000001</v>
      </c>
      <c r="R17" s="105">
        <f t="shared" si="7"/>
        <v>118210.96560000001</v>
      </c>
      <c r="S17" s="105">
        <f t="shared" si="7"/>
        <v>118210.96560000001</v>
      </c>
      <c r="T17" s="105">
        <f t="shared" si="7"/>
        <v>118210.96560000001</v>
      </c>
      <c r="U17" s="105">
        <f t="shared" si="7"/>
        <v>118210.96560000001</v>
      </c>
      <c r="V17" s="105">
        <f t="shared" si="7"/>
        <v>118210.96560000001</v>
      </c>
      <c r="W17" s="105">
        <f t="shared" si="7"/>
        <v>118210.96560000001</v>
      </c>
      <c r="X17" s="105">
        <f t="shared" si="7"/>
        <v>118210.96560000001</v>
      </c>
      <c r="Y17" s="105">
        <f t="shared" si="7"/>
        <v>118210.96560000001</v>
      </c>
      <c r="Z17" s="105">
        <f t="shared" si="7"/>
        <v>118210.96560000001</v>
      </c>
      <c r="AA17" s="105">
        <f t="shared" si="7"/>
        <v>118210.96560000001</v>
      </c>
      <c r="AB17" s="105">
        <f t="shared" si="7"/>
        <v>118210.96560000001</v>
      </c>
      <c r="AC17" s="105">
        <f t="shared" si="7"/>
        <v>118210.96560000001</v>
      </c>
      <c r="AD17" s="105">
        <f t="shared" si="7"/>
        <v>118210.96560000001</v>
      </c>
      <c r="AE17" s="105">
        <f t="shared" si="7"/>
        <v>118210.96560000001</v>
      </c>
      <c r="AF17" s="105">
        <f t="shared" si="8"/>
        <v>118210.96560000001</v>
      </c>
      <c r="AG17" s="105">
        <f t="shared" si="8"/>
        <v>118210.96560000001</v>
      </c>
      <c r="AH17" s="105">
        <f t="shared" si="8"/>
        <v>118210.96560000001</v>
      </c>
    </row>
    <row r="18" spans="1:34" x14ac:dyDescent="0.25">
      <c r="A18" s="99" t="s">
        <v>345</v>
      </c>
      <c r="B18" s="113"/>
      <c r="C18" s="107">
        <f t="shared" ref="C18:C37" si="9">NPV(disc_rate_econ,G18:Z18)</f>
        <v>-978110.63442250376</v>
      </c>
      <c r="D18" s="124">
        <f t="shared" ref="D18:D37" si="10">IRR(G18:Z18)</f>
        <v>6.5347934025348442E-2</v>
      </c>
      <c r="E18" s="108">
        <f t="shared" ref="E18:E37" si="11">NPV(disc_rate_econ,G18:AH18)</f>
        <v>3355307.2386282547</v>
      </c>
      <c r="F18" s="123">
        <f t="shared" ref="F18:F37" si="12">IRR(G18:AH18)</f>
        <v>9.6876398624577309E-2</v>
      </c>
      <c r="G18" s="103">
        <f>Aggr!C43</f>
        <v>-1075238.6089891042</v>
      </c>
      <c r="H18" s="103">
        <f>Aggr!D43</f>
        <v>-2419514.1605329812</v>
      </c>
      <c r="I18" s="103">
        <f>Aggr!E43</f>
        <v>-2940372.9677262884</v>
      </c>
      <c r="J18" s="103">
        <f>Aggr!F43</f>
        <v>-3193215.0291951895</v>
      </c>
      <c r="K18" s="103">
        <f>Aggr!G43</f>
        <v>-2304047.5227835439</v>
      </c>
      <c r="L18" s="103">
        <f>Aggr!H43</f>
        <v>-413889.90103390731</v>
      </c>
      <c r="M18" s="103">
        <f>Aggr!I43</f>
        <v>-70179.14425731037</v>
      </c>
      <c r="N18" s="103">
        <f>Aggr!J43</f>
        <v>153203.82977730242</v>
      </c>
      <c r="O18" s="103">
        <f>Aggr!K43</f>
        <v>400074.88017202262</v>
      </c>
      <c r="P18" s="103">
        <f>Aggr!L43</f>
        <v>1084375.7444544595</v>
      </c>
      <c r="Q18" s="103">
        <f>Aggr!M43</f>
        <v>1732361.1235007783</v>
      </c>
      <c r="R18" s="103">
        <f>Aggr!N43</f>
        <v>2355871.0444747102</v>
      </c>
      <c r="S18" s="103">
        <f>Aggr!O43</f>
        <v>2481432.3390825689</v>
      </c>
      <c r="T18" s="103">
        <f>Aggr!P43</f>
        <v>1645842.1213548456</v>
      </c>
      <c r="U18" s="103">
        <f>Aggr!Q43</f>
        <v>1290633.7518373188</v>
      </c>
      <c r="V18" s="103">
        <f>Aggr!R43</f>
        <v>2207194.1454079398</v>
      </c>
      <c r="W18" s="103">
        <f>Aggr!S43</f>
        <v>3093895.767305681</v>
      </c>
      <c r="X18" s="103">
        <f>Aggr!T43</f>
        <v>3927889.6712813866</v>
      </c>
      <c r="Y18" s="103">
        <f>Aggr!U43</f>
        <v>3919090.982335059</v>
      </c>
      <c r="Z18" s="103">
        <f>Aggr!V43</f>
        <v>2272683.7897740416</v>
      </c>
      <c r="AA18" s="103">
        <f>Aggr!W43</f>
        <v>2319080.1808079397</v>
      </c>
      <c r="AB18" s="103">
        <f>Aggr!X43</f>
        <v>1825879.1088679309</v>
      </c>
      <c r="AC18" s="103">
        <f>Aggr!Y43</f>
        <v>1366345.3211008031</v>
      </c>
      <c r="AD18" s="103">
        <f>Aggr!Z43</f>
        <v>2430520.4064896074</v>
      </c>
      <c r="AE18" s="103">
        <f>Aggr!AA43</f>
        <v>4093607.6637966097</v>
      </c>
      <c r="AF18" s="103">
        <f>Aggr!AB43</f>
        <v>6205831.3926101681</v>
      </c>
      <c r="AG18" s="103">
        <f>Aggr!AC43</f>
        <v>6216539.8671864392</v>
      </c>
      <c r="AH18" s="103">
        <f>Aggr!AD43</f>
        <v>2017078.8502372876</v>
      </c>
    </row>
    <row r="19" spans="1:34" x14ac:dyDescent="0.25">
      <c r="A19" s="88" t="s">
        <v>339</v>
      </c>
      <c r="B19" s="131">
        <v>0.1</v>
      </c>
      <c r="C19" s="109">
        <f t="shared" si="9"/>
        <v>-1544593.9253661062</v>
      </c>
      <c r="D19" s="125">
        <f t="shared" si="10"/>
        <v>5.8729185560195019E-2</v>
      </c>
      <c r="E19" s="110">
        <f t="shared" si="11"/>
        <v>2343839.3405718841</v>
      </c>
      <c r="F19" s="127">
        <f t="shared" si="12"/>
        <v>9.131808274571851E-2</v>
      </c>
      <c r="G19" s="87">
        <f t="shared" ref="G19:AH19" si="13">G6-G$13</f>
        <v>-1065729.6480901937</v>
      </c>
      <c r="H19" s="87">
        <f t="shared" si="13"/>
        <v>-2351991.6344796829</v>
      </c>
      <c r="I19" s="87">
        <f t="shared" si="13"/>
        <v>-2831018.7809536592</v>
      </c>
      <c r="J19" s="87">
        <f t="shared" si="13"/>
        <v>-3045860.6362756705</v>
      </c>
      <c r="K19" s="87">
        <f t="shared" si="13"/>
        <v>-2206912.8005051897</v>
      </c>
      <c r="L19" s="87">
        <f t="shared" si="13"/>
        <v>-380944.55133051658</v>
      </c>
      <c r="M19" s="87">
        <f t="shared" si="13"/>
        <v>-71604.87023157932</v>
      </c>
      <c r="N19" s="87">
        <f t="shared" si="13"/>
        <v>129439.80639957217</v>
      </c>
      <c r="O19" s="87">
        <f t="shared" si="13"/>
        <v>351623.75175482035</v>
      </c>
      <c r="P19" s="87">
        <f t="shared" si="13"/>
        <v>967494.5296090137</v>
      </c>
      <c r="Q19" s="87">
        <f t="shared" si="13"/>
        <v>1550681.3707507006</v>
      </c>
      <c r="R19" s="87">
        <f t="shared" si="13"/>
        <v>2111840.2996272394</v>
      </c>
      <c r="S19" s="87">
        <f t="shared" si="13"/>
        <v>2224845.464774312</v>
      </c>
      <c r="T19" s="87">
        <f t="shared" si="13"/>
        <v>1472814.268819361</v>
      </c>
      <c r="U19" s="87">
        <f t="shared" si="13"/>
        <v>1153126.7362535868</v>
      </c>
      <c r="V19" s="87">
        <f t="shared" si="13"/>
        <v>1978031.0904671459</v>
      </c>
      <c r="W19" s="87">
        <f t="shared" si="13"/>
        <v>2776062.5501751131</v>
      </c>
      <c r="X19" s="87">
        <f t="shared" si="13"/>
        <v>3526657.0637532482</v>
      </c>
      <c r="Y19" s="87">
        <f t="shared" si="13"/>
        <v>3518738.243701553</v>
      </c>
      <c r="Z19" s="87">
        <f t="shared" si="13"/>
        <v>2036971.7703966377</v>
      </c>
      <c r="AA19" s="87">
        <f t="shared" si="13"/>
        <v>2078728.522327146</v>
      </c>
      <c r="AB19" s="87">
        <f t="shared" si="13"/>
        <v>1634847.5575811379</v>
      </c>
      <c r="AC19" s="87">
        <f t="shared" si="13"/>
        <v>1221267.1485907228</v>
      </c>
      <c r="AD19" s="87">
        <f t="shared" si="13"/>
        <v>2179024.7254406465</v>
      </c>
      <c r="AE19" s="87">
        <f t="shared" si="13"/>
        <v>3675803.2570169489</v>
      </c>
      <c r="AF19" s="87">
        <f t="shared" si="13"/>
        <v>5576804.6129491515</v>
      </c>
      <c r="AG19" s="87">
        <f t="shared" si="13"/>
        <v>5586442.2400677959</v>
      </c>
      <c r="AH19" s="87">
        <f t="shared" si="13"/>
        <v>1806927.324813559</v>
      </c>
    </row>
    <row r="20" spans="1:34" x14ac:dyDescent="0.25">
      <c r="A20" s="88" t="s">
        <v>339</v>
      </c>
      <c r="B20" s="131">
        <v>0.2</v>
      </c>
      <c r="C20" s="109">
        <f t="shared" si="9"/>
        <v>-2111077.216309709</v>
      </c>
      <c r="D20" s="125">
        <f t="shared" si="10"/>
        <v>5.11238813489161E-2</v>
      </c>
      <c r="E20" s="110">
        <f t="shared" si="11"/>
        <v>1332371.4425155132</v>
      </c>
      <c r="F20" s="127">
        <f t="shared" si="12"/>
        <v>8.4963128465210813E-2</v>
      </c>
      <c r="G20" s="87">
        <f t="shared" ref="G20:AH20" si="14">G7-G$13</f>
        <v>-1056220.6871912833</v>
      </c>
      <c r="H20" s="87">
        <f t="shared" si="14"/>
        <v>-2284469.1084263846</v>
      </c>
      <c r="I20" s="87">
        <f t="shared" si="14"/>
        <v>-2721664.5941810305</v>
      </c>
      <c r="J20" s="87">
        <f t="shared" si="14"/>
        <v>-2898506.2433561515</v>
      </c>
      <c r="K20" s="87">
        <f t="shared" si="14"/>
        <v>-2109778.0782268355</v>
      </c>
      <c r="L20" s="87">
        <f t="shared" si="14"/>
        <v>-347999.20162712585</v>
      </c>
      <c r="M20" s="87">
        <f t="shared" si="14"/>
        <v>-73030.596205848298</v>
      </c>
      <c r="N20" s="87">
        <f t="shared" si="14"/>
        <v>105675.78302184195</v>
      </c>
      <c r="O20" s="87">
        <f t="shared" si="14"/>
        <v>303172.62333761808</v>
      </c>
      <c r="P20" s="87">
        <f t="shared" si="14"/>
        <v>850613.31476356776</v>
      </c>
      <c r="Q20" s="87">
        <f t="shared" si="14"/>
        <v>1369001.6180006228</v>
      </c>
      <c r="R20" s="87">
        <f t="shared" si="14"/>
        <v>1867809.5547797682</v>
      </c>
      <c r="S20" s="87">
        <f t="shared" si="14"/>
        <v>1968258.5904660551</v>
      </c>
      <c r="T20" s="87">
        <f t="shared" si="14"/>
        <v>1299786.4162838766</v>
      </c>
      <c r="U20" s="87">
        <f t="shared" si="14"/>
        <v>1015619.7206698552</v>
      </c>
      <c r="V20" s="87">
        <f t="shared" si="14"/>
        <v>1748868.035526352</v>
      </c>
      <c r="W20" s="87">
        <f t="shared" si="14"/>
        <v>2458229.3330445448</v>
      </c>
      <c r="X20" s="87">
        <f t="shared" si="14"/>
        <v>3125424.4562251093</v>
      </c>
      <c r="Y20" s="87">
        <f t="shared" si="14"/>
        <v>3118385.5050680474</v>
      </c>
      <c r="Z20" s="87">
        <f t="shared" si="14"/>
        <v>1801259.7510192334</v>
      </c>
      <c r="AA20" s="87">
        <f t="shared" si="14"/>
        <v>1838376.8638463519</v>
      </c>
      <c r="AB20" s="87">
        <f t="shared" si="14"/>
        <v>1443816.0062943448</v>
      </c>
      <c r="AC20" s="87">
        <f t="shared" si="14"/>
        <v>1076188.9760806425</v>
      </c>
      <c r="AD20" s="87">
        <f t="shared" si="14"/>
        <v>1927529.0443916861</v>
      </c>
      <c r="AE20" s="87">
        <f t="shared" si="14"/>
        <v>3257998.850237288</v>
      </c>
      <c r="AF20" s="87">
        <f t="shared" si="14"/>
        <v>4947777.833288135</v>
      </c>
      <c r="AG20" s="87">
        <f t="shared" si="14"/>
        <v>4956344.6129491515</v>
      </c>
      <c r="AH20" s="87">
        <f t="shared" si="14"/>
        <v>1596775.7993898301</v>
      </c>
    </row>
    <row r="21" spans="1:34" x14ac:dyDescent="0.25">
      <c r="A21" s="88" t="s">
        <v>339</v>
      </c>
      <c r="B21" s="131">
        <v>0.3</v>
      </c>
      <c r="C21" s="109">
        <f t="shared" si="9"/>
        <v>-2677560.5072533148</v>
      </c>
      <c r="D21" s="125">
        <f t="shared" si="10"/>
        <v>4.22556733704742E-2</v>
      </c>
      <c r="E21" s="110">
        <f t="shared" si="11"/>
        <v>320903.54445913783</v>
      </c>
      <c r="F21" s="127">
        <f t="shared" si="12"/>
        <v>7.7595887485307324E-2</v>
      </c>
      <c r="G21" s="87">
        <f t="shared" ref="G21:AH21" si="15">G8-G$13</f>
        <v>-1046711.7262923729</v>
      </c>
      <c r="H21" s="87">
        <f t="shared" si="15"/>
        <v>-2216946.5823730864</v>
      </c>
      <c r="I21" s="87">
        <f t="shared" si="15"/>
        <v>-2612310.4074084014</v>
      </c>
      <c r="J21" s="87">
        <f t="shared" si="15"/>
        <v>-2751151.8504366325</v>
      </c>
      <c r="K21" s="87">
        <f t="shared" si="15"/>
        <v>-2012643.3559484808</v>
      </c>
      <c r="L21" s="87">
        <f t="shared" si="15"/>
        <v>-315053.85192373511</v>
      </c>
      <c r="M21" s="87">
        <f t="shared" si="15"/>
        <v>-74456.322180117262</v>
      </c>
      <c r="N21" s="87">
        <f t="shared" si="15"/>
        <v>81911.759644111677</v>
      </c>
      <c r="O21" s="87">
        <f t="shared" si="15"/>
        <v>254721.49492041577</v>
      </c>
      <c r="P21" s="87">
        <f t="shared" si="15"/>
        <v>733732.0999181217</v>
      </c>
      <c r="Q21" s="87">
        <f t="shared" si="15"/>
        <v>1187321.8652505446</v>
      </c>
      <c r="R21" s="87">
        <f t="shared" si="15"/>
        <v>1623778.8099322971</v>
      </c>
      <c r="S21" s="87">
        <f t="shared" si="15"/>
        <v>1711671.7161577982</v>
      </c>
      <c r="T21" s="87">
        <f t="shared" si="15"/>
        <v>1126758.5637483918</v>
      </c>
      <c r="U21" s="87">
        <f t="shared" si="15"/>
        <v>878112.7050861232</v>
      </c>
      <c r="V21" s="87">
        <f t="shared" si="15"/>
        <v>1519704.9805855576</v>
      </c>
      <c r="W21" s="87">
        <f t="shared" si="15"/>
        <v>2140396.1159139764</v>
      </c>
      <c r="X21" s="87">
        <f t="shared" si="15"/>
        <v>2724191.8486969704</v>
      </c>
      <c r="Y21" s="87">
        <f t="shared" si="15"/>
        <v>2718032.766434541</v>
      </c>
      <c r="Z21" s="87">
        <f t="shared" si="15"/>
        <v>1565547.731641829</v>
      </c>
      <c r="AA21" s="87">
        <f t="shared" si="15"/>
        <v>1598025.2053655577</v>
      </c>
      <c r="AB21" s="87">
        <f t="shared" si="15"/>
        <v>1252784.4550075515</v>
      </c>
      <c r="AC21" s="87">
        <f t="shared" si="15"/>
        <v>931110.80357056216</v>
      </c>
      <c r="AD21" s="87">
        <f t="shared" si="15"/>
        <v>1676033.363342725</v>
      </c>
      <c r="AE21" s="87">
        <f t="shared" si="15"/>
        <v>2840194.4434576267</v>
      </c>
      <c r="AF21" s="87">
        <f t="shared" si="15"/>
        <v>4318751.0536271175</v>
      </c>
      <c r="AG21" s="87">
        <f t="shared" si="15"/>
        <v>4326246.9858305072</v>
      </c>
      <c r="AH21" s="87">
        <f t="shared" si="15"/>
        <v>1386624.2739661012</v>
      </c>
    </row>
    <row r="22" spans="1:34" x14ac:dyDescent="0.25">
      <c r="A22" s="88" t="str">
        <f>A9</f>
        <v>Benefits delayed by 1 year</v>
      </c>
      <c r="B22" s="98"/>
      <c r="C22" s="109">
        <f t="shared" si="9"/>
        <v>-1889514.8701260178</v>
      </c>
      <c r="D22" s="125">
        <f t="shared" si="10"/>
        <v>5.5531449449470083E-2</v>
      </c>
      <c r="E22" s="110">
        <f t="shared" si="11"/>
        <v>2391591.9310635766</v>
      </c>
      <c r="F22" s="127">
        <f t="shared" si="12"/>
        <v>9.0906599386263887E-2</v>
      </c>
      <c r="G22" s="87">
        <f t="shared" ref="G22:AH22" si="16">G9-G$13</f>
        <v>-980149</v>
      </c>
      <c r="H22" s="87">
        <f t="shared" si="16"/>
        <v>-1839378.5089891041</v>
      </c>
      <c r="I22" s="87">
        <f t="shared" si="16"/>
        <v>-2522056.3605329809</v>
      </c>
      <c r="J22" s="87">
        <f t="shared" si="16"/>
        <v>-2813212.9677262884</v>
      </c>
      <c r="K22" s="87">
        <f t="shared" si="16"/>
        <v>-2806244.2291951897</v>
      </c>
      <c r="L22" s="87">
        <f t="shared" si="16"/>
        <v>-1055783.626783544</v>
      </c>
      <c r="M22" s="87">
        <f t="shared" si="16"/>
        <v>-413889.90103390731</v>
      </c>
      <c r="N22" s="87">
        <f t="shared" si="16"/>
        <v>-70179.14425731037</v>
      </c>
      <c r="O22" s="87">
        <f t="shared" si="16"/>
        <v>153203.82977730242</v>
      </c>
      <c r="P22" s="87">
        <f t="shared" si="16"/>
        <v>400074.88017202262</v>
      </c>
      <c r="Q22" s="87">
        <f t="shared" si="16"/>
        <v>1084375.7444544595</v>
      </c>
      <c r="R22" s="87">
        <f t="shared" si="16"/>
        <v>1732361.1235007783</v>
      </c>
      <c r="S22" s="87">
        <f t="shared" si="16"/>
        <v>2355871.0444747102</v>
      </c>
      <c r="T22" s="87">
        <f t="shared" si="16"/>
        <v>2481432.3390825689</v>
      </c>
      <c r="U22" s="87">
        <f t="shared" si="16"/>
        <v>1645842.1213548456</v>
      </c>
      <c r="V22" s="87">
        <f t="shared" si="16"/>
        <v>1290633.7518373188</v>
      </c>
      <c r="W22" s="87">
        <f t="shared" si="16"/>
        <v>2207194.1454079398</v>
      </c>
      <c r="X22" s="87">
        <f t="shared" si="16"/>
        <v>3093895.767305681</v>
      </c>
      <c r="Y22" s="87">
        <f t="shared" si="16"/>
        <v>3927889.6712813866</v>
      </c>
      <c r="Z22" s="87">
        <f t="shared" si="16"/>
        <v>3919090.982335059</v>
      </c>
      <c r="AA22" s="87">
        <f t="shared" si="16"/>
        <v>2272683.7897740416</v>
      </c>
      <c r="AB22" s="87">
        <f t="shared" si="16"/>
        <v>2319080.1808079397</v>
      </c>
      <c r="AC22" s="87">
        <f t="shared" si="16"/>
        <v>1825879.1088679309</v>
      </c>
      <c r="AD22" s="87">
        <f t="shared" si="16"/>
        <v>1366345.3211008031</v>
      </c>
      <c r="AE22" s="87">
        <f t="shared" si="16"/>
        <v>2430520.4064896074</v>
      </c>
      <c r="AF22" s="87">
        <f t="shared" si="16"/>
        <v>4093607.6637966097</v>
      </c>
      <c r="AG22" s="87">
        <f t="shared" si="16"/>
        <v>6205831.3926101681</v>
      </c>
      <c r="AH22" s="87">
        <f t="shared" si="16"/>
        <v>6216539.8671864392</v>
      </c>
    </row>
    <row r="23" spans="1:34" x14ac:dyDescent="0.25">
      <c r="A23" s="88" t="str">
        <f>A10</f>
        <v>Benefits delayed by 2 year</v>
      </c>
      <c r="B23" s="98"/>
      <c r="C23" s="109">
        <f t="shared" si="9"/>
        <v>-3097877.7872366467</v>
      </c>
      <c r="D23" s="125">
        <f t="shared" si="10"/>
        <v>4.0025221269493594E-2</v>
      </c>
      <c r="E23" s="110">
        <f t="shared" si="11"/>
        <v>979470.80481141899</v>
      </c>
      <c r="F23" s="127">
        <f t="shared" si="12"/>
        <v>8.1987441943439432E-2</v>
      </c>
      <c r="G23" s="87">
        <f t="shared" ref="G23:AH23" si="17">G10-G$13</f>
        <v>-980149</v>
      </c>
      <c r="H23" s="87">
        <f t="shared" si="17"/>
        <v>-1744288.9</v>
      </c>
      <c r="I23" s="87">
        <f t="shared" si="17"/>
        <v>-1941920.708989104</v>
      </c>
      <c r="J23" s="87">
        <f t="shared" si="17"/>
        <v>-2394896.3605329809</v>
      </c>
      <c r="K23" s="87">
        <f t="shared" si="17"/>
        <v>-2426242.1677262885</v>
      </c>
      <c r="L23" s="87">
        <f t="shared" si="17"/>
        <v>-1557980.3331951897</v>
      </c>
      <c r="M23" s="87">
        <f t="shared" si="17"/>
        <v>-1055783.626783544</v>
      </c>
      <c r="N23" s="87">
        <f t="shared" si="17"/>
        <v>-413889.90103390731</v>
      </c>
      <c r="O23" s="87">
        <f t="shared" si="17"/>
        <v>-70179.14425731037</v>
      </c>
      <c r="P23" s="87">
        <f t="shared" si="17"/>
        <v>153203.82977730242</v>
      </c>
      <c r="Q23" s="87">
        <f t="shared" si="17"/>
        <v>400074.88017202262</v>
      </c>
      <c r="R23" s="87">
        <f t="shared" si="17"/>
        <v>1084375.7444544595</v>
      </c>
      <c r="S23" s="87">
        <f t="shared" si="17"/>
        <v>1732361.1235007783</v>
      </c>
      <c r="T23" s="87">
        <f t="shared" si="17"/>
        <v>2355871.0444747102</v>
      </c>
      <c r="U23" s="87">
        <f t="shared" si="17"/>
        <v>2481432.3390825689</v>
      </c>
      <c r="V23" s="87">
        <f t="shared" si="17"/>
        <v>1645842.1213548456</v>
      </c>
      <c r="W23" s="87">
        <f t="shared" si="17"/>
        <v>1290633.7518373188</v>
      </c>
      <c r="X23" s="87">
        <f t="shared" si="17"/>
        <v>2207194.1454079398</v>
      </c>
      <c r="Y23" s="87">
        <f t="shared" si="17"/>
        <v>3093895.767305681</v>
      </c>
      <c r="Z23" s="87">
        <f t="shared" si="17"/>
        <v>3927889.6712813866</v>
      </c>
      <c r="AA23" s="87">
        <f t="shared" si="17"/>
        <v>3919090.982335059</v>
      </c>
      <c r="AB23" s="87">
        <f t="shared" si="17"/>
        <v>2272683.7897740416</v>
      </c>
      <c r="AC23" s="87">
        <f t="shared" si="17"/>
        <v>2319080.1808079397</v>
      </c>
      <c r="AD23" s="87">
        <f t="shared" si="17"/>
        <v>1825879.1088679309</v>
      </c>
      <c r="AE23" s="87">
        <f t="shared" si="17"/>
        <v>1366345.3211008031</v>
      </c>
      <c r="AF23" s="87">
        <f t="shared" si="17"/>
        <v>2430520.4064896074</v>
      </c>
      <c r="AG23" s="87">
        <f t="shared" si="17"/>
        <v>4093607.6637966097</v>
      </c>
      <c r="AH23" s="87">
        <f t="shared" si="17"/>
        <v>6205831.3926101681</v>
      </c>
    </row>
    <row r="24" spans="1:34" x14ac:dyDescent="0.25">
      <c r="A24" s="88" t="str">
        <f>A11</f>
        <v>Benefits delayed by 3 year</v>
      </c>
      <c r="B24" s="98"/>
      <c r="C24" s="109">
        <f t="shared" si="9"/>
        <v>-4223863.1306545902</v>
      </c>
      <c r="D24" s="125">
        <f t="shared" si="10"/>
        <v>2.1756671658774929E-2</v>
      </c>
      <c r="E24" s="110">
        <f t="shared" si="11"/>
        <v>-332815.37489355216</v>
      </c>
      <c r="F24" s="127">
        <f t="shared" si="12"/>
        <v>7.2429380882885086E-2</v>
      </c>
      <c r="G24" s="87">
        <f t="shared" ref="G24:AH24" si="18">G11-G$13</f>
        <v>-980149</v>
      </c>
      <c r="H24" s="87">
        <f t="shared" si="18"/>
        <v>-1744288.9</v>
      </c>
      <c r="I24" s="87">
        <f t="shared" si="18"/>
        <v>-1846831.0999999999</v>
      </c>
      <c r="J24" s="87">
        <f t="shared" si="18"/>
        <v>-1814760.708989104</v>
      </c>
      <c r="K24" s="87">
        <f t="shared" si="18"/>
        <v>-2007925.5605329811</v>
      </c>
      <c r="L24" s="87">
        <f t="shared" si="18"/>
        <v>-1177978.2717262884</v>
      </c>
      <c r="M24" s="87">
        <f t="shared" si="18"/>
        <v>-1557980.3331951897</v>
      </c>
      <c r="N24" s="87">
        <f t="shared" si="18"/>
        <v>-1055783.626783544</v>
      </c>
      <c r="O24" s="87">
        <f t="shared" si="18"/>
        <v>-413889.90103390731</v>
      </c>
      <c r="P24" s="87">
        <f t="shared" si="18"/>
        <v>-70179.14425731037</v>
      </c>
      <c r="Q24" s="87">
        <f t="shared" si="18"/>
        <v>153203.82977730242</v>
      </c>
      <c r="R24" s="87">
        <f t="shared" si="18"/>
        <v>400074.88017202262</v>
      </c>
      <c r="S24" s="87">
        <f t="shared" si="18"/>
        <v>1084375.7444544595</v>
      </c>
      <c r="T24" s="87">
        <f t="shared" si="18"/>
        <v>1732361.1235007783</v>
      </c>
      <c r="U24" s="87">
        <f t="shared" si="18"/>
        <v>2355871.0444747102</v>
      </c>
      <c r="V24" s="87">
        <f t="shared" si="18"/>
        <v>2481432.3390825689</v>
      </c>
      <c r="W24" s="87">
        <f t="shared" si="18"/>
        <v>1645842.1213548456</v>
      </c>
      <c r="X24" s="87">
        <f t="shared" si="18"/>
        <v>1290633.7518373188</v>
      </c>
      <c r="Y24" s="87">
        <f t="shared" si="18"/>
        <v>2207194.1454079398</v>
      </c>
      <c r="Z24" s="87">
        <f t="shared" si="18"/>
        <v>3093895.767305681</v>
      </c>
      <c r="AA24" s="87">
        <f t="shared" si="18"/>
        <v>3927889.6712813866</v>
      </c>
      <c r="AB24" s="87">
        <f t="shared" si="18"/>
        <v>3919090.982335059</v>
      </c>
      <c r="AC24" s="87">
        <f t="shared" si="18"/>
        <v>2272683.7897740416</v>
      </c>
      <c r="AD24" s="87">
        <f t="shared" si="18"/>
        <v>2319080.1808079397</v>
      </c>
      <c r="AE24" s="87">
        <f t="shared" si="18"/>
        <v>1825879.1088679309</v>
      </c>
      <c r="AF24" s="87">
        <f t="shared" si="18"/>
        <v>1366345.3211008031</v>
      </c>
      <c r="AG24" s="87">
        <f t="shared" si="18"/>
        <v>2430520.4064896074</v>
      </c>
      <c r="AH24" s="87">
        <f t="shared" si="18"/>
        <v>4093607.6637966097</v>
      </c>
    </row>
    <row r="25" spans="1:34" x14ac:dyDescent="0.25">
      <c r="A25" s="88" t="s">
        <v>346</v>
      </c>
      <c r="B25" s="114">
        <v>0.1</v>
      </c>
      <c r="C25" s="109">
        <f t="shared" si="9"/>
        <v>-1642404.9888083579</v>
      </c>
      <c r="D25" s="125">
        <f t="shared" si="10"/>
        <v>5.9368239018055435E-2</v>
      </c>
      <c r="E25" s="110">
        <f t="shared" si="11"/>
        <v>2679370.0644347086</v>
      </c>
      <c r="F25" s="127">
        <f t="shared" si="12"/>
        <v>9.1853623931767769E-2</v>
      </c>
      <c r="G25" s="87">
        <f>G$5-G14</f>
        <v>-1173253.5089891043</v>
      </c>
      <c r="H25" s="87">
        <f t="shared" ref="H25:AH28" si="19">H$5-H14</f>
        <v>-2593943.0505329808</v>
      </c>
      <c r="I25" s="87">
        <f t="shared" si="19"/>
        <v>-3125056.0777262882</v>
      </c>
      <c r="J25" s="87">
        <f t="shared" si="19"/>
        <v>-3365182.1391951898</v>
      </c>
      <c r="K25" s="87">
        <f t="shared" si="19"/>
        <v>-2437317.5527835442</v>
      </c>
      <c r="L25" s="87">
        <f t="shared" si="19"/>
        <v>-422333.54143390735</v>
      </c>
      <c r="M25" s="87">
        <f t="shared" si="19"/>
        <v>-78622.784657310374</v>
      </c>
      <c r="N25" s="87">
        <f t="shared" si="19"/>
        <v>144760.18937730242</v>
      </c>
      <c r="O25" s="87">
        <f t="shared" si="19"/>
        <v>391631.23977202259</v>
      </c>
      <c r="P25" s="87">
        <f t="shared" si="19"/>
        <v>1075932.1040544596</v>
      </c>
      <c r="Q25" s="87">
        <f t="shared" si="19"/>
        <v>1723917.4831007784</v>
      </c>
      <c r="R25" s="87">
        <f t="shared" si="19"/>
        <v>2347427.4040747103</v>
      </c>
      <c r="S25" s="87">
        <f t="shared" si="19"/>
        <v>2472988.698682569</v>
      </c>
      <c r="T25" s="87">
        <f t="shared" si="19"/>
        <v>1637398.4809548457</v>
      </c>
      <c r="U25" s="87">
        <f t="shared" si="19"/>
        <v>1282190.1114373188</v>
      </c>
      <c r="V25" s="87">
        <f t="shared" si="19"/>
        <v>2198750.5050079399</v>
      </c>
      <c r="W25" s="87">
        <f t="shared" si="19"/>
        <v>3085452.1269056811</v>
      </c>
      <c r="X25" s="87">
        <f t="shared" si="19"/>
        <v>3919446.0308813867</v>
      </c>
      <c r="Y25" s="87">
        <f t="shared" si="19"/>
        <v>3910647.3419350591</v>
      </c>
      <c r="Z25" s="87">
        <f t="shared" si="19"/>
        <v>2264240.1493740417</v>
      </c>
      <c r="AA25" s="87">
        <f t="shared" si="19"/>
        <v>2310636.5404079398</v>
      </c>
      <c r="AB25" s="87">
        <f t="shared" si="19"/>
        <v>1817435.468467931</v>
      </c>
      <c r="AC25" s="87">
        <f t="shared" si="19"/>
        <v>1357901.6807008032</v>
      </c>
      <c r="AD25" s="87">
        <f t="shared" si="19"/>
        <v>2422076.7660896075</v>
      </c>
      <c r="AE25" s="87">
        <f t="shared" si="19"/>
        <v>4085164.0233966098</v>
      </c>
      <c r="AF25" s="87">
        <f t="shared" si="19"/>
        <v>6197387.7522101682</v>
      </c>
      <c r="AG25" s="87">
        <f t="shared" si="19"/>
        <v>6208096.2267864393</v>
      </c>
      <c r="AH25" s="87">
        <f t="shared" si="19"/>
        <v>2008635.2098372877</v>
      </c>
    </row>
    <row r="26" spans="1:34" x14ac:dyDescent="0.25">
      <c r="A26" s="88" t="s">
        <v>346</v>
      </c>
      <c r="B26" s="131">
        <v>0.2</v>
      </c>
      <c r="C26" s="109">
        <f t="shared" si="9"/>
        <v>-2306699.3431942058</v>
      </c>
      <c r="D26" s="125">
        <f t="shared" si="10"/>
        <v>5.3783593062516122E-2</v>
      </c>
      <c r="E26" s="110">
        <f t="shared" si="11"/>
        <v>2003432.8902411682</v>
      </c>
      <c r="F26" s="127">
        <f t="shared" si="12"/>
        <v>8.7181697781708589E-2</v>
      </c>
      <c r="G26" s="87">
        <f>G$5-G15</f>
        <v>-1271268.4089891042</v>
      </c>
      <c r="H26" s="87">
        <f t="shared" si="19"/>
        <v>-2768371.9405329805</v>
      </c>
      <c r="I26" s="87">
        <f t="shared" si="19"/>
        <v>-3309739.1877262881</v>
      </c>
      <c r="J26" s="87">
        <f t="shared" si="19"/>
        <v>-3537149.2491951892</v>
      </c>
      <c r="K26" s="87">
        <f t="shared" si="19"/>
        <v>-2570587.582783544</v>
      </c>
      <c r="L26" s="87">
        <f t="shared" si="19"/>
        <v>-430777.18183390732</v>
      </c>
      <c r="M26" s="87">
        <f t="shared" si="19"/>
        <v>-87066.425057310349</v>
      </c>
      <c r="N26" s="87">
        <f t="shared" si="19"/>
        <v>136316.54897730245</v>
      </c>
      <c r="O26" s="87">
        <f t="shared" si="19"/>
        <v>383187.59937202261</v>
      </c>
      <c r="P26" s="87">
        <f t="shared" si="19"/>
        <v>1067488.4636544597</v>
      </c>
      <c r="Q26" s="87">
        <f t="shared" si="19"/>
        <v>1715473.8427007785</v>
      </c>
      <c r="R26" s="87">
        <f t="shared" si="19"/>
        <v>2338983.7636747104</v>
      </c>
      <c r="S26" s="87">
        <f t="shared" si="19"/>
        <v>2464545.0582825691</v>
      </c>
      <c r="T26" s="87">
        <f t="shared" si="19"/>
        <v>1628954.8405548458</v>
      </c>
      <c r="U26" s="87">
        <f t="shared" si="19"/>
        <v>1273746.4710373189</v>
      </c>
      <c r="V26" s="87">
        <f t="shared" si="19"/>
        <v>2190306.86460794</v>
      </c>
      <c r="W26" s="87">
        <f t="shared" si="19"/>
        <v>3077008.4865056812</v>
      </c>
      <c r="X26" s="87">
        <f t="shared" si="19"/>
        <v>3911002.3904813868</v>
      </c>
      <c r="Y26" s="87">
        <f t="shared" si="19"/>
        <v>3902203.7015350591</v>
      </c>
      <c r="Z26" s="87">
        <f t="shared" si="19"/>
        <v>2255796.5089740418</v>
      </c>
      <c r="AA26" s="87">
        <f t="shared" si="19"/>
        <v>2302192.9000079399</v>
      </c>
      <c r="AB26" s="87">
        <f t="shared" si="19"/>
        <v>1808991.8280679311</v>
      </c>
      <c r="AC26" s="87">
        <f t="shared" si="19"/>
        <v>1349458.0403008033</v>
      </c>
      <c r="AD26" s="87">
        <f t="shared" si="19"/>
        <v>2413633.1256896076</v>
      </c>
      <c r="AE26" s="87">
        <f t="shared" si="19"/>
        <v>4076720.3829966099</v>
      </c>
      <c r="AF26" s="87">
        <f t="shared" si="19"/>
        <v>6188944.1118101683</v>
      </c>
      <c r="AG26" s="87">
        <f t="shared" si="19"/>
        <v>6199652.5863864394</v>
      </c>
      <c r="AH26" s="87">
        <f t="shared" si="19"/>
        <v>2000191.5694372877</v>
      </c>
    </row>
    <row r="27" spans="1:34" x14ac:dyDescent="0.25">
      <c r="A27" s="88" t="s">
        <v>346</v>
      </c>
      <c r="B27" s="131">
        <v>0.3</v>
      </c>
      <c r="C27" s="109">
        <f t="shared" si="9"/>
        <v>-2970993.6975800614</v>
      </c>
      <c r="D27" s="125">
        <f t="shared" si="10"/>
        <v>4.8545409628865999E-2</v>
      </c>
      <c r="E27" s="110">
        <f t="shared" si="11"/>
        <v>1327495.7160476199</v>
      </c>
      <c r="F27" s="127">
        <f t="shared" si="12"/>
        <v>8.2816299523020831E-2</v>
      </c>
      <c r="G27" s="87">
        <f>G$5-G16</f>
        <v>-1369283.3089891041</v>
      </c>
      <c r="H27" s="87">
        <f t="shared" si="19"/>
        <v>-2942800.8305329811</v>
      </c>
      <c r="I27" s="87">
        <f t="shared" si="19"/>
        <v>-3494422.297726288</v>
      </c>
      <c r="J27" s="87">
        <f t="shared" si="19"/>
        <v>-3709116.3591951896</v>
      </c>
      <c r="K27" s="87">
        <f t="shared" si="19"/>
        <v>-2703857.6127835442</v>
      </c>
      <c r="L27" s="87">
        <f t="shared" si="19"/>
        <v>-439220.82223390735</v>
      </c>
      <c r="M27" s="87">
        <f t="shared" si="19"/>
        <v>-95510.065457310382</v>
      </c>
      <c r="N27" s="87">
        <f t="shared" si="19"/>
        <v>127872.90857730241</v>
      </c>
      <c r="O27" s="87">
        <f t="shared" si="19"/>
        <v>374743.95897202258</v>
      </c>
      <c r="P27" s="87">
        <f t="shared" si="19"/>
        <v>1059044.8232544595</v>
      </c>
      <c r="Q27" s="87">
        <f t="shared" si="19"/>
        <v>1707030.2023007784</v>
      </c>
      <c r="R27" s="87">
        <f t="shared" si="19"/>
        <v>2330540.1232747105</v>
      </c>
      <c r="S27" s="87">
        <f t="shared" si="19"/>
        <v>2456101.4178825691</v>
      </c>
      <c r="T27" s="87">
        <f t="shared" si="19"/>
        <v>1620511.2001548456</v>
      </c>
      <c r="U27" s="87">
        <f t="shared" si="19"/>
        <v>1265302.8306373188</v>
      </c>
      <c r="V27" s="87">
        <f t="shared" si="19"/>
        <v>2181863.22420794</v>
      </c>
      <c r="W27" s="87">
        <f t="shared" si="19"/>
        <v>3068564.8461056813</v>
      </c>
      <c r="X27" s="87">
        <f t="shared" si="19"/>
        <v>3902558.7500813869</v>
      </c>
      <c r="Y27" s="87">
        <f t="shared" si="19"/>
        <v>3893760.0611350592</v>
      </c>
      <c r="Z27" s="87">
        <f t="shared" si="19"/>
        <v>2247352.8685740419</v>
      </c>
      <c r="AA27" s="87">
        <f t="shared" si="19"/>
        <v>2293749.25960794</v>
      </c>
      <c r="AB27" s="87">
        <f t="shared" si="19"/>
        <v>1800548.187667931</v>
      </c>
      <c r="AC27" s="87">
        <f t="shared" si="19"/>
        <v>1341014.3999008031</v>
      </c>
      <c r="AD27" s="87">
        <f t="shared" si="19"/>
        <v>2405189.4852896077</v>
      </c>
      <c r="AE27" s="87">
        <f t="shared" si="19"/>
        <v>4068276.74259661</v>
      </c>
      <c r="AF27" s="87">
        <f t="shared" si="19"/>
        <v>6180500.4714101683</v>
      </c>
      <c r="AG27" s="87">
        <f t="shared" si="19"/>
        <v>6191208.9459864395</v>
      </c>
      <c r="AH27" s="87">
        <f t="shared" si="19"/>
        <v>1991747.9290372876</v>
      </c>
    </row>
    <row r="28" spans="1:34" x14ac:dyDescent="0.25">
      <c r="A28" s="88" t="s">
        <v>346</v>
      </c>
      <c r="B28" s="131">
        <v>0.4</v>
      </c>
      <c r="C28" s="109">
        <f t="shared" si="9"/>
        <v>-3635288.0519659161</v>
      </c>
      <c r="D28" s="125">
        <f t="shared" si="10"/>
        <v>4.3613428582000013E-2</v>
      </c>
      <c r="E28" s="110">
        <f t="shared" si="11"/>
        <v>651558.54185407271</v>
      </c>
      <c r="F28" s="127">
        <f t="shared" si="12"/>
        <v>7.8720840610686293E-2</v>
      </c>
      <c r="G28" s="87">
        <f>G$5-G17</f>
        <v>-1467298.208989104</v>
      </c>
      <c r="H28" s="87">
        <f t="shared" si="19"/>
        <v>-3117229.7205329807</v>
      </c>
      <c r="I28" s="87">
        <f t="shared" si="19"/>
        <v>-3679105.4077262878</v>
      </c>
      <c r="J28" s="87">
        <f t="shared" si="19"/>
        <v>-3881083.469195189</v>
      </c>
      <c r="K28" s="87">
        <f t="shared" si="19"/>
        <v>-2837127.642783544</v>
      </c>
      <c r="L28" s="87">
        <f t="shared" si="19"/>
        <v>-447664.46263390733</v>
      </c>
      <c r="M28" s="87">
        <f t="shared" si="19"/>
        <v>-103953.70585731036</v>
      </c>
      <c r="N28" s="87">
        <f t="shared" si="19"/>
        <v>119429.26817730242</v>
      </c>
      <c r="O28" s="87">
        <f t="shared" si="19"/>
        <v>366300.3185720226</v>
      </c>
      <c r="P28" s="87">
        <f t="shared" si="19"/>
        <v>1050601.1828544596</v>
      </c>
      <c r="Q28" s="87">
        <f t="shared" si="19"/>
        <v>1698586.5619007784</v>
      </c>
      <c r="R28" s="87">
        <f t="shared" si="19"/>
        <v>2322096.4828747101</v>
      </c>
      <c r="S28" s="87">
        <f t="shared" si="19"/>
        <v>2447657.7774825688</v>
      </c>
      <c r="T28" s="87">
        <f t="shared" si="19"/>
        <v>1612067.5597548457</v>
      </c>
      <c r="U28" s="87">
        <f t="shared" si="19"/>
        <v>1256859.1902373189</v>
      </c>
      <c r="V28" s="87">
        <f t="shared" si="19"/>
        <v>2173419.5838079397</v>
      </c>
      <c r="W28" s="87">
        <f t="shared" si="19"/>
        <v>3060121.2057056809</v>
      </c>
      <c r="X28" s="87">
        <f t="shared" si="19"/>
        <v>3894115.1096813865</v>
      </c>
      <c r="Y28" s="87">
        <f t="shared" si="19"/>
        <v>3885316.4207350588</v>
      </c>
      <c r="Z28" s="87">
        <f t="shared" si="19"/>
        <v>2238909.2281740415</v>
      </c>
      <c r="AA28" s="87">
        <f t="shared" si="19"/>
        <v>2285305.6192079396</v>
      </c>
      <c r="AB28" s="87">
        <f t="shared" si="19"/>
        <v>1792104.547267931</v>
      </c>
      <c r="AC28" s="87">
        <f t="shared" si="19"/>
        <v>1332570.7595008032</v>
      </c>
      <c r="AD28" s="87">
        <f t="shared" si="19"/>
        <v>2396745.8448896073</v>
      </c>
      <c r="AE28" s="87">
        <f t="shared" si="19"/>
        <v>4059833.1021966096</v>
      </c>
      <c r="AF28" s="87">
        <f t="shared" si="19"/>
        <v>6172056.8310101684</v>
      </c>
      <c r="AG28" s="87">
        <f t="shared" si="19"/>
        <v>6182765.3055864396</v>
      </c>
      <c r="AH28" s="87">
        <f t="shared" si="19"/>
        <v>1983304.2886372877</v>
      </c>
    </row>
    <row r="29" spans="1:34" x14ac:dyDescent="0.25">
      <c r="A29" s="88" t="s">
        <v>347</v>
      </c>
      <c r="B29" s="131">
        <v>0.1</v>
      </c>
      <c r="C29" s="109">
        <f t="shared" si="9"/>
        <v>-1478305.4522206422</v>
      </c>
      <c r="D29" s="125">
        <f t="shared" si="10"/>
        <v>6.0542701049953962E-2</v>
      </c>
      <c r="E29" s="110">
        <f t="shared" si="11"/>
        <v>2836235.7039157362</v>
      </c>
      <c r="F29" s="127">
        <f t="shared" si="12"/>
        <v>9.3243970598271275E-2</v>
      </c>
      <c r="G29" s="87">
        <v>-1080142.3186501211</v>
      </c>
      <c r="H29" s="87">
        <v>-2461468.5970235737</v>
      </c>
      <c r="I29" s="87">
        <v>-3013181.7832256332</v>
      </c>
      <c r="J29" s="87">
        <v>-3292017.4286379963</v>
      </c>
      <c r="K29" s="87">
        <v>-2386350.427105004</v>
      </c>
      <c r="L29" s="87">
        <v>-472189.86483420851</v>
      </c>
      <c r="M29" s="87">
        <v>-114917.44859462319</v>
      </c>
      <c r="N29" s="87">
        <v>111301.75773672079</v>
      </c>
      <c r="O29" s="87">
        <v>358163.53432456451</v>
      </c>
      <c r="P29" s="87">
        <v>1042459.6168003312</v>
      </c>
      <c r="Q29" s="87">
        <v>1690786.2561123152</v>
      </c>
      <c r="R29" s="87">
        <v>2314467.3868320114</v>
      </c>
      <c r="S29" s="87">
        <v>2439515.0522025805</v>
      </c>
      <c r="T29" s="87">
        <v>1603924.8344748572</v>
      </c>
      <c r="U29" s="87">
        <v>1248716.4649573308</v>
      </c>
      <c r="V29" s="87">
        <v>2165619.2780194771</v>
      </c>
      <c r="W29" s="87">
        <v>3052492.1096629789</v>
      </c>
      <c r="X29" s="87">
        <v>3885972.3844013964</v>
      </c>
      <c r="Y29" s="87">
        <v>3877173.6954550692</v>
      </c>
      <c r="Z29" s="87">
        <v>2230766.5028940532</v>
      </c>
      <c r="AA29" s="87">
        <v>2277505.3134194771</v>
      </c>
      <c r="AB29" s="87">
        <v>1796896.5485180405</v>
      </c>
      <c r="AC29" s="87">
        <v>1349783.8580437228</v>
      </c>
      <c r="AD29" s="87">
        <v>2426380.0407253369</v>
      </c>
      <c r="AE29" s="87">
        <v>4093607.6637966097</v>
      </c>
      <c r="AF29" s="87">
        <v>6205831.3926101681</v>
      </c>
      <c r="AG29" s="87">
        <v>6216539.8671864392</v>
      </c>
      <c r="AH29" s="87">
        <v>2017078.8502372876</v>
      </c>
    </row>
    <row r="30" spans="1:34" x14ac:dyDescent="0.25">
      <c r="A30" s="88" t="s">
        <v>347</v>
      </c>
      <c r="B30" s="131">
        <v>0.2</v>
      </c>
      <c r="C30" s="109">
        <f t="shared" si="9"/>
        <v>-1978500.2700187855</v>
      </c>
      <c r="D30" s="125">
        <f t="shared" si="10"/>
        <v>5.5818626951629868E-2</v>
      </c>
      <c r="E30" s="110">
        <f t="shared" si="11"/>
        <v>2317164.1692032134</v>
      </c>
      <c r="F30" s="127">
        <f t="shared" si="12"/>
        <v>8.9709095166688346E-2</v>
      </c>
      <c r="G30" s="87">
        <v>-1085046.028311138</v>
      </c>
      <c r="H30" s="87">
        <v>-2503423.0335141663</v>
      </c>
      <c r="I30" s="87">
        <v>-3085990.598724979</v>
      </c>
      <c r="J30" s="87">
        <v>-3390819.8280808041</v>
      </c>
      <c r="K30" s="87">
        <v>-2468653.331426464</v>
      </c>
      <c r="L30" s="87">
        <v>-530489.82863451005</v>
      </c>
      <c r="M30" s="87">
        <v>-159655.75293193638</v>
      </c>
      <c r="N30" s="87">
        <v>69399.685696138971</v>
      </c>
      <c r="O30" s="87">
        <v>316252.18847710616</v>
      </c>
      <c r="P30" s="87">
        <v>1000543.489146202</v>
      </c>
      <c r="Q30" s="87">
        <v>1649211.388723853</v>
      </c>
      <c r="R30" s="87">
        <v>2273063.7291893112</v>
      </c>
      <c r="S30" s="87">
        <v>2397597.7653225926</v>
      </c>
      <c r="T30" s="87">
        <v>1562007.5475948693</v>
      </c>
      <c r="U30" s="87">
        <v>1206799.1780773418</v>
      </c>
      <c r="V30" s="87">
        <v>2124044.410631014</v>
      </c>
      <c r="W30" s="87">
        <v>3011088.4520202805</v>
      </c>
      <c r="X30" s="87">
        <v>3844055.0975214094</v>
      </c>
      <c r="Y30" s="87">
        <v>3835256.4085750817</v>
      </c>
      <c r="Z30" s="87">
        <v>2188849.2160140648</v>
      </c>
      <c r="AA30" s="87">
        <v>2235930.446031014</v>
      </c>
      <c r="AB30" s="87">
        <v>1767913.9881681504</v>
      </c>
      <c r="AC30" s="87">
        <v>1333222.394986643</v>
      </c>
      <c r="AD30" s="87">
        <v>2422239.6749610673</v>
      </c>
      <c r="AE30" s="87">
        <v>4093607.6637966097</v>
      </c>
      <c r="AF30" s="87">
        <v>6205831.3926101681</v>
      </c>
      <c r="AG30" s="87">
        <v>6216539.8671864392</v>
      </c>
      <c r="AH30" s="87">
        <v>2017078.8502372876</v>
      </c>
    </row>
    <row r="31" spans="1:34" x14ac:dyDescent="0.25">
      <c r="A31" s="88" t="s">
        <v>347</v>
      </c>
      <c r="B31" s="131">
        <v>0.3</v>
      </c>
      <c r="C31" s="109">
        <f t="shared" si="9"/>
        <v>-2478695.0878169327</v>
      </c>
      <c r="D31" s="125">
        <f t="shared" si="10"/>
        <v>5.1170554218777253E-2</v>
      </c>
      <c r="E31" s="110">
        <f t="shared" si="11"/>
        <v>1798092.634490686</v>
      </c>
      <c r="F31" s="127">
        <f t="shared" si="12"/>
        <v>8.6266983257449636E-2</v>
      </c>
      <c r="G31" s="87">
        <v>-1089949.737972155</v>
      </c>
      <c r="H31" s="87">
        <v>-2545377.4700047588</v>
      </c>
      <c r="I31" s="87">
        <v>-3158799.4142243247</v>
      </c>
      <c r="J31" s="87">
        <v>-3489622.2275236114</v>
      </c>
      <c r="K31" s="87">
        <v>-2550956.2357479241</v>
      </c>
      <c r="L31" s="87">
        <v>-588789.79243481171</v>
      </c>
      <c r="M31" s="87">
        <v>-204394.05726924952</v>
      </c>
      <c r="N31" s="87">
        <v>27497.613655557012</v>
      </c>
      <c r="O31" s="87">
        <v>274340.8426296477</v>
      </c>
      <c r="P31" s="87">
        <v>958627.36149207281</v>
      </c>
      <c r="Q31" s="87">
        <v>1607636.5213353895</v>
      </c>
      <c r="R31" s="87">
        <v>2231660.0715466109</v>
      </c>
      <c r="S31" s="87">
        <v>2355680.4784426037</v>
      </c>
      <c r="T31" s="87">
        <v>1520090.2607148809</v>
      </c>
      <c r="U31" s="87">
        <v>1164881.8911973529</v>
      </c>
      <c r="V31" s="87">
        <v>2082469.5432425505</v>
      </c>
      <c r="W31" s="87">
        <v>2969684.7943775789</v>
      </c>
      <c r="X31" s="87">
        <v>3802137.8106414205</v>
      </c>
      <c r="Y31" s="87">
        <v>3793339.1216950929</v>
      </c>
      <c r="Z31" s="87">
        <v>2146931.929134076</v>
      </c>
      <c r="AA31" s="87">
        <v>2194355.5786425509</v>
      </c>
      <c r="AB31" s="87">
        <v>1738931.4278182602</v>
      </c>
      <c r="AC31" s="87">
        <v>1316660.9319295627</v>
      </c>
      <c r="AD31" s="87">
        <v>2418099.3091967972</v>
      </c>
      <c r="AE31" s="87">
        <v>4093607.6637966097</v>
      </c>
      <c r="AF31" s="87">
        <v>6205831.3926101681</v>
      </c>
      <c r="AG31" s="87">
        <v>6216539.8671864392</v>
      </c>
      <c r="AH31" s="87">
        <v>2017078.8502372876</v>
      </c>
    </row>
    <row r="32" spans="1:34" x14ac:dyDescent="0.25">
      <c r="A32" s="88" t="s">
        <v>376</v>
      </c>
      <c r="B32" s="98"/>
      <c r="C32" s="109">
        <f t="shared" si="9"/>
        <v>-1220324.5123792388</v>
      </c>
      <c r="D32" s="125">
        <f t="shared" si="10"/>
        <v>6.2481402022832144E-2</v>
      </c>
      <c r="E32" s="110">
        <f t="shared" si="11"/>
        <v>2983158.4192379746</v>
      </c>
      <c r="F32" s="127">
        <f t="shared" si="12"/>
        <v>9.5025700468295948E-2</v>
      </c>
      <c r="G32" s="87">
        <v>-1075238.6089891042</v>
      </c>
      <c r="H32" s="87">
        <v>-2379760.1941874777</v>
      </c>
      <c r="I32" s="87">
        <v>-2865931.6852330505</v>
      </c>
      <c r="J32" s="87">
        <v>-3078765.8733802894</v>
      </c>
      <c r="K32" s="87">
        <v>-2210874.6920831744</v>
      </c>
      <c r="L32" s="87">
        <v>-359630.74008794816</v>
      </c>
      <c r="M32" s="87">
        <v>-65505.463451918338</v>
      </c>
      <c r="N32" s="87">
        <v>123879.25555211448</v>
      </c>
      <c r="O32" s="87">
        <v>347015.06531414238</v>
      </c>
      <c r="P32" s="87">
        <v>1012024.0635073191</v>
      </c>
      <c r="Q32" s="87">
        <v>1643685.4385473109</v>
      </c>
      <c r="R32" s="87">
        <v>2253131.1470848676</v>
      </c>
      <c r="S32" s="87">
        <v>2366136.3122319398</v>
      </c>
      <c r="T32" s="87">
        <v>1517531.556954955</v>
      </c>
      <c r="U32" s="87">
        <v>1149081.3125247732</v>
      </c>
      <c r="V32" s="87">
        <v>2052450.4125010446</v>
      </c>
      <c r="W32" s="87">
        <v>2928946.6179717239</v>
      </c>
      <c r="X32" s="87">
        <v>3758481.8095159596</v>
      </c>
      <c r="Y32" s="87">
        <v>3751514.8538710447</v>
      </c>
      <c r="Z32" s="87">
        <v>2111867.0246339263</v>
      </c>
      <c r="AA32" s="87">
        <v>2074207.1663949434</v>
      </c>
      <c r="AB32" s="87">
        <v>1629850.2694455446</v>
      </c>
      <c r="AC32" s="87">
        <v>1216269.8604551293</v>
      </c>
      <c r="AD32" s="87">
        <v>2385487.7762881047</v>
      </c>
      <c r="AE32" s="87">
        <v>4093607.6637966097</v>
      </c>
      <c r="AF32" s="87">
        <v>6205831.3926101681</v>
      </c>
      <c r="AG32" s="87">
        <v>6216539.8671864392</v>
      </c>
      <c r="AH32" s="87">
        <v>2017078.8502372876</v>
      </c>
    </row>
    <row r="33" spans="1:34" x14ac:dyDescent="0.25">
      <c r="A33" s="88" t="s">
        <v>377</v>
      </c>
      <c r="B33" s="98"/>
      <c r="C33" s="109">
        <f t="shared" si="9"/>
        <v>-1462538.3903359766</v>
      </c>
      <c r="D33" s="125">
        <f t="shared" si="10"/>
        <v>5.937534115702281E-2</v>
      </c>
      <c r="E33" s="110">
        <f t="shared" si="11"/>
        <v>2611009.5998476916</v>
      </c>
      <c r="F33" s="127">
        <f t="shared" si="12"/>
        <v>9.3060591050939889E-2</v>
      </c>
      <c r="G33" s="87">
        <v>-1075238.6089891042</v>
      </c>
      <c r="H33" s="87">
        <v>-2340006.2278419742</v>
      </c>
      <c r="I33" s="87">
        <v>-2791490.4027398126</v>
      </c>
      <c r="J33" s="87">
        <v>-2964316.7175653894</v>
      </c>
      <c r="K33" s="87">
        <v>-2117701.8613828048</v>
      </c>
      <c r="L33" s="87">
        <v>-305371.579141989</v>
      </c>
      <c r="M33" s="87">
        <v>-60831.782646526233</v>
      </c>
      <c r="N33" s="87">
        <v>94554.681326926715</v>
      </c>
      <c r="O33" s="87">
        <v>293955.25045626226</v>
      </c>
      <c r="P33" s="87">
        <v>939672.38256017806</v>
      </c>
      <c r="Q33" s="87">
        <v>1555009.7535938432</v>
      </c>
      <c r="R33" s="87">
        <v>2150391.2496950235</v>
      </c>
      <c r="S33" s="87">
        <v>2250840.2853813102</v>
      </c>
      <c r="T33" s="87">
        <v>1389220.9925550632</v>
      </c>
      <c r="U33" s="87">
        <v>1007528.8732122282</v>
      </c>
      <c r="V33" s="87">
        <v>1897706.6795941484</v>
      </c>
      <c r="W33" s="87">
        <v>2763997.4686377649</v>
      </c>
      <c r="X33" s="87">
        <v>3589073.9477505325</v>
      </c>
      <c r="Y33" s="87">
        <v>3583938.72540703</v>
      </c>
      <c r="Z33" s="87">
        <v>1951050.2594938097</v>
      </c>
      <c r="AA33" s="87">
        <v>1829334.1519819451</v>
      </c>
      <c r="AB33" s="87">
        <v>1433821.4300231584</v>
      </c>
      <c r="AC33" s="87">
        <v>1066194.3998094564</v>
      </c>
      <c r="AD33" s="87">
        <v>2340455.1460866006</v>
      </c>
      <c r="AE33" s="87">
        <v>4093607.6637966097</v>
      </c>
      <c r="AF33" s="87">
        <v>6205831.3926101681</v>
      </c>
      <c r="AG33" s="87">
        <v>6216539.8671864392</v>
      </c>
      <c r="AH33" s="87">
        <v>2017078.8502372876</v>
      </c>
    </row>
    <row r="34" spans="1:34" x14ac:dyDescent="0.25">
      <c r="A34" s="88" t="s">
        <v>378</v>
      </c>
      <c r="B34" s="98"/>
      <c r="C34" s="109">
        <f t="shared" si="9"/>
        <v>-1704752.2682927109</v>
      </c>
      <c r="D34" s="125">
        <f t="shared" si="10"/>
        <v>5.5996006537541332E-2</v>
      </c>
      <c r="E34" s="110">
        <f t="shared" si="11"/>
        <v>2238860.7804574119</v>
      </c>
      <c r="F34" s="127">
        <f t="shared" si="12"/>
        <v>9.0970601808298746E-2</v>
      </c>
      <c r="G34" s="87">
        <v>-1075238.6089891042</v>
      </c>
      <c r="H34" s="87">
        <v>-2300252.2614964708</v>
      </c>
      <c r="I34" s="87">
        <v>-2717049.1202465743</v>
      </c>
      <c r="J34" s="87">
        <v>-2849867.5617504898</v>
      </c>
      <c r="K34" s="87">
        <v>-2024529.0306824353</v>
      </c>
      <c r="L34" s="87">
        <v>-251112.41819602964</v>
      </c>
      <c r="M34" s="87">
        <v>-56158.101841134208</v>
      </c>
      <c r="N34" s="87">
        <v>65230.107101738802</v>
      </c>
      <c r="O34" s="87">
        <v>240895.43559838188</v>
      </c>
      <c r="P34" s="87">
        <v>867320.70161303715</v>
      </c>
      <c r="Q34" s="87">
        <v>1466334.0686403755</v>
      </c>
      <c r="R34" s="87">
        <v>2047651.3523051799</v>
      </c>
      <c r="S34" s="87">
        <v>2135544.2585306801</v>
      </c>
      <c r="T34" s="87">
        <v>1260910.4281551719</v>
      </c>
      <c r="U34" s="87">
        <v>865976.43389968248</v>
      </c>
      <c r="V34" s="87">
        <v>1742962.9466872537</v>
      </c>
      <c r="W34" s="87">
        <v>2599048.3193038064</v>
      </c>
      <c r="X34" s="87">
        <v>3419666.0859851055</v>
      </c>
      <c r="Y34" s="87">
        <v>3416362.5969430157</v>
      </c>
      <c r="Z34" s="87">
        <v>1790233.4943536939</v>
      </c>
      <c r="AA34" s="87">
        <v>1584461.1375689481</v>
      </c>
      <c r="AB34" s="87">
        <v>1237792.5906007723</v>
      </c>
      <c r="AC34" s="87">
        <v>916118.93916378252</v>
      </c>
      <c r="AD34" s="87">
        <v>2295422.5158850974</v>
      </c>
      <c r="AE34" s="87">
        <v>4093607.6637966097</v>
      </c>
      <c r="AF34" s="87">
        <v>6205831.3926101681</v>
      </c>
      <c r="AG34" s="87">
        <v>6216539.8671864392</v>
      </c>
      <c r="AH34" s="87">
        <v>2017078.8502372876</v>
      </c>
    </row>
    <row r="35" spans="1:34" x14ac:dyDescent="0.25">
      <c r="A35" s="88" t="s">
        <v>350</v>
      </c>
      <c r="B35" s="98"/>
      <c r="C35" s="109">
        <f t="shared" si="9"/>
        <v>-1302380.0474093687</v>
      </c>
      <c r="D35" s="125">
        <f t="shared" si="10"/>
        <v>6.1819333534807175E-2</v>
      </c>
      <c r="E35" s="110">
        <f t="shared" si="11"/>
        <v>2715988.1599621666</v>
      </c>
      <c r="F35" s="127">
        <f t="shared" si="12"/>
        <v>9.3343310390500589E-2</v>
      </c>
      <c r="G35" s="87">
        <v>-1065729.6480901937</v>
      </c>
      <c r="H35" s="87">
        <v>-2391745.6008251859</v>
      </c>
      <c r="I35" s="87">
        <v>-2905460.0634468971</v>
      </c>
      <c r="J35" s="87">
        <v>-3160309.7920905706</v>
      </c>
      <c r="K35" s="87">
        <v>-2300085.6312055592</v>
      </c>
      <c r="L35" s="87">
        <v>-435203.71227647585</v>
      </c>
      <c r="M35" s="87">
        <v>-76278.551036971388</v>
      </c>
      <c r="N35" s="87">
        <v>158764.38062476003</v>
      </c>
      <c r="O35" s="87">
        <v>404683.56661270058</v>
      </c>
      <c r="P35" s="87">
        <v>1039846.2105561547</v>
      </c>
      <c r="Q35" s="87">
        <v>1639357.0557041685</v>
      </c>
      <c r="R35" s="87">
        <v>2214580.1970170834</v>
      </c>
      <c r="S35" s="87">
        <v>2340141.4916249411</v>
      </c>
      <c r="T35" s="87">
        <v>1601124.8332192523</v>
      </c>
      <c r="U35" s="87">
        <v>1294679.1755661322</v>
      </c>
      <c r="V35" s="87">
        <v>2132774.8233740414</v>
      </c>
      <c r="W35" s="87">
        <v>2941011.6995090703</v>
      </c>
      <c r="X35" s="87">
        <v>3696064.9255186757</v>
      </c>
      <c r="Y35" s="87">
        <v>3686314.3721655677</v>
      </c>
      <c r="Z35" s="87">
        <v>2197788.5355367535</v>
      </c>
      <c r="AA35" s="87">
        <v>2323601.5367401433</v>
      </c>
      <c r="AB35" s="87">
        <v>1830876.3970035242</v>
      </c>
      <c r="AC35" s="87">
        <v>1371342.6092363964</v>
      </c>
      <c r="AD35" s="87">
        <v>2224057.3556421497</v>
      </c>
      <c r="AE35" s="87">
        <v>3675803.257016948</v>
      </c>
      <c r="AF35" s="87">
        <v>5576804.6129491515</v>
      </c>
      <c r="AG35" s="87">
        <v>5586442.2400677959</v>
      </c>
      <c r="AH35" s="87">
        <v>1806927.324813559</v>
      </c>
    </row>
    <row r="36" spans="1:34" x14ac:dyDescent="0.25">
      <c r="A36" s="88" t="s">
        <v>349</v>
      </c>
      <c r="B36" s="98"/>
      <c r="C36" s="109">
        <f t="shared" si="9"/>
        <v>-1626649.4603962335</v>
      </c>
      <c r="D36" s="125">
        <f t="shared" si="10"/>
        <v>5.8100773149128981E-2</v>
      </c>
      <c r="E36" s="110">
        <f t="shared" si="11"/>
        <v>2076669.0812960791</v>
      </c>
      <c r="F36" s="127">
        <f t="shared" si="12"/>
        <v>8.9559634479396744E-2</v>
      </c>
      <c r="G36" s="87">
        <v>-1056220.6871912833</v>
      </c>
      <c r="H36" s="87">
        <v>-2363977.0411173915</v>
      </c>
      <c r="I36" s="87">
        <v>-2870547.1591675063</v>
      </c>
      <c r="J36" s="87">
        <v>-3127404.5549859512</v>
      </c>
      <c r="K36" s="87">
        <v>-2296123.7396275746</v>
      </c>
      <c r="L36" s="87">
        <v>-456517.52351904416</v>
      </c>
      <c r="M36" s="87">
        <v>-82377.957816632406</v>
      </c>
      <c r="N36" s="87">
        <v>164324.93147221764</v>
      </c>
      <c r="O36" s="87">
        <v>409292.25305337855</v>
      </c>
      <c r="P36" s="87">
        <v>995316.67665784957</v>
      </c>
      <c r="Q36" s="87">
        <v>1546352.987907558</v>
      </c>
      <c r="R36" s="87">
        <v>2073289.3495594566</v>
      </c>
      <c r="S36" s="87">
        <v>2198850.6441673143</v>
      </c>
      <c r="T36" s="87">
        <v>1556407.545083659</v>
      </c>
      <c r="U36" s="87">
        <v>1298724.5992949456</v>
      </c>
      <c r="V36" s="87">
        <v>2058355.5013401434</v>
      </c>
      <c r="W36" s="87">
        <v>2788127.63171246</v>
      </c>
      <c r="X36" s="87">
        <v>3464240.1797559639</v>
      </c>
      <c r="Y36" s="87">
        <v>3453537.7619960764</v>
      </c>
      <c r="Z36" s="87">
        <v>2122893.2812994653</v>
      </c>
      <c r="AA36" s="87">
        <v>2328122.8926723464</v>
      </c>
      <c r="AB36" s="87">
        <v>1835873.6851391173</v>
      </c>
      <c r="AC36" s="87">
        <v>1376339.8973719894</v>
      </c>
      <c r="AD36" s="87">
        <v>2017594.3047946915</v>
      </c>
      <c r="AE36" s="87">
        <v>3257998.8502372871</v>
      </c>
      <c r="AF36" s="87">
        <v>4947777.833288135</v>
      </c>
      <c r="AG36" s="87">
        <v>4956344.6129491525</v>
      </c>
      <c r="AH36" s="87">
        <v>1596775.7993898301</v>
      </c>
    </row>
    <row r="37" spans="1:34" x14ac:dyDescent="0.25">
      <c r="A37" s="88" t="s">
        <v>351</v>
      </c>
      <c r="B37" s="98"/>
      <c r="C37" s="109">
        <f t="shared" si="9"/>
        <v>-1950918.8733831043</v>
      </c>
      <c r="D37" s="125">
        <f t="shared" si="10"/>
        <v>5.4172915413293499E-2</v>
      </c>
      <c r="E37" s="110">
        <f t="shared" si="11"/>
        <v>1437350.0026299849</v>
      </c>
      <c r="F37" s="127">
        <f t="shared" si="12"/>
        <v>8.5486939714622512E-2</v>
      </c>
      <c r="G37" s="87">
        <v>-1046711.7262923729</v>
      </c>
      <c r="H37" s="87">
        <v>-2336208.4814095967</v>
      </c>
      <c r="I37" s="87">
        <v>-2835634.2548881155</v>
      </c>
      <c r="J37" s="87">
        <v>-3094499.3178813322</v>
      </c>
      <c r="K37" s="87">
        <v>-2292161.8480495899</v>
      </c>
      <c r="L37" s="87">
        <v>-477831.3347616127</v>
      </c>
      <c r="M37" s="87">
        <v>-88477.364596293424</v>
      </c>
      <c r="N37" s="87">
        <v>169885.4823196753</v>
      </c>
      <c r="O37" s="87">
        <v>413900.93949405651</v>
      </c>
      <c r="P37" s="87">
        <v>950787.14275954466</v>
      </c>
      <c r="Q37" s="87">
        <v>1453348.9201109477</v>
      </c>
      <c r="R37" s="87">
        <v>1931998.5021018297</v>
      </c>
      <c r="S37" s="87">
        <v>2057559.796709687</v>
      </c>
      <c r="T37" s="87">
        <v>1511690.2569480657</v>
      </c>
      <c r="U37" s="87">
        <v>1302770.0230237595</v>
      </c>
      <c r="V37" s="87">
        <v>1983936.1793062449</v>
      </c>
      <c r="W37" s="87">
        <v>2635243.5639158497</v>
      </c>
      <c r="X37" s="87">
        <v>3232415.4339932511</v>
      </c>
      <c r="Y37" s="87">
        <v>3220761.1518265847</v>
      </c>
      <c r="Z37" s="87">
        <v>2047998.0270621767</v>
      </c>
      <c r="AA37" s="87">
        <v>2332644.24860455</v>
      </c>
      <c r="AB37" s="87">
        <v>1840870.9732747106</v>
      </c>
      <c r="AC37" s="87">
        <v>1381337.1855075827</v>
      </c>
      <c r="AD37" s="87">
        <v>1811131.253947234</v>
      </c>
      <c r="AE37" s="87">
        <v>2840194.4434576267</v>
      </c>
      <c r="AF37" s="87">
        <v>4318751.0536271185</v>
      </c>
      <c r="AG37" s="87">
        <v>4326246.9858305082</v>
      </c>
      <c r="AH37" s="87">
        <v>1386624.2739661012</v>
      </c>
    </row>
    <row r="38" spans="1:34" x14ac:dyDescent="0.25">
      <c r="B38" s="98"/>
      <c r="C38" s="110"/>
      <c r="D38" s="114"/>
      <c r="E38" s="110"/>
      <c r="F38" s="114"/>
    </row>
    <row r="39" spans="1:34" x14ac:dyDescent="0.25">
      <c r="A39" s="96" t="s">
        <v>447</v>
      </c>
      <c r="C39" s="128"/>
      <c r="D39" s="128"/>
      <c r="E39" s="98"/>
      <c r="F39" s="98"/>
    </row>
    <row r="40" spans="1:34" x14ac:dyDescent="0.25">
      <c r="A40" s="96"/>
      <c r="C40" s="128"/>
      <c r="D40" s="128"/>
      <c r="E40" s="98"/>
      <c r="F40" s="98"/>
    </row>
    <row r="41" spans="1:34" x14ac:dyDescent="0.25">
      <c r="A41" s="96"/>
      <c r="B41" s="98"/>
      <c r="C41" s="154" t="s">
        <v>333</v>
      </c>
      <c r="D41" s="154"/>
      <c r="E41" s="151" t="s">
        <v>338</v>
      </c>
      <c r="F41" s="151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</row>
    <row r="42" spans="1:34" x14ac:dyDescent="0.25">
      <c r="A42" s="111"/>
      <c r="B42" s="111"/>
      <c r="C42" s="133" t="s">
        <v>335</v>
      </c>
      <c r="D42" s="130" t="s">
        <v>336</v>
      </c>
      <c r="E42" s="111" t="s">
        <v>335</v>
      </c>
      <c r="F42" s="112" t="s">
        <v>336</v>
      </c>
      <c r="G42" s="82" t="s">
        <v>399</v>
      </c>
      <c r="H42" s="82" t="s">
        <v>400</v>
      </c>
      <c r="I42" s="82" t="s">
        <v>401</v>
      </c>
      <c r="J42" s="82" t="s">
        <v>402</v>
      </c>
      <c r="K42" s="82" t="s">
        <v>403</v>
      </c>
      <c r="L42" s="82" t="s">
        <v>404</v>
      </c>
      <c r="M42" s="82" t="s">
        <v>405</v>
      </c>
      <c r="N42" s="82" t="s">
        <v>406</v>
      </c>
      <c r="O42" s="82" t="s">
        <v>407</v>
      </c>
      <c r="P42" s="82" t="s">
        <v>408</v>
      </c>
      <c r="Q42" s="82" t="s">
        <v>409</v>
      </c>
      <c r="R42" s="82" t="s">
        <v>410</v>
      </c>
      <c r="S42" s="82" t="s">
        <v>411</v>
      </c>
      <c r="T42" s="82" t="s">
        <v>412</v>
      </c>
      <c r="U42" s="82" t="s">
        <v>413</v>
      </c>
      <c r="V42" s="83" t="s">
        <v>414</v>
      </c>
      <c r="W42" s="83" t="s">
        <v>415</v>
      </c>
      <c r="X42" s="83" t="s">
        <v>416</v>
      </c>
      <c r="Y42" s="83" t="s">
        <v>417</v>
      </c>
      <c r="Z42" s="83" t="s">
        <v>418</v>
      </c>
      <c r="AA42" s="83" t="s">
        <v>425</v>
      </c>
      <c r="AB42" s="83" t="s">
        <v>428</v>
      </c>
      <c r="AC42" s="83" t="s">
        <v>429</v>
      </c>
      <c r="AD42" s="83" t="s">
        <v>430</v>
      </c>
      <c r="AE42" s="83" t="s">
        <v>431</v>
      </c>
      <c r="AF42" s="83" t="s">
        <v>432</v>
      </c>
      <c r="AG42" s="83" t="s">
        <v>433</v>
      </c>
      <c r="AH42" s="83" t="s">
        <v>438</v>
      </c>
    </row>
    <row r="43" spans="1:34" x14ac:dyDescent="0.25">
      <c r="A43" s="99" t="s">
        <v>337</v>
      </c>
      <c r="B43" s="102"/>
      <c r="C43" s="101"/>
      <c r="D43" s="102"/>
      <c r="E43" s="102"/>
      <c r="F43" s="100"/>
      <c r="G43" s="103">
        <f>Aggr!C34+Aggr!C35</f>
        <v>1281570.3910108958</v>
      </c>
      <c r="H43" s="103">
        <f>Aggr!D34+Aggr!D35</f>
        <v>701434.73946701898</v>
      </c>
      <c r="I43" s="103">
        <f>Aggr!E34+Aggr!E35</f>
        <v>283118.13227371173</v>
      </c>
      <c r="J43" s="103">
        <f>Aggr!F34+Aggr!F35</f>
        <v>-96883.929195189616</v>
      </c>
      <c r="K43" s="103">
        <f>Aggr!G34+Aggr!G35</f>
        <v>405312.77721645602</v>
      </c>
      <c r="L43" s="103">
        <f>Aggr!H34+Aggr!H35</f>
        <v>1047206.5029660927</v>
      </c>
      <c r="M43" s="103">
        <f>Aggr!I34+Aggr!I35</f>
        <v>1390917.2597426896</v>
      </c>
      <c r="N43" s="103">
        <f>Aggr!J34+Aggr!J35</f>
        <v>1614300.2337773023</v>
      </c>
      <c r="O43" s="103">
        <f>Aggr!K34+Aggr!K35</f>
        <v>1861171.2841720227</v>
      </c>
      <c r="P43" s="103">
        <f>Aggr!L34+Aggr!L35</f>
        <v>2545472.1484544594</v>
      </c>
      <c r="Q43" s="103">
        <f>Aggr!M34+Aggr!M35</f>
        <v>3193457.5275007784</v>
      </c>
      <c r="R43" s="103">
        <f>Aggr!N34+Aggr!N35</f>
        <v>3816967.4484747103</v>
      </c>
      <c r="S43" s="103">
        <f>Aggr!O34+Aggr!O35</f>
        <v>3942528.743082569</v>
      </c>
      <c r="T43" s="103">
        <f>Aggr!P34+Aggr!P35</f>
        <v>3106938.5253548454</v>
      </c>
      <c r="U43" s="103">
        <f>Aggr!Q34+Aggr!Q35</f>
        <v>2751730.1558373189</v>
      </c>
      <c r="V43" s="103">
        <f>Aggr!R34+Aggr!R35</f>
        <v>3668290.5494079399</v>
      </c>
      <c r="W43" s="103">
        <f>Aggr!S34+Aggr!S35</f>
        <v>4554992.1713056806</v>
      </c>
      <c r="X43" s="103">
        <f>Aggr!T34+Aggr!T35</f>
        <v>5388986.0752813872</v>
      </c>
      <c r="Y43" s="103">
        <f>Aggr!U34+Aggr!U35</f>
        <v>5380187.3863350591</v>
      </c>
      <c r="Z43" s="103">
        <f>Aggr!V34+Aggr!V35</f>
        <v>3733780.1937740417</v>
      </c>
      <c r="AA43" s="103">
        <f>Aggr!W34+Aggr!W35</f>
        <v>3780176.5848079398</v>
      </c>
      <c r="AB43" s="103">
        <f>Aggr!X34+Aggr!X35</f>
        <v>3286975.5128679313</v>
      </c>
      <c r="AC43" s="103">
        <f>Aggr!Y34+Aggr!Y35</f>
        <v>2827441.7251008032</v>
      </c>
      <c r="AD43" s="103">
        <f>Aggr!Z34+Aggr!Z35</f>
        <v>3891616.8104896075</v>
      </c>
      <c r="AE43" s="103">
        <f>Aggr!AA34+Aggr!AA35</f>
        <v>5554704.0677966103</v>
      </c>
      <c r="AF43" s="103">
        <f>Aggr!AB34+Aggr!AB35</f>
        <v>7666927.7966101682</v>
      </c>
      <c r="AG43" s="103">
        <f>Aggr!AC34+Aggr!AC35</f>
        <v>7677636.2711864393</v>
      </c>
      <c r="AH43" s="103">
        <f>Aggr!AD34+Aggr!AD35</f>
        <v>3478175.2542372877</v>
      </c>
    </row>
    <row r="44" spans="1:34" x14ac:dyDescent="0.25">
      <c r="A44" s="88" t="s">
        <v>339</v>
      </c>
      <c r="B44" s="131">
        <f>B57</f>
        <v>0.1</v>
      </c>
      <c r="C44" s="132"/>
      <c r="D44" s="128"/>
      <c r="E44" s="98"/>
      <c r="F44" s="97"/>
      <c r="G44" s="88">
        <f>(100%-$B44)*G43</f>
        <v>1153413.3519098063</v>
      </c>
      <c r="H44" s="88">
        <f t="shared" ref="H44:AH44" si="20">(100%-$B44)*H43</f>
        <v>631291.26552031713</v>
      </c>
      <c r="I44" s="88">
        <f t="shared" si="20"/>
        <v>254806.31904634056</v>
      </c>
      <c r="J44" s="88">
        <f t="shared" si="20"/>
        <v>-87195.53627567066</v>
      </c>
      <c r="K44" s="88">
        <f t="shared" si="20"/>
        <v>364781.49949481041</v>
      </c>
      <c r="L44" s="88">
        <f t="shared" si="20"/>
        <v>942485.8526694834</v>
      </c>
      <c r="M44" s="88">
        <f t="shared" si="20"/>
        <v>1251825.5337684206</v>
      </c>
      <c r="N44" s="88">
        <f t="shared" si="20"/>
        <v>1452870.210399572</v>
      </c>
      <c r="O44" s="88">
        <f t="shared" si="20"/>
        <v>1675054.1557548204</v>
      </c>
      <c r="P44" s="88">
        <f t="shared" si="20"/>
        <v>2290924.9336090134</v>
      </c>
      <c r="Q44" s="88">
        <f t="shared" si="20"/>
        <v>2874111.7747507007</v>
      </c>
      <c r="R44" s="88">
        <f t="shared" si="20"/>
        <v>3435270.7036272394</v>
      </c>
      <c r="S44" s="88">
        <f t="shared" si="20"/>
        <v>3548275.8687743121</v>
      </c>
      <c r="T44" s="88">
        <f t="shared" si="20"/>
        <v>2796244.6728193611</v>
      </c>
      <c r="U44" s="88">
        <f t="shared" si="20"/>
        <v>2476557.1402535872</v>
      </c>
      <c r="V44" s="88">
        <f t="shared" si="20"/>
        <v>3301461.4944671458</v>
      </c>
      <c r="W44" s="88">
        <f t="shared" si="20"/>
        <v>4099492.9541751128</v>
      </c>
      <c r="X44" s="88">
        <f t="shared" si="20"/>
        <v>4850087.4677532483</v>
      </c>
      <c r="Y44" s="88">
        <f t="shared" si="20"/>
        <v>4842168.6477015531</v>
      </c>
      <c r="Z44" s="88">
        <f t="shared" si="20"/>
        <v>3360402.1743966378</v>
      </c>
      <c r="AA44" s="88">
        <f t="shared" si="20"/>
        <v>3402158.9263271461</v>
      </c>
      <c r="AB44" s="88">
        <f t="shared" si="20"/>
        <v>2958277.9615811384</v>
      </c>
      <c r="AC44" s="88">
        <f t="shared" si="20"/>
        <v>2544697.5525907231</v>
      </c>
      <c r="AD44" s="88">
        <f t="shared" si="20"/>
        <v>3502455.1294406466</v>
      </c>
      <c r="AE44" s="88">
        <f t="shared" si="20"/>
        <v>4999233.6610169495</v>
      </c>
      <c r="AF44" s="88">
        <f t="shared" si="20"/>
        <v>6900235.0169491516</v>
      </c>
      <c r="AG44" s="88">
        <f t="shared" si="20"/>
        <v>6909872.6440677959</v>
      </c>
      <c r="AH44" s="88">
        <f t="shared" si="20"/>
        <v>3130357.7288135588</v>
      </c>
    </row>
    <row r="45" spans="1:34" x14ac:dyDescent="0.25">
      <c r="A45" s="88" t="s">
        <v>339</v>
      </c>
      <c r="B45" s="131">
        <f>B58</f>
        <v>0.2</v>
      </c>
      <c r="C45" s="132"/>
      <c r="D45" s="128"/>
      <c r="E45" s="98"/>
      <c r="F45" s="97"/>
      <c r="G45" s="88">
        <f>(100%-$B45)*G44</f>
        <v>922730.6815278451</v>
      </c>
      <c r="H45" s="88">
        <f t="shared" ref="H45:H46" si="21">(100%-$B45)*H44</f>
        <v>505033.01241625374</v>
      </c>
      <c r="I45" s="88">
        <f t="shared" ref="I45:I46" si="22">(100%-$B45)*I44</f>
        <v>203845.05523707246</v>
      </c>
      <c r="J45" s="88">
        <f t="shared" ref="J45:J46" si="23">(100%-$B45)*J44</f>
        <v>-69756.429020536525</v>
      </c>
      <c r="K45" s="88">
        <f t="shared" ref="K45:K46" si="24">(100%-$B45)*K44</f>
        <v>291825.19959584833</v>
      </c>
      <c r="L45" s="88">
        <f t="shared" ref="L45:L46" si="25">(100%-$B45)*L44</f>
        <v>753988.68213558674</v>
      </c>
      <c r="M45" s="88">
        <f t="shared" ref="M45:M46" si="26">(100%-$B45)*M44</f>
        <v>1001460.4270147365</v>
      </c>
      <c r="N45" s="88">
        <f t="shared" ref="N45:N46" si="27">(100%-$B45)*N44</f>
        <v>1162296.1683196577</v>
      </c>
      <c r="O45" s="88">
        <f t="shared" ref="O45:O46" si="28">(100%-$B45)*O44</f>
        <v>1340043.3246038565</v>
      </c>
      <c r="P45" s="88">
        <f t="shared" ref="P45:P46" si="29">(100%-$B45)*P44</f>
        <v>1832739.9468872109</v>
      </c>
      <c r="Q45" s="88">
        <f t="shared" ref="Q45:Q46" si="30">(100%-$B45)*Q44</f>
        <v>2299289.4198005605</v>
      </c>
      <c r="R45" s="88">
        <f t="shared" ref="R45:R46" si="31">(100%-$B45)*R44</f>
        <v>2748216.5629017917</v>
      </c>
      <c r="S45" s="88">
        <f t="shared" ref="S45:S46" si="32">(100%-$B45)*S44</f>
        <v>2838620.69501945</v>
      </c>
      <c r="T45" s="88">
        <f t="shared" ref="T45:T46" si="33">(100%-$B45)*T44</f>
        <v>2236995.7382554892</v>
      </c>
      <c r="U45" s="88">
        <f t="shared" ref="U45:U46" si="34">(100%-$B45)*U44</f>
        <v>1981245.7122028698</v>
      </c>
      <c r="V45" s="88">
        <f t="shared" ref="V45:V46" si="35">(100%-$B45)*V44</f>
        <v>2641169.1955737169</v>
      </c>
      <c r="W45" s="88">
        <f t="shared" ref="W45:W46" si="36">(100%-$B45)*W44</f>
        <v>3279594.3633400905</v>
      </c>
      <c r="X45" s="88">
        <f t="shared" ref="X45:X46" si="37">(100%-$B45)*X44</f>
        <v>3880069.9742025989</v>
      </c>
      <c r="Y45" s="88">
        <f t="shared" ref="Y45:Y46" si="38">(100%-$B45)*Y44</f>
        <v>3873734.9181612427</v>
      </c>
      <c r="Z45" s="88">
        <f t="shared" ref="Z45:Z46" si="39">(100%-$B45)*Z44</f>
        <v>2688321.7395173106</v>
      </c>
      <c r="AA45" s="88">
        <f t="shared" ref="AA45:AA46" si="40">(100%-$B45)*AA44</f>
        <v>2721727.1410617172</v>
      </c>
      <c r="AB45" s="88">
        <f t="shared" ref="AB45:AB46" si="41">(100%-$B45)*AB44</f>
        <v>2366622.3692649109</v>
      </c>
      <c r="AC45" s="88">
        <f t="shared" ref="AC45:AC46" si="42">(100%-$B45)*AC44</f>
        <v>2035758.0420725786</v>
      </c>
      <c r="AD45" s="88">
        <f t="shared" ref="AD45:AD46" si="43">(100%-$B45)*AD44</f>
        <v>2801964.1035525175</v>
      </c>
      <c r="AE45" s="88">
        <f t="shared" ref="AE45:AE46" si="44">(100%-$B45)*AE44</f>
        <v>3999386.9288135599</v>
      </c>
      <c r="AF45" s="88">
        <f t="shared" ref="AF45:AF46" si="45">(100%-$B45)*AF44</f>
        <v>5520188.0135593219</v>
      </c>
      <c r="AG45" s="88">
        <f t="shared" ref="AG45:AG46" si="46">(100%-$B45)*AG44</f>
        <v>5527898.1152542373</v>
      </c>
      <c r="AH45" s="88">
        <f t="shared" ref="AH45:AH46" si="47">(100%-$B45)*AH44</f>
        <v>2504286.1830508471</v>
      </c>
    </row>
    <row r="46" spans="1:34" x14ac:dyDescent="0.25">
      <c r="A46" s="88" t="s">
        <v>339</v>
      </c>
      <c r="B46" s="131">
        <f>B59</f>
        <v>0.3</v>
      </c>
      <c r="C46" s="132"/>
      <c r="D46" s="128"/>
      <c r="E46" s="98"/>
      <c r="F46" s="97"/>
      <c r="G46" s="88">
        <f>(100%-$B46)*G45</f>
        <v>645911.47706949152</v>
      </c>
      <c r="H46" s="88">
        <f t="shared" si="21"/>
        <v>353523.10869137762</v>
      </c>
      <c r="I46" s="88">
        <f t="shared" si="22"/>
        <v>142691.53866595071</v>
      </c>
      <c r="J46" s="88">
        <f t="shared" si="23"/>
        <v>-48829.500314375568</v>
      </c>
      <c r="K46" s="88">
        <f t="shared" si="24"/>
        <v>204277.63971709381</v>
      </c>
      <c r="L46" s="88">
        <f t="shared" si="25"/>
        <v>527792.07749491069</v>
      </c>
      <c r="M46" s="88">
        <f t="shared" si="26"/>
        <v>701022.2989103155</v>
      </c>
      <c r="N46" s="88">
        <f t="shared" si="27"/>
        <v>813607.31782376033</v>
      </c>
      <c r="O46" s="88">
        <f t="shared" si="28"/>
        <v>938030.32722269953</v>
      </c>
      <c r="P46" s="88">
        <f t="shared" si="29"/>
        <v>1282917.9628210475</v>
      </c>
      <c r="Q46" s="88">
        <f t="shared" si="30"/>
        <v>1609502.5938603922</v>
      </c>
      <c r="R46" s="88">
        <f t="shared" si="31"/>
        <v>1923751.5940312541</v>
      </c>
      <c r="S46" s="88">
        <f t="shared" si="32"/>
        <v>1987034.4865136149</v>
      </c>
      <c r="T46" s="88">
        <f t="shared" si="33"/>
        <v>1565897.0167788423</v>
      </c>
      <c r="U46" s="88">
        <f t="shared" si="34"/>
        <v>1386871.9985420087</v>
      </c>
      <c r="V46" s="88">
        <f t="shared" si="35"/>
        <v>1848818.4369016017</v>
      </c>
      <c r="W46" s="88">
        <f t="shared" si="36"/>
        <v>2295716.0543380631</v>
      </c>
      <c r="X46" s="88">
        <f t="shared" si="37"/>
        <v>2716048.9819418192</v>
      </c>
      <c r="Y46" s="88">
        <f t="shared" si="38"/>
        <v>2711614.44271287</v>
      </c>
      <c r="Z46" s="88">
        <f t="shared" si="39"/>
        <v>1881825.2176621172</v>
      </c>
      <c r="AA46" s="88">
        <f t="shared" si="40"/>
        <v>1905208.9987432018</v>
      </c>
      <c r="AB46" s="88">
        <f t="shared" si="41"/>
        <v>1656635.6584854375</v>
      </c>
      <c r="AC46" s="88">
        <f t="shared" si="42"/>
        <v>1425030.629450805</v>
      </c>
      <c r="AD46" s="88">
        <f t="shared" si="43"/>
        <v>1961374.872486762</v>
      </c>
      <c r="AE46" s="88">
        <f t="shared" si="44"/>
        <v>2799570.850169492</v>
      </c>
      <c r="AF46" s="88">
        <f t="shared" si="45"/>
        <v>3864131.6094915252</v>
      </c>
      <c r="AG46" s="88">
        <f t="shared" si="46"/>
        <v>3869528.6806779657</v>
      </c>
      <c r="AH46" s="88">
        <f t="shared" si="47"/>
        <v>1753000.3281355929</v>
      </c>
    </row>
    <row r="47" spans="1:34" x14ac:dyDescent="0.25">
      <c r="A47" s="88" t="s">
        <v>340</v>
      </c>
      <c r="B47" s="131"/>
      <c r="C47" s="132"/>
      <c r="D47" s="128"/>
      <c r="E47" s="98"/>
      <c r="F47" s="97"/>
      <c r="G47" s="88">
        <v>0</v>
      </c>
      <c r="H47" s="87">
        <f>G43</f>
        <v>1281570.3910108958</v>
      </c>
      <c r="I47" s="87">
        <f>H43</f>
        <v>701434.73946701898</v>
      </c>
      <c r="J47" s="87">
        <f t="shared" ref="J47:AH47" si="48">I43</f>
        <v>283118.13227371173</v>
      </c>
      <c r="K47" s="87">
        <f t="shared" si="48"/>
        <v>-96883.929195189616</v>
      </c>
      <c r="L47" s="87">
        <f t="shared" si="48"/>
        <v>405312.77721645602</v>
      </c>
      <c r="M47" s="87">
        <f t="shared" si="48"/>
        <v>1047206.5029660927</v>
      </c>
      <c r="N47" s="87">
        <f t="shared" si="48"/>
        <v>1390917.2597426896</v>
      </c>
      <c r="O47" s="87">
        <f t="shared" si="48"/>
        <v>1614300.2337773023</v>
      </c>
      <c r="P47" s="87">
        <f t="shared" si="48"/>
        <v>1861171.2841720227</v>
      </c>
      <c r="Q47" s="87">
        <f t="shared" si="48"/>
        <v>2545472.1484544594</v>
      </c>
      <c r="R47" s="87">
        <f t="shared" si="48"/>
        <v>3193457.5275007784</v>
      </c>
      <c r="S47" s="87">
        <f t="shared" si="48"/>
        <v>3816967.4484747103</v>
      </c>
      <c r="T47" s="87">
        <f t="shared" si="48"/>
        <v>3942528.743082569</v>
      </c>
      <c r="U47" s="87">
        <f t="shared" si="48"/>
        <v>3106938.5253548454</v>
      </c>
      <c r="V47" s="87">
        <f t="shared" si="48"/>
        <v>2751730.1558373189</v>
      </c>
      <c r="W47" s="87">
        <f t="shared" si="48"/>
        <v>3668290.5494079399</v>
      </c>
      <c r="X47" s="87">
        <f t="shared" si="48"/>
        <v>4554992.1713056806</v>
      </c>
      <c r="Y47" s="87">
        <f t="shared" si="48"/>
        <v>5388986.0752813872</v>
      </c>
      <c r="Z47" s="87">
        <f t="shared" si="48"/>
        <v>5380187.3863350591</v>
      </c>
      <c r="AA47" s="87">
        <f t="shared" si="48"/>
        <v>3733780.1937740417</v>
      </c>
      <c r="AB47" s="87">
        <f t="shared" si="48"/>
        <v>3780176.5848079398</v>
      </c>
      <c r="AC47" s="87">
        <f t="shared" si="48"/>
        <v>3286975.5128679313</v>
      </c>
      <c r="AD47" s="87">
        <f t="shared" si="48"/>
        <v>2827441.7251008032</v>
      </c>
      <c r="AE47" s="87">
        <f t="shared" si="48"/>
        <v>3891616.8104896075</v>
      </c>
      <c r="AF47" s="87">
        <f t="shared" si="48"/>
        <v>5554704.0677966103</v>
      </c>
      <c r="AG47" s="87">
        <f t="shared" si="48"/>
        <v>7666927.7966101682</v>
      </c>
      <c r="AH47" s="87">
        <f t="shared" si="48"/>
        <v>7677636.2711864393</v>
      </c>
    </row>
    <row r="48" spans="1:34" x14ac:dyDescent="0.25">
      <c r="A48" s="88" t="s">
        <v>341</v>
      </c>
      <c r="B48" s="131"/>
      <c r="C48" s="132"/>
      <c r="D48" s="128"/>
      <c r="E48" s="98"/>
      <c r="F48" s="97"/>
      <c r="G48" s="88">
        <v>0</v>
      </c>
      <c r="H48" s="87">
        <v>0</v>
      </c>
      <c r="I48" s="87">
        <f>G43</f>
        <v>1281570.3910108958</v>
      </c>
      <c r="J48" s="87">
        <f>H43</f>
        <v>701434.73946701898</v>
      </c>
      <c r="K48" s="87">
        <f t="shared" ref="K48" si="49">I43</f>
        <v>283118.13227371173</v>
      </c>
      <c r="L48" s="87">
        <f t="shared" ref="L48" si="50">J43</f>
        <v>-96883.929195189616</v>
      </c>
      <c r="M48" s="87">
        <f t="shared" ref="M48" si="51">K43</f>
        <v>405312.77721645602</v>
      </c>
      <c r="N48" s="87">
        <f t="shared" ref="N48" si="52">L43</f>
        <v>1047206.5029660927</v>
      </c>
      <c r="O48" s="87">
        <f t="shared" ref="O48" si="53">M43</f>
        <v>1390917.2597426896</v>
      </c>
      <c r="P48" s="87">
        <f t="shared" ref="P48" si="54">N43</f>
        <v>1614300.2337773023</v>
      </c>
      <c r="Q48" s="87">
        <f t="shared" ref="Q48" si="55">O43</f>
        <v>1861171.2841720227</v>
      </c>
      <c r="R48" s="87">
        <f t="shared" ref="R48" si="56">P43</f>
        <v>2545472.1484544594</v>
      </c>
      <c r="S48" s="87">
        <f t="shared" ref="S48" si="57">Q43</f>
        <v>3193457.5275007784</v>
      </c>
      <c r="T48" s="87">
        <f t="shared" ref="T48" si="58">R43</f>
        <v>3816967.4484747103</v>
      </c>
      <c r="U48" s="87">
        <f t="shared" ref="U48" si="59">S43</f>
        <v>3942528.743082569</v>
      </c>
      <c r="V48" s="87">
        <f t="shared" ref="V48" si="60">T43</f>
        <v>3106938.5253548454</v>
      </c>
      <c r="W48" s="87">
        <f t="shared" ref="W48" si="61">U43</f>
        <v>2751730.1558373189</v>
      </c>
      <c r="X48" s="87">
        <f t="shared" ref="X48" si="62">V43</f>
        <v>3668290.5494079399</v>
      </c>
      <c r="Y48" s="87">
        <f t="shared" ref="Y48" si="63">W43</f>
        <v>4554992.1713056806</v>
      </c>
      <c r="Z48" s="87">
        <f t="shared" ref="Z48" si="64">X43</f>
        <v>5388986.0752813872</v>
      </c>
      <c r="AA48" s="87">
        <f t="shared" ref="AA48" si="65">Y43</f>
        <v>5380187.3863350591</v>
      </c>
      <c r="AB48" s="87">
        <f t="shared" ref="AB48" si="66">Z43</f>
        <v>3733780.1937740417</v>
      </c>
      <c r="AC48" s="87">
        <f t="shared" ref="AC48" si="67">AA43</f>
        <v>3780176.5848079398</v>
      </c>
      <c r="AD48" s="87">
        <f t="shared" ref="AD48" si="68">AB43</f>
        <v>3286975.5128679313</v>
      </c>
      <c r="AE48" s="87">
        <f t="shared" ref="AE48" si="69">AC43</f>
        <v>2827441.7251008032</v>
      </c>
      <c r="AF48" s="87">
        <f t="shared" ref="AF48" si="70">AD43</f>
        <v>3891616.8104896075</v>
      </c>
      <c r="AG48" s="87">
        <f t="shared" ref="AG48" si="71">AE43</f>
        <v>5554704.0677966103</v>
      </c>
      <c r="AH48" s="87">
        <f t="shared" ref="AH48" si="72">AF43</f>
        <v>7666927.7966101682</v>
      </c>
    </row>
    <row r="49" spans="1:34" x14ac:dyDescent="0.25">
      <c r="A49" s="88" t="s">
        <v>342</v>
      </c>
      <c r="B49" s="131"/>
      <c r="C49" s="132"/>
      <c r="D49" s="128"/>
      <c r="E49" s="98"/>
      <c r="F49" s="97"/>
      <c r="G49" s="88">
        <v>0</v>
      </c>
      <c r="H49" s="87">
        <v>0</v>
      </c>
      <c r="I49" s="87">
        <v>0</v>
      </c>
      <c r="J49" s="87">
        <f>G43</f>
        <v>1281570.3910108958</v>
      </c>
      <c r="K49" s="87">
        <f>H43</f>
        <v>701434.73946701898</v>
      </c>
      <c r="L49" s="87">
        <f t="shared" ref="L49" si="73">I43</f>
        <v>283118.13227371173</v>
      </c>
      <c r="M49" s="87">
        <f t="shared" ref="M49" si="74">J43</f>
        <v>-96883.929195189616</v>
      </c>
      <c r="N49" s="87">
        <f t="shared" ref="N49" si="75">K43</f>
        <v>405312.77721645602</v>
      </c>
      <c r="O49" s="87">
        <f t="shared" ref="O49" si="76">L43</f>
        <v>1047206.5029660927</v>
      </c>
      <c r="P49" s="87">
        <f t="shared" ref="P49" si="77">M43</f>
        <v>1390917.2597426896</v>
      </c>
      <c r="Q49" s="87">
        <f t="shared" ref="Q49" si="78">N43</f>
        <v>1614300.2337773023</v>
      </c>
      <c r="R49" s="87">
        <f t="shared" ref="R49" si="79">O43</f>
        <v>1861171.2841720227</v>
      </c>
      <c r="S49" s="87">
        <f t="shared" ref="S49" si="80">P43</f>
        <v>2545472.1484544594</v>
      </c>
      <c r="T49" s="87">
        <f t="shared" ref="T49" si="81">Q43</f>
        <v>3193457.5275007784</v>
      </c>
      <c r="U49" s="87">
        <f t="shared" ref="U49" si="82">R43</f>
        <v>3816967.4484747103</v>
      </c>
      <c r="V49" s="87">
        <f t="shared" ref="V49" si="83">S43</f>
        <v>3942528.743082569</v>
      </c>
      <c r="W49" s="87">
        <f t="shared" ref="W49" si="84">T43</f>
        <v>3106938.5253548454</v>
      </c>
      <c r="X49" s="87">
        <f t="shared" ref="X49" si="85">U43</f>
        <v>2751730.1558373189</v>
      </c>
      <c r="Y49" s="87">
        <f t="shared" ref="Y49" si="86">V43</f>
        <v>3668290.5494079399</v>
      </c>
      <c r="Z49" s="87">
        <f t="shared" ref="Z49" si="87">W43</f>
        <v>4554992.1713056806</v>
      </c>
      <c r="AA49" s="87">
        <f t="shared" ref="AA49" si="88">X43</f>
        <v>5388986.0752813872</v>
      </c>
      <c r="AB49" s="87">
        <f t="shared" ref="AB49" si="89">Y43</f>
        <v>5380187.3863350591</v>
      </c>
      <c r="AC49" s="87">
        <f t="shared" ref="AC49" si="90">Z43</f>
        <v>3733780.1937740417</v>
      </c>
      <c r="AD49" s="87">
        <f t="shared" ref="AD49" si="91">AA43</f>
        <v>3780176.5848079398</v>
      </c>
      <c r="AE49" s="87">
        <f t="shared" ref="AE49" si="92">AB43</f>
        <v>3286975.5128679313</v>
      </c>
      <c r="AF49" s="87">
        <f t="shared" ref="AF49" si="93">AC43</f>
        <v>2827441.7251008032</v>
      </c>
      <c r="AG49" s="87">
        <f t="shared" ref="AG49" si="94">AD43</f>
        <v>3891616.8104896075</v>
      </c>
      <c r="AH49" s="87">
        <f t="shared" ref="AH49" si="95">AE43</f>
        <v>5554704.0677966103</v>
      </c>
    </row>
    <row r="50" spans="1:34" x14ac:dyDescent="0.25">
      <c r="C50" s="132"/>
      <c r="D50" s="128"/>
      <c r="E50" s="98"/>
      <c r="F50" s="97"/>
    </row>
    <row r="51" spans="1:34" x14ac:dyDescent="0.25">
      <c r="A51" s="99" t="s">
        <v>343</v>
      </c>
      <c r="B51" s="102"/>
      <c r="C51" s="101"/>
      <c r="D51" s="102"/>
      <c r="E51" s="102"/>
      <c r="F51" s="100"/>
      <c r="G51" s="103">
        <f>Aggr!C41</f>
        <v>980149</v>
      </c>
      <c r="H51" s="103">
        <f>Aggr!D41</f>
        <v>1744288.9</v>
      </c>
      <c r="I51" s="103">
        <f>Aggr!E41</f>
        <v>1846831.0999999999</v>
      </c>
      <c r="J51" s="103">
        <f>Aggr!F41</f>
        <v>1719671.0999999999</v>
      </c>
      <c r="K51" s="103">
        <f>Aggr!G41</f>
        <v>1332700.3</v>
      </c>
      <c r="L51" s="103">
        <f>Aggr!H41</f>
        <v>84436.40400000001</v>
      </c>
      <c r="M51" s="103">
        <f>Aggr!I41</f>
        <v>84436.40400000001</v>
      </c>
      <c r="N51" s="103">
        <f>Aggr!J41</f>
        <v>84436.40400000001</v>
      </c>
      <c r="O51" s="103">
        <f>Aggr!K41</f>
        <v>84436.40400000001</v>
      </c>
      <c r="P51" s="103">
        <f>Aggr!L41</f>
        <v>84436.40400000001</v>
      </c>
      <c r="Q51" s="103">
        <f>Aggr!M41</f>
        <v>84436.40400000001</v>
      </c>
      <c r="R51" s="103">
        <f>Aggr!N41</f>
        <v>84436.40400000001</v>
      </c>
      <c r="S51" s="103">
        <f>Aggr!O41</f>
        <v>84436.40400000001</v>
      </c>
      <c r="T51" s="103">
        <f>Aggr!P41</f>
        <v>84436.40400000001</v>
      </c>
      <c r="U51" s="103">
        <f>Aggr!Q41</f>
        <v>84436.40400000001</v>
      </c>
      <c r="V51" s="103">
        <f>Aggr!R41</f>
        <v>84436.40400000001</v>
      </c>
      <c r="W51" s="103">
        <f>Aggr!S41</f>
        <v>84436.40400000001</v>
      </c>
      <c r="X51" s="103">
        <f>Aggr!T41</f>
        <v>84436.40400000001</v>
      </c>
      <c r="Y51" s="103">
        <f>Aggr!U41</f>
        <v>84436.40400000001</v>
      </c>
      <c r="Z51" s="103">
        <f>Aggr!V41</f>
        <v>84436.40400000001</v>
      </c>
      <c r="AA51" s="103">
        <f>Aggr!W41</f>
        <v>84436.40400000001</v>
      </c>
      <c r="AB51" s="103">
        <f>Aggr!X41</f>
        <v>84436.40400000001</v>
      </c>
      <c r="AC51" s="103">
        <f>Aggr!Y41</f>
        <v>84436.40400000001</v>
      </c>
      <c r="AD51" s="103">
        <f>Aggr!Z41</f>
        <v>84436.40400000001</v>
      </c>
      <c r="AE51" s="103">
        <f>Aggr!AA41</f>
        <v>84436.40400000001</v>
      </c>
      <c r="AF51" s="103">
        <f>Aggr!AB41</f>
        <v>84436.40400000001</v>
      </c>
      <c r="AG51" s="103">
        <f>Aggr!AC41</f>
        <v>84436.40400000001</v>
      </c>
      <c r="AH51" s="103">
        <f>Aggr!AD41</f>
        <v>84436.40400000001</v>
      </c>
    </row>
    <row r="52" spans="1:34" x14ac:dyDescent="0.25">
      <c r="A52" s="88" t="s">
        <v>344</v>
      </c>
      <c r="B52" s="104">
        <f>B63</f>
        <v>0.1</v>
      </c>
      <c r="C52" s="132"/>
      <c r="D52" s="128"/>
      <c r="E52" s="98"/>
      <c r="F52" s="97"/>
      <c r="G52" s="105">
        <f>G$13*(100%+$B52)</f>
        <v>1078163.9000000001</v>
      </c>
      <c r="H52" s="105">
        <f t="shared" ref="H52:AF55" si="96">H$13*(100%+$B52)</f>
        <v>1918717.79</v>
      </c>
      <c r="I52" s="105">
        <f t="shared" si="96"/>
        <v>2031514.21</v>
      </c>
      <c r="J52" s="105">
        <f t="shared" si="96"/>
        <v>1891638.21</v>
      </c>
      <c r="K52" s="105">
        <f t="shared" si="96"/>
        <v>1465970.33</v>
      </c>
      <c r="L52" s="105">
        <f t="shared" si="96"/>
        <v>92880.044400000013</v>
      </c>
      <c r="M52" s="105">
        <f t="shared" si="96"/>
        <v>92880.044400000013</v>
      </c>
      <c r="N52" s="105">
        <f t="shared" si="96"/>
        <v>92880.044400000013</v>
      </c>
      <c r="O52" s="105">
        <f t="shared" si="96"/>
        <v>92880.044400000013</v>
      </c>
      <c r="P52" s="105">
        <f t="shared" si="96"/>
        <v>92880.044400000013</v>
      </c>
      <c r="Q52" s="105">
        <f t="shared" si="96"/>
        <v>92880.044400000013</v>
      </c>
      <c r="R52" s="105">
        <f t="shared" si="96"/>
        <v>92880.044400000013</v>
      </c>
      <c r="S52" s="105">
        <f t="shared" si="96"/>
        <v>92880.044400000013</v>
      </c>
      <c r="T52" s="105">
        <f t="shared" si="96"/>
        <v>92880.044400000013</v>
      </c>
      <c r="U52" s="105">
        <f t="shared" si="96"/>
        <v>92880.044400000013</v>
      </c>
      <c r="V52" s="105">
        <f t="shared" si="96"/>
        <v>92880.044400000013</v>
      </c>
      <c r="W52" s="105">
        <f t="shared" si="96"/>
        <v>92880.044400000013</v>
      </c>
      <c r="X52" s="105">
        <f t="shared" si="96"/>
        <v>92880.044400000013</v>
      </c>
      <c r="Y52" s="105">
        <f t="shared" si="96"/>
        <v>92880.044400000013</v>
      </c>
      <c r="Z52" s="105">
        <f t="shared" si="96"/>
        <v>92880.044400000013</v>
      </c>
      <c r="AA52" s="105">
        <f t="shared" si="96"/>
        <v>92880.044400000013</v>
      </c>
      <c r="AB52" s="105">
        <f t="shared" si="96"/>
        <v>92880.044400000013</v>
      </c>
      <c r="AC52" s="105">
        <f t="shared" si="96"/>
        <v>92880.044400000013</v>
      </c>
      <c r="AD52" s="105">
        <f t="shared" si="96"/>
        <v>92880.044400000013</v>
      </c>
      <c r="AE52" s="105">
        <f t="shared" si="96"/>
        <v>92880.044400000013</v>
      </c>
      <c r="AF52" s="105">
        <f t="shared" si="96"/>
        <v>92880.044400000013</v>
      </c>
      <c r="AG52" s="105">
        <f t="shared" ref="AF52:AH55" si="97">AG$13*(100%+$B52)</f>
        <v>92880.044400000013</v>
      </c>
      <c r="AH52" s="105">
        <f t="shared" si="97"/>
        <v>92880.044400000013</v>
      </c>
    </row>
    <row r="53" spans="1:34" x14ac:dyDescent="0.25">
      <c r="A53" s="88" t="s">
        <v>344</v>
      </c>
      <c r="B53" s="104">
        <f>B64</f>
        <v>0.2</v>
      </c>
      <c r="C53" s="132"/>
      <c r="D53" s="128"/>
      <c r="E53" s="98"/>
      <c r="F53" s="97"/>
      <c r="G53" s="105">
        <f>G$13*(100%+$B53)</f>
        <v>1176178.8</v>
      </c>
      <c r="H53" s="105">
        <f t="shared" si="96"/>
        <v>2093146.6799999997</v>
      </c>
      <c r="I53" s="105">
        <f t="shared" si="96"/>
        <v>2216197.3199999998</v>
      </c>
      <c r="J53" s="105">
        <f t="shared" si="96"/>
        <v>2063605.3199999998</v>
      </c>
      <c r="K53" s="105">
        <f t="shared" si="96"/>
        <v>1599240.36</v>
      </c>
      <c r="L53" s="105">
        <f t="shared" si="96"/>
        <v>101323.6848</v>
      </c>
      <c r="M53" s="105">
        <f t="shared" si="96"/>
        <v>101323.6848</v>
      </c>
      <c r="N53" s="105">
        <f t="shared" si="96"/>
        <v>101323.6848</v>
      </c>
      <c r="O53" s="105">
        <f t="shared" si="96"/>
        <v>101323.6848</v>
      </c>
      <c r="P53" s="105">
        <f t="shared" si="96"/>
        <v>101323.6848</v>
      </c>
      <c r="Q53" s="105">
        <f t="shared" si="96"/>
        <v>101323.6848</v>
      </c>
      <c r="R53" s="105">
        <f t="shared" si="96"/>
        <v>101323.6848</v>
      </c>
      <c r="S53" s="105">
        <f t="shared" si="96"/>
        <v>101323.6848</v>
      </c>
      <c r="T53" s="105">
        <f t="shared" si="96"/>
        <v>101323.6848</v>
      </c>
      <c r="U53" s="105">
        <f t="shared" si="96"/>
        <v>101323.6848</v>
      </c>
      <c r="V53" s="105">
        <f t="shared" si="96"/>
        <v>101323.6848</v>
      </c>
      <c r="W53" s="105">
        <f t="shared" si="96"/>
        <v>101323.6848</v>
      </c>
      <c r="X53" s="105">
        <f t="shared" si="96"/>
        <v>101323.6848</v>
      </c>
      <c r="Y53" s="105">
        <f t="shared" si="96"/>
        <v>101323.6848</v>
      </c>
      <c r="Z53" s="105">
        <f t="shared" si="96"/>
        <v>101323.6848</v>
      </c>
      <c r="AA53" s="105">
        <f t="shared" si="96"/>
        <v>101323.6848</v>
      </c>
      <c r="AB53" s="105">
        <f t="shared" si="96"/>
        <v>101323.6848</v>
      </c>
      <c r="AC53" s="105">
        <f t="shared" si="96"/>
        <v>101323.6848</v>
      </c>
      <c r="AD53" s="105">
        <f t="shared" si="96"/>
        <v>101323.6848</v>
      </c>
      <c r="AE53" s="105">
        <f t="shared" si="96"/>
        <v>101323.6848</v>
      </c>
      <c r="AF53" s="105">
        <f t="shared" si="97"/>
        <v>101323.6848</v>
      </c>
      <c r="AG53" s="105">
        <f t="shared" si="97"/>
        <v>101323.6848</v>
      </c>
      <c r="AH53" s="105">
        <f t="shared" si="97"/>
        <v>101323.6848</v>
      </c>
    </row>
    <row r="54" spans="1:34" x14ac:dyDescent="0.25">
      <c r="A54" s="88" t="s">
        <v>344</v>
      </c>
      <c r="B54" s="104">
        <f>B65</f>
        <v>0.3</v>
      </c>
      <c r="C54" s="132"/>
      <c r="D54" s="128"/>
      <c r="E54" s="98"/>
      <c r="F54" s="97"/>
      <c r="G54" s="105">
        <f>G$13*(100%+$B54)</f>
        <v>1274193.7</v>
      </c>
      <c r="H54" s="105">
        <f t="shared" si="96"/>
        <v>2267575.5699999998</v>
      </c>
      <c r="I54" s="105">
        <f t="shared" si="96"/>
        <v>2400880.4299999997</v>
      </c>
      <c r="J54" s="105">
        <f t="shared" si="96"/>
        <v>2235572.4299999997</v>
      </c>
      <c r="K54" s="105">
        <f t="shared" si="96"/>
        <v>1732510.3900000001</v>
      </c>
      <c r="L54" s="105">
        <f t="shared" si="96"/>
        <v>109767.32520000002</v>
      </c>
      <c r="M54" s="105">
        <f t="shared" si="96"/>
        <v>109767.32520000002</v>
      </c>
      <c r="N54" s="105">
        <f t="shared" si="96"/>
        <v>109767.32520000002</v>
      </c>
      <c r="O54" s="105">
        <f t="shared" si="96"/>
        <v>109767.32520000002</v>
      </c>
      <c r="P54" s="105">
        <f t="shared" si="96"/>
        <v>109767.32520000002</v>
      </c>
      <c r="Q54" s="105">
        <f t="shared" si="96"/>
        <v>109767.32520000002</v>
      </c>
      <c r="R54" s="105">
        <f t="shared" si="96"/>
        <v>109767.32520000002</v>
      </c>
      <c r="S54" s="105">
        <f t="shared" si="96"/>
        <v>109767.32520000002</v>
      </c>
      <c r="T54" s="105">
        <f t="shared" si="96"/>
        <v>109767.32520000002</v>
      </c>
      <c r="U54" s="105">
        <f t="shared" si="96"/>
        <v>109767.32520000002</v>
      </c>
      <c r="V54" s="105">
        <f t="shared" si="96"/>
        <v>109767.32520000002</v>
      </c>
      <c r="W54" s="105">
        <f t="shared" si="96"/>
        <v>109767.32520000002</v>
      </c>
      <c r="X54" s="105">
        <f t="shared" si="96"/>
        <v>109767.32520000002</v>
      </c>
      <c r="Y54" s="105">
        <f t="shared" si="96"/>
        <v>109767.32520000002</v>
      </c>
      <c r="Z54" s="105">
        <f t="shared" si="96"/>
        <v>109767.32520000002</v>
      </c>
      <c r="AA54" s="105">
        <f t="shared" si="96"/>
        <v>109767.32520000002</v>
      </c>
      <c r="AB54" s="105">
        <f t="shared" si="96"/>
        <v>109767.32520000002</v>
      </c>
      <c r="AC54" s="105">
        <f t="shared" si="96"/>
        <v>109767.32520000002</v>
      </c>
      <c r="AD54" s="105">
        <f t="shared" si="96"/>
        <v>109767.32520000002</v>
      </c>
      <c r="AE54" s="105">
        <f t="shared" si="96"/>
        <v>109767.32520000002</v>
      </c>
      <c r="AF54" s="105">
        <f t="shared" si="97"/>
        <v>109767.32520000002</v>
      </c>
      <c r="AG54" s="105">
        <f t="shared" si="97"/>
        <v>109767.32520000002</v>
      </c>
      <c r="AH54" s="105">
        <f t="shared" si="97"/>
        <v>109767.32520000002</v>
      </c>
    </row>
    <row r="55" spans="1:34" x14ac:dyDescent="0.25">
      <c r="A55" s="88" t="s">
        <v>344</v>
      </c>
      <c r="B55" s="104">
        <f>B66</f>
        <v>0.4</v>
      </c>
      <c r="C55" s="132"/>
      <c r="D55" s="128"/>
      <c r="E55" s="98"/>
      <c r="F55" s="97"/>
      <c r="G55" s="105">
        <f>G$13*(100%+$B55)</f>
        <v>1372208.5999999999</v>
      </c>
      <c r="H55" s="105">
        <f t="shared" si="96"/>
        <v>2442004.4599999995</v>
      </c>
      <c r="I55" s="105">
        <f t="shared" si="96"/>
        <v>2585563.5399999996</v>
      </c>
      <c r="J55" s="105">
        <f t="shared" si="96"/>
        <v>2407539.5399999996</v>
      </c>
      <c r="K55" s="105">
        <f t="shared" si="96"/>
        <v>1865780.42</v>
      </c>
      <c r="L55" s="105">
        <f t="shared" si="96"/>
        <v>118210.96560000001</v>
      </c>
      <c r="M55" s="105">
        <f t="shared" si="96"/>
        <v>118210.96560000001</v>
      </c>
      <c r="N55" s="105">
        <f t="shared" si="96"/>
        <v>118210.96560000001</v>
      </c>
      <c r="O55" s="105">
        <f t="shared" si="96"/>
        <v>118210.96560000001</v>
      </c>
      <c r="P55" s="105">
        <f t="shared" si="96"/>
        <v>118210.96560000001</v>
      </c>
      <c r="Q55" s="105">
        <f t="shared" si="96"/>
        <v>118210.96560000001</v>
      </c>
      <c r="R55" s="105">
        <f t="shared" si="96"/>
        <v>118210.96560000001</v>
      </c>
      <c r="S55" s="105">
        <f t="shared" si="96"/>
        <v>118210.96560000001</v>
      </c>
      <c r="T55" s="105">
        <f t="shared" si="96"/>
        <v>118210.96560000001</v>
      </c>
      <c r="U55" s="105">
        <f t="shared" si="96"/>
        <v>118210.96560000001</v>
      </c>
      <c r="V55" s="105">
        <f t="shared" si="96"/>
        <v>118210.96560000001</v>
      </c>
      <c r="W55" s="105">
        <f t="shared" si="96"/>
        <v>118210.96560000001</v>
      </c>
      <c r="X55" s="105">
        <f t="shared" si="96"/>
        <v>118210.96560000001</v>
      </c>
      <c r="Y55" s="105">
        <f t="shared" si="96"/>
        <v>118210.96560000001</v>
      </c>
      <c r="Z55" s="105">
        <f t="shared" si="96"/>
        <v>118210.96560000001</v>
      </c>
      <c r="AA55" s="105">
        <f t="shared" si="96"/>
        <v>118210.96560000001</v>
      </c>
      <c r="AB55" s="105">
        <f t="shared" si="96"/>
        <v>118210.96560000001</v>
      </c>
      <c r="AC55" s="105">
        <f t="shared" si="96"/>
        <v>118210.96560000001</v>
      </c>
      <c r="AD55" s="105">
        <f t="shared" si="96"/>
        <v>118210.96560000001</v>
      </c>
      <c r="AE55" s="105">
        <f t="shared" si="96"/>
        <v>118210.96560000001</v>
      </c>
      <c r="AF55" s="105">
        <f t="shared" si="97"/>
        <v>118210.96560000001</v>
      </c>
      <c r="AG55" s="105">
        <f t="shared" si="97"/>
        <v>118210.96560000001</v>
      </c>
      <c r="AH55" s="105">
        <f t="shared" si="97"/>
        <v>118210.96560000001</v>
      </c>
    </row>
    <row r="56" spans="1:34" x14ac:dyDescent="0.25">
      <c r="A56" s="99" t="s">
        <v>345</v>
      </c>
      <c r="B56" s="113"/>
      <c r="C56" s="107">
        <f t="shared" ref="C56:C75" si="98">NPV(disc_rate_econ,G56:Z56)</f>
        <v>13056237.840122642</v>
      </c>
      <c r="D56" s="124">
        <f t="shared" ref="D56:D75" si="99">IRR(G56:Z56)</f>
        <v>0.2766519673051766</v>
      </c>
      <c r="E56" s="108">
        <f t="shared" ref="E56:E75" si="100">NPV(disc_rate_econ,G56:AH56)</f>
        <v>19287913.284215625</v>
      </c>
      <c r="F56" s="123">
        <f t="shared" ref="F56:F75" si="101">IRR(G56:AH56)</f>
        <v>0.28396998057699707</v>
      </c>
      <c r="G56" s="103">
        <f>Aggr!C44</f>
        <v>301421.39101089584</v>
      </c>
      <c r="H56" s="103">
        <f>Aggr!D44</f>
        <v>-1042854.1605329812</v>
      </c>
      <c r="I56" s="103">
        <f>Aggr!E44</f>
        <v>-1563712.9677262884</v>
      </c>
      <c r="J56" s="103">
        <f>Aggr!F44</f>
        <v>-1816555.0291951895</v>
      </c>
      <c r="K56" s="103">
        <f>Aggr!G44</f>
        <v>-927387.52278354391</v>
      </c>
      <c r="L56" s="103">
        <f>Aggr!H44</f>
        <v>962770.09896609269</v>
      </c>
      <c r="M56" s="103">
        <f>Aggr!I44</f>
        <v>1306480.8557426897</v>
      </c>
      <c r="N56" s="103">
        <f>Aggr!J44</f>
        <v>1529863.8297773025</v>
      </c>
      <c r="O56" s="103">
        <f>Aggr!K44</f>
        <v>1776734.8801720226</v>
      </c>
      <c r="P56" s="103">
        <f>Aggr!L44</f>
        <v>2461035.7444544593</v>
      </c>
      <c r="Q56" s="103">
        <f>Aggr!M44</f>
        <v>3109021.1235007783</v>
      </c>
      <c r="R56" s="103">
        <f>Aggr!N44</f>
        <v>3732531.0444747102</v>
      </c>
      <c r="S56" s="103">
        <f>Aggr!O44</f>
        <v>3858092.3390825689</v>
      </c>
      <c r="T56" s="103">
        <f>Aggr!P44</f>
        <v>3022502.1213548454</v>
      </c>
      <c r="U56" s="103">
        <f>Aggr!Q44</f>
        <v>2667293.7518373188</v>
      </c>
      <c r="V56" s="103">
        <f>Aggr!R44</f>
        <v>3583854.1454079398</v>
      </c>
      <c r="W56" s="103">
        <f>Aggr!S44</f>
        <v>4470555.7673056815</v>
      </c>
      <c r="X56" s="103">
        <f>Aggr!T44</f>
        <v>5304549.6712813862</v>
      </c>
      <c r="Y56" s="103">
        <f>Aggr!U44</f>
        <v>5295750.982335059</v>
      </c>
      <c r="Z56" s="103">
        <f>Aggr!V44</f>
        <v>3649343.7897740416</v>
      </c>
      <c r="AA56" s="103">
        <f>Aggr!W44</f>
        <v>3695740.1808079397</v>
      </c>
      <c r="AB56" s="103">
        <f>Aggr!X44</f>
        <v>3202539.1088679312</v>
      </c>
      <c r="AC56" s="103">
        <f>Aggr!Y44</f>
        <v>2743005.3211008031</v>
      </c>
      <c r="AD56" s="103">
        <f>Aggr!Z44</f>
        <v>3807180.4064896074</v>
      </c>
      <c r="AE56" s="103">
        <f>Aggr!AA44</f>
        <v>5470267.6637966093</v>
      </c>
      <c r="AF56" s="103">
        <f>Aggr!AB44</f>
        <v>7582491.3926101681</v>
      </c>
      <c r="AG56" s="103">
        <f>Aggr!AC44</f>
        <v>7593199.8671864392</v>
      </c>
      <c r="AH56" s="103">
        <f>Aggr!AD44</f>
        <v>3393738.8502372876</v>
      </c>
    </row>
    <row r="57" spans="1:34" x14ac:dyDescent="0.25">
      <c r="A57" s="88" t="s">
        <v>339</v>
      </c>
      <c r="B57" s="131">
        <v>0.1</v>
      </c>
      <c r="C57" s="109">
        <f t="shared" si="98"/>
        <v>11086319.701724522</v>
      </c>
      <c r="D57" s="114">
        <f t="shared" si="99"/>
        <v>0.24605257470377828</v>
      </c>
      <c r="E57" s="110">
        <f t="shared" si="100"/>
        <v>16683184.781600514</v>
      </c>
      <c r="F57" s="127">
        <f t="shared" si="101"/>
        <v>0.25504665820478523</v>
      </c>
      <c r="G57" s="87">
        <f t="shared" ref="G57:I59" si="102">G44-G$51</f>
        <v>173264.35190980625</v>
      </c>
      <c r="H57" s="87">
        <f t="shared" si="102"/>
        <v>-1112997.6344796829</v>
      </c>
      <c r="I57" s="87">
        <f t="shared" si="102"/>
        <v>-1592024.7809536592</v>
      </c>
      <c r="J57" s="87">
        <f t="shared" ref="J57:AH59" si="103">J44-J$51</f>
        <v>-1806866.6362756705</v>
      </c>
      <c r="K57" s="87">
        <f t="shared" si="103"/>
        <v>-967918.80050518969</v>
      </c>
      <c r="L57" s="87">
        <f t="shared" si="103"/>
        <v>858049.44866948342</v>
      </c>
      <c r="M57" s="87">
        <f t="shared" si="103"/>
        <v>1167389.1297684205</v>
      </c>
      <c r="N57" s="87">
        <f t="shared" si="103"/>
        <v>1368433.8063995719</v>
      </c>
      <c r="O57" s="87">
        <f t="shared" si="103"/>
        <v>1590617.7517548203</v>
      </c>
      <c r="P57" s="87">
        <f t="shared" si="103"/>
        <v>2206488.5296090133</v>
      </c>
      <c r="Q57" s="87">
        <f t="shared" si="103"/>
        <v>2789675.3707507006</v>
      </c>
      <c r="R57" s="87">
        <f t="shared" si="103"/>
        <v>3350834.2996272394</v>
      </c>
      <c r="S57" s="87">
        <f t="shared" si="103"/>
        <v>3463839.464774312</v>
      </c>
      <c r="T57" s="87">
        <f t="shared" si="103"/>
        <v>2711808.268819361</v>
      </c>
      <c r="U57" s="87">
        <f t="shared" si="103"/>
        <v>2392120.7362535871</v>
      </c>
      <c r="V57" s="87">
        <f t="shared" si="103"/>
        <v>3217025.0904671457</v>
      </c>
      <c r="W57" s="87">
        <f t="shared" si="103"/>
        <v>4015056.5501751127</v>
      </c>
      <c r="X57" s="87">
        <f t="shared" si="103"/>
        <v>4765651.0637532482</v>
      </c>
      <c r="Y57" s="87">
        <f t="shared" si="103"/>
        <v>4757732.243701553</v>
      </c>
      <c r="Z57" s="87">
        <f t="shared" si="103"/>
        <v>3275965.7703966377</v>
      </c>
      <c r="AA57" s="87">
        <f t="shared" si="103"/>
        <v>3317722.522327146</v>
      </c>
      <c r="AB57" s="87">
        <f t="shared" si="103"/>
        <v>2873841.5575811383</v>
      </c>
      <c r="AC57" s="87">
        <f t="shared" si="103"/>
        <v>2460261.1485907231</v>
      </c>
      <c r="AD57" s="87">
        <f t="shared" si="103"/>
        <v>3418018.7254406465</v>
      </c>
      <c r="AE57" s="87">
        <f t="shared" si="103"/>
        <v>4914797.2570169494</v>
      </c>
      <c r="AF57" s="87">
        <f t="shared" si="103"/>
        <v>6815798.6129491515</v>
      </c>
      <c r="AG57" s="87">
        <f t="shared" si="103"/>
        <v>6825436.2400677959</v>
      </c>
      <c r="AH57" s="87">
        <f t="shared" si="103"/>
        <v>3045921.3248135587</v>
      </c>
    </row>
    <row r="58" spans="1:34" x14ac:dyDescent="0.25">
      <c r="A58" s="88" t="s">
        <v>339</v>
      </c>
      <c r="B58" s="131">
        <v>0.2</v>
      </c>
      <c r="C58" s="109">
        <f t="shared" si="98"/>
        <v>7540467.0526079126</v>
      </c>
      <c r="D58" s="114">
        <f t="shared" si="99"/>
        <v>0.19419310590656491</v>
      </c>
      <c r="E58" s="110">
        <f t="shared" si="100"/>
        <v>11994673.476893323</v>
      </c>
      <c r="F58" s="127">
        <f t="shared" si="101"/>
        <v>0.20691444499498046</v>
      </c>
      <c r="G58" s="87">
        <f t="shared" si="102"/>
        <v>-57418.318472154904</v>
      </c>
      <c r="H58" s="87">
        <f t="shared" si="102"/>
        <v>-1239255.8875837461</v>
      </c>
      <c r="I58" s="87">
        <f t="shared" si="102"/>
        <v>-1642986.0447629273</v>
      </c>
      <c r="J58" s="87">
        <f t="shared" si="103"/>
        <v>-1789427.5290205365</v>
      </c>
      <c r="K58" s="87">
        <f t="shared" si="103"/>
        <v>-1040875.1004041517</v>
      </c>
      <c r="L58" s="87">
        <f t="shared" si="103"/>
        <v>669552.27813558676</v>
      </c>
      <c r="M58" s="87">
        <f t="shared" si="103"/>
        <v>917024.02301473648</v>
      </c>
      <c r="N58" s="87">
        <f t="shared" si="103"/>
        <v>1077859.7643196576</v>
      </c>
      <c r="O58" s="87">
        <f t="shared" si="103"/>
        <v>1255606.9206038564</v>
      </c>
      <c r="P58" s="87">
        <f t="shared" si="103"/>
        <v>1748303.5428872108</v>
      </c>
      <c r="Q58" s="87">
        <f t="shared" si="103"/>
        <v>2214853.0158005604</v>
      </c>
      <c r="R58" s="87">
        <f t="shared" si="103"/>
        <v>2663780.1589017916</v>
      </c>
      <c r="S58" s="87">
        <f t="shared" si="103"/>
        <v>2754184.2910194499</v>
      </c>
      <c r="T58" s="87">
        <f t="shared" si="103"/>
        <v>2152559.3342554891</v>
      </c>
      <c r="U58" s="87">
        <f t="shared" si="103"/>
        <v>1896809.3082028697</v>
      </c>
      <c r="V58" s="87">
        <f t="shared" si="103"/>
        <v>2556732.7915737168</v>
      </c>
      <c r="W58" s="87">
        <f t="shared" si="103"/>
        <v>3195157.9593400904</v>
      </c>
      <c r="X58" s="87">
        <f t="shared" si="103"/>
        <v>3795633.5702025988</v>
      </c>
      <c r="Y58" s="87">
        <f t="shared" si="103"/>
        <v>3789298.5141612426</v>
      </c>
      <c r="Z58" s="87">
        <f t="shared" si="103"/>
        <v>2603885.3355173105</v>
      </c>
      <c r="AA58" s="87">
        <f t="shared" si="103"/>
        <v>2637290.7370617171</v>
      </c>
      <c r="AB58" s="87">
        <f t="shared" si="103"/>
        <v>2282185.9652649108</v>
      </c>
      <c r="AC58" s="87">
        <f t="shared" si="103"/>
        <v>1951321.6380725785</v>
      </c>
      <c r="AD58" s="87">
        <f t="shared" si="103"/>
        <v>2717527.6995525174</v>
      </c>
      <c r="AE58" s="87">
        <f t="shared" si="103"/>
        <v>3914950.5248135598</v>
      </c>
      <c r="AF58" s="87">
        <f t="shared" si="103"/>
        <v>5435751.6095593218</v>
      </c>
      <c r="AG58" s="87">
        <f t="shared" si="103"/>
        <v>5443461.7112542372</v>
      </c>
      <c r="AH58" s="87">
        <f t="shared" si="103"/>
        <v>2419849.779050847</v>
      </c>
    </row>
    <row r="59" spans="1:34" x14ac:dyDescent="0.25">
      <c r="A59" s="88" t="s">
        <v>339</v>
      </c>
      <c r="B59" s="131">
        <v>0.3</v>
      </c>
      <c r="C59" s="109">
        <f t="shared" si="98"/>
        <v>3285443.8736679768</v>
      </c>
      <c r="D59" s="114">
        <f t="shared" si="99"/>
        <v>0.13114391885166721</v>
      </c>
      <c r="E59" s="110">
        <f t="shared" si="100"/>
        <v>6368459.9112446848</v>
      </c>
      <c r="F59" s="127">
        <f t="shared" si="101"/>
        <v>0.15022007173427232</v>
      </c>
      <c r="G59" s="87">
        <f t="shared" si="102"/>
        <v>-334237.52293050848</v>
      </c>
      <c r="H59" s="87">
        <f t="shared" si="102"/>
        <v>-1390765.7913086223</v>
      </c>
      <c r="I59" s="87">
        <f t="shared" si="102"/>
        <v>-1704139.5613340491</v>
      </c>
      <c r="J59" s="87">
        <f t="shared" si="103"/>
        <v>-1768500.6003143755</v>
      </c>
      <c r="K59" s="87">
        <f t="shared" si="103"/>
        <v>-1128422.6602829061</v>
      </c>
      <c r="L59" s="87">
        <f t="shared" si="103"/>
        <v>443355.6734949107</v>
      </c>
      <c r="M59" s="87">
        <f t="shared" si="103"/>
        <v>616585.89491031552</v>
      </c>
      <c r="N59" s="87">
        <f t="shared" si="103"/>
        <v>729170.91382376035</v>
      </c>
      <c r="O59" s="87">
        <f t="shared" si="103"/>
        <v>853593.92322269955</v>
      </c>
      <c r="P59" s="87">
        <f t="shared" si="103"/>
        <v>1198481.5588210474</v>
      </c>
      <c r="Q59" s="87">
        <f t="shared" si="103"/>
        <v>1525066.1898603921</v>
      </c>
      <c r="R59" s="87">
        <f t="shared" si="103"/>
        <v>1839315.190031254</v>
      </c>
      <c r="S59" s="87">
        <f t="shared" si="103"/>
        <v>1902598.0825136148</v>
      </c>
      <c r="T59" s="87">
        <f t="shared" si="103"/>
        <v>1481460.6127788422</v>
      </c>
      <c r="U59" s="87">
        <f t="shared" si="103"/>
        <v>1302435.5945420086</v>
      </c>
      <c r="V59" s="87">
        <f t="shared" si="103"/>
        <v>1764382.0329016016</v>
      </c>
      <c r="W59" s="87">
        <f t="shared" si="103"/>
        <v>2211279.650338063</v>
      </c>
      <c r="X59" s="87">
        <f t="shared" si="103"/>
        <v>2631612.5779418191</v>
      </c>
      <c r="Y59" s="87">
        <f t="shared" si="103"/>
        <v>2627178.0387128699</v>
      </c>
      <c r="Z59" s="87">
        <f t="shared" si="103"/>
        <v>1797388.8136621171</v>
      </c>
      <c r="AA59" s="87">
        <f t="shared" si="103"/>
        <v>1820772.5947432017</v>
      </c>
      <c r="AB59" s="87">
        <f t="shared" si="103"/>
        <v>1572199.2544854374</v>
      </c>
      <c r="AC59" s="87">
        <f t="shared" si="103"/>
        <v>1340594.2254508049</v>
      </c>
      <c r="AD59" s="87">
        <f t="shared" si="103"/>
        <v>1876938.4684867619</v>
      </c>
      <c r="AE59" s="87">
        <f t="shared" si="103"/>
        <v>2715134.4461694919</v>
      </c>
      <c r="AF59" s="87">
        <f t="shared" si="103"/>
        <v>3779695.2054915251</v>
      </c>
      <c r="AG59" s="87">
        <f t="shared" si="103"/>
        <v>3785092.2766779657</v>
      </c>
      <c r="AH59" s="87">
        <f t="shared" si="103"/>
        <v>1668563.9241355928</v>
      </c>
    </row>
    <row r="60" spans="1:34" x14ac:dyDescent="0.25">
      <c r="A60" s="88" t="str">
        <f>A47</f>
        <v>Benefits delayed by 1 year</v>
      </c>
      <c r="B60" s="98"/>
      <c r="C60" s="109">
        <f t="shared" si="98"/>
        <v>10864219.650930757</v>
      </c>
      <c r="D60" s="114">
        <f t="shared" si="99"/>
        <v>0.21964109446248492</v>
      </c>
      <c r="E60" s="110">
        <f t="shared" si="100"/>
        <v>17043584.023162577</v>
      </c>
      <c r="F60" s="127">
        <f t="shared" si="101"/>
        <v>0.23080358423561909</v>
      </c>
      <c r="G60" s="87">
        <f>G47-G$51</f>
        <v>-980149</v>
      </c>
      <c r="H60" s="87">
        <f t="shared" ref="H60:AH62" si="104">H47-H$51</f>
        <v>-462718.50898910407</v>
      </c>
      <c r="I60" s="87">
        <f t="shared" si="104"/>
        <v>-1145396.3605329809</v>
      </c>
      <c r="J60" s="87">
        <f t="shared" si="104"/>
        <v>-1436552.9677262881</v>
      </c>
      <c r="K60" s="87">
        <f t="shared" si="104"/>
        <v>-1429584.2291951897</v>
      </c>
      <c r="L60" s="87">
        <f t="shared" si="104"/>
        <v>320876.37321645604</v>
      </c>
      <c r="M60" s="87">
        <f t="shared" si="104"/>
        <v>962770.09896609269</v>
      </c>
      <c r="N60" s="87">
        <f t="shared" si="104"/>
        <v>1306480.8557426895</v>
      </c>
      <c r="O60" s="87">
        <f t="shared" si="104"/>
        <v>1529863.8297773022</v>
      </c>
      <c r="P60" s="87">
        <f t="shared" si="104"/>
        <v>1776734.8801720226</v>
      </c>
      <c r="Q60" s="87">
        <f t="shared" si="104"/>
        <v>2461035.7444544593</v>
      </c>
      <c r="R60" s="87">
        <f t="shared" si="104"/>
        <v>3109021.1235007783</v>
      </c>
      <c r="S60" s="87">
        <f t="shared" si="104"/>
        <v>3732531.0444747102</v>
      </c>
      <c r="T60" s="87">
        <f t="shared" si="104"/>
        <v>3858092.3390825689</v>
      </c>
      <c r="U60" s="87">
        <f t="shared" si="104"/>
        <v>3022502.1213548454</v>
      </c>
      <c r="V60" s="87">
        <f t="shared" si="104"/>
        <v>2667293.7518373188</v>
      </c>
      <c r="W60" s="87">
        <f t="shared" si="104"/>
        <v>3583854.1454079398</v>
      </c>
      <c r="X60" s="87">
        <f t="shared" si="104"/>
        <v>4470555.7673056806</v>
      </c>
      <c r="Y60" s="87">
        <f t="shared" si="104"/>
        <v>5304549.6712813871</v>
      </c>
      <c r="Z60" s="87">
        <f t="shared" si="104"/>
        <v>5295750.982335059</v>
      </c>
      <c r="AA60" s="87">
        <f t="shared" si="104"/>
        <v>3649343.7897740416</v>
      </c>
      <c r="AB60" s="87">
        <f t="shared" si="104"/>
        <v>3695740.1808079397</v>
      </c>
      <c r="AC60" s="87">
        <f t="shared" si="104"/>
        <v>3202539.1088679312</v>
      </c>
      <c r="AD60" s="87">
        <f t="shared" si="104"/>
        <v>2743005.3211008031</v>
      </c>
      <c r="AE60" s="87">
        <f t="shared" si="104"/>
        <v>3807180.4064896074</v>
      </c>
      <c r="AF60" s="87">
        <f t="shared" si="104"/>
        <v>5470267.6637966102</v>
      </c>
      <c r="AG60" s="87">
        <f t="shared" si="104"/>
        <v>7582491.3926101681</v>
      </c>
      <c r="AH60" s="87">
        <f t="shared" si="104"/>
        <v>7593199.8671864392</v>
      </c>
    </row>
    <row r="61" spans="1:34" x14ac:dyDescent="0.25">
      <c r="A61" s="88" t="str">
        <f>A48</f>
        <v>Benefits delayed by 2 year</v>
      </c>
      <c r="C61" s="109">
        <f t="shared" si="98"/>
        <v>8464587.9398774542</v>
      </c>
      <c r="D61" s="114">
        <f t="shared" si="99"/>
        <v>0.18267504260289003</v>
      </c>
      <c r="E61" s="110">
        <f t="shared" si="100"/>
        <v>14440194.102967745</v>
      </c>
      <c r="F61" s="127">
        <f t="shared" si="101"/>
        <v>0.19857388340928139</v>
      </c>
      <c r="G61" s="87">
        <f>G48-G$51</f>
        <v>-980149</v>
      </c>
      <c r="H61" s="87">
        <f t="shared" si="104"/>
        <v>-1744288.9</v>
      </c>
      <c r="I61" s="87">
        <f t="shared" si="104"/>
        <v>-565260.70898910402</v>
      </c>
      <c r="J61" s="87">
        <f t="shared" si="104"/>
        <v>-1018236.3605329809</v>
      </c>
      <c r="K61" s="87">
        <f t="shared" si="104"/>
        <v>-1049582.1677262883</v>
      </c>
      <c r="L61" s="87">
        <f t="shared" si="104"/>
        <v>-181320.33319518963</v>
      </c>
      <c r="M61" s="87">
        <f t="shared" si="104"/>
        <v>320876.37321645604</v>
      </c>
      <c r="N61" s="87">
        <f t="shared" si="104"/>
        <v>962770.09896609269</v>
      </c>
      <c r="O61" s="87">
        <f t="shared" si="104"/>
        <v>1306480.8557426895</v>
      </c>
      <c r="P61" s="87">
        <f t="shared" si="104"/>
        <v>1529863.8297773022</v>
      </c>
      <c r="Q61" s="87">
        <f t="shared" si="104"/>
        <v>1776734.8801720226</v>
      </c>
      <c r="R61" s="87">
        <f t="shared" si="104"/>
        <v>2461035.7444544593</v>
      </c>
      <c r="S61" s="87">
        <f t="shared" si="104"/>
        <v>3109021.1235007783</v>
      </c>
      <c r="T61" s="87">
        <f t="shared" si="104"/>
        <v>3732531.0444747102</v>
      </c>
      <c r="U61" s="87">
        <f t="shared" si="104"/>
        <v>3858092.3390825689</v>
      </c>
      <c r="V61" s="87">
        <f t="shared" si="104"/>
        <v>3022502.1213548454</v>
      </c>
      <c r="W61" s="87">
        <f t="shared" si="104"/>
        <v>2667293.7518373188</v>
      </c>
      <c r="X61" s="87">
        <f t="shared" si="104"/>
        <v>3583854.1454079398</v>
      </c>
      <c r="Y61" s="87">
        <f t="shared" si="104"/>
        <v>4470555.7673056806</v>
      </c>
      <c r="Z61" s="87">
        <f t="shared" si="104"/>
        <v>5304549.6712813871</v>
      </c>
      <c r="AA61" s="87">
        <f t="shared" si="104"/>
        <v>5295750.982335059</v>
      </c>
      <c r="AB61" s="87">
        <f t="shared" si="104"/>
        <v>3649343.7897740416</v>
      </c>
      <c r="AC61" s="87">
        <f t="shared" si="104"/>
        <v>3695740.1808079397</v>
      </c>
      <c r="AD61" s="87">
        <f t="shared" si="104"/>
        <v>3202539.1088679312</v>
      </c>
      <c r="AE61" s="87">
        <f t="shared" si="104"/>
        <v>2743005.3211008031</v>
      </c>
      <c r="AF61" s="87">
        <f t="shared" si="104"/>
        <v>3807180.4064896074</v>
      </c>
      <c r="AG61" s="87">
        <f t="shared" si="104"/>
        <v>5470267.6637966102</v>
      </c>
      <c r="AH61" s="87">
        <f t="shared" si="104"/>
        <v>7582491.3926101681</v>
      </c>
    </row>
    <row r="62" spans="1:34" x14ac:dyDescent="0.25">
      <c r="A62" s="88" t="str">
        <f>A49</f>
        <v>Benefits delayed by 3 year</v>
      </c>
      <c r="C62" s="109">
        <f t="shared" si="98"/>
        <v>6230445.5788384192</v>
      </c>
      <c r="D62" s="114">
        <f t="shared" si="99"/>
        <v>0.15398988089723442</v>
      </c>
      <c r="E62" s="110">
        <f t="shared" si="100"/>
        <v>12019750.905641681</v>
      </c>
      <c r="F62" s="127">
        <f t="shared" si="101"/>
        <v>0.17507483884344732</v>
      </c>
      <c r="G62" s="87">
        <f>G49-G$51</f>
        <v>-980149</v>
      </c>
      <c r="H62" s="87">
        <f t="shared" si="104"/>
        <v>-1744288.9</v>
      </c>
      <c r="I62" s="87">
        <f t="shared" si="104"/>
        <v>-1846831.0999999999</v>
      </c>
      <c r="J62" s="87">
        <f t="shared" si="104"/>
        <v>-438100.70898910402</v>
      </c>
      <c r="K62" s="87">
        <f t="shared" si="104"/>
        <v>-631265.56053298106</v>
      </c>
      <c r="L62" s="87">
        <f t="shared" si="104"/>
        <v>198681.72827371172</v>
      </c>
      <c r="M62" s="87">
        <f t="shared" si="104"/>
        <v>-181320.33319518963</v>
      </c>
      <c r="N62" s="87">
        <f t="shared" si="104"/>
        <v>320876.37321645604</v>
      </c>
      <c r="O62" s="87">
        <f t="shared" si="104"/>
        <v>962770.09896609269</v>
      </c>
      <c r="P62" s="87">
        <f t="shared" si="104"/>
        <v>1306480.8557426895</v>
      </c>
      <c r="Q62" s="87">
        <f t="shared" si="104"/>
        <v>1529863.8297773022</v>
      </c>
      <c r="R62" s="87">
        <f t="shared" si="104"/>
        <v>1776734.8801720226</v>
      </c>
      <c r="S62" s="87">
        <f t="shared" si="104"/>
        <v>2461035.7444544593</v>
      </c>
      <c r="T62" s="87">
        <f t="shared" si="104"/>
        <v>3109021.1235007783</v>
      </c>
      <c r="U62" s="87">
        <f t="shared" si="104"/>
        <v>3732531.0444747102</v>
      </c>
      <c r="V62" s="87">
        <f t="shared" si="104"/>
        <v>3858092.3390825689</v>
      </c>
      <c r="W62" s="87">
        <f t="shared" si="104"/>
        <v>3022502.1213548454</v>
      </c>
      <c r="X62" s="87">
        <f t="shared" si="104"/>
        <v>2667293.7518373188</v>
      </c>
      <c r="Y62" s="87">
        <f t="shared" si="104"/>
        <v>3583854.1454079398</v>
      </c>
      <c r="Z62" s="87">
        <f t="shared" si="104"/>
        <v>4470555.7673056806</v>
      </c>
      <c r="AA62" s="87">
        <f t="shared" si="104"/>
        <v>5304549.6712813871</v>
      </c>
      <c r="AB62" s="87">
        <f t="shared" si="104"/>
        <v>5295750.982335059</v>
      </c>
      <c r="AC62" s="87">
        <f t="shared" si="104"/>
        <v>3649343.7897740416</v>
      </c>
      <c r="AD62" s="87">
        <f t="shared" si="104"/>
        <v>3695740.1808079397</v>
      </c>
      <c r="AE62" s="87">
        <f t="shared" si="104"/>
        <v>3202539.1088679312</v>
      </c>
      <c r="AF62" s="87">
        <f t="shared" si="104"/>
        <v>2743005.3211008031</v>
      </c>
      <c r="AG62" s="87">
        <f t="shared" si="104"/>
        <v>3807180.4064896074</v>
      </c>
      <c r="AH62" s="87">
        <f t="shared" si="104"/>
        <v>5470267.6637966102</v>
      </c>
    </row>
    <row r="63" spans="1:34" x14ac:dyDescent="0.25">
      <c r="A63" s="88" t="s">
        <v>346</v>
      </c>
      <c r="B63" s="114">
        <v>0.1</v>
      </c>
      <c r="C63" s="109">
        <f t="shared" si="98"/>
        <v>12391943.485736789</v>
      </c>
      <c r="D63" s="114">
        <f t="shared" si="99"/>
        <v>0.24875628353761758</v>
      </c>
      <c r="E63" s="110">
        <f t="shared" si="100"/>
        <v>18611976.110022079</v>
      </c>
      <c r="F63" s="127">
        <f t="shared" si="101"/>
        <v>0.25758797077007189</v>
      </c>
      <c r="G63" s="87">
        <f>G$43-G52</f>
        <v>203406.4910108957</v>
      </c>
      <c r="H63" s="87">
        <f t="shared" ref="H63:AH66" si="105">H$43-H52</f>
        <v>-1217283.0505329811</v>
      </c>
      <c r="I63" s="87">
        <f t="shared" si="105"/>
        <v>-1748396.0777262882</v>
      </c>
      <c r="J63" s="87">
        <f t="shared" si="105"/>
        <v>-1988522.1391951896</v>
      </c>
      <c r="K63" s="87">
        <f t="shared" si="105"/>
        <v>-1060657.5527835442</v>
      </c>
      <c r="L63" s="87">
        <f t="shared" si="105"/>
        <v>954326.45856609265</v>
      </c>
      <c r="M63" s="87">
        <f t="shared" si="105"/>
        <v>1298037.2153426895</v>
      </c>
      <c r="N63" s="87">
        <f t="shared" si="105"/>
        <v>1521420.1893773023</v>
      </c>
      <c r="O63" s="87">
        <f t="shared" si="105"/>
        <v>1768291.2397720227</v>
      </c>
      <c r="P63" s="87">
        <f t="shared" si="105"/>
        <v>2452592.1040544594</v>
      </c>
      <c r="Q63" s="87">
        <f t="shared" si="105"/>
        <v>3100577.4831007784</v>
      </c>
      <c r="R63" s="87">
        <f t="shared" si="105"/>
        <v>3724087.4040747103</v>
      </c>
      <c r="S63" s="87">
        <f t="shared" si="105"/>
        <v>3849648.698682569</v>
      </c>
      <c r="T63" s="87">
        <f t="shared" si="105"/>
        <v>3014058.4809548454</v>
      </c>
      <c r="U63" s="87">
        <f t="shared" si="105"/>
        <v>2658850.1114373188</v>
      </c>
      <c r="V63" s="87">
        <f t="shared" si="105"/>
        <v>3575410.5050079399</v>
      </c>
      <c r="W63" s="87">
        <f t="shared" si="105"/>
        <v>4462112.1269056806</v>
      </c>
      <c r="X63" s="87">
        <f t="shared" si="105"/>
        <v>5296106.0308813872</v>
      </c>
      <c r="Y63" s="87">
        <f t="shared" si="105"/>
        <v>5287307.3419350591</v>
      </c>
      <c r="Z63" s="87">
        <f t="shared" si="105"/>
        <v>3640900.1493740417</v>
      </c>
      <c r="AA63" s="87">
        <f t="shared" si="105"/>
        <v>3687296.5404079398</v>
      </c>
      <c r="AB63" s="87">
        <f t="shared" si="105"/>
        <v>3194095.4684679313</v>
      </c>
      <c r="AC63" s="87">
        <f t="shared" si="105"/>
        <v>2734561.6807008032</v>
      </c>
      <c r="AD63" s="87">
        <f t="shared" si="105"/>
        <v>3798736.7660896075</v>
      </c>
      <c r="AE63" s="87">
        <f t="shared" si="105"/>
        <v>5461824.0233966103</v>
      </c>
      <c r="AF63" s="87">
        <f t="shared" si="105"/>
        <v>7574047.7522101682</v>
      </c>
      <c r="AG63" s="87">
        <f t="shared" si="105"/>
        <v>7584756.2267864393</v>
      </c>
      <c r="AH63" s="87">
        <f t="shared" si="105"/>
        <v>3385295.2098372877</v>
      </c>
    </row>
    <row r="64" spans="1:34" x14ac:dyDescent="0.25">
      <c r="A64" s="88" t="s">
        <v>346</v>
      </c>
      <c r="B64" s="94">
        <v>0.2</v>
      </c>
      <c r="C64" s="109">
        <f t="shared" si="98"/>
        <v>11727649.131350935</v>
      </c>
      <c r="D64" s="114">
        <f t="shared" si="99"/>
        <v>0.22655843433747846</v>
      </c>
      <c r="E64" s="110">
        <f t="shared" si="100"/>
        <v>17936038.935828533</v>
      </c>
      <c r="F64" s="127">
        <f t="shared" si="101"/>
        <v>0.23681254387175121</v>
      </c>
      <c r="G64" s="87">
        <f>G$43-G53</f>
        <v>105391.59101089579</v>
      </c>
      <c r="H64" s="87">
        <f t="shared" si="105"/>
        <v>-1391711.9405329807</v>
      </c>
      <c r="I64" s="87">
        <f t="shared" si="105"/>
        <v>-1933079.1877262881</v>
      </c>
      <c r="J64" s="87">
        <f t="shared" si="105"/>
        <v>-2160489.2491951892</v>
      </c>
      <c r="K64" s="87">
        <f t="shared" si="105"/>
        <v>-1193927.582783544</v>
      </c>
      <c r="L64" s="87">
        <f t="shared" si="105"/>
        <v>945882.81816609262</v>
      </c>
      <c r="M64" s="87">
        <f t="shared" si="105"/>
        <v>1289593.5749426896</v>
      </c>
      <c r="N64" s="87">
        <f t="shared" si="105"/>
        <v>1512976.5489773024</v>
      </c>
      <c r="O64" s="87">
        <f t="shared" si="105"/>
        <v>1759847.5993720228</v>
      </c>
      <c r="P64" s="87">
        <f t="shared" si="105"/>
        <v>2444148.4636544595</v>
      </c>
      <c r="Q64" s="87">
        <f t="shared" si="105"/>
        <v>3092133.8427007785</v>
      </c>
      <c r="R64" s="87">
        <f t="shared" si="105"/>
        <v>3715643.7636747104</v>
      </c>
      <c r="S64" s="87">
        <f t="shared" si="105"/>
        <v>3841205.0582825691</v>
      </c>
      <c r="T64" s="87">
        <f t="shared" si="105"/>
        <v>3005614.8405548455</v>
      </c>
      <c r="U64" s="87">
        <f t="shared" si="105"/>
        <v>2650406.4710373189</v>
      </c>
      <c r="V64" s="87">
        <f t="shared" si="105"/>
        <v>3566966.86460794</v>
      </c>
      <c r="W64" s="87">
        <f t="shared" si="105"/>
        <v>4453668.4865056807</v>
      </c>
      <c r="X64" s="87">
        <f t="shared" si="105"/>
        <v>5287662.3904813873</v>
      </c>
      <c r="Y64" s="87">
        <f t="shared" si="105"/>
        <v>5278863.7015350591</v>
      </c>
      <c r="Z64" s="87">
        <f t="shared" si="105"/>
        <v>3632456.5089740418</v>
      </c>
      <c r="AA64" s="87">
        <f t="shared" si="105"/>
        <v>3678852.9000079399</v>
      </c>
      <c r="AB64" s="87">
        <f t="shared" si="105"/>
        <v>3185651.8280679313</v>
      </c>
      <c r="AC64" s="87">
        <f t="shared" si="105"/>
        <v>2726118.0403008033</v>
      </c>
      <c r="AD64" s="87">
        <f t="shared" si="105"/>
        <v>3790293.1256896076</v>
      </c>
      <c r="AE64" s="87">
        <f t="shared" si="105"/>
        <v>5453380.3829966104</v>
      </c>
      <c r="AF64" s="87">
        <f t="shared" si="105"/>
        <v>7565604.1118101683</v>
      </c>
      <c r="AG64" s="87">
        <f t="shared" si="105"/>
        <v>7576312.5863864394</v>
      </c>
      <c r="AH64" s="87">
        <f t="shared" si="105"/>
        <v>3376851.5694372877</v>
      </c>
    </row>
    <row r="65" spans="1:34" x14ac:dyDescent="0.25">
      <c r="A65" s="88" t="s">
        <v>346</v>
      </c>
      <c r="B65" s="131">
        <v>0.3</v>
      </c>
      <c r="C65" s="109">
        <f t="shared" si="98"/>
        <v>11063354.77696508</v>
      </c>
      <c r="D65" s="114">
        <f t="shared" si="99"/>
        <v>0.20819081764859892</v>
      </c>
      <c r="E65" s="110">
        <f t="shared" si="100"/>
        <v>17260101.761634983</v>
      </c>
      <c r="F65" s="127">
        <f t="shared" si="101"/>
        <v>0.21978452885455413</v>
      </c>
      <c r="G65" s="87">
        <f>G$43-G54</f>
        <v>7376.6910108958837</v>
      </c>
      <c r="H65" s="87">
        <f t="shared" si="105"/>
        <v>-1566140.8305329808</v>
      </c>
      <c r="I65" s="87">
        <f t="shared" si="105"/>
        <v>-2117762.297726288</v>
      </c>
      <c r="J65" s="87">
        <f t="shared" si="105"/>
        <v>-2332456.3591951896</v>
      </c>
      <c r="K65" s="87">
        <f t="shared" si="105"/>
        <v>-1327197.6127835442</v>
      </c>
      <c r="L65" s="87">
        <f t="shared" si="105"/>
        <v>937439.17776609259</v>
      </c>
      <c r="M65" s="87">
        <f t="shared" si="105"/>
        <v>1281149.9345426895</v>
      </c>
      <c r="N65" s="87">
        <f t="shared" si="105"/>
        <v>1504532.9085773022</v>
      </c>
      <c r="O65" s="87">
        <f t="shared" si="105"/>
        <v>1751403.9589720226</v>
      </c>
      <c r="P65" s="87">
        <f t="shared" si="105"/>
        <v>2435704.8232544595</v>
      </c>
      <c r="Q65" s="87">
        <f t="shared" si="105"/>
        <v>3083690.2023007786</v>
      </c>
      <c r="R65" s="87">
        <f t="shared" si="105"/>
        <v>3707200.1232747105</v>
      </c>
      <c r="S65" s="87">
        <f t="shared" si="105"/>
        <v>3832761.4178825691</v>
      </c>
      <c r="T65" s="87">
        <f t="shared" si="105"/>
        <v>2997171.2001548456</v>
      </c>
      <c r="U65" s="87">
        <f t="shared" si="105"/>
        <v>2641962.830637319</v>
      </c>
      <c r="V65" s="87">
        <f t="shared" si="105"/>
        <v>3558523.22420794</v>
      </c>
      <c r="W65" s="87">
        <f t="shared" si="105"/>
        <v>4445224.8461056808</v>
      </c>
      <c r="X65" s="87">
        <f t="shared" si="105"/>
        <v>5279218.7500813873</v>
      </c>
      <c r="Y65" s="87">
        <f t="shared" si="105"/>
        <v>5270420.0611350592</v>
      </c>
      <c r="Z65" s="87">
        <f t="shared" si="105"/>
        <v>3624012.8685740419</v>
      </c>
      <c r="AA65" s="87">
        <f t="shared" si="105"/>
        <v>3670409.25960794</v>
      </c>
      <c r="AB65" s="87">
        <f t="shared" si="105"/>
        <v>3177208.1876679314</v>
      </c>
      <c r="AC65" s="87">
        <f t="shared" si="105"/>
        <v>2717674.3999008033</v>
      </c>
      <c r="AD65" s="87">
        <f t="shared" si="105"/>
        <v>3781849.4852896077</v>
      </c>
      <c r="AE65" s="87">
        <f t="shared" si="105"/>
        <v>5444936.7425966104</v>
      </c>
      <c r="AF65" s="87">
        <f t="shared" si="105"/>
        <v>7557160.4714101683</v>
      </c>
      <c r="AG65" s="87">
        <f t="shared" si="105"/>
        <v>7567868.9459864395</v>
      </c>
      <c r="AH65" s="87">
        <f t="shared" si="105"/>
        <v>3368407.9290372878</v>
      </c>
    </row>
    <row r="66" spans="1:34" x14ac:dyDescent="0.25">
      <c r="A66" s="88" t="s">
        <v>346</v>
      </c>
      <c r="B66" s="131">
        <v>0.4</v>
      </c>
      <c r="C66" s="109">
        <f t="shared" si="98"/>
        <v>10399060.422579229</v>
      </c>
      <c r="D66" s="114">
        <f t="shared" si="99"/>
        <v>0.19256932433995577</v>
      </c>
      <c r="E66" s="110">
        <f t="shared" si="100"/>
        <v>16584164.587441444</v>
      </c>
      <c r="F66" s="127">
        <f t="shared" si="101"/>
        <v>0.20542771232370982</v>
      </c>
      <c r="G66" s="87">
        <f>G$43-G55</f>
        <v>-90638.208989104023</v>
      </c>
      <c r="H66" s="87">
        <f t="shared" si="105"/>
        <v>-1740569.7205329805</v>
      </c>
      <c r="I66" s="87">
        <f t="shared" si="105"/>
        <v>-2302445.4077262878</v>
      </c>
      <c r="J66" s="87">
        <f t="shared" si="105"/>
        <v>-2504423.469195189</v>
      </c>
      <c r="K66" s="87">
        <f t="shared" si="105"/>
        <v>-1460467.642783544</v>
      </c>
      <c r="L66" s="87">
        <f t="shared" si="105"/>
        <v>928995.53736609267</v>
      </c>
      <c r="M66" s="87">
        <f t="shared" si="105"/>
        <v>1272706.2941426896</v>
      </c>
      <c r="N66" s="87">
        <f t="shared" si="105"/>
        <v>1496089.2681773023</v>
      </c>
      <c r="O66" s="87">
        <f t="shared" si="105"/>
        <v>1742960.3185720227</v>
      </c>
      <c r="P66" s="87">
        <f t="shared" si="105"/>
        <v>2427261.1828544592</v>
      </c>
      <c r="Q66" s="87">
        <f t="shared" si="105"/>
        <v>3075246.5619007782</v>
      </c>
      <c r="R66" s="87">
        <f t="shared" si="105"/>
        <v>3698756.4828747101</v>
      </c>
      <c r="S66" s="87">
        <f t="shared" si="105"/>
        <v>3824317.7774825688</v>
      </c>
      <c r="T66" s="87">
        <f t="shared" si="105"/>
        <v>2988727.5597548452</v>
      </c>
      <c r="U66" s="87">
        <f t="shared" si="105"/>
        <v>2633519.1902373186</v>
      </c>
      <c r="V66" s="87">
        <f t="shared" si="105"/>
        <v>3550079.5838079397</v>
      </c>
      <c r="W66" s="87">
        <f t="shared" si="105"/>
        <v>4436781.2057056809</v>
      </c>
      <c r="X66" s="87">
        <f t="shared" si="105"/>
        <v>5270775.1096813874</v>
      </c>
      <c r="Y66" s="87">
        <f t="shared" si="105"/>
        <v>5261976.4207350593</v>
      </c>
      <c r="Z66" s="87">
        <f t="shared" si="105"/>
        <v>3615569.2281740415</v>
      </c>
      <c r="AA66" s="87">
        <f t="shared" si="105"/>
        <v>3661965.6192079396</v>
      </c>
      <c r="AB66" s="87">
        <f t="shared" si="105"/>
        <v>3168764.547267931</v>
      </c>
      <c r="AC66" s="87">
        <f t="shared" si="105"/>
        <v>2709230.759500803</v>
      </c>
      <c r="AD66" s="87">
        <f t="shared" si="105"/>
        <v>3773405.8448896073</v>
      </c>
      <c r="AE66" s="87">
        <f t="shared" si="105"/>
        <v>5436493.1021966105</v>
      </c>
      <c r="AF66" s="87">
        <f t="shared" si="105"/>
        <v>7548716.8310101684</v>
      </c>
      <c r="AG66" s="87">
        <f t="shared" si="105"/>
        <v>7559425.3055864396</v>
      </c>
      <c r="AH66" s="87">
        <f t="shared" si="105"/>
        <v>3359964.2886372874</v>
      </c>
    </row>
    <row r="67" spans="1:34" x14ac:dyDescent="0.25">
      <c r="A67" s="88" t="s">
        <v>347</v>
      </c>
      <c r="B67" s="131">
        <v>0.1</v>
      </c>
      <c r="C67" s="109">
        <f t="shared" si="98"/>
        <v>12318358.456284942</v>
      </c>
      <c r="D67" s="114">
        <f t="shared" si="99"/>
        <v>0.25668605411838619</v>
      </c>
      <c r="E67" s="110">
        <f t="shared" si="100"/>
        <v>18499008.450102475</v>
      </c>
      <c r="F67" s="127">
        <f t="shared" si="101"/>
        <v>0.2652289645904653</v>
      </c>
      <c r="G67" s="87">
        <v>273202.6813498789</v>
      </c>
      <c r="H67" s="87">
        <v>-1108123.5970235737</v>
      </c>
      <c r="I67" s="87">
        <v>-1659836.7832256332</v>
      </c>
      <c r="J67" s="87">
        <v>-1938672.4286379963</v>
      </c>
      <c r="K67" s="87">
        <v>-1033005.427105004</v>
      </c>
      <c r="L67" s="87">
        <v>881155.13516579149</v>
      </c>
      <c r="M67" s="87">
        <v>1238427.5514053768</v>
      </c>
      <c r="N67" s="87">
        <v>1464646.7577367208</v>
      </c>
      <c r="O67" s="87">
        <v>1711508.5343245645</v>
      </c>
      <c r="P67" s="87">
        <v>2395804.616800331</v>
      </c>
      <c r="Q67" s="87">
        <v>3044131.2561123152</v>
      </c>
      <c r="R67" s="87">
        <v>3667812.3868320114</v>
      </c>
      <c r="S67" s="87">
        <v>3792860.0522025805</v>
      </c>
      <c r="T67" s="87">
        <v>2957269.834474857</v>
      </c>
      <c r="U67" s="87">
        <v>2602061.4649573308</v>
      </c>
      <c r="V67" s="87">
        <v>3518964.2780194771</v>
      </c>
      <c r="W67" s="87">
        <v>4405837.1096629789</v>
      </c>
      <c r="X67" s="87">
        <v>5239317.3844013959</v>
      </c>
      <c r="Y67" s="87">
        <v>5230518.6954550687</v>
      </c>
      <c r="Z67" s="87">
        <v>3584111.5028940532</v>
      </c>
      <c r="AA67" s="87">
        <v>3630850.3134194771</v>
      </c>
      <c r="AB67" s="87">
        <v>3150241.5485180402</v>
      </c>
      <c r="AC67" s="87">
        <v>2703128.8580437228</v>
      </c>
      <c r="AD67" s="87">
        <v>3779725.0407253369</v>
      </c>
      <c r="AE67" s="87">
        <v>5446952.6637966093</v>
      </c>
      <c r="AF67" s="87">
        <v>7559176.3926101681</v>
      </c>
      <c r="AG67" s="87">
        <v>7569884.8671864392</v>
      </c>
      <c r="AH67" s="87">
        <v>3370423.8502372876</v>
      </c>
    </row>
    <row r="68" spans="1:34" x14ac:dyDescent="0.25">
      <c r="A68" s="88" t="s">
        <v>347</v>
      </c>
      <c r="B68" s="131">
        <v>0.2</v>
      </c>
      <c r="C68" s="109">
        <f t="shared" si="98"/>
        <v>11818163.638486799</v>
      </c>
      <c r="D68" s="114">
        <f t="shared" si="99"/>
        <v>0.24438240605290074</v>
      </c>
      <c r="E68" s="110">
        <f t="shared" si="100"/>
        <v>17979936.915389951</v>
      </c>
      <c r="F68" s="127">
        <f t="shared" si="101"/>
        <v>0.25380882686474182</v>
      </c>
      <c r="G68" s="87">
        <v>268298.97168886196</v>
      </c>
      <c r="H68" s="87">
        <v>-1150078.0335141663</v>
      </c>
      <c r="I68" s="87">
        <v>-1732645.598724979</v>
      </c>
      <c r="J68" s="87">
        <v>-2037474.8280808041</v>
      </c>
      <c r="K68" s="87">
        <v>-1115308.331426464</v>
      </c>
      <c r="L68" s="87">
        <v>822855.17136548995</v>
      </c>
      <c r="M68" s="87">
        <v>1193689.2470680636</v>
      </c>
      <c r="N68" s="87">
        <v>1422744.685696139</v>
      </c>
      <c r="O68" s="87">
        <v>1669597.1884771062</v>
      </c>
      <c r="P68" s="87">
        <v>2353888.4891462019</v>
      </c>
      <c r="Q68" s="87">
        <v>3002556.388723853</v>
      </c>
      <c r="R68" s="87">
        <v>3626408.7291893112</v>
      </c>
      <c r="S68" s="87">
        <v>3750942.7653225926</v>
      </c>
      <c r="T68" s="87">
        <v>2915352.5475948695</v>
      </c>
      <c r="U68" s="87">
        <v>2560144.178077342</v>
      </c>
      <c r="V68" s="87">
        <v>3477389.410631014</v>
      </c>
      <c r="W68" s="87">
        <v>4364433.4520202801</v>
      </c>
      <c r="X68" s="87">
        <v>5197400.0975214094</v>
      </c>
      <c r="Y68" s="87">
        <v>5188601.4085750822</v>
      </c>
      <c r="Z68" s="87">
        <v>3542194.2160140648</v>
      </c>
      <c r="AA68" s="87">
        <v>3589275.446031014</v>
      </c>
      <c r="AB68" s="87">
        <v>3121258.9881681502</v>
      </c>
      <c r="AC68" s="87">
        <v>2686567.394986643</v>
      </c>
      <c r="AD68" s="87">
        <v>3775584.6749610673</v>
      </c>
      <c r="AE68" s="87">
        <v>5446952.6637966093</v>
      </c>
      <c r="AF68" s="87">
        <v>7559176.3926101681</v>
      </c>
      <c r="AG68" s="87">
        <v>7569884.8671864392</v>
      </c>
      <c r="AH68" s="87">
        <v>3370423.8502372876</v>
      </c>
    </row>
    <row r="69" spans="1:34" x14ac:dyDescent="0.25">
      <c r="A69" s="88" t="s">
        <v>347</v>
      </c>
      <c r="B69" s="131">
        <v>0.3</v>
      </c>
      <c r="C69" s="109">
        <f t="shared" si="98"/>
        <v>11317968.820688656</v>
      </c>
      <c r="D69" s="114">
        <f t="shared" si="99"/>
        <v>0.2328851238146401</v>
      </c>
      <c r="E69" s="110">
        <f t="shared" si="100"/>
        <v>17460865.380677428</v>
      </c>
      <c r="F69" s="127">
        <f t="shared" si="101"/>
        <v>0.24321616624817755</v>
      </c>
      <c r="G69" s="87">
        <v>263395.26202784502</v>
      </c>
      <c r="H69" s="87">
        <v>-1192032.4700047588</v>
      </c>
      <c r="I69" s="87">
        <v>-1805454.4142243247</v>
      </c>
      <c r="J69" s="87">
        <v>-2136277.2275236114</v>
      </c>
      <c r="K69" s="87">
        <v>-1197611.2357479241</v>
      </c>
      <c r="L69" s="87">
        <v>764555.20756518829</v>
      </c>
      <c r="M69" s="87">
        <v>1148950.9427307504</v>
      </c>
      <c r="N69" s="87">
        <v>1380842.6136555569</v>
      </c>
      <c r="O69" s="87">
        <v>1627685.8426296478</v>
      </c>
      <c r="P69" s="87">
        <v>2311972.3614920727</v>
      </c>
      <c r="Q69" s="87">
        <v>2960981.5213353895</v>
      </c>
      <c r="R69" s="87">
        <v>3585005.0715466109</v>
      </c>
      <c r="S69" s="87">
        <v>3709025.4784426037</v>
      </c>
      <c r="T69" s="87">
        <v>2873435.2607148811</v>
      </c>
      <c r="U69" s="87">
        <v>2518226.8911973527</v>
      </c>
      <c r="V69" s="87">
        <v>3435814.5432425505</v>
      </c>
      <c r="W69" s="87">
        <v>4323029.7943775784</v>
      </c>
      <c r="X69" s="87">
        <v>5155482.810641421</v>
      </c>
      <c r="Y69" s="87">
        <v>5146684.1216950929</v>
      </c>
      <c r="Z69" s="87">
        <v>3500276.929134076</v>
      </c>
      <c r="AA69" s="87">
        <v>3547700.5786425509</v>
      </c>
      <c r="AB69" s="87">
        <v>3092276.4278182602</v>
      </c>
      <c r="AC69" s="87">
        <v>2670005.9319295627</v>
      </c>
      <c r="AD69" s="87">
        <v>3771444.3091967972</v>
      </c>
      <c r="AE69" s="87">
        <v>5446952.6637966093</v>
      </c>
      <c r="AF69" s="87">
        <v>7559176.3926101681</v>
      </c>
      <c r="AG69" s="87">
        <v>7569884.8671864392</v>
      </c>
      <c r="AH69" s="87">
        <v>3370423.8502372876</v>
      </c>
    </row>
    <row r="70" spans="1:34" x14ac:dyDescent="0.25">
      <c r="A70" s="88" t="s">
        <v>376</v>
      </c>
      <c r="C70" s="109">
        <f t="shared" si="98"/>
        <v>12576339.396126347</v>
      </c>
      <c r="D70" s="125">
        <f t="shared" si="99"/>
        <v>0.27744882909635238</v>
      </c>
      <c r="E70" s="110">
        <f t="shared" si="100"/>
        <v>18645931.165424716</v>
      </c>
      <c r="F70" s="127">
        <f t="shared" si="101"/>
        <v>0.28468871090593506</v>
      </c>
      <c r="G70" s="87">
        <v>278106.39101089584</v>
      </c>
      <c r="H70" s="87">
        <v>-1026415.1941874777</v>
      </c>
      <c r="I70" s="87">
        <v>-1512586.6852330505</v>
      </c>
      <c r="J70" s="87">
        <v>-1725420.8733802894</v>
      </c>
      <c r="K70" s="87">
        <v>-857529.69208317436</v>
      </c>
      <c r="L70" s="87">
        <v>993714.25991205184</v>
      </c>
      <c r="M70" s="87">
        <v>1287839.5365480816</v>
      </c>
      <c r="N70" s="87">
        <v>1477224.2555521145</v>
      </c>
      <c r="O70" s="87">
        <v>1700360.0653141425</v>
      </c>
      <c r="P70" s="87">
        <v>2365369.063507319</v>
      </c>
      <c r="Q70" s="87">
        <v>2997030.4385473109</v>
      </c>
      <c r="R70" s="87">
        <v>3606476.1470848676</v>
      </c>
      <c r="S70" s="87">
        <v>3719481.3122319398</v>
      </c>
      <c r="T70" s="87">
        <v>2870876.5569549548</v>
      </c>
      <c r="U70" s="87">
        <v>2502426.3125247732</v>
      </c>
      <c r="V70" s="87">
        <v>3405795.4125010446</v>
      </c>
      <c r="W70" s="87">
        <v>4282291.6179717239</v>
      </c>
      <c r="X70" s="87">
        <v>5111826.8095159596</v>
      </c>
      <c r="Y70" s="87">
        <v>5104859.8538710447</v>
      </c>
      <c r="Z70" s="87">
        <v>3465212.0246339263</v>
      </c>
      <c r="AA70" s="87">
        <v>3427552.1663949434</v>
      </c>
      <c r="AB70" s="87">
        <v>2983195.2694455446</v>
      </c>
      <c r="AC70" s="87">
        <v>2569614.8604551293</v>
      </c>
      <c r="AD70" s="87">
        <v>3738832.7762881047</v>
      </c>
      <c r="AE70" s="87">
        <v>5446952.6637966093</v>
      </c>
      <c r="AF70" s="87">
        <v>7559176.3926101681</v>
      </c>
      <c r="AG70" s="87">
        <v>7569884.8671864392</v>
      </c>
      <c r="AH70" s="87">
        <v>3370423.8502372876</v>
      </c>
    </row>
    <row r="71" spans="1:34" x14ac:dyDescent="0.25">
      <c r="A71" s="88" t="s">
        <v>377</v>
      </c>
      <c r="C71" s="109">
        <f t="shared" si="98"/>
        <v>12334125.518169612</v>
      </c>
      <c r="D71" s="125">
        <f t="shared" si="99"/>
        <v>0.28593431982623363</v>
      </c>
      <c r="E71" s="110">
        <f t="shared" si="100"/>
        <v>18273782.346034434</v>
      </c>
      <c r="F71" s="127">
        <f t="shared" si="101"/>
        <v>0.29269605486737271</v>
      </c>
      <c r="G71" s="87">
        <v>278106.39101089584</v>
      </c>
      <c r="H71" s="87">
        <v>-986661.22784197424</v>
      </c>
      <c r="I71" s="87">
        <v>-1438145.4027398126</v>
      </c>
      <c r="J71" s="87">
        <v>-1610971.7175653894</v>
      </c>
      <c r="K71" s="87">
        <v>-764356.86138280481</v>
      </c>
      <c r="L71" s="87">
        <v>1047973.420858011</v>
      </c>
      <c r="M71" s="87">
        <v>1292513.2173534739</v>
      </c>
      <c r="N71" s="87">
        <v>1447899.6813269267</v>
      </c>
      <c r="O71" s="87">
        <v>1647300.2504562624</v>
      </c>
      <c r="P71" s="87">
        <v>2293017.3825601782</v>
      </c>
      <c r="Q71" s="87">
        <v>2908354.7535938434</v>
      </c>
      <c r="R71" s="87">
        <v>3503736.2496950235</v>
      </c>
      <c r="S71" s="87">
        <v>3604185.2853813102</v>
      </c>
      <c r="T71" s="87">
        <v>2742565.9925550632</v>
      </c>
      <c r="U71" s="87">
        <v>2360873.8732122281</v>
      </c>
      <c r="V71" s="87">
        <v>3251051.6795941484</v>
      </c>
      <c r="W71" s="87">
        <v>4117342.4686377649</v>
      </c>
      <c r="X71" s="87">
        <v>4942418.947750533</v>
      </c>
      <c r="Y71" s="87">
        <v>4937283.7254070304</v>
      </c>
      <c r="Z71" s="87">
        <v>3304395.2594938097</v>
      </c>
      <c r="AA71" s="87">
        <v>3182679.1519819451</v>
      </c>
      <c r="AB71" s="87">
        <v>2787166.4300231584</v>
      </c>
      <c r="AC71" s="87">
        <v>2419539.3998094564</v>
      </c>
      <c r="AD71" s="87">
        <v>3693800.1460866006</v>
      </c>
      <c r="AE71" s="87">
        <v>5446952.6637966093</v>
      </c>
      <c r="AF71" s="87">
        <v>7559176.3926101681</v>
      </c>
      <c r="AG71" s="87">
        <v>7569884.8671864392</v>
      </c>
      <c r="AH71" s="87">
        <v>3370423.8502372876</v>
      </c>
    </row>
    <row r="72" spans="1:34" x14ac:dyDescent="0.25">
      <c r="A72" s="88" t="s">
        <v>378</v>
      </c>
      <c r="C72" s="109">
        <f t="shared" si="98"/>
        <v>12091911.640212873</v>
      </c>
      <c r="D72" s="125">
        <f t="shared" si="99"/>
        <v>0.29556399682295487</v>
      </c>
      <c r="E72" s="110">
        <f t="shared" si="100"/>
        <v>17901633.526644148</v>
      </c>
      <c r="F72" s="127">
        <f t="shared" si="101"/>
        <v>0.30181025498948277</v>
      </c>
      <c r="G72" s="87">
        <v>278106.39101089584</v>
      </c>
      <c r="H72" s="87">
        <v>-946907.26149647078</v>
      </c>
      <c r="I72" s="87">
        <v>-1363704.1202465743</v>
      </c>
      <c r="J72" s="87">
        <v>-1496522.5617504898</v>
      </c>
      <c r="K72" s="87">
        <v>-671184.03068243526</v>
      </c>
      <c r="L72" s="87">
        <v>1102232.5818039703</v>
      </c>
      <c r="M72" s="87">
        <v>1297186.8981588657</v>
      </c>
      <c r="N72" s="87">
        <v>1418575.1071017389</v>
      </c>
      <c r="O72" s="87">
        <v>1594240.4355983818</v>
      </c>
      <c r="P72" s="87">
        <v>2220665.7016130369</v>
      </c>
      <c r="Q72" s="87">
        <v>2819679.0686403755</v>
      </c>
      <c r="R72" s="87">
        <v>3400996.3523051799</v>
      </c>
      <c r="S72" s="87">
        <v>3488889.2585306801</v>
      </c>
      <c r="T72" s="87">
        <v>2614255.4281551717</v>
      </c>
      <c r="U72" s="87">
        <v>2219321.4338996825</v>
      </c>
      <c r="V72" s="87">
        <v>3096307.9466872537</v>
      </c>
      <c r="W72" s="87">
        <v>3952393.3193038064</v>
      </c>
      <c r="X72" s="87">
        <v>4773011.0859851055</v>
      </c>
      <c r="Y72" s="87">
        <v>4769707.5969430152</v>
      </c>
      <c r="Z72" s="87">
        <v>3143578.4943536939</v>
      </c>
      <c r="AA72" s="87">
        <v>2937806.1375689479</v>
      </c>
      <c r="AB72" s="87">
        <v>2591137.5906007723</v>
      </c>
      <c r="AC72" s="87">
        <v>2269463.9391637826</v>
      </c>
      <c r="AD72" s="87">
        <v>3648767.5158850974</v>
      </c>
      <c r="AE72" s="87">
        <v>5446952.6637966093</v>
      </c>
      <c r="AF72" s="87">
        <v>7559176.3926101681</v>
      </c>
      <c r="AG72" s="87">
        <v>7569884.8671864392</v>
      </c>
      <c r="AH72" s="87">
        <v>3370423.8502372876</v>
      </c>
    </row>
    <row r="73" spans="1:34" x14ac:dyDescent="0.25">
      <c r="A73" s="88" t="s">
        <v>379</v>
      </c>
      <c r="C73" s="109">
        <f t="shared" si="98"/>
        <v>12494283.861096215</v>
      </c>
      <c r="D73" s="125">
        <f t="shared" si="99"/>
        <v>0.27099465284185498</v>
      </c>
      <c r="E73" s="110">
        <f t="shared" si="100"/>
        <v>18378760.906148903</v>
      </c>
      <c r="F73" s="127">
        <f t="shared" si="101"/>
        <v>0.27853258891885635</v>
      </c>
      <c r="G73" s="87">
        <v>287615.35190980625</v>
      </c>
      <c r="H73" s="87">
        <v>-1038400.6008251859</v>
      </c>
      <c r="I73" s="87">
        <v>-1552115.0634468971</v>
      </c>
      <c r="J73" s="87">
        <v>-1806964.7920905706</v>
      </c>
      <c r="K73" s="87">
        <v>-946740.63120555924</v>
      </c>
      <c r="L73" s="87">
        <v>918141.28772352415</v>
      </c>
      <c r="M73" s="87">
        <v>1277066.4489630286</v>
      </c>
      <c r="N73" s="87">
        <v>1512109.3806247599</v>
      </c>
      <c r="O73" s="87">
        <v>1758028.5666127005</v>
      </c>
      <c r="P73" s="87">
        <v>2393191.2105561546</v>
      </c>
      <c r="Q73" s="87">
        <v>2992702.0557041685</v>
      </c>
      <c r="R73" s="87">
        <v>3567925.1970170834</v>
      </c>
      <c r="S73" s="87">
        <v>3693486.4916249411</v>
      </c>
      <c r="T73" s="87">
        <v>2954469.8332192525</v>
      </c>
      <c r="U73" s="87">
        <v>2648024.1755661322</v>
      </c>
      <c r="V73" s="87">
        <v>3486119.8233740414</v>
      </c>
      <c r="W73" s="87">
        <v>4294356.6995090703</v>
      </c>
      <c r="X73" s="87">
        <v>5049409.9255186757</v>
      </c>
      <c r="Y73" s="87">
        <v>5039659.3721655682</v>
      </c>
      <c r="Z73" s="87">
        <v>3551133.5355367535</v>
      </c>
      <c r="AA73" s="87">
        <v>3676946.5367401433</v>
      </c>
      <c r="AB73" s="87">
        <v>3184221.397003524</v>
      </c>
      <c r="AC73" s="87">
        <v>2724687.6092363964</v>
      </c>
      <c r="AD73" s="87">
        <v>3577402.3556421497</v>
      </c>
      <c r="AE73" s="87">
        <v>5029148.2570169475</v>
      </c>
      <c r="AF73" s="87">
        <v>6930149.6129491515</v>
      </c>
      <c r="AG73" s="87">
        <v>6939787.2400677959</v>
      </c>
      <c r="AH73" s="87">
        <v>3160272.3248135587</v>
      </c>
    </row>
    <row r="74" spans="1:34" x14ac:dyDescent="0.25">
      <c r="A74" s="88" t="s">
        <v>381</v>
      </c>
      <c r="C74" s="109">
        <f t="shared" si="98"/>
        <v>12170014.448109349</v>
      </c>
      <c r="D74" s="125">
        <f t="shared" si="99"/>
        <v>0.27214364774592981</v>
      </c>
      <c r="E74" s="110">
        <f t="shared" si="100"/>
        <v>17739441.82748282</v>
      </c>
      <c r="F74" s="126">
        <f t="shared" si="101"/>
        <v>0.27953095339638256</v>
      </c>
      <c r="G74" s="87">
        <v>297124.31280871667</v>
      </c>
      <c r="H74" s="87">
        <v>-1010632.0411173915</v>
      </c>
      <c r="I74" s="87">
        <v>-1517202.1591675063</v>
      </c>
      <c r="J74" s="87">
        <v>-1774059.5549859512</v>
      </c>
      <c r="K74" s="87">
        <v>-942778.73962757457</v>
      </c>
      <c r="L74" s="87">
        <v>896827.47648095584</v>
      </c>
      <c r="M74" s="87">
        <v>1270967.0421833675</v>
      </c>
      <c r="N74" s="87">
        <v>1517669.9314722177</v>
      </c>
      <c r="O74" s="87">
        <v>1762637.2530533785</v>
      </c>
      <c r="P74" s="87">
        <v>2348661.6766578495</v>
      </c>
      <c r="Q74" s="87">
        <v>2899697.9879075577</v>
      </c>
      <c r="R74" s="87">
        <v>3426634.3495594566</v>
      </c>
      <c r="S74" s="87">
        <v>3552195.6441673143</v>
      </c>
      <c r="T74" s="87">
        <v>2909752.5450836588</v>
      </c>
      <c r="U74" s="87">
        <v>2652069.5992949456</v>
      </c>
      <c r="V74" s="87">
        <v>3411700.5013401434</v>
      </c>
      <c r="W74" s="87">
        <v>4141472.63171246</v>
      </c>
      <c r="X74" s="87">
        <v>4817585.1797559634</v>
      </c>
      <c r="Y74" s="87">
        <v>4806882.7619960764</v>
      </c>
      <c r="Z74" s="87">
        <v>3476238.2812994653</v>
      </c>
      <c r="AA74" s="87">
        <v>3681467.8926723464</v>
      </c>
      <c r="AB74" s="87">
        <v>3189218.6851391173</v>
      </c>
      <c r="AC74" s="87">
        <v>2729684.8973719897</v>
      </c>
      <c r="AD74" s="87">
        <v>3370939.3047946915</v>
      </c>
      <c r="AE74" s="87">
        <v>4611343.8502372876</v>
      </c>
      <c r="AF74" s="87">
        <v>6301122.833288135</v>
      </c>
      <c r="AG74" s="87">
        <v>6309689.6129491525</v>
      </c>
      <c r="AH74" s="87">
        <v>2950120.7993898299</v>
      </c>
    </row>
    <row r="75" spans="1:34" x14ac:dyDescent="0.25">
      <c r="A75" s="88" t="s">
        <v>380</v>
      </c>
      <c r="C75" s="109">
        <f t="shared" si="98"/>
        <v>11845745.03512248</v>
      </c>
      <c r="D75" s="125">
        <f t="shared" si="99"/>
        <v>0.2733684476224747</v>
      </c>
      <c r="E75" s="110">
        <f t="shared" si="100"/>
        <v>17100122.748816725</v>
      </c>
      <c r="F75" s="126">
        <f t="shared" si="101"/>
        <v>0.28059885363962378</v>
      </c>
      <c r="G75" s="87">
        <v>306633.27370762709</v>
      </c>
      <c r="H75" s="87">
        <v>-982863.48140959674</v>
      </c>
      <c r="I75" s="87">
        <v>-1482289.2548881155</v>
      </c>
      <c r="J75" s="87">
        <v>-1741154.3178813322</v>
      </c>
      <c r="K75" s="87">
        <v>-938816.8480495899</v>
      </c>
      <c r="L75" s="87">
        <v>875513.6652383873</v>
      </c>
      <c r="M75" s="87">
        <v>1264867.6354037067</v>
      </c>
      <c r="N75" s="87">
        <v>1523230.4823196754</v>
      </c>
      <c r="O75" s="87">
        <v>1767245.9394940566</v>
      </c>
      <c r="P75" s="87">
        <v>2304132.1427595448</v>
      </c>
      <c r="Q75" s="87">
        <v>2806693.9201109475</v>
      </c>
      <c r="R75" s="87">
        <v>3285343.5021018297</v>
      </c>
      <c r="S75" s="87">
        <v>3410904.796709687</v>
      </c>
      <c r="T75" s="87">
        <v>2865035.2569480659</v>
      </c>
      <c r="U75" s="87">
        <v>2656115.0230237595</v>
      </c>
      <c r="V75" s="87">
        <v>3337281.1793062449</v>
      </c>
      <c r="W75" s="87">
        <v>3988588.5639158497</v>
      </c>
      <c r="X75" s="87">
        <v>4585760.4339932511</v>
      </c>
      <c r="Y75" s="87">
        <v>4574106.1518265847</v>
      </c>
      <c r="Z75" s="87">
        <v>3401343.0270621767</v>
      </c>
      <c r="AA75" s="87">
        <v>3685989.24860455</v>
      </c>
      <c r="AB75" s="87">
        <v>3194215.9732747106</v>
      </c>
      <c r="AC75" s="87">
        <v>2734682.1855075825</v>
      </c>
      <c r="AD75" s="87">
        <v>3164476.2539472338</v>
      </c>
      <c r="AE75" s="87">
        <v>4193539.4434576267</v>
      </c>
      <c r="AF75" s="87">
        <v>5672096.0536271185</v>
      </c>
      <c r="AG75" s="87">
        <v>5679591.9858305082</v>
      </c>
      <c r="AH75" s="87">
        <v>2739969.273966101</v>
      </c>
    </row>
    <row r="76" spans="1:34" x14ac:dyDescent="0.25">
      <c r="C76" s="128"/>
      <c r="D76" s="128"/>
      <c r="E76" s="98"/>
      <c r="F76" s="98"/>
    </row>
    <row r="77" spans="1:34" x14ac:dyDescent="0.25">
      <c r="C77" s="128"/>
      <c r="D77" s="128"/>
      <c r="E77" s="98"/>
      <c r="F77" s="98"/>
    </row>
    <row r="78" spans="1:34" x14ac:dyDescent="0.25">
      <c r="C78" s="128"/>
      <c r="D78" s="128"/>
      <c r="E78" s="98"/>
      <c r="F78" s="98"/>
    </row>
    <row r="79" spans="1:34" x14ac:dyDescent="0.25">
      <c r="C79" s="128"/>
      <c r="D79" s="128"/>
      <c r="E79" s="98"/>
      <c r="F79" s="98"/>
    </row>
    <row r="80" spans="1:34" x14ac:dyDescent="0.25">
      <c r="C80" s="128"/>
      <c r="D80" s="128"/>
      <c r="E80" s="98"/>
      <c r="F80" s="98"/>
    </row>
    <row r="81" spans="3:6" x14ac:dyDescent="0.25">
      <c r="C81" s="128"/>
      <c r="D81" s="128"/>
      <c r="E81" s="98"/>
      <c r="F81" s="98"/>
    </row>
    <row r="82" spans="3:6" x14ac:dyDescent="0.25">
      <c r="C82" s="128"/>
      <c r="D82" s="128"/>
      <c r="E82" s="98"/>
      <c r="F82" s="98"/>
    </row>
    <row r="83" spans="3:6" x14ac:dyDescent="0.25">
      <c r="C83" s="128"/>
      <c r="D83" s="128"/>
      <c r="E83" s="98"/>
      <c r="F83" s="98"/>
    </row>
    <row r="84" spans="3:6" x14ac:dyDescent="0.25">
      <c r="C84" s="128"/>
      <c r="D84" s="128"/>
      <c r="E84" s="98"/>
      <c r="F84" s="98"/>
    </row>
    <row r="85" spans="3:6" x14ac:dyDescent="0.25">
      <c r="C85" s="128"/>
      <c r="D85" s="128"/>
      <c r="E85" s="98"/>
      <c r="F85" s="98"/>
    </row>
    <row r="86" spans="3:6" x14ac:dyDescent="0.25">
      <c r="C86" s="128"/>
      <c r="D86" s="128"/>
      <c r="E86" s="98"/>
      <c r="F86" s="98"/>
    </row>
    <row r="87" spans="3:6" x14ac:dyDescent="0.25">
      <c r="C87" s="128"/>
      <c r="D87" s="128"/>
      <c r="E87" s="98"/>
      <c r="F87" s="98"/>
    </row>
    <row r="88" spans="3:6" x14ac:dyDescent="0.25">
      <c r="C88" s="128"/>
      <c r="D88" s="128"/>
      <c r="E88" s="98"/>
      <c r="F88" s="98"/>
    </row>
    <row r="89" spans="3:6" x14ac:dyDescent="0.25">
      <c r="C89" s="128"/>
      <c r="D89" s="128"/>
      <c r="E89" s="98"/>
      <c r="F89" s="98"/>
    </row>
    <row r="90" spans="3:6" x14ac:dyDescent="0.25">
      <c r="C90" s="128"/>
      <c r="D90" s="128"/>
      <c r="E90" s="98"/>
      <c r="F90" s="98"/>
    </row>
    <row r="91" spans="3:6" x14ac:dyDescent="0.25">
      <c r="C91" s="128"/>
      <c r="D91" s="128"/>
      <c r="E91" s="98"/>
      <c r="F91" s="98"/>
    </row>
    <row r="92" spans="3:6" x14ac:dyDescent="0.25">
      <c r="C92" s="128"/>
      <c r="D92" s="128"/>
      <c r="E92" s="98"/>
      <c r="F92" s="98"/>
    </row>
    <row r="93" spans="3:6" x14ac:dyDescent="0.25">
      <c r="C93" s="128"/>
      <c r="D93" s="128"/>
      <c r="E93" s="98"/>
      <c r="F93" s="98"/>
    </row>
    <row r="94" spans="3:6" x14ac:dyDescent="0.25">
      <c r="C94" s="128"/>
      <c r="D94" s="128"/>
      <c r="E94" s="98"/>
      <c r="F94" s="98"/>
    </row>
    <row r="95" spans="3:6" x14ac:dyDescent="0.25">
      <c r="C95" s="128"/>
      <c r="D95" s="128"/>
      <c r="E95" s="98"/>
      <c r="F95" s="98"/>
    </row>
    <row r="96" spans="3:6" x14ac:dyDescent="0.25">
      <c r="C96" s="128"/>
      <c r="D96" s="128"/>
      <c r="E96" s="98"/>
      <c r="F96" s="98"/>
    </row>
    <row r="97" spans="3:6" x14ac:dyDescent="0.25">
      <c r="C97" s="128"/>
      <c r="D97" s="128"/>
      <c r="E97" s="98"/>
      <c r="F97" s="98"/>
    </row>
    <row r="98" spans="3:6" x14ac:dyDescent="0.25">
      <c r="C98" s="128"/>
      <c r="D98" s="128"/>
      <c r="E98" s="98"/>
      <c r="F98" s="98"/>
    </row>
    <row r="99" spans="3:6" x14ac:dyDescent="0.25">
      <c r="C99" s="128"/>
      <c r="D99" s="128"/>
      <c r="E99" s="98"/>
      <c r="F99" s="98"/>
    </row>
    <row r="100" spans="3:6" x14ac:dyDescent="0.25">
      <c r="C100" s="128"/>
      <c r="D100" s="128"/>
      <c r="E100" s="98"/>
      <c r="F100" s="98"/>
    </row>
    <row r="101" spans="3:6" x14ac:dyDescent="0.25">
      <c r="C101" s="128"/>
      <c r="D101" s="128"/>
      <c r="E101" s="98"/>
      <c r="F101" s="98"/>
    </row>
    <row r="102" spans="3:6" x14ac:dyDescent="0.25">
      <c r="C102" s="128"/>
      <c r="D102" s="128"/>
      <c r="E102" s="98"/>
      <c r="F102" s="98"/>
    </row>
    <row r="103" spans="3:6" x14ac:dyDescent="0.25">
      <c r="C103" s="128"/>
      <c r="D103" s="128"/>
      <c r="E103" s="98"/>
      <c r="F103" s="98"/>
    </row>
    <row r="104" spans="3:6" x14ac:dyDescent="0.25">
      <c r="C104" s="128"/>
      <c r="D104" s="128"/>
      <c r="E104" s="98"/>
      <c r="F104" s="98"/>
    </row>
    <row r="105" spans="3:6" x14ac:dyDescent="0.25">
      <c r="C105" s="128"/>
      <c r="D105" s="128"/>
      <c r="E105" s="98"/>
      <c r="F105" s="98"/>
    </row>
    <row r="106" spans="3:6" x14ac:dyDescent="0.25">
      <c r="C106" s="128"/>
      <c r="D106" s="128"/>
      <c r="E106" s="98"/>
      <c r="F106" s="98"/>
    </row>
    <row r="107" spans="3:6" x14ac:dyDescent="0.25">
      <c r="C107" s="128"/>
      <c r="D107" s="128"/>
      <c r="E107" s="98"/>
      <c r="F107" s="98"/>
    </row>
    <row r="108" spans="3:6" x14ac:dyDescent="0.25">
      <c r="C108" s="128"/>
      <c r="D108" s="128"/>
      <c r="E108" s="98"/>
      <c r="F108" s="98"/>
    </row>
    <row r="109" spans="3:6" x14ac:dyDescent="0.25">
      <c r="C109" s="128"/>
      <c r="D109" s="128"/>
      <c r="E109" s="98"/>
      <c r="F109" s="98"/>
    </row>
    <row r="110" spans="3:6" x14ac:dyDescent="0.25">
      <c r="C110" s="128"/>
      <c r="D110" s="128"/>
      <c r="E110" s="98"/>
      <c r="F110" s="98"/>
    </row>
    <row r="111" spans="3:6" x14ac:dyDescent="0.25">
      <c r="C111" s="128"/>
      <c r="D111" s="128"/>
      <c r="E111" s="98"/>
      <c r="F111" s="98"/>
    </row>
    <row r="112" spans="3:6" x14ac:dyDescent="0.25">
      <c r="C112" s="128"/>
      <c r="D112" s="128"/>
      <c r="E112" s="98"/>
      <c r="F112" s="98"/>
    </row>
    <row r="113" spans="3:6" x14ac:dyDescent="0.25">
      <c r="C113" s="128"/>
      <c r="D113" s="128"/>
      <c r="E113" s="98"/>
      <c r="F113" s="98"/>
    </row>
    <row r="114" spans="3:6" x14ac:dyDescent="0.25">
      <c r="C114" s="129"/>
      <c r="D114" s="129"/>
    </row>
    <row r="115" spans="3:6" x14ac:dyDescent="0.25">
      <c r="C115" s="129"/>
      <c r="D115" s="129"/>
    </row>
    <row r="116" spans="3:6" x14ac:dyDescent="0.25">
      <c r="C116" s="129"/>
      <c r="D116" s="129"/>
    </row>
    <row r="117" spans="3:6" x14ac:dyDescent="0.25">
      <c r="C117" s="129"/>
      <c r="D117" s="129"/>
    </row>
    <row r="118" spans="3:6" x14ac:dyDescent="0.25">
      <c r="C118" s="129"/>
      <c r="D118" s="129"/>
    </row>
    <row r="119" spans="3:6" x14ac:dyDescent="0.25">
      <c r="C119" s="129"/>
      <c r="D119" s="129"/>
    </row>
    <row r="120" spans="3:6" x14ac:dyDescent="0.25">
      <c r="C120" s="129"/>
      <c r="D120" s="129"/>
    </row>
    <row r="121" spans="3:6" x14ac:dyDescent="0.25">
      <c r="C121" s="129"/>
      <c r="D121" s="129"/>
    </row>
    <row r="122" spans="3:6" x14ac:dyDescent="0.25">
      <c r="C122" s="129"/>
      <c r="D122" s="129"/>
    </row>
    <row r="123" spans="3:6" x14ac:dyDescent="0.25">
      <c r="C123" s="129"/>
      <c r="D123" s="129"/>
    </row>
    <row r="124" spans="3:6" x14ac:dyDescent="0.25">
      <c r="C124" s="129"/>
      <c r="D124" s="129"/>
    </row>
    <row r="125" spans="3:6" x14ac:dyDescent="0.25">
      <c r="C125" s="129"/>
      <c r="D125" s="129"/>
    </row>
  </sheetData>
  <mergeCells count="5">
    <mergeCell ref="E3:F3"/>
    <mergeCell ref="C3:D3"/>
    <mergeCell ref="G1:AE1"/>
    <mergeCell ref="E41:F41"/>
    <mergeCell ref="C41:D4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selection activeCell="J17" sqref="J17"/>
    </sheetView>
  </sheetViews>
  <sheetFormatPr defaultColWidth="9.1796875" defaultRowHeight="12.5" x14ac:dyDescent="0.25"/>
  <cols>
    <col min="1" max="1" width="37.26953125" style="118" customWidth="1"/>
    <col min="2" max="2" width="13.453125" style="118" customWidth="1"/>
    <col min="3" max="3" width="12.54296875" style="118" customWidth="1"/>
    <col min="4" max="4" width="13.453125" style="118" customWidth="1"/>
    <col min="5" max="5" width="10" style="118" customWidth="1"/>
    <col min="6" max="16384" width="9.1796875" style="118"/>
  </cols>
  <sheetData>
    <row r="1" spans="1:9" x14ac:dyDescent="0.25">
      <c r="A1" s="118" t="s">
        <v>370</v>
      </c>
    </row>
    <row r="2" spans="1:9" x14ac:dyDescent="0.25">
      <c r="C2" s="156" t="s">
        <v>357</v>
      </c>
      <c r="D2" s="156"/>
      <c r="E2" s="156"/>
      <c r="F2" s="157" t="s">
        <v>125</v>
      </c>
      <c r="G2" s="157"/>
    </row>
    <row r="3" spans="1:9" ht="37.5" x14ac:dyDescent="0.25">
      <c r="B3" s="138" t="s">
        <v>450</v>
      </c>
      <c r="C3" s="121" t="s">
        <v>448</v>
      </c>
      <c r="D3" s="121" t="s">
        <v>449</v>
      </c>
      <c r="E3" s="121" t="s">
        <v>408</v>
      </c>
      <c r="F3" s="121" t="s">
        <v>355</v>
      </c>
      <c r="G3" s="121" t="s">
        <v>356</v>
      </c>
      <c r="H3" s="121"/>
      <c r="I3" s="121"/>
    </row>
    <row r="4" spans="1:9" x14ac:dyDescent="0.25">
      <c r="A4" s="118" t="s">
        <v>358</v>
      </c>
      <c r="B4" s="119">
        <f>'Cocoa FIN'!C238/usd</f>
        <v>245.77475098401479</v>
      </c>
      <c r="C4" s="119">
        <f>'Cocoa FIN'!C253/usd</f>
        <v>-220.97660731976941</v>
      </c>
      <c r="D4" s="120">
        <f>'Cocoa FIN'!C262/usd</f>
        <v>-15.913047997735518</v>
      </c>
      <c r="E4" s="119">
        <f>'Cocoa FIN'!L262/usd</f>
        <v>270.77722318870525</v>
      </c>
      <c r="F4" s="120">
        <f>'Cocoa FIN'!B254/usd</f>
        <v>381.47861069116271</v>
      </c>
      <c r="G4" s="120">
        <f>'Cocoa FIN'!B263/usd</f>
        <v>759.31213037285352</v>
      </c>
    </row>
    <row r="5" spans="1:9" x14ac:dyDescent="0.25">
      <c r="A5" s="118" t="s">
        <v>359</v>
      </c>
      <c r="B5" s="120">
        <f>'Cocoa FIN'!C115/usd</f>
        <v>326.01398305084746</v>
      </c>
      <c r="C5" s="120">
        <f>'Cocoa FIN'!C132/usd</f>
        <v>-341.25821226795802</v>
      </c>
      <c r="D5" s="119">
        <f>'Cocoa FIN'!C143/usd</f>
        <v>-79.7116020984665</v>
      </c>
      <c r="E5" s="119">
        <f>'Cocoa FIN'!L132/usd</f>
        <v>165.26878773204206</v>
      </c>
      <c r="F5" s="119">
        <f>'Cocoa FIN'!B133/usd</f>
        <v>-384.45090660566052</v>
      </c>
      <c r="G5" s="120">
        <f>'Cocoa FIN'!B144/usd</f>
        <v>130.21954705709786</v>
      </c>
    </row>
    <row r="6" spans="1:9" x14ac:dyDescent="0.25">
      <c r="A6" s="118" t="s">
        <v>371</v>
      </c>
      <c r="B6" s="119">
        <f>'Coffee FIN'!C126/usd</f>
        <v>852.38978269273821</v>
      </c>
      <c r="C6" s="120">
        <f>'Coffee FIN'!C141/usd</f>
        <v>-755.29535170000213</v>
      </c>
      <c r="D6" s="120">
        <f>'Coffee FIN'!C150/usd</f>
        <v>-464.34619915762926</v>
      </c>
      <c r="E6" s="119">
        <f>'Coffee FIN'!L150/usd</f>
        <v>155.21900261799638</v>
      </c>
      <c r="F6" s="120">
        <f>'Coffee FIN'!B142/usd</f>
        <v>-614.91743338902722</v>
      </c>
      <c r="G6" s="120">
        <f>'Coffee FIN'!B151/usd</f>
        <v>89.941623991020521</v>
      </c>
    </row>
    <row r="7" spans="1:9" x14ac:dyDescent="0.25">
      <c r="A7" s="118" t="s">
        <v>360</v>
      </c>
      <c r="B7" s="120">
        <f>'Rubber FIN'!C97/usd</f>
        <v>289.18304733017942</v>
      </c>
      <c r="C7" s="119">
        <f>'Rubber FIN'!C112/usd</f>
        <v>-177.06897159574945</v>
      </c>
      <c r="D7" s="120">
        <f>'Rubber FIN'!C121/usd</f>
        <v>-66.926340599017223</v>
      </c>
      <c r="E7" s="120">
        <f>'Rubber FIN'!L121/usd</f>
        <v>124.45823680250925</v>
      </c>
      <c r="F7" s="120">
        <f>'Rubber FIN'!B113/usd</f>
        <v>-38.268396227183089</v>
      </c>
      <c r="G7" s="120">
        <f>'Rubber FIN'!B122/usd</f>
        <v>143.12869303779416</v>
      </c>
    </row>
    <row r="10" spans="1:9" x14ac:dyDescent="0.25">
      <c r="A10" s="118" t="s">
        <v>372</v>
      </c>
      <c r="F10" s="121"/>
    </row>
    <row r="11" spans="1:9" x14ac:dyDescent="0.25">
      <c r="B11" s="121"/>
      <c r="C11" s="156" t="s">
        <v>357</v>
      </c>
      <c r="D11" s="156"/>
      <c r="E11" s="156"/>
      <c r="F11" s="121"/>
      <c r="G11" s="121"/>
    </row>
    <row r="12" spans="1:9" ht="37.5" x14ac:dyDescent="0.25">
      <c r="B12" s="121" t="s">
        <v>450</v>
      </c>
      <c r="C12" s="121" t="s">
        <v>448</v>
      </c>
      <c r="D12" s="121" t="s">
        <v>449</v>
      </c>
      <c r="E12" s="121" t="s">
        <v>414</v>
      </c>
      <c r="F12" s="119" t="s">
        <v>125</v>
      </c>
      <c r="G12" s="120"/>
    </row>
    <row r="13" spans="1:9" x14ac:dyDescent="0.25">
      <c r="A13" s="118" t="s">
        <v>361</v>
      </c>
      <c r="B13" s="119">
        <f>'Refor gazetted FIN'!C96/usd</f>
        <v>706.11476997578688</v>
      </c>
      <c r="C13" s="119">
        <f>'Refor gazetted FIN'!C99/usd</f>
        <v>-706.11476997578688</v>
      </c>
      <c r="D13" s="120">
        <v>0</v>
      </c>
      <c r="E13" s="119">
        <f>'Refor gazetted FIN'!R99/usd</f>
        <v>4550.8474576271183</v>
      </c>
      <c r="F13" s="119">
        <f>'Refor gazetted FIN'!B100/usd</f>
        <v>1054.4240058749631</v>
      </c>
      <c r="G13" s="120"/>
    </row>
    <row r="14" spans="1:9" x14ac:dyDescent="0.25">
      <c r="A14" s="118" t="s">
        <v>362</v>
      </c>
      <c r="B14" s="119">
        <f>'Refort smallholders FIN'!C140/usd</f>
        <v>1089.0166384180791</v>
      </c>
      <c r="C14" s="120">
        <f>'Refort smallholders FIN'!C147/usd</f>
        <v>-411.05053672316382</v>
      </c>
      <c r="D14" s="120">
        <f>'Refort smallholders FIN'!C149/usd</f>
        <v>-118.67935028248586</v>
      </c>
      <c r="E14" s="119">
        <f>'Refort smallholders FIN'!R149/usd</f>
        <v>4550.8474576271183</v>
      </c>
      <c r="F14" s="119">
        <f>'Refort smallholders FIN'!B169/usd</f>
        <v>2388.1955678673244</v>
      </c>
      <c r="G14" s="120"/>
    </row>
    <row r="15" spans="1:9" x14ac:dyDescent="0.25">
      <c r="B15" s="120"/>
      <c r="C15" s="119"/>
      <c r="D15" s="120"/>
      <c r="E15" s="120"/>
      <c r="F15" s="120"/>
      <c r="G15" s="120"/>
    </row>
    <row r="17" spans="1:5" x14ac:dyDescent="0.25">
      <c r="A17" s="118" t="s">
        <v>373</v>
      </c>
    </row>
    <row r="18" spans="1:5" x14ac:dyDescent="0.25">
      <c r="B18" s="118" t="s">
        <v>364</v>
      </c>
      <c r="D18" s="118" t="s">
        <v>365</v>
      </c>
    </row>
    <row r="19" spans="1:5" x14ac:dyDescent="0.25">
      <c r="B19" s="118" t="s">
        <v>366</v>
      </c>
      <c r="C19" s="118" t="s">
        <v>367</v>
      </c>
      <c r="D19" s="118" t="s">
        <v>366</v>
      </c>
      <c r="E19" s="118" t="s">
        <v>367</v>
      </c>
    </row>
    <row r="20" spans="1:5" x14ac:dyDescent="0.25">
      <c r="A20" s="118" t="s">
        <v>363</v>
      </c>
      <c r="B20" s="134">
        <f>Aggr!C55/1000000</f>
        <v>13.056237840122643</v>
      </c>
      <c r="C20" s="136">
        <f>Aggr!C58/1000000</f>
        <v>19.287913284215627</v>
      </c>
      <c r="D20" s="136">
        <f>Aggr!C48/1000000</f>
        <v>-0.97811063442250379</v>
      </c>
      <c r="E20" s="136">
        <f>Aggr!C51/1000000</f>
        <v>3.3553072386282548</v>
      </c>
    </row>
    <row r="21" spans="1:5" x14ac:dyDescent="0.25">
      <c r="A21" s="118" t="s">
        <v>336</v>
      </c>
      <c r="B21" s="145">
        <f>Aggr!C56</f>
        <v>0.2766519673051766</v>
      </c>
      <c r="C21" s="145">
        <f>Aggr!C59</f>
        <v>0.28396998057699707</v>
      </c>
      <c r="D21" s="137">
        <f>Aggr!C49</f>
        <v>6.5347934025348442E-2</v>
      </c>
      <c r="E21" s="137">
        <f>Aggr!C52</f>
        <v>9.6876398624577309E-2</v>
      </c>
    </row>
    <row r="22" spans="1:5" x14ac:dyDescent="0.25">
      <c r="B22" s="135"/>
    </row>
    <row r="23" spans="1:5" x14ac:dyDescent="0.25">
      <c r="B23" s="135"/>
    </row>
    <row r="24" spans="1:5" x14ac:dyDescent="0.25">
      <c r="A24" s="118" t="s">
        <v>474</v>
      </c>
      <c r="B24" s="135"/>
    </row>
    <row r="25" spans="1:5" x14ac:dyDescent="0.25">
      <c r="B25" s="135" t="s">
        <v>369</v>
      </c>
      <c r="D25" s="135" t="s">
        <v>368</v>
      </c>
    </row>
    <row r="26" spans="1:5" x14ac:dyDescent="0.25">
      <c r="B26" s="118" t="s">
        <v>363</v>
      </c>
      <c r="C26" s="118" t="s">
        <v>336</v>
      </c>
      <c r="D26" s="118" t="s">
        <v>363</v>
      </c>
      <c r="E26" s="118" t="s">
        <v>336</v>
      </c>
    </row>
    <row r="27" spans="1:5" x14ac:dyDescent="0.25">
      <c r="A27" s="118" t="s">
        <v>352</v>
      </c>
      <c r="B27" s="136">
        <f>Sensitivity!C18/1000000</f>
        <v>-0.97811063442250379</v>
      </c>
      <c r="C27" s="137">
        <f>Sensitivity!D18</f>
        <v>6.5347934025348442E-2</v>
      </c>
      <c r="D27" s="134">
        <f>Sensitivity!C56/1000000</f>
        <v>13.056237840122643</v>
      </c>
      <c r="E27" s="137">
        <f>Sensitivity!D56</f>
        <v>0.2766519673051766</v>
      </c>
    </row>
    <row r="28" spans="1:5" x14ac:dyDescent="0.25">
      <c r="A28" s="118" t="s">
        <v>451</v>
      </c>
      <c r="B28" s="136">
        <f>Sensitivity!C19/1000000</f>
        <v>-1.5445939253661063</v>
      </c>
      <c r="C28" s="137">
        <f>Sensitivity!D19</f>
        <v>5.8729185560195019E-2</v>
      </c>
      <c r="D28" s="134">
        <f>Sensitivity!C57/1000000</f>
        <v>11.086319701724522</v>
      </c>
      <c r="E28" s="137">
        <f>Sensitivity!D57</f>
        <v>0.24605257470377828</v>
      </c>
    </row>
    <row r="29" spans="1:5" x14ac:dyDescent="0.25">
      <c r="A29" s="118" t="s">
        <v>452</v>
      </c>
      <c r="B29" s="136">
        <f>Sensitivity!C20/1000000</f>
        <v>-2.1110772163097091</v>
      </c>
      <c r="C29" s="137">
        <f>Sensitivity!D20</f>
        <v>5.11238813489161E-2</v>
      </c>
      <c r="D29" s="134">
        <f>Sensitivity!C58/1000000</f>
        <v>7.5404670526079123</v>
      </c>
      <c r="E29" s="137">
        <f>Sensitivity!D58</f>
        <v>0.19419310590656491</v>
      </c>
    </row>
    <row r="30" spans="1:5" x14ac:dyDescent="0.25">
      <c r="A30" s="118" t="s">
        <v>453</v>
      </c>
      <c r="B30" s="136">
        <f>Sensitivity!C21/1000000</f>
        <v>-2.6775605072533146</v>
      </c>
      <c r="C30" s="137">
        <f>Sensitivity!D21</f>
        <v>4.22556733704742E-2</v>
      </c>
      <c r="D30" s="134">
        <f>Sensitivity!C59/1000000</f>
        <v>3.285443873667977</v>
      </c>
      <c r="E30" s="137">
        <f>Sensitivity!D59</f>
        <v>0.13114391885166721</v>
      </c>
    </row>
    <row r="31" spans="1:5" x14ac:dyDescent="0.25">
      <c r="A31" s="118" t="s">
        <v>340</v>
      </c>
      <c r="B31" s="136">
        <f>Sensitivity!C22/1000000</f>
        <v>-1.8895148701260178</v>
      </c>
      <c r="C31" s="137">
        <f>Sensitivity!D22</f>
        <v>5.5531449449470083E-2</v>
      </c>
      <c r="D31" s="134">
        <f>Sensitivity!C60/1000000</f>
        <v>10.864219650930757</v>
      </c>
      <c r="E31" s="137">
        <f>Sensitivity!D60</f>
        <v>0.21964109446248492</v>
      </c>
    </row>
    <row r="32" spans="1:5" x14ac:dyDescent="0.25">
      <c r="A32" s="118" t="s">
        <v>374</v>
      </c>
      <c r="B32" s="136">
        <f>Sensitivity!C23/1000000</f>
        <v>-3.0978777872366465</v>
      </c>
      <c r="C32" s="137">
        <f>Sensitivity!D23</f>
        <v>4.0025221269493594E-2</v>
      </c>
      <c r="D32" s="134">
        <f>Sensitivity!C61/1000000</f>
        <v>8.4645879398774539</v>
      </c>
      <c r="E32" s="137">
        <f>Sensitivity!D61</f>
        <v>0.18267504260289003</v>
      </c>
    </row>
    <row r="33" spans="1:5" x14ac:dyDescent="0.25">
      <c r="A33" s="118" t="s">
        <v>375</v>
      </c>
      <c r="B33" s="136">
        <f>Sensitivity!C24/1000000</f>
        <v>-4.22386313065459</v>
      </c>
      <c r="C33" s="137">
        <f>Sensitivity!D24</f>
        <v>2.1756671658774929E-2</v>
      </c>
      <c r="D33" s="134">
        <f>Sensitivity!C62/1000000</f>
        <v>6.2304455788384194</v>
      </c>
      <c r="E33" s="137">
        <f>Sensitivity!D62</f>
        <v>0.15398988089723442</v>
      </c>
    </row>
    <row r="34" spans="1:5" x14ac:dyDescent="0.25">
      <c r="A34" s="118" t="s">
        <v>454</v>
      </c>
      <c r="B34" s="136">
        <f>Sensitivity!C29/1000000</f>
        <v>-1.4783054522206422</v>
      </c>
      <c r="C34" s="137">
        <f>Sensitivity!D29</f>
        <v>6.0542701049953962E-2</v>
      </c>
      <c r="D34" s="136">
        <f>Sensitivity!C63/1000000</f>
        <v>12.391943485736789</v>
      </c>
      <c r="E34" s="137">
        <f>Sensitivity!F63</f>
        <v>0.25758797077007189</v>
      </c>
    </row>
    <row r="35" spans="1:5" x14ac:dyDescent="0.25">
      <c r="A35" s="118" t="s">
        <v>455</v>
      </c>
      <c r="B35" s="136">
        <f>Sensitivity!C30/1000000</f>
        <v>-1.9785002700187855</v>
      </c>
      <c r="C35" s="137">
        <f>Sensitivity!D30</f>
        <v>5.5818626951629868E-2</v>
      </c>
      <c r="D35" s="136">
        <f>Sensitivity!C64/1000000</f>
        <v>11.727649131350935</v>
      </c>
      <c r="E35" s="137">
        <f>Sensitivity!F64</f>
        <v>0.23681254387175121</v>
      </c>
    </row>
    <row r="36" spans="1:5" x14ac:dyDescent="0.25">
      <c r="A36" s="118" t="s">
        <v>456</v>
      </c>
      <c r="B36" s="136">
        <f>Sensitivity!C31/1000000</f>
        <v>-2.4786950878169325</v>
      </c>
      <c r="C36" s="137">
        <f>Sensitivity!D31</f>
        <v>5.1170554218777253E-2</v>
      </c>
      <c r="D36" s="136">
        <f>Sensitivity!C65/1000000</f>
        <v>11.063354776965079</v>
      </c>
      <c r="E36" s="137">
        <f>Sensitivity!F65</f>
        <v>0.21978452885455413</v>
      </c>
    </row>
    <row r="37" spans="1:5" x14ac:dyDescent="0.25">
      <c r="A37" s="88" t="s">
        <v>376</v>
      </c>
      <c r="B37" s="136">
        <f>Sensitivity!C32/1000000</f>
        <v>-1.2203245123792388</v>
      </c>
      <c r="C37" s="137">
        <f>Sensitivity!D32</f>
        <v>6.2481402022832144E-2</v>
      </c>
      <c r="D37" s="136">
        <f>Sensitivity!C66/1000000</f>
        <v>10.399060422579229</v>
      </c>
      <c r="E37" s="137">
        <f>Sensitivity!F66</f>
        <v>0.20542771232370982</v>
      </c>
    </row>
    <row r="38" spans="1:5" x14ac:dyDescent="0.25">
      <c r="A38" s="88" t="s">
        <v>377</v>
      </c>
      <c r="B38" s="136">
        <f>Sensitivity!C33/1000000</f>
        <v>-1.4625383903359765</v>
      </c>
      <c r="C38" s="137">
        <f>Sensitivity!D33</f>
        <v>5.937534115702281E-2</v>
      </c>
      <c r="D38" s="136">
        <f>Sensitivity!C67/1000000</f>
        <v>12.318358456284942</v>
      </c>
      <c r="E38" s="137">
        <f>Sensitivity!F67</f>
        <v>0.2652289645904653</v>
      </c>
    </row>
    <row r="39" spans="1:5" x14ac:dyDescent="0.25">
      <c r="A39" s="88" t="s">
        <v>378</v>
      </c>
      <c r="B39" s="136">
        <f>Sensitivity!C34/1000000</f>
        <v>-1.704752268292711</v>
      </c>
      <c r="C39" s="137">
        <f>Sensitivity!D34</f>
        <v>5.5996006537541332E-2</v>
      </c>
      <c r="D39" s="136">
        <f>Sensitivity!C68/1000000</f>
        <v>11.8181636384868</v>
      </c>
      <c r="E39" s="137">
        <f>Sensitivity!F68</f>
        <v>0.25380882686474182</v>
      </c>
    </row>
    <row r="40" spans="1:5" x14ac:dyDescent="0.25">
      <c r="A40" s="88" t="s">
        <v>379</v>
      </c>
      <c r="B40" s="136">
        <f>Sensitivity!C35/1000000</f>
        <v>-1.3023800474093687</v>
      </c>
      <c r="C40" s="137">
        <f>Sensitivity!D35</f>
        <v>6.1819333534807175E-2</v>
      </c>
      <c r="D40" s="136">
        <f>Sensitivity!C69/1000000</f>
        <v>11.317968820688655</v>
      </c>
      <c r="E40" s="137">
        <f>Sensitivity!F69</f>
        <v>0.24321616624817755</v>
      </c>
    </row>
    <row r="41" spans="1:5" x14ac:dyDescent="0.25">
      <c r="A41" s="88" t="s">
        <v>381</v>
      </c>
      <c r="B41" s="136">
        <f>Sensitivity!C36/1000000</f>
        <v>-1.6266494603962334</v>
      </c>
      <c r="C41" s="137">
        <f>Sensitivity!D36</f>
        <v>5.8100773149128981E-2</v>
      </c>
      <c r="D41" s="136">
        <f>Sensitivity!C70/1000000</f>
        <v>12.576339396126347</v>
      </c>
      <c r="E41" s="137">
        <f>Sensitivity!F70</f>
        <v>0.28468871090593506</v>
      </c>
    </row>
    <row r="42" spans="1:5" x14ac:dyDescent="0.25">
      <c r="A42" s="88" t="s">
        <v>380</v>
      </c>
      <c r="B42" s="136">
        <f>Sensitivity!C37/1000000</f>
        <v>-1.9509188733831044</v>
      </c>
      <c r="C42" s="137">
        <f>Sensitivity!D37</f>
        <v>5.4172915413293499E-2</v>
      </c>
      <c r="D42" s="136">
        <f>Sensitivity!C71/1000000</f>
        <v>12.334125518169612</v>
      </c>
      <c r="E42" s="137">
        <f>Sensitivity!F71</f>
        <v>0.29269605486737271</v>
      </c>
    </row>
    <row r="45" spans="1:5" x14ac:dyDescent="0.25">
      <c r="A45" s="118" t="s">
        <v>388</v>
      </c>
    </row>
    <row r="46" spans="1:5" x14ac:dyDescent="0.25">
      <c r="B46" s="118" t="s">
        <v>389</v>
      </c>
      <c r="C46" s="118" t="s">
        <v>344</v>
      </c>
    </row>
    <row r="47" spans="1:5" x14ac:dyDescent="0.25">
      <c r="A47" s="118" t="s">
        <v>358</v>
      </c>
      <c r="B47" s="140">
        <f>'Cocoa FIN'!B269</f>
        <v>0.75</v>
      </c>
      <c r="C47" s="140">
        <f>'Cocoa FIN'!B273</f>
        <v>2.9</v>
      </c>
    </row>
    <row r="48" spans="1:5" x14ac:dyDescent="0.25">
      <c r="A48" s="118" t="s">
        <v>359</v>
      </c>
      <c r="B48" s="140">
        <f>'Cocoa FIN'!B152</f>
        <v>0.26</v>
      </c>
      <c r="C48" s="140">
        <f>'Cocoa FIN'!B156</f>
        <v>0.3</v>
      </c>
    </row>
    <row r="49" spans="1:3" x14ac:dyDescent="0.25">
      <c r="A49" s="118" t="s">
        <v>371</v>
      </c>
      <c r="B49" s="141">
        <f>'Coffee FIN'!B157</f>
        <v>0.02</v>
      </c>
      <c r="C49" s="141">
        <f>'Coffee FIN'!B161</f>
        <v>0.02</v>
      </c>
    </row>
    <row r="50" spans="1:3" x14ac:dyDescent="0.25">
      <c r="A50" s="118" t="s">
        <v>360</v>
      </c>
      <c r="B50" s="140">
        <f>'Rubber FIN'!B128</f>
        <v>0.44</v>
      </c>
      <c r="C50" s="140">
        <f>'Rubber FIN'!B132</f>
        <v>0.77</v>
      </c>
    </row>
    <row r="51" spans="1:3" x14ac:dyDescent="0.25">
      <c r="A51" s="118" t="s">
        <v>361</v>
      </c>
      <c r="B51" s="140">
        <f>'Refor gazetted FIN'!B106</f>
        <v>0.39</v>
      </c>
      <c r="C51" s="140">
        <f>'Refor gazetted FIN'!B108</f>
        <v>0.64</v>
      </c>
    </row>
    <row r="52" spans="1:3" x14ac:dyDescent="0.25">
      <c r="A52" s="118" t="s">
        <v>362</v>
      </c>
      <c r="B52" s="140">
        <f>'Refort smallholders FIN'!B179</f>
        <v>0.36</v>
      </c>
      <c r="C52" s="140">
        <f>'Refort smallholders FIN'!B181</f>
        <v>0.56000000000000005</v>
      </c>
    </row>
  </sheetData>
  <mergeCells count="3">
    <mergeCell ref="C2:E2"/>
    <mergeCell ref="F2:G2"/>
    <mergeCell ref="C11:E11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"/>
  <sheetViews>
    <sheetView workbookViewId="0">
      <selection activeCell="B10" sqref="B10"/>
    </sheetView>
  </sheetViews>
  <sheetFormatPr defaultColWidth="9.1796875" defaultRowHeight="11.5" x14ac:dyDescent="0.25"/>
  <cols>
    <col min="1" max="1" width="38.1796875" style="88" customWidth="1"/>
    <col min="2" max="2" width="12" style="88" bestFit="1" customWidth="1"/>
    <col min="3" max="16384" width="9.1796875" style="88"/>
  </cols>
  <sheetData>
    <row r="1" spans="1:29" x14ac:dyDescent="0.25">
      <c r="A1" s="96" t="s">
        <v>457</v>
      </c>
      <c r="B1" s="82" t="s">
        <v>399</v>
      </c>
      <c r="C1" s="82" t="s">
        <v>400</v>
      </c>
      <c r="D1" s="82" t="s">
        <v>401</v>
      </c>
      <c r="E1" s="82" t="s">
        <v>402</v>
      </c>
      <c r="F1" s="82" t="s">
        <v>403</v>
      </c>
      <c r="G1" s="82" t="s">
        <v>404</v>
      </c>
      <c r="H1" s="82" t="s">
        <v>405</v>
      </c>
      <c r="I1" s="82" t="s">
        <v>406</v>
      </c>
      <c r="J1" s="82" t="s">
        <v>407</v>
      </c>
      <c r="K1" s="82" t="s">
        <v>408</v>
      </c>
      <c r="L1" s="82" t="s">
        <v>409</v>
      </c>
      <c r="M1" s="82" t="s">
        <v>410</v>
      </c>
      <c r="N1" s="82" t="s">
        <v>411</v>
      </c>
      <c r="O1" s="82" t="s">
        <v>412</v>
      </c>
      <c r="P1" s="82" t="s">
        <v>413</v>
      </c>
      <c r="Q1" s="83" t="s">
        <v>414</v>
      </c>
      <c r="R1" s="83" t="s">
        <v>415</v>
      </c>
      <c r="S1" s="83" t="s">
        <v>416</v>
      </c>
      <c r="T1" s="83" t="s">
        <v>417</v>
      </c>
      <c r="U1" s="83" t="s">
        <v>418</v>
      </c>
      <c r="V1" s="83" t="s">
        <v>425</v>
      </c>
      <c r="W1" s="83" t="s">
        <v>428</v>
      </c>
      <c r="X1" s="83" t="s">
        <v>429</v>
      </c>
      <c r="Y1" s="83" t="s">
        <v>430</v>
      </c>
      <c r="Z1" s="83" t="s">
        <v>431</v>
      </c>
      <c r="AA1" s="83" t="s">
        <v>432</v>
      </c>
      <c r="AB1" s="83" t="s">
        <v>433</v>
      </c>
      <c r="AC1" s="83" t="s">
        <v>438</v>
      </c>
    </row>
    <row r="2" spans="1:29" x14ac:dyDescent="0.25">
      <c r="A2" s="88" t="s">
        <v>352</v>
      </c>
      <c r="B2" s="87">
        <v>275332</v>
      </c>
      <c r="C2" s="87">
        <f>B2</f>
        <v>275332</v>
      </c>
      <c r="D2" s="87">
        <f t="shared" ref="D2:AC2" si="0">C2</f>
        <v>275332</v>
      </c>
      <c r="E2" s="87">
        <f t="shared" si="0"/>
        <v>275332</v>
      </c>
      <c r="F2" s="87">
        <f t="shared" si="0"/>
        <v>275332</v>
      </c>
      <c r="G2" s="87">
        <f t="shared" si="0"/>
        <v>275332</v>
      </c>
      <c r="H2" s="87">
        <f t="shared" si="0"/>
        <v>275332</v>
      </c>
      <c r="I2" s="87">
        <f t="shared" si="0"/>
        <v>275332</v>
      </c>
      <c r="J2" s="87">
        <f t="shared" si="0"/>
        <v>275332</v>
      </c>
      <c r="K2" s="87">
        <f t="shared" si="0"/>
        <v>275332</v>
      </c>
      <c r="L2" s="87">
        <f t="shared" si="0"/>
        <v>275332</v>
      </c>
      <c r="M2" s="87">
        <f t="shared" si="0"/>
        <v>275332</v>
      </c>
      <c r="N2" s="87">
        <f t="shared" si="0"/>
        <v>275332</v>
      </c>
      <c r="O2" s="87">
        <f t="shared" si="0"/>
        <v>275332</v>
      </c>
      <c r="P2" s="87">
        <f t="shared" si="0"/>
        <v>275332</v>
      </c>
      <c r="Q2" s="87">
        <f t="shared" si="0"/>
        <v>275332</v>
      </c>
      <c r="R2" s="87">
        <f t="shared" si="0"/>
        <v>275332</v>
      </c>
      <c r="S2" s="87">
        <f t="shared" si="0"/>
        <v>275332</v>
      </c>
      <c r="T2" s="87">
        <f t="shared" si="0"/>
        <v>275332</v>
      </c>
      <c r="U2" s="87">
        <f t="shared" si="0"/>
        <v>275332</v>
      </c>
      <c r="V2" s="87">
        <f t="shared" si="0"/>
        <v>275332</v>
      </c>
      <c r="W2" s="87">
        <f t="shared" si="0"/>
        <v>275332</v>
      </c>
      <c r="X2" s="87">
        <f t="shared" si="0"/>
        <v>275332</v>
      </c>
      <c r="Y2" s="87">
        <f t="shared" si="0"/>
        <v>275332</v>
      </c>
      <c r="Z2" s="87">
        <f t="shared" si="0"/>
        <v>275332</v>
      </c>
      <c r="AA2" s="87">
        <f t="shared" si="0"/>
        <v>275332</v>
      </c>
      <c r="AB2" s="87">
        <f t="shared" si="0"/>
        <v>275332</v>
      </c>
      <c r="AC2" s="87">
        <f t="shared" si="0"/>
        <v>275332</v>
      </c>
    </row>
    <row r="3" spans="1:29" x14ac:dyDescent="0.25">
      <c r="A3" s="88" t="s">
        <v>458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</row>
    <row r="4" spans="1:29" x14ac:dyDescent="0.25">
      <c r="A4" s="88" t="s">
        <v>459</v>
      </c>
      <c r="B4" s="87">
        <v>264030</v>
      </c>
      <c r="C4" s="87">
        <f t="shared" ref="C4:C9" si="1">B4</f>
        <v>264030</v>
      </c>
      <c r="D4" s="87">
        <f t="shared" ref="D4:AC9" si="2">C4</f>
        <v>264030</v>
      </c>
      <c r="E4" s="87">
        <f t="shared" si="2"/>
        <v>264030</v>
      </c>
      <c r="F4" s="87">
        <f t="shared" si="2"/>
        <v>264030</v>
      </c>
      <c r="G4" s="87">
        <f t="shared" si="2"/>
        <v>264030</v>
      </c>
      <c r="H4" s="87">
        <f t="shared" si="2"/>
        <v>264030</v>
      </c>
      <c r="I4" s="87">
        <f t="shared" si="2"/>
        <v>264030</v>
      </c>
      <c r="J4" s="87">
        <f t="shared" si="2"/>
        <v>264030</v>
      </c>
      <c r="K4" s="87">
        <f t="shared" si="2"/>
        <v>264030</v>
      </c>
      <c r="L4" s="87">
        <f t="shared" si="2"/>
        <v>264030</v>
      </c>
      <c r="M4" s="87">
        <f t="shared" si="2"/>
        <v>264030</v>
      </c>
      <c r="N4" s="87">
        <f t="shared" si="2"/>
        <v>264030</v>
      </c>
      <c r="O4" s="87">
        <f t="shared" si="2"/>
        <v>264030</v>
      </c>
      <c r="P4" s="87">
        <f t="shared" si="2"/>
        <v>264030</v>
      </c>
      <c r="Q4" s="87">
        <f t="shared" si="2"/>
        <v>264030</v>
      </c>
      <c r="R4" s="87">
        <f t="shared" si="2"/>
        <v>264030</v>
      </c>
      <c r="S4" s="87">
        <f t="shared" si="2"/>
        <v>264030</v>
      </c>
      <c r="T4" s="87">
        <f t="shared" si="2"/>
        <v>264030</v>
      </c>
      <c r="U4" s="87">
        <f t="shared" si="2"/>
        <v>264030</v>
      </c>
      <c r="V4" s="87">
        <f t="shared" si="2"/>
        <v>264030</v>
      </c>
      <c r="W4" s="87">
        <f t="shared" si="2"/>
        <v>264030</v>
      </c>
      <c r="X4" s="87">
        <f t="shared" si="2"/>
        <v>264030</v>
      </c>
      <c r="Y4" s="87">
        <f t="shared" si="2"/>
        <v>264030</v>
      </c>
      <c r="Z4" s="87">
        <f t="shared" si="2"/>
        <v>264030</v>
      </c>
      <c r="AA4" s="87">
        <f t="shared" si="2"/>
        <v>264030</v>
      </c>
      <c r="AB4" s="87">
        <f t="shared" si="2"/>
        <v>264030</v>
      </c>
      <c r="AC4" s="87">
        <f t="shared" si="2"/>
        <v>264030</v>
      </c>
    </row>
    <row r="5" spans="1:29" x14ac:dyDescent="0.25">
      <c r="A5" s="88" t="s">
        <v>460</v>
      </c>
      <c r="B5" s="87">
        <v>257391</v>
      </c>
      <c r="C5" s="87">
        <f t="shared" si="1"/>
        <v>257391</v>
      </c>
      <c r="D5" s="87">
        <f t="shared" si="2"/>
        <v>257391</v>
      </c>
      <c r="E5" s="87">
        <f t="shared" si="2"/>
        <v>257391</v>
      </c>
      <c r="F5" s="87">
        <f t="shared" si="2"/>
        <v>257391</v>
      </c>
      <c r="G5" s="87">
        <f t="shared" si="2"/>
        <v>257391</v>
      </c>
      <c r="H5" s="87">
        <f t="shared" si="2"/>
        <v>257391</v>
      </c>
      <c r="I5" s="87">
        <f t="shared" si="2"/>
        <v>257391</v>
      </c>
      <c r="J5" s="87">
        <f t="shared" si="2"/>
        <v>257391</v>
      </c>
      <c r="K5" s="87">
        <f t="shared" si="2"/>
        <v>257391</v>
      </c>
      <c r="L5" s="87">
        <f t="shared" si="2"/>
        <v>257391</v>
      </c>
      <c r="M5" s="87">
        <f t="shared" si="2"/>
        <v>257391</v>
      </c>
      <c r="N5" s="87">
        <f t="shared" si="2"/>
        <v>257391</v>
      </c>
      <c r="O5" s="87">
        <f t="shared" si="2"/>
        <v>257391</v>
      </c>
      <c r="P5" s="87">
        <f t="shared" si="2"/>
        <v>257391</v>
      </c>
      <c r="Q5" s="87">
        <f t="shared" si="2"/>
        <v>257391</v>
      </c>
      <c r="R5" s="87">
        <f t="shared" si="2"/>
        <v>257391</v>
      </c>
      <c r="S5" s="87">
        <f t="shared" si="2"/>
        <v>257391</v>
      </c>
      <c r="T5" s="87">
        <f t="shared" si="2"/>
        <v>257391</v>
      </c>
      <c r="U5" s="87">
        <f t="shared" si="2"/>
        <v>257391</v>
      </c>
      <c r="V5" s="87">
        <f t="shared" si="2"/>
        <v>257391</v>
      </c>
      <c r="W5" s="87">
        <f t="shared" si="2"/>
        <v>257391</v>
      </c>
      <c r="X5" s="87">
        <f t="shared" si="2"/>
        <v>257391</v>
      </c>
      <c r="Y5" s="87">
        <f t="shared" si="2"/>
        <v>257391</v>
      </c>
      <c r="Z5" s="87">
        <f t="shared" si="2"/>
        <v>257391</v>
      </c>
      <c r="AA5" s="87">
        <f t="shared" si="2"/>
        <v>257391</v>
      </c>
      <c r="AB5" s="87">
        <f t="shared" si="2"/>
        <v>257391</v>
      </c>
      <c r="AC5" s="87">
        <f t="shared" si="2"/>
        <v>257391</v>
      </c>
    </row>
    <row r="6" spans="1:29" x14ac:dyDescent="0.25">
      <c r="A6" s="88" t="s">
        <v>461</v>
      </c>
      <c r="B6" s="87">
        <v>250751</v>
      </c>
      <c r="C6" s="87">
        <f t="shared" si="1"/>
        <v>250751</v>
      </c>
      <c r="D6" s="87">
        <f t="shared" si="2"/>
        <v>250751</v>
      </c>
      <c r="E6" s="87">
        <f t="shared" si="2"/>
        <v>250751</v>
      </c>
      <c r="F6" s="87">
        <f t="shared" si="2"/>
        <v>250751</v>
      </c>
      <c r="G6" s="87">
        <f t="shared" si="2"/>
        <v>250751</v>
      </c>
      <c r="H6" s="87">
        <f t="shared" si="2"/>
        <v>250751</v>
      </c>
      <c r="I6" s="87">
        <f t="shared" si="2"/>
        <v>250751</v>
      </c>
      <c r="J6" s="87">
        <f t="shared" si="2"/>
        <v>250751</v>
      </c>
      <c r="K6" s="87">
        <f t="shared" si="2"/>
        <v>250751</v>
      </c>
      <c r="L6" s="87">
        <f t="shared" si="2"/>
        <v>250751</v>
      </c>
      <c r="M6" s="87">
        <f t="shared" si="2"/>
        <v>250751</v>
      </c>
      <c r="N6" s="87">
        <f t="shared" si="2"/>
        <v>250751</v>
      </c>
      <c r="O6" s="87">
        <f t="shared" si="2"/>
        <v>250751</v>
      </c>
      <c r="P6" s="87">
        <f t="shared" si="2"/>
        <v>250751</v>
      </c>
      <c r="Q6" s="87">
        <f t="shared" si="2"/>
        <v>250751</v>
      </c>
      <c r="R6" s="87">
        <f t="shared" si="2"/>
        <v>250751</v>
      </c>
      <c r="S6" s="87">
        <f t="shared" si="2"/>
        <v>250751</v>
      </c>
      <c r="T6" s="87">
        <f t="shared" si="2"/>
        <v>250751</v>
      </c>
      <c r="U6" s="87">
        <f t="shared" si="2"/>
        <v>250751</v>
      </c>
      <c r="V6" s="87">
        <f t="shared" si="2"/>
        <v>250751</v>
      </c>
      <c r="W6" s="87">
        <f t="shared" si="2"/>
        <v>250751</v>
      </c>
      <c r="X6" s="87">
        <f t="shared" si="2"/>
        <v>250751</v>
      </c>
      <c r="Y6" s="87">
        <f t="shared" si="2"/>
        <v>250751</v>
      </c>
      <c r="Z6" s="87">
        <f t="shared" si="2"/>
        <v>250751</v>
      </c>
      <c r="AA6" s="87">
        <f t="shared" si="2"/>
        <v>250751</v>
      </c>
      <c r="AB6" s="87">
        <f t="shared" si="2"/>
        <v>250751</v>
      </c>
      <c r="AC6" s="87">
        <f t="shared" si="2"/>
        <v>250751</v>
      </c>
    </row>
    <row r="7" spans="1:29" x14ac:dyDescent="0.25">
      <c r="A7" s="88" t="s">
        <v>462</v>
      </c>
      <c r="B7" s="87">
        <v>268897</v>
      </c>
      <c r="C7" s="87">
        <f t="shared" si="1"/>
        <v>268897</v>
      </c>
      <c r="D7" s="87">
        <f t="shared" si="2"/>
        <v>268897</v>
      </c>
      <c r="E7" s="87">
        <f t="shared" si="2"/>
        <v>268897</v>
      </c>
      <c r="F7" s="87">
        <f t="shared" si="2"/>
        <v>268897</v>
      </c>
      <c r="G7" s="87">
        <f t="shared" si="2"/>
        <v>268897</v>
      </c>
      <c r="H7" s="87">
        <f t="shared" si="2"/>
        <v>268897</v>
      </c>
      <c r="I7" s="87">
        <f t="shared" si="2"/>
        <v>268897</v>
      </c>
      <c r="J7" s="87">
        <f t="shared" si="2"/>
        <v>268897</v>
      </c>
      <c r="K7" s="87">
        <f t="shared" si="2"/>
        <v>268897</v>
      </c>
      <c r="L7" s="87">
        <f t="shared" si="2"/>
        <v>268897</v>
      </c>
      <c r="M7" s="87">
        <f t="shared" si="2"/>
        <v>268897</v>
      </c>
      <c r="N7" s="87">
        <f t="shared" si="2"/>
        <v>268897</v>
      </c>
      <c r="O7" s="87">
        <f t="shared" si="2"/>
        <v>268897</v>
      </c>
      <c r="P7" s="87">
        <f t="shared" si="2"/>
        <v>268897</v>
      </c>
      <c r="Q7" s="87">
        <f t="shared" si="2"/>
        <v>268897</v>
      </c>
      <c r="R7" s="87">
        <f t="shared" si="2"/>
        <v>268897</v>
      </c>
      <c r="S7" s="87">
        <f t="shared" si="2"/>
        <v>268897</v>
      </c>
      <c r="T7" s="87">
        <f t="shared" si="2"/>
        <v>268897</v>
      </c>
      <c r="U7" s="87">
        <f t="shared" si="2"/>
        <v>268897</v>
      </c>
      <c r="V7" s="87">
        <f t="shared" si="2"/>
        <v>268897</v>
      </c>
      <c r="W7" s="87">
        <f t="shared" si="2"/>
        <v>268897</v>
      </c>
      <c r="X7" s="87">
        <f t="shared" si="2"/>
        <v>268897</v>
      </c>
      <c r="Y7" s="87">
        <f t="shared" si="2"/>
        <v>268897</v>
      </c>
      <c r="Z7" s="87">
        <f t="shared" si="2"/>
        <v>268897</v>
      </c>
      <c r="AA7" s="87">
        <f t="shared" si="2"/>
        <v>268897</v>
      </c>
      <c r="AB7" s="87">
        <f t="shared" si="2"/>
        <v>268897</v>
      </c>
      <c r="AC7" s="87">
        <f t="shared" si="2"/>
        <v>268897</v>
      </c>
    </row>
    <row r="8" spans="1:29" x14ac:dyDescent="0.25">
      <c r="A8" s="88" t="s">
        <v>463</v>
      </c>
      <c r="B8" s="87">
        <v>267125</v>
      </c>
      <c r="C8" s="87">
        <f t="shared" si="1"/>
        <v>267125</v>
      </c>
      <c r="D8" s="87">
        <f t="shared" si="2"/>
        <v>267125</v>
      </c>
      <c r="E8" s="87">
        <f t="shared" si="2"/>
        <v>267125</v>
      </c>
      <c r="F8" s="87">
        <f t="shared" si="2"/>
        <v>267125</v>
      </c>
      <c r="G8" s="87">
        <f t="shared" si="2"/>
        <v>267125</v>
      </c>
      <c r="H8" s="87">
        <f t="shared" si="2"/>
        <v>267125</v>
      </c>
      <c r="I8" s="87">
        <f t="shared" si="2"/>
        <v>267125</v>
      </c>
      <c r="J8" s="87">
        <f t="shared" si="2"/>
        <v>267125</v>
      </c>
      <c r="K8" s="87">
        <f t="shared" si="2"/>
        <v>267125</v>
      </c>
      <c r="L8" s="87">
        <f t="shared" si="2"/>
        <v>267125</v>
      </c>
      <c r="M8" s="87">
        <f t="shared" si="2"/>
        <v>267125</v>
      </c>
      <c r="N8" s="87">
        <f t="shared" si="2"/>
        <v>267125</v>
      </c>
      <c r="O8" s="87">
        <f t="shared" si="2"/>
        <v>267125</v>
      </c>
      <c r="P8" s="87">
        <f t="shared" si="2"/>
        <v>267125</v>
      </c>
      <c r="Q8" s="87">
        <f t="shared" si="2"/>
        <v>267125</v>
      </c>
      <c r="R8" s="87">
        <f t="shared" si="2"/>
        <v>267125</v>
      </c>
      <c r="S8" s="87">
        <f t="shared" si="2"/>
        <v>267125</v>
      </c>
      <c r="T8" s="87">
        <f t="shared" si="2"/>
        <v>267125</v>
      </c>
      <c r="U8" s="87">
        <f t="shared" si="2"/>
        <v>267125</v>
      </c>
      <c r="V8" s="87">
        <f t="shared" si="2"/>
        <v>267125</v>
      </c>
      <c r="W8" s="87">
        <f t="shared" si="2"/>
        <v>267125</v>
      </c>
      <c r="X8" s="87">
        <f t="shared" si="2"/>
        <v>267125</v>
      </c>
      <c r="Y8" s="87">
        <f t="shared" si="2"/>
        <v>267125</v>
      </c>
      <c r="Z8" s="87">
        <f t="shared" si="2"/>
        <v>267125</v>
      </c>
      <c r="AA8" s="87">
        <f t="shared" si="2"/>
        <v>267125</v>
      </c>
      <c r="AB8" s="87">
        <f t="shared" si="2"/>
        <v>267125</v>
      </c>
      <c r="AC8" s="87">
        <f t="shared" si="2"/>
        <v>267125</v>
      </c>
    </row>
    <row r="9" spans="1:29" x14ac:dyDescent="0.25">
      <c r="A9" s="88" t="s">
        <v>464</v>
      </c>
      <c r="B9" s="87">
        <v>265353</v>
      </c>
      <c r="C9" s="87">
        <f t="shared" si="1"/>
        <v>265353</v>
      </c>
      <c r="D9" s="87">
        <f t="shared" si="2"/>
        <v>265353</v>
      </c>
      <c r="E9" s="87">
        <f t="shared" si="2"/>
        <v>265353</v>
      </c>
      <c r="F9" s="87">
        <f t="shared" si="2"/>
        <v>265353</v>
      </c>
      <c r="G9" s="87">
        <f t="shared" si="2"/>
        <v>265353</v>
      </c>
      <c r="H9" s="87">
        <f t="shared" si="2"/>
        <v>265353</v>
      </c>
      <c r="I9" s="87">
        <f t="shared" si="2"/>
        <v>265353</v>
      </c>
      <c r="J9" s="87">
        <f t="shared" si="2"/>
        <v>265353</v>
      </c>
      <c r="K9" s="87">
        <f t="shared" si="2"/>
        <v>265353</v>
      </c>
      <c r="L9" s="87">
        <f t="shared" si="2"/>
        <v>265353</v>
      </c>
      <c r="M9" s="87">
        <f t="shared" si="2"/>
        <v>265353</v>
      </c>
      <c r="N9" s="87">
        <f t="shared" si="2"/>
        <v>265353</v>
      </c>
      <c r="O9" s="87">
        <f t="shared" si="2"/>
        <v>265353</v>
      </c>
      <c r="P9" s="87">
        <f t="shared" si="2"/>
        <v>265353</v>
      </c>
      <c r="Q9" s="87">
        <f t="shared" si="2"/>
        <v>265353</v>
      </c>
      <c r="R9" s="87">
        <f t="shared" si="2"/>
        <v>265353</v>
      </c>
      <c r="S9" s="87">
        <f t="shared" si="2"/>
        <v>265353</v>
      </c>
      <c r="T9" s="87">
        <f t="shared" si="2"/>
        <v>265353</v>
      </c>
      <c r="U9" s="87">
        <f t="shared" si="2"/>
        <v>265353</v>
      </c>
      <c r="V9" s="87">
        <f t="shared" si="2"/>
        <v>265353</v>
      </c>
      <c r="W9" s="87">
        <f t="shared" si="2"/>
        <v>265353</v>
      </c>
      <c r="X9" s="87">
        <f t="shared" si="2"/>
        <v>265353</v>
      </c>
      <c r="Y9" s="87">
        <f t="shared" si="2"/>
        <v>265353</v>
      </c>
      <c r="Z9" s="87">
        <f t="shared" si="2"/>
        <v>265353</v>
      </c>
      <c r="AA9" s="87">
        <f t="shared" si="2"/>
        <v>265353</v>
      </c>
      <c r="AB9" s="87">
        <f t="shared" si="2"/>
        <v>265353</v>
      </c>
      <c r="AC9" s="87">
        <f t="shared" si="2"/>
        <v>265353</v>
      </c>
    </row>
    <row r="11" spans="1:29" x14ac:dyDescent="0.25">
      <c r="B11" s="15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4"/>
  <sheetViews>
    <sheetView topLeftCell="A122" zoomScaleNormal="100" workbookViewId="0">
      <selection activeCell="B142" sqref="B142"/>
    </sheetView>
  </sheetViews>
  <sheetFormatPr defaultRowHeight="14.5" x14ac:dyDescent="0.35"/>
  <cols>
    <col min="1" max="1" width="37.1796875" customWidth="1"/>
    <col min="2" max="2" width="10.81640625" bestFit="1" customWidth="1"/>
    <col min="3" max="3" width="10.54296875" bestFit="1" customWidth="1"/>
  </cols>
  <sheetData>
    <row r="1" spans="1:22" x14ac:dyDescent="0.35">
      <c r="A1" t="s">
        <v>185</v>
      </c>
    </row>
    <row r="3" spans="1:22" x14ac:dyDescent="0.35">
      <c r="A3" s="48" t="s">
        <v>466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</row>
    <row r="4" spans="1:22" x14ac:dyDescent="0.35">
      <c r="A4" s="69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x14ac:dyDescent="0.35">
      <c r="A5" s="68" t="s">
        <v>398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</row>
    <row r="6" spans="1:22" x14ac:dyDescent="0.35">
      <c r="A6" s="9" t="s">
        <v>7</v>
      </c>
      <c r="B6" s="10" t="s">
        <v>11</v>
      </c>
      <c r="C6" s="11" t="s">
        <v>399</v>
      </c>
      <c r="D6" s="11" t="s">
        <v>400</v>
      </c>
      <c r="E6" s="11" t="s">
        <v>401</v>
      </c>
      <c r="F6" s="11" t="s">
        <v>402</v>
      </c>
      <c r="G6" s="11" t="s">
        <v>403</v>
      </c>
      <c r="H6" s="11" t="s">
        <v>404</v>
      </c>
      <c r="I6" s="11" t="s">
        <v>405</v>
      </c>
      <c r="J6" s="11" t="s">
        <v>406</v>
      </c>
      <c r="K6" s="11" t="s">
        <v>407</v>
      </c>
      <c r="L6" s="11" t="s">
        <v>408</v>
      </c>
      <c r="M6" s="11" t="s">
        <v>409</v>
      </c>
      <c r="N6" s="11" t="s">
        <v>410</v>
      </c>
      <c r="O6" s="11" t="s">
        <v>411</v>
      </c>
      <c r="P6" s="11" t="s">
        <v>412</v>
      </c>
      <c r="Q6" s="11" t="s">
        <v>413</v>
      </c>
      <c r="R6" s="11" t="s">
        <v>414</v>
      </c>
      <c r="S6" s="11" t="s">
        <v>415</v>
      </c>
      <c r="T6" s="11" t="s">
        <v>416</v>
      </c>
      <c r="U6" s="11" t="s">
        <v>417</v>
      </c>
      <c r="V6" s="11" t="s">
        <v>418</v>
      </c>
    </row>
    <row r="7" spans="1:22" x14ac:dyDescent="0.35">
      <c r="A7" s="50" t="s">
        <v>2</v>
      </c>
      <c r="B7" s="15"/>
    </row>
    <row r="8" spans="1:22" x14ac:dyDescent="0.35">
      <c r="A8" s="6" t="s">
        <v>8</v>
      </c>
      <c r="B8" s="8" t="s">
        <v>1</v>
      </c>
      <c r="C8">
        <v>3</v>
      </c>
      <c r="D8">
        <f>C8</f>
        <v>3</v>
      </c>
      <c r="E8">
        <f t="shared" ref="E8:V8" si="0">D8</f>
        <v>3</v>
      </c>
      <c r="F8">
        <f t="shared" si="0"/>
        <v>3</v>
      </c>
      <c r="G8">
        <f t="shared" si="0"/>
        <v>3</v>
      </c>
      <c r="H8">
        <f t="shared" si="0"/>
        <v>3</v>
      </c>
      <c r="I8">
        <f t="shared" si="0"/>
        <v>3</v>
      </c>
      <c r="J8">
        <f t="shared" si="0"/>
        <v>3</v>
      </c>
      <c r="K8">
        <f t="shared" si="0"/>
        <v>3</v>
      </c>
      <c r="L8">
        <f t="shared" si="0"/>
        <v>3</v>
      </c>
      <c r="M8">
        <f t="shared" si="0"/>
        <v>3</v>
      </c>
      <c r="N8">
        <f t="shared" si="0"/>
        <v>3</v>
      </c>
      <c r="O8">
        <f t="shared" si="0"/>
        <v>3</v>
      </c>
      <c r="P8">
        <f t="shared" si="0"/>
        <v>3</v>
      </c>
      <c r="Q8">
        <f t="shared" si="0"/>
        <v>3</v>
      </c>
      <c r="R8">
        <f t="shared" si="0"/>
        <v>3</v>
      </c>
      <c r="S8">
        <f t="shared" si="0"/>
        <v>3</v>
      </c>
      <c r="T8">
        <f t="shared" si="0"/>
        <v>3</v>
      </c>
      <c r="U8">
        <f t="shared" si="0"/>
        <v>3</v>
      </c>
      <c r="V8">
        <f t="shared" si="0"/>
        <v>3</v>
      </c>
    </row>
    <row r="9" spans="1:22" x14ac:dyDescent="0.35">
      <c r="A9" s="7" t="s">
        <v>187</v>
      </c>
      <c r="B9" s="8" t="s">
        <v>42</v>
      </c>
      <c r="C9">
        <f>C18*0.08</f>
        <v>24</v>
      </c>
      <c r="D9">
        <f t="shared" ref="D9:V9" si="1">D18*0.08</f>
        <v>24</v>
      </c>
      <c r="E9">
        <f t="shared" si="1"/>
        <v>24</v>
      </c>
      <c r="F9">
        <f t="shared" si="1"/>
        <v>24</v>
      </c>
      <c r="G9">
        <f t="shared" si="1"/>
        <v>24</v>
      </c>
      <c r="H9">
        <f t="shared" si="1"/>
        <v>24</v>
      </c>
      <c r="I9">
        <f t="shared" si="1"/>
        <v>24</v>
      </c>
      <c r="J9">
        <f t="shared" si="1"/>
        <v>24</v>
      </c>
      <c r="K9">
        <f t="shared" si="1"/>
        <v>24</v>
      </c>
      <c r="L9">
        <f t="shared" si="1"/>
        <v>24</v>
      </c>
      <c r="M9">
        <f t="shared" si="1"/>
        <v>24</v>
      </c>
      <c r="N9">
        <f t="shared" si="1"/>
        <v>24</v>
      </c>
      <c r="O9">
        <f t="shared" si="1"/>
        <v>24</v>
      </c>
      <c r="P9">
        <f t="shared" si="1"/>
        <v>24</v>
      </c>
      <c r="Q9">
        <f t="shared" si="1"/>
        <v>24</v>
      </c>
      <c r="R9">
        <f t="shared" si="1"/>
        <v>24</v>
      </c>
      <c r="S9">
        <f t="shared" si="1"/>
        <v>24</v>
      </c>
      <c r="T9">
        <f t="shared" si="1"/>
        <v>24</v>
      </c>
      <c r="U9">
        <f t="shared" si="1"/>
        <v>24</v>
      </c>
      <c r="V9">
        <f t="shared" si="1"/>
        <v>24</v>
      </c>
    </row>
    <row r="10" spans="1:22" x14ac:dyDescent="0.35">
      <c r="A10" s="7" t="s">
        <v>192</v>
      </c>
      <c r="B10" s="8" t="s">
        <v>10</v>
      </c>
      <c r="C10">
        <f>C18</f>
        <v>300</v>
      </c>
      <c r="D10">
        <f t="shared" ref="D10:V10" si="2">D18</f>
        <v>300</v>
      </c>
      <c r="E10">
        <f t="shared" si="2"/>
        <v>300</v>
      </c>
      <c r="F10">
        <f t="shared" si="2"/>
        <v>300</v>
      </c>
      <c r="G10">
        <f t="shared" si="2"/>
        <v>300</v>
      </c>
      <c r="H10">
        <f t="shared" si="2"/>
        <v>300</v>
      </c>
      <c r="I10">
        <f t="shared" si="2"/>
        <v>300</v>
      </c>
      <c r="J10">
        <f t="shared" si="2"/>
        <v>300</v>
      </c>
      <c r="K10">
        <f t="shared" si="2"/>
        <v>300</v>
      </c>
      <c r="L10">
        <f t="shared" si="2"/>
        <v>300</v>
      </c>
      <c r="M10">
        <f t="shared" si="2"/>
        <v>300</v>
      </c>
      <c r="N10">
        <f t="shared" si="2"/>
        <v>300</v>
      </c>
      <c r="O10">
        <f t="shared" si="2"/>
        <v>300</v>
      </c>
      <c r="P10">
        <f t="shared" si="2"/>
        <v>300</v>
      </c>
      <c r="Q10">
        <f t="shared" si="2"/>
        <v>300</v>
      </c>
      <c r="R10">
        <f t="shared" si="2"/>
        <v>300</v>
      </c>
      <c r="S10">
        <f t="shared" si="2"/>
        <v>300</v>
      </c>
      <c r="T10">
        <f t="shared" si="2"/>
        <v>300</v>
      </c>
      <c r="U10">
        <f t="shared" si="2"/>
        <v>300</v>
      </c>
      <c r="V10">
        <f t="shared" si="2"/>
        <v>300</v>
      </c>
    </row>
    <row r="11" spans="1:22" x14ac:dyDescent="0.35">
      <c r="A11" s="7" t="s">
        <v>188</v>
      </c>
      <c r="B11" s="8" t="s">
        <v>42</v>
      </c>
      <c r="C11">
        <f>C18*0.01</f>
        <v>3</v>
      </c>
      <c r="D11">
        <f t="shared" ref="D11:V11" si="3">D18*0.01</f>
        <v>3</v>
      </c>
      <c r="E11">
        <f t="shared" si="3"/>
        <v>3</v>
      </c>
      <c r="F11">
        <f t="shared" si="3"/>
        <v>3</v>
      </c>
      <c r="G11">
        <f t="shared" si="3"/>
        <v>3</v>
      </c>
      <c r="H11">
        <f t="shared" si="3"/>
        <v>3</v>
      </c>
      <c r="I11">
        <f t="shared" si="3"/>
        <v>3</v>
      </c>
      <c r="J11">
        <f t="shared" si="3"/>
        <v>3</v>
      </c>
      <c r="K11">
        <f t="shared" si="3"/>
        <v>3</v>
      </c>
      <c r="L11">
        <f t="shared" si="3"/>
        <v>3</v>
      </c>
      <c r="M11">
        <f t="shared" si="3"/>
        <v>3</v>
      </c>
      <c r="N11">
        <f t="shared" si="3"/>
        <v>3</v>
      </c>
      <c r="O11">
        <f t="shared" si="3"/>
        <v>3</v>
      </c>
      <c r="P11">
        <f t="shared" si="3"/>
        <v>3</v>
      </c>
      <c r="Q11">
        <f t="shared" si="3"/>
        <v>3</v>
      </c>
      <c r="R11">
        <f t="shared" si="3"/>
        <v>3</v>
      </c>
      <c r="S11">
        <f t="shared" si="3"/>
        <v>3</v>
      </c>
      <c r="T11">
        <f t="shared" si="3"/>
        <v>3</v>
      </c>
      <c r="U11">
        <f t="shared" si="3"/>
        <v>3</v>
      </c>
      <c r="V11">
        <f t="shared" si="3"/>
        <v>3</v>
      </c>
    </row>
    <row r="12" spans="1:22" x14ac:dyDescent="0.35">
      <c r="A12" s="7" t="s">
        <v>76</v>
      </c>
      <c r="B12" s="8" t="s">
        <v>10</v>
      </c>
      <c r="C12">
        <f>C18</f>
        <v>300</v>
      </c>
      <c r="D12">
        <f t="shared" ref="D12:V12" si="4">D18</f>
        <v>300</v>
      </c>
      <c r="E12">
        <f t="shared" si="4"/>
        <v>300</v>
      </c>
      <c r="F12">
        <f t="shared" si="4"/>
        <v>300</v>
      </c>
      <c r="G12">
        <f t="shared" si="4"/>
        <v>300</v>
      </c>
      <c r="H12">
        <f t="shared" si="4"/>
        <v>300</v>
      </c>
      <c r="I12">
        <f t="shared" si="4"/>
        <v>300</v>
      </c>
      <c r="J12">
        <f t="shared" si="4"/>
        <v>300</v>
      </c>
      <c r="K12">
        <f t="shared" si="4"/>
        <v>300</v>
      </c>
      <c r="L12">
        <f t="shared" si="4"/>
        <v>300</v>
      </c>
      <c r="M12">
        <f t="shared" si="4"/>
        <v>300</v>
      </c>
      <c r="N12">
        <f t="shared" si="4"/>
        <v>300</v>
      </c>
      <c r="O12">
        <f t="shared" si="4"/>
        <v>300</v>
      </c>
      <c r="P12">
        <f t="shared" si="4"/>
        <v>300</v>
      </c>
      <c r="Q12">
        <f t="shared" si="4"/>
        <v>300</v>
      </c>
      <c r="R12">
        <f t="shared" si="4"/>
        <v>300</v>
      </c>
      <c r="S12">
        <f t="shared" si="4"/>
        <v>300</v>
      </c>
      <c r="T12">
        <f t="shared" si="4"/>
        <v>300</v>
      </c>
      <c r="U12">
        <f t="shared" si="4"/>
        <v>300</v>
      </c>
      <c r="V12">
        <f t="shared" si="4"/>
        <v>300</v>
      </c>
    </row>
    <row r="13" spans="1:22" x14ac:dyDescent="0.35">
      <c r="A13" s="6"/>
      <c r="B13" s="8"/>
    </row>
    <row r="14" spans="1:22" x14ac:dyDescent="0.35">
      <c r="A14" s="51" t="s">
        <v>16</v>
      </c>
      <c r="B14" s="8"/>
    </row>
    <row r="15" spans="1:22" x14ac:dyDescent="0.35">
      <c r="A15" s="6" t="s">
        <v>17</v>
      </c>
      <c r="B15" s="8" t="s">
        <v>11</v>
      </c>
      <c r="C15" s="5">
        <f>C18/70</f>
        <v>4.2857142857142856</v>
      </c>
      <c r="D15" s="5">
        <f t="shared" ref="D15:V15" si="5">D18/70</f>
        <v>4.2857142857142856</v>
      </c>
      <c r="E15" s="5">
        <f t="shared" si="5"/>
        <v>4.2857142857142856</v>
      </c>
      <c r="F15" s="5">
        <f t="shared" si="5"/>
        <v>4.2857142857142856</v>
      </c>
      <c r="G15" s="5">
        <f t="shared" si="5"/>
        <v>4.2857142857142856</v>
      </c>
      <c r="H15" s="5">
        <f t="shared" si="5"/>
        <v>4.2857142857142856</v>
      </c>
      <c r="I15" s="5">
        <f t="shared" si="5"/>
        <v>4.2857142857142856</v>
      </c>
      <c r="J15" s="5">
        <f t="shared" si="5"/>
        <v>4.2857142857142856</v>
      </c>
      <c r="K15" s="5">
        <f t="shared" si="5"/>
        <v>4.2857142857142856</v>
      </c>
      <c r="L15" s="5">
        <f t="shared" si="5"/>
        <v>4.2857142857142856</v>
      </c>
      <c r="M15" s="5">
        <f t="shared" si="5"/>
        <v>4.2857142857142856</v>
      </c>
      <c r="N15" s="5">
        <f t="shared" si="5"/>
        <v>4.2857142857142856</v>
      </c>
      <c r="O15" s="5">
        <f t="shared" si="5"/>
        <v>4.2857142857142856</v>
      </c>
      <c r="P15" s="5">
        <f t="shared" si="5"/>
        <v>4.2857142857142856</v>
      </c>
      <c r="Q15" s="5">
        <f t="shared" si="5"/>
        <v>4.2857142857142856</v>
      </c>
      <c r="R15" s="5">
        <f t="shared" si="5"/>
        <v>4.2857142857142856</v>
      </c>
      <c r="S15" s="5">
        <f t="shared" si="5"/>
        <v>4.2857142857142856</v>
      </c>
      <c r="T15" s="5">
        <f t="shared" si="5"/>
        <v>4.2857142857142856</v>
      </c>
      <c r="U15" s="5">
        <f t="shared" si="5"/>
        <v>4.2857142857142856</v>
      </c>
      <c r="V15" s="5">
        <f t="shared" si="5"/>
        <v>4.2857142857142856</v>
      </c>
    </row>
    <row r="16" spans="1:22" x14ac:dyDescent="0.35">
      <c r="A16" s="6"/>
      <c r="B16" s="8"/>
    </row>
    <row r="17" spans="1:22" x14ac:dyDescent="0.35">
      <c r="A17" s="51" t="s">
        <v>6</v>
      </c>
      <c r="B17" s="8"/>
    </row>
    <row r="18" spans="1:22" x14ac:dyDescent="0.35">
      <c r="A18" s="12" t="s">
        <v>186</v>
      </c>
      <c r="B18" s="10" t="s">
        <v>10</v>
      </c>
      <c r="C18" s="11">
        <v>300</v>
      </c>
      <c r="D18" s="11">
        <f>300</f>
        <v>300</v>
      </c>
      <c r="E18" s="11">
        <f>300</f>
        <v>300</v>
      </c>
      <c r="F18" s="11">
        <f>300</f>
        <v>300</v>
      </c>
      <c r="G18" s="11">
        <f>300</f>
        <v>300</v>
      </c>
      <c r="H18" s="11">
        <f>300</f>
        <v>300</v>
      </c>
      <c r="I18" s="11">
        <f>300</f>
        <v>300</v>
      </c>
      <c r="J18" s="11">
        <f>300</f>
        <v>300</v>
      </c>
      <c r="K18" s="11">
        <f>300</f>
        <v>300</v>
      </c>
      <c r="L18" s="11">
        <f>300</f>
        <v>300</v>
      </c>
      <c r="M18" s="11">
        <f>300</f>
        <v>300</v>
      </c>
      <c r="N18" s="11">
        <f>300</f>
        <v>300</v>
      </c>
      <c r="O18" s="11">
        <f>300</f>
        <v>300</v>
      </c>
      <c r="P18" s="11">
        <f>300</f>
        <v>300</v>
      </c>
      <c r="Q18" s="11">
        <f>300</f>
        <v>300</v>
      </c>
      <c r="R18" s="11">
        <f>300</f>
        <v>300</v>
      </c>
      <c r="S18" s="11">
        <f>300</f>
        <v>300</v>
      </c>
      <c r="T18" s="11">
        <f>300</f>
        <v>300</v>
      </c>
      <c r="U18" s="11">
        <f>300</f>
        <v>300</v>
      </c>
      <c r="V18" s="11">
        <f>300</f>
        <v>300</v>
      </c>
    </row>
    <row r="20" spans="1:22" x14ac:dyDescent="0.35">
      <c r="A20" s="68" t="s">
        <v>304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</row>
    <row r="21" spans="1:22" x14ac:dyDescent="0.35">
      <c r="A21" s="12" t="s">
        <v>302</v>
      </c>
      <c r="B21" s="10" t="s">
        <v>12</v>
      </c>
      <c r="C21" s="11" t="s">
        <v>399</v>
      </c>
      <c r="D21" s="11" t="s">
        <v>400</v>
      </c>
      <c r="E21" s="11" t="s">
        <v>401</v>
      </c>
      <c r="F21" s="11" t="s">
        <v>402</v>
      </c>
      <c r="G21" s="11" t="s">
        <v>403</v>
      </c>
      <c r="H21" s="11" t="s">
        <v>404</v>
      </c>
      <c r="I21" s="11" t="s">
        <v>405</v>
      </c>
      <c r="J21" s="11" t="s">
        <v>406</v>
      </c>
      <c r="K21" s="11" t="s">
        <v>407</v>
      </c>
      <c r="L21" s="11" t="s">
        <v>408</v>
      </c>
      <c r="M21" s="11" t="s">
        <v>409</v>
      </c>
      <c r="N21" s="11" t="s">
        <v>410</v>
      </c>
      <c r="O21" s="11" t="s">
        <v>411</v>
      </c>
      <c r="P21" s="11" t="s">
        <v>412</v>
      </c>
      <c r="Q21" s="11" t="s">
        <v>413</v>
      </c>
      <c r="R21" s="11" t="s">
        <v>414</v>
      </c>
      <c r="S21" s="11" t="s">
        <v>415</v>
      </c>
      <c r="T21" s="11" t="s">
        <v>416</v>
      </c>
      <c r="U21" s="11" t="s">
        <v>417</v>
      </c>
      <c r="V21" s="11" t="s">
        <v>418</v>
      </c>
    </row>
    <row r="22" spans="1:22" x14ac:dyDescent="0.35">
      <c r="A22" s="51" t="str">
        <f t="shared" ref="A22:A27" si="6">A7</f>
        <v>Agricultural operations</v>
      </c>
      <c r="B22" s="8"/>
    </row>
    <row r="23" spans="1:22" x14ac:dyDescent="0.35">
      <c r="A23" s="6" t="str">
        <f t="shared" si="6"/>
        <v xml:space="preserve">  Weeding</v>
      </c>
      <c r="B23" s="13">
        <f>'Prices &amp; assums'!C5</f>
        <v>25000</v>
      </c>
      <c r="C23" s="2">
        <f t="shared" ref="C23:V23" si="7">$B23*C8</f>
        <v>75000</v>
      </c>
      <c r="D23" s="2">
        <f t="shared" si="7"/>
        <v>75000</v>
      </c>
      <c r="E23" s="2">
        <f t="shared" si="7"/>
        <v>75000</v>
      </c>
      <c r="F23" s="2">
        <f t="shared" si="7"/>
        <v>75000</v>
      </c>
      <c r="G23" s="2">
        <f t="shared" si="7"/>
        <v>75000</v>
      </c>
      <c r="H23" s="2">
        <f t="shared" si="7"/>
        <v>75000</v>
      </c>
      <c r="I23" s="2">
        <f t="shared" si="7"/>
        <v>75000</v>
      </c>
      <c r="J23" s="2">
        <f t="shared" si="7"/>
        <v>75000</v>
      </c>
      <c r="K23" s="2">
        <f t="shared" si="7"/>
        <v>75000</v>
      </c>
      <c r="L23" s="2">
        <f t="shared" si="7"/>
        <v>75000</v>
      </c>
      <c r="M23" s="2">
        <f t="shared" si="7"/>
        <v>75000</v>
      </c>
      <c r="N23" s="2">
        <f t="shared" si="7"/>
        <v>75000</v>
      </c>
      <c r="O23" s="2">
        <f t="shared" si="7"/>
        <v>75000</v>
      </c>
      <c r="P23" s="2">
        <f t="shared" si="7"/>
        <v>75000</v>
      </c>
      <c r="Q23" s="2">
        <f t="shared" si="7"/>
        <v>75000</v>
      </c>
      <c r="R23" s="2">
        <f t="shared" si="7"/>
        <v>75000</v>
      </c>
      <c r="S23" s="2">
        <f t="shared" si="7"/>
        <v>75000</v>
      </c>
      <c r="T23" s="2">
        <f t="shared" si="7"/>
        <v>75000</v>
      </c>
      <c r="U23" s="2">
        <f t="shared" si="7"/>
        <v>75000</v>
      </c>
      <c r="V23" s="2">
        <f t="shared" si="7"/>
        <v>75000</v>
      </c>
    </row>
    <row r="24" spans="1:22" x14ac:dyDescent="0.35">
      <c r="A24" s="6" t="str">
        <f t="shared" si="6"/>
        <v xml:space="preserve">  Harvest and drying</v>
      </c>
      <c r="B24" s="13">
        <f>'Prices &amp; assums'!C3</f>
        <v>2500</v>
      </c>
      <c r="C24" s="2">
        <f t="shared" ref="C24:V24" si="8">$B24*C9</f>
        <v>60000</v>
      </c>
      <c r="D24" s="2">
        <f t="shared" si="8"/>
        <v>60000</v>
      </c>
      <c r="E24" s="2">
        <f t="shared" si="8"/>
        <v>60000</v>
      </c>
      <c r="F24" s="2">
        <f t="shared" si="8"/>
        <v>60000</v>
      </c>
      <c r="G24" s="2">
        <f t="shared" si="8"/>
        <v>60000</v>
      </c>
      <c r="H24" s="2">
        <f t="shared" si="8"/>
        <v>60000</v>
      </c>
      <c r="I24" s="2">
        <f t="shared" si="8"/>
        <v>60000</v>
      </c>
      <c r="J24" s="2">
        <f t="shared" si="8"/>
        <v>60000</v>
      </c>
      <c r="K24" s="2">
        <f t="shared" si="8"/>
        <v>60000</v>
      </c>
      <c r="L24" s="2">
        <f t="shared" si="8"/>
        <v>60000</v>
      </c>
      <c r="M24" s="2">
        <f t="shared" si="8"/>
        <v>60000</v>
      </c>
      <c r="N24" s="2">
        <f t="shared" si="8"/>
        <v>60000</v>
      </c>
      <c r="O24" s="2">
        <f t="shared" si="8"/>
        <v>60000</v>
      </c>
      <c r="P24" s="2">
        <f t="shared" si="8"/>
        <v>60000</v>
      </c>
      <c r="Q24" s="2">
        <f t="shared" si="8"/>
        <v>60000</v>
      </c>
      <c r="R24" s="2">
        <f t="shared" si="8"/>
        <v>60000</v>
      </c>
      <c r="S24" s="2">
        <f t="shared" si="8"/>
        <v>60000</v>
      </c>
      <c r="T24" s="2">
        <f t="shared" si="8"/>
        <v>60000</v>
      </c>
      <c r="U24" s="2">
        <f t="shared" si="8"/>
        <v>60000</v>
      </c>
      <c r="V24" s="2">
        <f t="shared" si="8"/>
        <v>60000</v>
      </c>
    </row>
    <row r="25" spans="1:22" x14ac:dyDescent="0.35">
      <c r="A25" s="6" t="str">
        <f t="shared" si="6"/>
        <v xml:space="preserve">  Husking</v>
      </c>
      <c r="B25" s="13">
        <f>'Prices &amp; assums'!C19</f>
        <v>60</v>
      </c>
      <c r="C25" s="2">
        <f t="shared" ref="C25:V25" si="9">$B25*C10</f>
        <v>18000</v>
      </c>
      <c r="D25" s="2">
        <f t="shared" si="9"/>
        <v>18000</v>
      </c>
      <c r="E25" s="2">
        <f t="shared" si="9"/>
        <v>18000</v>
      </c>
      <c r="F25" s="2">
        <f t="shared" si="9"/>
        <v>18000</v>
      </c>
      <c r="G25" s="2">
        <f t="shared" si="9"/>
        <v>18000</v>
      </c>
      <c r="H25" s="2">
        <f t="shared" si="9"/>
        <v>18000</v>
      </c>
      <c r="I25" s="2">
        <f t="shared" si="9"/>
        <v>18000</v>
      </c>
      <c r="J25" s="2">
        <f t="shared" si="9"/>
        <v>18000</v>
      </c>
      <c r="K25" s="2">
        <f t="shared" si="9"/>
        <v>18000</v>
      </c>
      <c r="L25" s="2">
        <f t="shared" si="9"/>
        <v>18000</v>
      </c>
      <c r="M25" s="2">
        <f t="shared" si="9"/>
        <v>18000</v>
      </c>
      <c r="N25" s="2">
        <f t="shared" si="9"/>
        <v>18000</v>
      </c>
      <c r="O25" s="2">
        <f t="shared" si="9"/>
        <v>18000</v>
      </c>
      <c r="P25" s="2">
        <f t="shared" si="9"/>
        <v>18000</v>
      </c>
      <c r="Q25" s="2">
        <f t="shared" si="9"/>
        <v>18000</v>
      </c>
      <c r="R25" s="2">
        <f t="shared" si="9"/>
        <v>18000</v>
      </c>
      <c r="S25" s="2">
        <f t="shared" si="9"/>
        <v>18000</v>
      </c>
      <c r="T25" s="2">
        <f t="shared" si="9"/>
        <v>18000</v>
      </c>
      <c r="U25" s="2">
        <f t="shared" si="9"/>
        <v>18000</v>
      </c>
      <c r="V25" s="2">
        <f t="shared" si="9"/>
        <v>18000</v>
      </c>
    </row>
    <row r="26" spans="1:22" x14ac:dyDescent="0.35">
      <c r="A26" s="6" t="str">
        <f t="shared" si="6"/>
        <v xml:space="preserve">  Transport and marketing</v>
      </c>
      <c r="B26" s="13">
        <f>'Prices &amp; assums'!C3</f>
        <v>2500</v>
      </c>
      <c r="C26" s="2">
        <f t="shared" ref="C26:V26" si="10">$B26*C11</f>
        <v>7500</v>
      </c>
      <c r="D26" s="2">
        <f t="shared" si="10"/>
        <v>7500</v>
      </c>
      <c r="E26" s="2">
        <f t="shared" si="10"/>
        <v>7500</v>
      </c>
      <c r="F26" s="2">
        <f t="shared" si="10"/>
        <v>7500</v>
      </c>
      <c r="G26" s="2">
        <f t="shared" si="10"/>
        <v>7500</v>
      </c>
      <c r="H26" s="2">
        <f t="shared" si="10"/>
        <v>7500</v>
      </c>
      <c r="I26" s="2">
        <f t="shared" si="10"/>
        <v>7500</v>
      </c>
      <c r="J26" s="2">
        <f t="shared" si="10"/>
        <v>7500</v>
      </c>
      <c r="K26" s="2">
        <f t="shared" si="10"/>
        <v>7500</v>
      </c>
      <c r="L26" s="2">
        <f t="shared" si="10"/>
        <v>7500</v>
      </c>
      <c r="M26" s="2">
        <f t="shared" si="10"/>
        <v>7500</v>
      </c>
      <c r="N26" s="2">
        <f t="shared" si="10"/>
        <v>7500</v>
      </c>
      <c r="O26" s="2">
        <f t="shared" si="10"/>
        <v>7500</v>
      </c>
      <c r="P26" s="2">
        <f t="shared" si="10"/>
        <v>7500</v>
      </c>
      <c r="Q26" s="2">
        <f t="shared" si="10"/>
        <v>7500</v>
      </c>
      <c r="R26" s="2">
        <f t="shared" si="10"/>
        <v>7500</v>
      </c>
      <c r="S26" s="2">
        <f t="shared" si="10"/>
        <v>7500</v>
      </c>
      <c r="T26" s="2">
        <f t="shared" si="10"/>
        <v>7500</v>
      </c>
      <c r="U26" s="2">
        <f t="shared" si="10"/>
        <v>7500</v>
      </c>
      <c r="V26" s="2">
        <f t="shared" si="10"/>
        <v>7500</v>
      </c>
    </row>
    <row r="27" spans="1:22" x14ac:dyDescent="0.35">
      <c r="A27" s="6" t="str">
        <f t="shared" si="6"/>
        <v xml:space="preserve">  Transport</v>
      </c>
      <c r="B27" s="13">
        <f>'Prices &amp; assums'!C18</f>
        <v>10</v>
      </c>
      <c r="C27" s="2">
        <f t="shared" ref="C27:V27" si="11">$B27*C12</f>
        <v>3000</v>
      </c>
      <c r="D27" s="2">
        <f t="shared" si="11"/>
        <v>3000</v>
      </c>
      <c r="E27" s="2">
        <f t="shared" si="11"/>
        <v>3000</v>
      </c>
      <c r="F27" s="2">
        <f t="shared" si="11"/>
        <v>3000</v>
      </c>
      <c r="G27" s="2">
        <f t="shared" si="11"/>
        <v>3000</v>
      </c>
      <c r="H27" s="2">
        <f t="shared" si="11"/>
        <v>3000</v>
      </c>
      <c r="I27" s="2">
        <f t="shared" si="11"/>
        <v>3000</v>
      </c>
      <c r="J27" s="2">
        <f t="shared" si="11"/>
        <v>3000</v>
      </c>
      <c r="K27" s="2">
        <f t="shared" si="11"/>
        <v>3000</v>
      </c>
      <c r="L27" s="2">
        <f t="shared" si="11"/>
        <v>3000</v>
      </c>
      <c r="M27" s="2">
        <f t="shared" si="11"/>
        <v>3000</v>
      </c>
      <c r="N27" s="2">
        <f t="shared" si="11"/>
        <v>3000</v>
      </c>
      <c r="O27" s="2">
        <f t="shared" si="11"/>
        <v>3000</v>
      </c>
      <c r="P27" s="2">
        <f t="shared" si="11"/>
        <v>3000</v>
      </c>
      <c r="Q27" s="2">
        <f t="shared" si="11"/>
        <v>3000</v>
      </c>
      <c r="R27" s="2">
        <f t="shared" si="11"/>
        <v>3000</v>
      </c>
      <c r="S27" s="2">
        <f t="shared" si="11"/>
        <v>3000</v>
      </c>
      <c r="T27" s="2">
        <f t="shared" si="11"/>
        <v>3000</v>
      </c>
      <c r="U27" s="2">
        <f t="shared" si="11"/>
        <v>3000</v>
      </c>
      <c r="V27" s="2">
        <f t="shared" si="11"/>
        <v>3000</v>
      </c>
    </row>
    <row r="28" spans="1:22" x14ac:dyDescent="0.35">
      <c r="A28" s="6"/>
      <c r="B28" s="8"/>
    </row>
    <row r="29" spans="1:22" x14ac:dyDescent="0.35">
      <c r="A29" s="51" t="str">
        <f>A14</f>
        <v>Inputs</v>
      </c>
      <c r="B29" s="8"/>
    </row>
    <row r="30" spans="1:22" x14ac:dyDescent="0.35">
      <c r="A30" s="6" t="str">
        <f>A15</f>
        <v xml:space="preserve">  Bags</v>
      </c>
      <c r="B30" s="13">
        <f>'Prices &amp; assums'!C50</f>
        <v>300</v>
      </c>
      <c r="C30" s="2">
        <f t="shared" ref="C30:V30" si="12">$B30*C15</f>
        <v>1285.7142857142858</v>
      </c>
      <c r="D30" s="2">
        <f t="shared" si="12"/>
        <v>1285.7142857142858</v>
      </c>
      <c r="E30" s="2">
        <f t="shared" si="12"/>
        <v>1285.7142857142858</v>
      </c>
      <c r="F30" s="2">
        <f t="shared" si="12"/>
        <v>1285.7142857142858</v>
      </c>
      <c r="G30" s="2">
        <f t="shared" si="12"/>
        <v>1285.7142857142858</v>
      </c>
      <c r="H30" s="2">
        <f t="shared" si="12"/>
        <v>1285.7142857142858</v>
      </c>
      <c r="I30" s="2">
        <f t="shared" si="12"/>
        <v>1285.7142857142858</v>
      </c>
      <c r="J30" s="2">
        <f t="shared" si="12"/>
        <v>1285.7142857142858</v>
      </c>
      <c r="K30" s="2">
        <f t="shared" si="12"/>
        <v>1285.7142857142858</v>
      </c>
      <c r="L30" s="2">
        <f t="shared" si="12"/>
        <v>1285.7142857142858</v>
      </c>
      <c r="M30" s="2">
        <f t="shared" si="12"/>
        <v>1285.7142857142858</v>
      </c>
      <c r="N30" s="2">
        <f t="shared" si="12"/>
        <v>1285.7142857142858</v>
      </c>
      <c r="O30" s="2">
        <f t="shared" si="12"/>
        <v>1285.7142857142858</v>
      </c>
      <c r="P30" s="2">
        <f t="shared" si="12"/>
        <v>1285.7142857142858</v>
      </c>
      <c r="Q30" s="2">
        <f t="shared" si="12"/>
        <v>1285.7142857142858</v>
      </c>
      <c r="R30" s="2">
        <f t="shared" si="12"/>
        <v>1285.7142857142858</v>
      </c>
      <c r="S30" s="2">
        <f t="shared" si="12"/>
        <v>1285.7142857142858</v>
      </c>
      <c r="T30" s="2">
        <f t="shared" si="12"/>
        <v>1285.7142857142858</v>
      </c>
      <c r="U30" s="2">
        <f t="shared" si="12"/>
        <v>1285.7142857142858</v>
      </c>
      <c r="V30" s="2">
        <f t="shared" si="12"/>
        <v>1285.7142857142858</v>
      </c>
    </row>
    <row r="31" spans="1:22" x14ac:dyDescent="0.35">
      <c r="A31" s="6"/>
      <c r="B31" s="8"/>
    </row>
    <row r="32" spans="1:22" x14ac:dyDescent="0.35">
      <c r="A32" s="51" t="str">
        <f>A17</f>
        <v>Production</v>
      </c>
      <c r="B32" s="8"/>
    </row>
    <row r="33" spans="1:22" x14ac:dyDescent="0.35">
      <c r="A33" s="12" t="str">
        <f>A18</f>
        <v xml:space="preserve">  Coffee</v>
      </c>
      <c r="B33" s="22">
        <f>'Prices &amp; assums'!C96</f>
        <v>700</v>
      </c>
      <c r="C33" s="42">
        <f t="shared" ref="C33:V33" si="13">$B33*C18</f>
        <v>210000</v>
      </c>
      <c r="D33" s="14">
        <f t="shared" si="13"/>
        <v>210000</v>
      </c>
      <c r="E33" s="14">
        <f t="shared" si="13"/>
        <v>210000</v>
      </c>
      <c r="F33" s="14">
        <f t="shared" si="13"/>
        <v>210000</v>
      </c>
      <c r="G33" s="14">
        <f t="shared" si="13"/>
        <v>210000</v>
      </c>
      <c r="H33" s="14">
        <f t="shared" si="13"/>
        <v>210000</v>
      </c>
      <c r="I33" s="14">
        <f t="shared" si="13"/>
        <v>210000</v>
      </c>
      <c r="J33" s="14">
        <f t="shared" si="13"/>
        <v>210000</v>
      </c>
      <c r="K33" s="14">
        <f t="shared" si="13"/>
        <v>210000</v>
      </c>
      <c r="L33" s="14">
        <f t="shared" si="13"/>
        <v>210000</v>
      </c>
      <c r="M33" s="14">
        <f t="shared" si="13"/>
        <v>210000</v>
      </c>
      <c r="N33" s="14">
        <f t="shared" si="13"/>
        <v>210000</v>
      </c>
      <c r="O33" s="14">
        <f t="shared" si="13"/>
        <v>210000</v>
      </c>
      <c r="P33" s="14">
        <f t="shared" si="13"/>
        <v>210000</v>
      </c>
      <c r="Q33" s="14">
        <f t="shared" si="13"/>
        <v>210000</v>
      </c>
      <c r="R33" s="14">
        <f t="shared" si="13"/>
        <v>210000</v>
      </c>
      <c r="S33" s="14">
        <f t="shared" si="13"/>
        <v>210000</v>
      </c>
      <c r="T33" s="14">
        <f t="shared" si="13"/>
        <v>210000</v>
      </c>
      <c r="U33" s="14">
        <f t="shared" si="13"/>
        <v>210000</v>
      </c>
      <c r="V33" s="14">
        <f t="shared" si="13"/>
        <v>210000</v>
      </c>
    </row>
    <row r="34" spans="1:22" x14ac:dyDescent="0.35">
      <c r="A34" s="6" t="s">
        <v>21</v>
      </c>
      <c r="B34" s="15"/>
      <c r="C34" s="2">
        <f t="shared" ref="C34:V34" si="14">SUM(C23:C27)+C30</f>
        <v>164785.71428571429</v>
      </c>
      <c r="D34" s="2">
        <f t="shared" si="14"/>
        <v>164785.71428571429</v>
      </c>
      <c r="E34" s="2">
        <f t="shared" si="14"/>
        <v>164785.71428571429</v>
      </c>
      <c r="F34" s="2">
        <f t="shared" si="14"/>
        <v>164785.71428571429</v>
      </c>
      <c r="G34" s="2">
        <f t="shared" si="14"/>
        <v>164785.71428571429</v>
      </c>
      <c r="H34" s="2">
        <f t="shared" si="14"/>
        <v>164785.71428571429</v>
      </c>
      <c r="I34" s="2">
        <f t="shared" si="14"/>
        <v>164785.71428571429</v>
      </c>
      <c r="J34" s="2">
        <f t="shared" si="14"/>
        <v>164785.71428571429</v>
      </c>
      <c r="K34" s="2">
        <f t="shared" si="14"/>
        <v>164785.71428571429</v>
      </c>
      <c r="L34" s="2">
        <f t="shared" si="14"/>
        <v>164785.71428571429</v>
      </c>
      <c r="M34" s="2">
        <f t="shared" si="14"/>
        <v>164785.71428571429</v>
      </c>
      <c r="N34" s="2">
        <f t="shared" si="14"/>
        <v>164785.71428571429</v>
      </c>
      <c r="O34" s="2">
        <f t="shared" si="14"/>
        <v>164785.71428571429</v>
      </c>
      <c r="P34" s="2">
        <f t="shared" si="14"/>
        <v>164785.71428571429</v>
      </c>
      <c r="Q34" s="2">
        <f t="shared" si="14"/>
        <v>164785.71428571429</v>
      </c>
      <c r="R34" s="2">
        <f t="shared" si="14"/>
        <v>164785.71428571429</v>
      </c>
      <c r="S34" s="2">
        <f t="shared" si="14"/>
        <v>164785.71428571429</v>
      </c>
      <c r="T34" s="2">
        <f t="shared" si="14"/>
        <v>164785.71428571429</v>
      </c>
      <c r="U34" s="2">
        <f t="shared" si="14"/>
        <v>164785.71428571429</v>
      </c>
      <c r="V34" s="2">
        <f t="shared" si="14"/>
        <v>164785.71428571429</v>
      </c>
    </row>
    <row r="35" spans="1:22" x14ac:dyDescent="0.35">
      <c r="A35" s="6" t="s">
        <v>217</v>
      </c>
      <c r="B35" s="8"/>
      <c r="C35" s="2">
        <f t="shared" ref="C35:V35" si="15">C34-C23/3-C24/2</f>
        <v>109785.71428571429</v>
      </c>
      <c r="D35" s="2">
        <f t="shared" si="15"/>
        <v>109785.71428571429</v>
      </c>
      <c r="E35" s="2">
        <f t="shared" si="15"/>
        <v>109785.71428571429</v>
      </c>
      <c r="F35" s="2">
        <f t="shared" si="15"/>
        <v>109785.71428571429</v>
      </c>
      <c r="G35" s="2">
        <f t="shared" si="15"/>
        <v>109785.71428571429</v>
      </c>
      <c r="H35" s="2">
        <f t="shared" si="15"/>
        <v>109785.71428571429</v>
      </c>
      <c r="I35" s="2">
        <f t="shared" si="15"/>
        <v>109785.71428571429</v>
      </c>
      <c r="J35" s="2">
        <f t="shared" si="15"/>
        <v>109785.71428571429</v>
      </c>
      <c r="K35" s="2">
        <f t="shared" si="15"/>
        <v>109785.71428571429</v>
      </c>
      <c r="L35" s="2">
        <f t="shared" si="15"/>
        <v>109785.71428571429</v>
      </c>
      <c r="M35" s="2">
        <f t="shared" si="15"/>
        <v>109785.71428571429</v>
      </c>
      <c r="N35" s="2">
        <f t="shared" si="15"/>
        <v>109785.71428571429</v>
      </c>
      <c r="O35" s="2">
        <f t="shared" si="15"/>
        <v>109785.71428571429</v>
      </c>
      <c r="P35" s="2">
        <f t="shared" si="15"/>
        <v>109785.71428571429</v>
      </c>
      <c r="Q35" s="2">
        <f t="shared" si="15"/>
        <v>109785.71428571429</v>
      </c>
      <c r="R35" s="2">
        <f t="shared" si="15"/>
        <v>109785.71428571429</v>
      </c>
      <c r="S35" s="2">
        <f t="shared" si="15"/>
        <v>109785.71428571429</v>
      </c>
      <c r="T35" s="2">
        <f t="shared" si="15"/>
        <v>109785.71428571429</v>
      </c>
      <c r="U35" s="2">
        <f t="shared" si="15"/>
        <v>109785.71428571429</v>
      </c>
      <c r="V35" s="2">
        <f t="shared" si="15"/>
        <v>109785.71428571429</v>
      </c>
    </row>
    <row r="36" spans="1:22" x14ac:dyDescent="0.35">
      <c r="A36" s="6" t="s">
        <v>65</v>
      </c>
      <c r="B36" s="8"/>
      <c r="C36" s="2">
        <f>C33</f>
        <v>210000</v>
      </c>
      <c r="D36" s="2">
        <f t="shared" ref="D36:V36" si="16">D33</f>
        <v>210000</v>
      </c>
      <c r="E36" s="2">
        <f t="shared" si="16"/>
        <v>210000</v>
      </c>
      <c r="F36" s="2">
        <f t="shared" si="16"/>
        <v>210000</v>
      </c>
      <c r="G36" s="2">
        <f t="shared" si="16"/>
        <v>210000</v>
      </c>
      <c r="H36" s="2">
        <f t="shared" si="16"/>
        <v>210000</v>
      </c>
      <c r="I36" s="2">
        <f t="shared" si="16"/>
        <v>210000</v>
      </c>
      <c r="J36" s="2">
        <f t="shared" si="16"/>
        <v>210000</v>
      </c>
      <c r="K36" s="2">
        <f t="shared" si="16"/>
        <v>210000</v>
      </c>
      <c r="L36" s="2">
        <f t="shared" si="16"/>
        <v>210000</v>
      </c>
      <c r="M36" s="2">
        <f t="shared" si="16"/>
        <v>210000</v>
      </c>
      <c r="N36" s="2">
        <f t="shared" si="16"/>
        <v>210000</v>
      </c>
      <c r="O36" s="2">
        <f t="shared" si="16"/>
        <v>210000</v>
      </c>
      <c r="P36" s="2">
        <f t="shared" si="16"/>
        <v>210000</v>
      </c>
      <c r="Q36" s="2">
        <f t="shared" si="16"/>
        <v>210000</v>
      </c>
      <c r="R36" s="2">
        <f t="shared" si="16"/>
        <v>210000</v>
      </c>
      <c r="S36" s="2">
        <f t="shared" si="16"/>
        <v>210000</v>
      </c>
      <c r="T36" s="2">
        <f t="shared" si="16"/>
        <v>210000</v>
      </c>
      <c r="U36" s="2">
        <f t="shared" si="16"/>
        <v>210000</v>
      </c>
      <c r="V36" s="2">
        <f t="shared" si="16"/>
        <v>210000</v>
      </c>
    </row>
    <row r="37" spans="1:22" ht="8.25" customHeight="1" x14ac:dyDescent="0.35">
      <c r="A37" s="51"/>
      <c r="B37" s="8"/>
    </row>
    <row r="38" spans="1:22" x14ac:dyDescent="0.35">
      <c r="A38" s="6" t="s">
        <v>80</v>
      </c>
      <c r="B38" s="8"/>
      <c r="C38" s="2">
        <f>C36-C34</f>
        <v>45214.28571428571</v>
      </c>
      <c r="D38" s="2">
        <f t="shared" ref="D38:V38" si="17">D36-D34</f>
        <v>45214.28571428571</v>
      </c>
      <c r="E38" s="2">
        <f t="shared" si="17"/>
        <v>45214.28571428571</v>
      </c>
      <c r="F38" s="2">
        <f t="shared" si="17"/>
        <v>45214.28571428571</v>
      </c>
      <c r="G38" s="2">
        <f t="shared" si="17"/>
        <v>45214.28571428571</v>
      </c>
      <c r="H38" s="2">
        <f t="shared" si="17"/>
        <v>45214.28571428571</v>
      </c>
      <c r="I38" s="2">
        <f t="shared" si="17"/>
        <v>45214.28571428571</v>
      </c>
      <c r="J38" s="2">
        <f t="shared" si="17"/>
        <v>45214.28571428571</v>
      </c>
      <c r="K38" s="2">
        <f t="shared" si="17"/>
        <v>45214.28571428571</v>
      </c>
      <c r="L38" s="2">
        <f t="shared" si="17"/>
        <v>45214.28571428571</v>
      </c>
      <c r="M38" s="2">
        <f t="shared" si="17"/>
        <v>45214.28571428571</v>
      </c>
      <c r="N38" s="2">
        <f t="shared" si="17"/>
        <v>45214.28571428571</v>
      </c>
      <c r="O38" s="2">
        <f t="shared" si="17"/>
        <v>45214.28571428571</v>
      </c>
      <c r="P38" s="2">
        <f t="shared" si="17"/>
        <v>45214.28571428571</v>
      </c>
      <c r="Q38" s="2">
        <f t="shared" si="17"/>
        <v>45214.28571428571</v>
      </c>
      <c r="R38" s="2">
        <f t="shared" si="17"/>
        <v>45214.28571428571</v>
      </c>
      <c r="S38" s="2">
        <f t="shared" si="17"/>
        <v>45214.28571428571</v>
      </c>
      <c r="T38" s="2">
        <f t="shared" si="17"/>
        <v>45214.28571428571</v>
      </c>
      <c r="U38" s="2">
        <f t="shared" si="17"/>
        <v>45214.28571428571</v>
      </c>
      <c r="V38" s="2">
        <f t="shared" si="17"/>
        <v>45214.28571428571</v>
      </c>
    </row>
    <row r="39" spans="1:22" x14ac:dyDescent="0.35">
      <c r="A39" s="12" t="s">
        <v>81</v>
      </c>
      <c r="B39" s="10"/>
      <c r="C39" s="14">
        <f>C36-C35</f>
        <v>100214.28571428571</v>
      </c>
      <c r="D39" s="14">
        <f t="shared" ref="D39:V39" si="18">D36-D35</f>
        <v>100214.28571428571</v>
      </c>
      <c r="E39" s="14">
        <f t="shared" si="18"/>
        <v>100214.28571428571</v>
      </c>
      <c r="F39" s="14">
        <f t="shared" si="18"/>
        <v>100214.28571428571</v>
      </c>
      <c r="G39" s="14">
        <f t="shared" si="18"/>
        <v>100214.28571428571</v>
      </c>
      <c r="H39" s="14">
        <f t="shared" si="18"/>
        <v>100214.28571428571</v>
      </c>
      <c r="I39" s="14">
        <f t="shared" si="18"/>
        <v>100214.28571428571</v>
      </c>
      <c r="J39" s="14">
        <f t="shared" si="18"/>
        <v>100214.28571428571</v>
      </c>
      <c r="K39" s="14">
        <f t="shared" si="18"/>
        <v>100214.28571428571</v>
      </c>
      <c r="L39" s="14">
        <f t="shared" si="18"/>
        <v>100214.28571428571</v>
      </c>
      <c r="M39" s="14">
        <f t="shared" si="18"/>
        <v>100214.28571428571</v>
      </c>
      <c r="N39" s="14">
        <f t="shared" si="18"/>
        <v>100214.28571428571</v>
      </c>
      <c r="O39" s="14">
        <f t="shared" si="18"/>
        <v>100214.28571428571</v>
      </c>
      <c r="P39" s="14">
        <f t="shared" si="18"/>
        <v>100214.28571428571</v>
      </c>
      <c r="Q39" s="14">
        <f t="shared" si="18"/>
        <v>100214.28571428571</v>
      </c>
      <c r="R39" s="14">
        <f t="shared" si="18"/>
        <v>100214.28571428571</v>
      </c>
      <c r="S39" s="14">
        <f t="shared" si="18"/>
        <v>100214.28571428571</v>
      </c>
      <c r="T39" s="14">
        <f t="shared" si="18"/>
        <v>100214.28571428571</v>
      </c>
      <c r="U39" s="14">
        <f t="shared" si="18"/>
        <v>100214.28571428571</v>
      </c>
      <c r="V39" s="14">
        <f t="shared" si="18"/>
        <v>100214.28571428571</v>
      </c>
    </row>
    <row r="40" spans="1:22" x14ac:dyDescent="0.35">
      <c r="A40" s="3"/>
      <c r="B40" s="3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2" spans="1:22" x14ac:dyDescent="0.35">
      <c r="A42" s="48" t="s">
        <v>465</v>
      </c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</row>
    <row r="43" spans="1:22" x14ac:dyDescent="0.35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</row>
    <row r="44" spans="1:22" x14ac:dyDescent="0.35">
      <c r="A44" s="68" t="s">
        <v>398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</row>
    <row r="45" spans="1:22" x14ac:dyDescent="0.35">
      <c r="A45" s="34" t="s">
        <v>7</v>
      </c>
      <c r="B45" s="10" t="s">
        <v>11</v>
      </c>
      <c r="C45" s="11" t="s">
        <v>399</v>
      </c>
      <c r="D45" s="11" t="s">
        <v>400</v>
      </c>
      <c r="E45" s="11" t="s">
        <v>401</v>
      </c>
      <c r="F45" s="11" t="s">
        <v>402</v>
      </c>
      <c r="G45" s="11" t="s">
        <v>403</v>
      </c>
      <c r="H45" s="11" t="s">
        <v>404</v>
      </c>
      <c r="I45" s="11" t="s">
        <v>405</v>
      </c>
      <c r="J45" s="11" t="s">
        <v>406</v>
      </c>
      <c r="K45" s="11" t="s">
        <v>407</v>
      </c>
      <c r="L45" s="11" t="s">
        <v>408</v>
      </c>
      <c r="M45" s="11" t="s">
        <v>409</v>
      </c>
      <c r="N45" s="11" t="s">
        <v>410</v>
      </c>
      <c r="O45" s="11" t="s">
        <v>411</v>
      </c>
      <c r="P45" s="11" t="s">
        <v>412</v>
      </c>
      <c r="Q45" s="11" t="s">
        <v>413</v>
      </c>
      <c r="R45" s="11" t="s">
        <v>414</v>
      </c>
      <c r="S45" s="11" t="s">
        <v>415</v>
      </c>
      <c r="T45" s="11" t="s">
        <v>416</v>
      </c>
      <c r="U45" s="11" t="s">
        <v>417</v>
      </c>
      <c r="V45" s="11" t="s">
        <v>418</v>
      </c>
    </row>
    <row r="46" spans="1:22" x14ac:dyDescent="0.35">
      <c r="A46" s="53" t="s">
        <v>2</v>
      </c>
      <c r="B46" s="15"/>
    </row>
    <row r="47" spans="1:22" x14ac:dyDescent="0.35">
      <c r="A47" s="19" t="s">
        <v>33</v>
      </c>
      <c r="B47" s="8" t="s">
        <v>1</v>
      </c>
      <c r="C47">
        <v>0.25</v>
      </c>
      <c r="D47">
        <v>0.25</v>
      </c>
      <c r="E47">
        <v>0.25</v>
      </c>
    </row>
    <row r="48" spans="1:22" x14ac:dyDescent="0.35">
      <c r="A48" s="19" t="s">
        <v>198</v>
      </c>
      <c r="B48" s="8" t="s">
        <v>1</v>
      </c>
      <c r="C48">
        <v>0.25</v>
      </c>
      <c r="D48">
        <v>0.25</v>
      </c>
      <c r="E48">
        <v>0.25</v>
      </c>
    </row>
    <row r="49" spans="1:22" x14ac:dyDescent="0.35">
      <c r="A49" s="19" t="s">
        <v>208</v>
      </c>
      <c r="B49" s="54" t="s">
        <v>11</v>
      </c>
      <c r="C49">
        <f>C69+C70</f>
        <v>933.25</v>
      </c>
      <c r="D49">
        <f>D69+D70</f>
        <v>933.25</v>
      </c>
      <c r="E49">
        <f>E69+E70</f>
        <v>933.25</v>
      </c>
      <c r="F49">
        <f>F69+F70</f>
        <v>600</v>
      </c>
      <c r="G49">
        <f>G69+G70</f>
        <v>600</v>
      </c>
      <c r="H49">
        <f t="shared" ref="H49:V49" si="19">H69+H70</f>
        <v>600</v>
      </c>
      <c r="I49">
        <f t="shared" si="19"/>
        <v>600</v>
      </c>
      <c r="J49">
        <f t="shared" si="19"/>
        <v>600</v>
      </c>
      <c r="K49">
        <f t="shared" si="19"/>
        <v>600</v>
      </c>
      <c r="L49">
        <f t="shared" si="19"/>
        <v>600</v>
      </c>
      <c r="M49">
        <f t="shared" si="19"/>
        <v>600</v>
      </c>
      <c r="N49">
        <f t="shared" si="19"/>
        <v>600</v>
      </c>
      <c r="O49">
        <f t="shared" si="19"/>
        <v>600</v>
      </c>
      <c r="P49">
        <f t="shared" si="19"/>
        <v>600</v>
      </c>
      <c r="Q49">
        <f t="shared" si="19"/>
        <v>600</v>
      </c>
      <c r="R49">
        <f t="shared" si="19"/>
        <v>600</v>
      </c>
      <c r="S49">
        <f t="shared" si="19"/>
        <v>600</v>
      </c>
      <c r="T49">
        <f t="shared" si="19"/>
        <v>600</v>
      </c>
      <c r="U49">
        <f t="shared" si="19"/>
        <v>600</v>
      </c>
      <c r="V49">
        <f t="shared" si="19"/>
        <v>600</v>
      </c>
    </row>
    <row r="50" spans="1:22" x14ac:dyDescent="0.35">
      <c r="A50" s="19" t="s">
        <v>195</v>
      </c>
      <c r="B50" s="54" t="s">
        <v>11</v>
      </c>
      <c r="C50">
        <f>C71</f>
        <v>333.25</v>
      </c>
      <c r="D50">
        <f>D71</f>
        <v>333.25</v>
      </c>
      <c r="E50">
        <f>E71</f>
        <v>333.25</v>
      </c>
    </row>
    <row r="51" spans="1:22" x14ac:dyDescent="0.35">
      <c r="A51" s="19" t="s">
        <v>31</v>
      </c>
      <c r="B51" s="54" t="s">
        <v>1</v>
      </c>
      <c r="C51">
        <v>1</v>
      </c>
      <c r="D51">
        <f>C51</f>
        <v>1</v>
      </c>
      <c r="E51">
        <f>D51</f>
        <v>1</v>
      </c>
    </row>
    <row r="52" spans="1:22" x14ac:dyDescent="0.35">
      <c r="A52" s="19" t="s">
        <v>49</v>
      </c>
      <c r="B52" s="54" t="s">
        <v>11</v>
      </c>
      <c r="C52">
        <f>C69+C70+C71</f>
        <v>1266.5</v>
      </c>
      <c r="D52">
        <f>D69+D70+D71</f>
        <v>1266.5</v>
      </c>
      <c r="E52">
        <v>600</v>
      </c>
      <c r="F52">
        <f t="shared" ref="F52:S52" si="20">E52</f>
        <v>600</v>
      </c>
      <c r="G52">
        <f t="shared" si="20"/>
        <v>600</v>
      </c>
      <c r="H52">
        <f t="shared" si="20"/>
        <v>600</v>
      </c>
      <c r="I52">
        <f t="shared" si="20"/>
        <v>600</v>
      </c>
      <c r="J52">
        <f t="shared" si="20"/>
        <v>600</v>
      </c>
      <c r="K52">
        <f t="shared" si="20"/>
        <v>600</v>
      </c>
      <c r="L52">
        <f t="shared" si="20"/>
        <v>600</v>
      </c>
      <c r="M52">
        <f t="shared" si="20"/>
        <v>600</v>
      </c>
      <c r="N52">
        <f t="shared" si="20"/>
        <v>600</v>
      </c>
      <c r="O52">
        <f t="shared" si="20"/>
        <v>600</v>
      </c>
      <c r="P52">
        <f t="shared" si="20"/>
        <v>600</v>
      </c>
      <c r="Q52">
        <f t="shared" si="20"/>
        <v>600</v>
      </c>
      <c r="R52">
        <f t="shared" si="20"/>
        <v>600</v>
      </c>
      <c r="S52">
        <f t="shared" si="20"/>
        <v>600</v>
      </c>
      <c r="T52">
        <f t="shared" ref="T52:V52" si="21">S52</f>
        <v>600</v>
      </c>
      <c r="U52">
        <f t="shared" si="21"/>
        <v>600</v>
      </c>
      <c r="V52">
        <f t="shared" si="21"/>
        <v>600</v>
      </c>
    </row>
    <row r="53" spans="1:22" x14ac:dyDescent="0.35">
      <c r="A53" s="19" t="s">
        <v>100</v>
      </c>
      <c r="B53" s="54" t="s">
        <v>11</v>
      </c>
      <c r="C53">
        <f>C52</f>
        <v>1266.5</v>
      </c>
      <c r="D53">
        <f>D52</f>
        <v>1266.5</v>
      </c>
      <c r="E53">
        <v>600</v>
      </c>
      <c r="F53">
        <f t="shared" ref="F53:V53" si="22">E53</f>
        <v>600</v>
      </c>
      <c r="G53">
        <f t="shared" si="22"/>
        <v>600</v>
      </c>
      <c r="H53">
        <f t="shared" si="22"/>
        <v>600</v>
      </c>
      <c r="I53">
        <f t="shared" si="22"/>
        <v>600</v>
      </c>
      <c r="J53">
        <f t="shared" si="22"/>
        <v>600</v>
      </c>
      <c r="K53">
        <f t="shared" si="22"/>
        <v>600</v>
      </c>
      <c r="L53">
        <f t="shared" si="22"/>
        <v>600</v>
      </c>
      <c r="M53">
        <f t="shared" si="22"/>
        <v>600</v>
      </c>
      <c r="N53">
        <f t="shared" si="22"/>
        <v>600</v>
      </c>
      <c r="O53">
        <f t="shared" si="22"/>
        <v>600</v>
      </c>
      <c r="P53">
        <f t="shared" si="22"/>
        <v>600</v>
      </c>
      <c r="Q53">
        <f t="shared" si="22"/>
        <v>600</v>
      </c>
      <c r="R53">
        <f t="shared" si="22"/>
        <v>600</v>
      </c>
      <c r="S53">
        <f t="shared" si="22"/>
        <v>600</v>
      </c>
      <c r="T53">
        <f t="shared" si="22"/>
        <v>600</v>
      </c>
      <c r="U53">
        <f t="shared" si="22"/>
        <v>600</v>
      </c>
      <c r="V53">
        <f t="shared" si="22"/>
        <v>600</v>
      </c>
    </row>
    <row r="54" spans="1:22" x14ac:dyDescent="0.35">
      <c r="A54" s="19" t="s">
        <v>8</v>
      </c>
      <c r="B54" s="54" t="s">
        <v>1</v>
      </c>
      <c r="D54">
        <f>4</f>
        <v>4</v>
      </c>
      <c r="E54">
        <f>0.25*0.4*4+0.75*1*4</f>
        <v>3.4</v>
      </c>
      <c r="F54">
        <f>0.5*0.4*4+0.5*1*4</f>
        <v>2.8</v>
      </c>
      <c r="G54">
        <f>0.75*0.4*4+0.25*1*4</f>
        <v>2.2000000000000002</v>
      </c>
      <c r="H54">
        <f t="shared" ref="H54:V54" si="23">G54</f>
        <v>2.2000000000000002</v>
      </c>
      <c r="I54">
        <f t="shared" si="23"/>
        <v>2.2000000000000002</v>
      </c>
      <c r="J54">
        <f t="shared" si="23"/>
        <v>2.2000000000000002</v>
      </c>
      <c r="K54">
        <f t="shared" si="23"/>
        <v>2.2000000000000002</v>
      </c>
      <c r="L54">
        <f t="shared" si="23"/>
        <v>2.2000000000000002</v>
      </c>
      <c r="M54">
        <f t="shared" si="23"/>
        <v>2.2000000000000002</v>
      </c>
      <c r="N54">
        <f t="shared" si="23"/>
        <v>2.2000000000000002</v>
      </c>
      <c r="O54">
        <f t="shared" si="23"/>
        <v>2.2000000000000002</v>
      </c>
      <c r="P54">
        <f t="shared" si="23"/>
        <v>2.2000000000000002</v>
      </c>
      <c r="Q54">
        <f t="shared" si="23"/>
        <v>2.2000000000000002</v>
      </c>
      <c r="R54">
        <f t="shared" si="23"/>
        <v>2.2000000000000002</v>
      </c>
      <c r="S54">
        <f t="shared" si="23"/>
        <v>2.2000000000000002</v>
      </c>
      <c r="T54">
        <f t="shared" si="23"/>
        <v>2.2000000000000002</v>
      </c>
      <c r="U54">
        <f t="shared" si="23"/>
        <v>2.2000000000000002</v>
      </c>
      <c r="V54">
        <f t="shared" si="23"/>
        <v>2.2000000000000002</v>
      </c>
    </row>
    <row r="55" spans="1:22" x14ac:dyDescent="0.35">
      <c r="A55" s="19" t="s">
        <v>196</v>
      </c>
      <c r="B55" s="54" t="s">
        <v>42</v>
      </c>
      <c r="C55">
        <v>0.75</v>
      </c>
      <c r="D55">
        <v>1</v>
      </c>
      <c r="E55">
        <v>1</v>
      </c>
      <c r="F55">
        <v>1</v>
      </c>
      <c r="G55">
        <v>1</v>
      </c>
      <c r="H55">
        <v>1</v>
      </c>
      <c r="I55">
        <v>1</v>
      </c>
      <c r="J55">
        <v>1</v>
      </c>
      <c r="K55">
        <v>1</v>
      </c>
      <c r="L55">
        <v>1</v>
      </c>
      <c r="M55">
        <v>1</v>
      </c>
      <c r="N55">
        <v>1</v>
      </c>
      <c r="O55">
        <v>1</v>
      </c>
      <c r="P55">
        <v>1</v>
      </c>
      <c r="Q55">
        <v>1</v>
      </c>
      <c r="R55">
        <v>1</v>
      </c>
      <c r="S55">
        <v>1</v>
      </c>
      <c r="T55">
        <v>1</v>
      </c>
      <c r="U55">
        <v>1</v>
      </c>
      <c r="V55">
        <v>1</v>
      </c>
    </row>
    <row r="56" spans="1:22" x14ac:dyDescent="0.35">
      <c r="A56" s="19" t="s">
        <v>419</v>
      </c>
      <c r="B56" s="54" t="s">
        <v>42</v>
      </c>
      <c r="C56">
        <f>0.05*C70</f>
        <v>30</v>
      </c>
      <c r="D56">
        <f>C56</f>
        <v>30</v>
      </c>
      <c r="E56">
        <f>D56</f>
        <v>30</v>
      </c>
      <c r="F56">
        <f t="shared" ref="F56:V56" si="24">E56</f>
        <v>30</v>
      </c>
      <c r="G56">
        <f t="shared" si="24"/>
        <v>30</v>
      </c>
      <c r="H56">
        <f t="shared" si="24"/>
        <v>30</v>
      </c>
      <c r="I56">
        <f t="shared" si="24"/>
        <v>30</v>
      </c>
      <c r="J56">
        <f t="shared" si="24"/>
        <v>30</v>
      </c>
      <c r="K56">
        <f t="shared" si="24"/>
        <v>30</v>
      </c>
      <c r="L56">
        <f t="shared" si="24"/>
        <v>30</v>
      </c>
      <c r="M56">
        <f t="shared" si="24"/>
        <v>30</v>
      </c>
      <c r="N56">
        <f t="shared" si="24"/>
        <v>30</v>
      </c>
      <c r="O56">
        <f t="shared" si="24"/>
        <v>30</v>
      </c>
      <c r="P56">
        <f t="shared" si="24"/>
        <v>30</v>
      </c>
      <c r="Q56">
        <f t="shared" si="24"/>
        <v>30</v>
      </c>
      <c r="R56">
        <f t="shared" si="24"/>
        <v>30</v>
      </c>
      <c r="S56">
        <f t="shared" si="24"/>
        <v>30</v>
      </c>
      <c r="T56">
        <f t="shared" si="24"/>
        <v>30</v>
      </c>
      <c r="U56">
        <f t="shared" si="24"/>
        <v>30</v>
      </c>
      <c r="V56">
        <f t="shared" si="24"/>
        <v>30</v>
      </c>
    </row>
    <row r="57" spans="1:22" x14ac:dyDescent="0.35">
      <c r="A57" s="19" t="s">
        <v>420</v>
      </c>
      <c r="B57" s="54" t="s">
        <v>42</v>
      </c>
      <c r="C57">
        <v>17</v>
      </c>
      <c r="D57">
        <f>C57</f>
        <v>17</v>
      </c>
      <c r="E57">
        <f t="shared" ref="E57:V57" si="25">D57</f>
        <v>17</v>
      </c>
      <c r="F57">
        <f t="shared" si="25"/>
        <v>17</v>
      </c>
      <c r="G57">
        <f t="shared" si="25"/>
        <v>17</v>
      </c>
      <c r="H57">
        <f t="shared" si="25"/>
        <v>17</v>
      </c>
      <c r="I57">
        <f t="shared" si="25"/>
        <v>17</v>
      </c>
      <c r="J57">
        <f t="shared" si="25"/>
        <v>17</v>
      </c>
      <c r="K57">
        <f t="shared" si="25"/>
        <v>17</v>
      </c>
      <c r="L57">
        <f t="shared" si="25"/>
        <v>17</v>
      </c>
      <c r="M57">
        <f t="shared" si="25"/>
        <v>17</v>
      </c>
      <c r="N57">
        <f t="shared" si="25"/>
        <v>17</v>
      </c>
      <c r="O57">
        <f t="shared" si="25"/>
        <v>17</v>
      </c>
      <c r="P57">
        <f t="shared" si="25"/>
        <v>17</v>
      </c>
      <c r="Q57">
        <f t="shared" si="25"/>
        <v>17</v>
      </c>
      <c r="R57">
        <f t="shared" si="25"/>
        <v>17</v>
      </c>
      <c r="S57">
        <f t="shared" si="25"/>
        <v>17</v>
      </c>
      <c r="T57">
        <f t="shared" si="25"/>
        <v>17</v>
      </c>
      <c r="U57">
        <f t="shared" si="25"/>
        <v>17</v>
      </c>
      <c r="V57">
        <f t="shared" si="25"/>
        <v>17</v>
      </c>
    </row>
    <row r="58" spans="1:22" x14ac:dyDescent="0.35">
      <c r="A58" s="19" t="s">
        <v>41</v>
      </c>
      <c r="B58" s="54" t="s">
        <v>42</v>
      </c>
      <c r="C58">
        <v>7</v>
      </c>
      <c r="D58">
        <f>C58</f>
        <v>7</v>
      </c>
      <c r="E58">
        <f t="shared" ref="E58:V58" si="26">D58</f>
        <v>7</v>
      </c>
      <c r="F58">
        <f t="shared" si="26"/>
        <v>7</v>
      </c>
      <c r="G58">
        <f t="shared" si="26"/>
        <v>7</v>
      </c>
      <c r="H58">
        <f t="shared" si="26"/>
        <v>7</v>
      </c>
      <c r="I58">
        <f t="shared" si="26"/>
        <v>7</v>
      </c>
      <c r="J58">
        <f t="shared" si="26"/>
        <v>7</v>
      </c>
      <c r="K58">
        <f t="shared" si="26"/>
        <v>7</v>
      </c>
      <c r="L58">
        <f t="shared" si="26"/>
        <v>7</v>
      </c>
      <c r="M58">
        <f t="shared" si="26"/>
        <v>7</v>
      </c>
      <c r="N58">
        <f t="shared" si="26"/>
        <v>7</v>
      </c>
      <c r="O58">
        <f t="shared" si="26"/>
        <v>7</v>
      </c>
      <c r="P58">
        <f t="shared" si="26"/>
        <v>7</v>
      </c>
      <c r="Q58">
        <f t="shared" si="26"/>
        <v>7</v>
      </c>
      <c r="R58">
        <f t="shared" si="26"/>
        <v>7</v>
      </c>
      <c r="S58">
        <f t="shared" si="26"/>
        <v>7</v>
      </c>
      <c r="T58">
        <f t="shared" si="26"/>
        <v>7</v>
      </c>
      <c r="U58">
        <f t="shared" si="26"/>
        <v>7</v>
      </c>
      <c r="V58">
        <f t="shared" si="26"/>
        <v>7</v>
      </c>
    </row>
    <row r="59" spans="1:22" x14ac:dyDescent="0.35">
      <c r="A59" s="19" t="s">
        <v>130</v>
      </c>
      <c r="B59" s="54" t="s">
        <v>42</v>
      </c>
      <c r="C59">
        <v>3</v>
      </c>
      <c r="D59">
        <f>C59</f>
        <v>3</v>
      </c>
      <c r="E59">
        <f t="shared" ref="E59:V59" si="27">D59</f>
        <v>3</v>
      </c>
      <c r="F59">
        <f t="shared" si="27"/>
        <v>3</v>
      </c>
      <c r="G59">
        <f t="shared" si="27"/>
        <v>3</v>
      </c>
      <c r="H59">
        <f t="shared" si="27"/>
        <v>3</v>
      </c>
      <c r="I59">
        <f t="shared" si="27"/>
        <v>3</v>
      </c>
      <c r="J59">
        <f t="shared" si="27"/>
        <v>3</v>
      </c>
      <c r="K59">
        <f t="shared" si="27"/>
        <v>3</v>
      </c>
      <c r="L59">
        <f t="shared" si="27"/>
        <v>3</v>
      </c>
      <c r="M59">
        <f t="shared" si="27"/>
        <v>3</v>
      </c>
      <c r="N59">
        <f t="shared" si="27"/>
        <v>3</v>
      </c>
      <c r="O59">
        <f t="shared" si="27"/>
        <v>3</v>
      </c>
      <c r="P59">
        <f t="shared" si="27"/>
        <v>3</v>
      </c>
      <c r="Q59">
        <f t="shared" si="27"/>
        <v>3</v>
      </c>
      <c r="R59">
        <f t="shared" si="27"/>
        <v>3</v>
      </c>
      <c r="S59">
        <f t="shared" si="27"/>
        <v>3</v>
      </c>
      <c r="T59">
        <f t="shared" si="27"/>
        <v>3</v>
      </c>
      <c r="U59">
        <f t="shared" si="27"/>
        <v>3</v>
      </c>
      <c r="V59">
        <f t="shared" si="27"/>
        <v>3</v>
      </c>
    </row>
    <row r="60" spans="1:22" x14ac:dyDescent="0.35">
      <c r="A60" s="19" t="s">
        <v>206</v>
      </c>
      <c r="B60" s="54" t="s">
        <v>42</v>
      </c>
      <c r="C60">
        <v>6</v>
      </c>
      <c r="D60">
        <f>C60</f>
        <v>6</v>
      </c>
      <c r="E60">
        <f t="shared" ref="E60:V60" si="28">D60</f>
        <v>6</v>
      </c>
      <c r="F60">
        <f t="shared" si="28"/>
        <v>6</v>
      </c>
      <c r="G60">
        <f t="shared" si="28"/>
        <v>6</v>
      </c>
      <c r="H60">
        <f t="shared" si="28"/>
        <v>6</v>
      </c>
      <c r="I60">
        <f t="shared" si="28"/>
        <v>6</v>
      </c>
      <c r="J60">
        <f t="shared" si="28"/>
        <v>6</v>
      </c>
      <c r="K60">
        <f t="shared" si="28"/>
        <v>6</v>
      </c>
      <c r="L60">
        <f t="shared" si="28"/>
        <v>6</v>
      </c>
      <c r="M60">
        <f t="shared" si="28"/>
        <v>6</v>
      </c>
      <c r="N60">
        <f t="shared" si="28"/>
        <v>6</v>
      </c>
      <c r="O60">
        <f t="shared" si="28"/>
        <v>6</v>
      </c>
      <c r="P60">
        <f t="shared" si="28"/>
        <v>6</v>
      </c>
      <c r="Q60">
        <f t="shared" si="28"/>
        <v>6</v>
      </c>
      <c r="R60">
        <f t="shared" si="28"/>
        <v>6</v>
      </c>
      <c r="S60">
        <f t="shared" si="28"/>
        <v>6</v>
      </c>
      <c r="T60">
        <f t="shared" si="28"/>
        <v>6</v>
      </c>
      <c r="U60">
        <f t="shared" si="28"/>
        <v>6</v>
      </c>
      <c r="V60">
        <f t="shared" si="28"/>
        <v>6</v>
      </c>
    </row>
    <row r="61" spans="1:22" x14ac:dyDescent="0.35">
      <c r="A61" s="19" t="s">
        <v>201</v>
      </c>
      <c r="B61" s="54" t="s">
        <v>42</v>
      </c>
      <c r="C61" s="5">
        <f>0.08*SUM(C79:C80)</f>
        <v>18</v>
      </c>
      <c r="D61" s="5">
        <f t="shared" ref="D61:V61" si="29">0.08*SUM(D79:D80)</f>
        <v>12</v>
      </c>
      <c r="E61" s="5">
        <f t="shared" si="29"/>
        <v>10.532200000000001</v>
      </c>
      <c r="F61" s="5">
        <f t="shared" si="29"/>
        <v>11.8652</v>
      </c>
      <c r="G61" s="5">
        <f t="shared" si="29"/>
        <v>15.331</v>
      </c>
      <c r="H61" s="5">
        <f t="shared" si="29"/>
        <v>17.730399999999999</v>
      </c>
      <c r="I61" s="5">
        <f t="shared" si="29"/>
        <v>19.863199999999999</v>
      </c>
      <c r="J61" s="5">
        <f t="shared" si="29"/>
        <v>19.863199999999999</v>
      </c>
      <c r="K61" s="5">
        <f t="shared" si="29"/>
        <v>19.863199999999999</v>
      </c>
      <c r="L61" s="5">
        <f t="shared" si="29"/>
        <v>19.863199999999999</v>
      </c>
      <c r="M61" s="5">
        <f t="shared" si="29"/>
        <v>19.863199999999999</v>
      </c>
      <c r="N61" s="5">
        <f t="shared" si="29"/>
        <v>19.863199999999999</v>
      </c>
      <c r="O61" s="5">
        <f t="shared" si="29"/>
        <v>19.863199999999999</v>
      </c>
      <c r="P61" s="5">
        <f t="shared" si="29"/>
        <v>19.863199999999999</v>
      </c>
      <c r="Q61" s="5">
        <f t="shared" si="29"/>
        <v>19.863199999999999</v>
      </c>
      <c r="R61" s="5">
        <f t="shared" si="29"/>
        <v>19.863199999999999</v>
      </c>
      <c r="S61" s="5">
        <f t="shared" si="29"/>
        <v>19.863199999999999</v>
      </c>
      <c r="T61" s="5">
        <f t="shared" si="29"/>
        <v>19.863199999999999</v>
      </c>
      <c r="U61" s="5">
        <f t="shared" si="29"/>
        <v>19.863199999999999</v>
      </c>
      <c r="V61" s="5">
        <f t="shared" si="29"/>
        <v>19.863199999999999</v>
      </c>
    </row>
    <row r="62" spans="1:22" x14ac:dyDescent="0.35">
      <c r="A62" s="19" t="s">
        <v>192</v>
      </c>
      <c r="B62" s="54" t="s">
        <v>10</v>
      </c>
      <c r="C62" s="5">
        <f>SUM(C79:C80)</f>
        <v>225</v>
      </c>
      <c r="D62" s="5">
        <f t="shared" ref="D62:V62" si="30">SUM(D79:D80)</f>
        <v>150</v>
      </c>
      <c r="E62" s="5">
        <f t="shared" si="30"/>
        <v>131.6525</v>
      </c>
      <c r="F62" s="5">
        <f t="shared" si="30"/>
        <v>148.315</v>
      </c>
      <c r="G62" s="5">
        <f t="shared" si="30"/>
        <v>191.63749999999999</v>
      </c>
      <c r="H62" s="5">
        <f t="shared" si="30"/>
        <v>221.63</v>
      </c>
      <c r="I62" s="5">
        <f t="shared" si="30"/>
        <v>248.29</v>
      </c>
      <c r="J62" s="5">
        <f t="shared" si="30"/>
        <v>248.29</v>
      </c>
      <c r="K62" s="5">
        <f t="shared" si="30"/>
        <v>248.29</v>
      </c>
      <c r="L62" s="5">
        <f t="shared" si="30"/>
        <v>248.29</v>
      </c>
      <c r="M62" s="5">
        <f t="shared" si="30"/>
        <v>248.29</v>
      </c>
      <c r="N62" s="5">
        <f t="shared" si="30"/>
        <v>248.29</v>
      </c>
      <c r="O62" s="5">
        <f t="shared" si="30"/>
        <v>248.29</v>
      </c>
      <c r="P62" s="5">
        <f t="shared" si="30"/>
        <v>248.29</v>
      </c>
      <c r="Q62" s="5">
        <f t="shared" si="30"/>
        <v>248.29</v>
      </c>
      <c r="R62" s="5">
        <f t="shared" si="30"/>
        <v>248.29</v>
      </c>
      <c r="S62" s="5">
        <f t="shared" si="30"/>
        <v>248.29</v>
      </c>
      <c r="T62" s="5">
        <f t="shared" si="30"/>
        <v>248.29</v>
      </c>
      <c r="U62" s="5">
        <f t="shared" si="30"/>
        <v>248.29</v>
      </c>
      <c r="V62" s="5">
        <f t="shared" si="30"/>
        <v>248.29</v>
      </c>
    </row>
    <row r="63" spans="1:22" x14ac:dyDescent="0.35">
      <c r="A63" s="19" t="s">
        <v>202</v>
      </c>
      <c r="B63" s="54" t="s">
        <v>42</v>
      </c>
      <c r="C63" s="5">
        <f>SUM(C79:C80)*0.01</f>
        <v>2.25</v>
      </c>
      <c r="D63" s="5">
        <f t="shared" ref="D63:V63" si="31">SUM(D79:D80)*0.01</f>
        <v>1.5</v>
      </c>
      <c r="E63" s="5">
        <f t="shared" si="31"/>
        <v>1.3165250000000002</v>
      </c>
      <c r="F63" s="5">
        <f t="shared" si="31"/>
        <v>1.48315</v>
      </c>
      <c r="G63" s="5">
        <f t="shared" si="31"/>
        <v>1.9163749999999999</v>
      </c>
      <c r="H63" s="5">
        <f t="shared" si="31"/>
        <v>2.2162999999999999</v>
      </c>
      <c r="I63" s="5">
        <f t="shared" si="31"/>
        <v>2.4828999999999999</v>
      </c>
      <c r="J63" s="5">
        <f t="shared" si="31"/>
        <v>2.4828999999999999</v>
      </c>
      <c r="K63" s="5">
        <f t="shared" si="31"/>
        <v>2.4828999999999999</v>
      </c>
      <c r="L63" s="5">
        <f t="shared" si="31"/>
        <v>2.4828999999999999</v>
      </c>
      <c r="M63" s="5">
        <f t="shared" si="31"/>
        <v>2.4828999999999999</v>
      </c>
      <c r="N63" s="5">
        <f t="shared" si="31"/>
        <v>2.4828999999999999</v>
      </c>
      <c r="O63" s="5">
        <f t="shared" si="31"/>
        <v>2.4828999999999999</v>
      </c>
      <c r="P63" s="5">
        <f t="shared" si="31"/>
        <v>2.4828999999999999</v>
      </c>
      <c r="Q63" s="5">
        <f t="shared" si="31"/>
        <v>2.4828999999999999</v>
      </c>
      <c r="R63" s="5">
        <f t="shared" si="31"/>
        <v>2.4828999999999999</v>
      </c>
      <c r="S63" s="5">
        <f t="shared" si="31"/>
        <v>2.4828999999999999</v>
      </c>
      <c r="T63" s="5">
        <f t="shared" si="31"/>
        <v>2.4828999999999999</v>
      </c>
      <c r="U63" s="5">
        <f t="shared" si="31"/>
        <v>2.4828999999999999</v>
      </c>
      <c r="V63" s="5">
        <f t="shared" si="31"/>
        <v>2.4828999999999999</v>
      </c>
    </row>
    <row r="64" spans="1:22" x14ac:dyDescent="0.35">
      <c r="A64" s="19" t="s">
        <v>203</v>
      </c>
      <c r="B64" s="54" t="s">
        <v>10</v>
      </c>
      <c r="C64" s="5">
        <f>SUM(C79:C80)</f>
        <v>225</v>
      </c>
      <c r="D64" s="5">
        <f t="shared" ref="D64:V64" si="32">SUM(D79:D80)</f>
        <v>150</v>
      </c>
      <c r="E64" s="5">
        <f t="shared" si="32"/>
        <v>131.6525</v>
      </c>
      <c r="F64" s="5">
        <f t="shared" si="32"/>
        <v>148.315</v>
      </c>
      <c r="G64" s="5">
        <f t="shared" si="32"/>
        <v>191.63749999999999</v>
      </c>
      <c r="H64" s="5">
        <f t="shared" si="32"/>
        <v>221.63</v>
      </c>
      <c r="I64" s="5">
        <f t="shared" si="32"/>
        <v>248.29</v>
      </c>
      <c r="J64" s="5">
        <f t="shared" si="32"/>
        <v>248.29</v>
      </c>
      <c r="K64" s="5">
        <f t="shared" si="32"/>
        <v>248.29</v>
      </c>
      <c r="L64" s="5">
        <f t="shared" si="32"/>
        <v>248.29</v>
      </c>
      <c r="M64" s="5">
        <f t="shared" si="32"/>
        <v>248.29</v>
      </c>
      <c r="N64" s="5">
        <f t="shared" si="32"/>
        <v>248.29</v>
      </c>
      <c r="O64" s="5">
        <f t="shared" si="32"/>
        <v>248.29</v>
      </c>
      <c r="P64" s="5">
        <f t="shared" si="32"/>
        <v>248.29</v>
      </c>
      <c r="Q64" s="5">
        <f t="shared" si="32"/>
        <v>248.29</v>
      </c>
      <c r="R64" s="5">
        <f t="shared" si="32"/>
        <v>248.29</v>
      </c>
      <c r="S64" s="5">
        <f t="shared" si="32"/>
        <v>248.29</v>
      </c>
      <c r="T64" s="5">
        <f t="shared" si="32"/>
        <v>248.29</v>
      </c>
      <c r="U64" s="5">
        <f t="shared" si="32"/>
        <v>248.29</v>
      </c>
      <c r="V64" s="5">
        <f t="shared" si="32"/>
        <v>248.29</v>
      </c>
    </row>
    <row r="65" spans="1:23" x14ac:dyDescent="0.35">
      <c r="A65" s="19" t="s">
        <v>421</v>
      </c>
      <c r="B65" s="54" t="s">
        <v>42</v>
      </c>
      <c r="C65" s="5"/>
      <c r="D65" s="5">
        <v>15</v>
      </c>
      <c r="E65" s="5">
        <f>D65</f>
        <v>15</v>
      </c>
      <c r="F65" s="5">
        <f t="shared" ref="F65:V65" si="33">E65</f>
        <v>15</v>
      </c>
      <c r="G65" s="5">
        <f t="shared" si="33"/>
        <v>15</v>
      </c>
      <c r="H65" s="5">
        <f t="shared" si="33"/>
        <v>15</v>
      </c>
      <c r="I65" s="5">
        <f t="shared" si="33"/>
        <v>15</v>
      </c>
      <c r="J65" s="5">
        <f t="shared" si="33"/>
        <v>15</v>
      </c>
      <c r="K65" s="5">
        <f t="shared" si="33"/>
        <v>15</v>
      </c>
      <c r="L65" s="5">
        <f t="shared" si="33"/>
        <v>15</v>
      </c>
      <c r="M65" s="5">
        <f t="shared" si="33"/>
        <v>15</v>
      </c>
      <c r="N65" s="5">
        <f t="shared" si="33"/>
        <v>15</v>
      </c>
      <c r="O65" s="5">
        <f t="shared" si="33"/>
        <v>15</v>
      </c>
      <c r="P65" s="5">
        <f t="shared" si="33"/>
        <v>15</v>
      </c>
      <c r="Q65" s="5">
        <f t="shared" si="33"/>
        <v>15</v>
      </c>
      <c r="R65" s="5">
        <f t="shared" si="33"/>
        <v>15</v>
      </c>
      <c r="S65" s="5">
        <f t="shared" si="33"/>
        <v>15</v>
      </c>
      <c r="T65" s="5">
        <f t="shared" si="33"/>
        <v>15</v>
      </c>
      <c r="U65" s="5">
        <f t="shared" si="33"/>
        <v>15</v>
      </c>
      <c r="V65" s="5">
        <f t="shared" si="33"/>
        <v>15</v>
      </c>
      <c r="W65" s="5"/>
    </row>
    <row r="66" spans="1:23" x14ac:dyDescent="0.35">
      <c r="A66" s="19" t="s">
        <v>422</v>
      </c>
      <c r="B66" s="54" t="s">
        <v>10</v>
      </c>
      <c r="C66" s="5"/>
      <c r="D66" s="5">
        <f>D83*15</f>
        <v>9000</v>
      </c>
      <c r="E66" s="5">
        <f>D66</f>
        <v>9000</v>
      </c>
      <c r="F66" s="5">
        <f t="shared" ref="F66:V66" si="34">E66</f>
        <v>9000</v>
      </c>
      <c r="G66" s="5">
        <f t="shared" si="34"/>
        <v>9000</v>
      </c>
      <c r="H66" s="5">
        <f t="shared" si="34"/>
        <v>9000</v>
      </c>
      <c r="I66" s="5">
        <f t="shared" si="34"/>
        <v>9000</v>
      </c>
      <c r="J66" s="5">
        <f t="shared" si="34"/>
        <v>9000</v>
      </c>
      <c r="K66" s="5">
        <f t="shared" si="34"/>
        <v>9000</v>
      </c>
      <c r="L66" s="5">
        <f t="shared" si="34"/>
        <v>9000</v>
      </c>
      <c r="M66" s="5">
        <f t="shared" si="34"/>
        <v>9000</v>
      </c>
      <c r="N66" s="5">
        <f t="shared" si="34"/>
        <v>9000</v>
      </c>
      <c r="O66" s="5">
        <f t="shared" si="34"/>
        <v>9000</v>
      </c>
      <c r="P66" s="5">
        <f t="shared" si="34"/>
        <v>9000</v>
      </c>
      <c r="Q66" s="5">
        <f t="shared" si="34"/>
        <v>9000</v>
      </c>
      <c r="R66" s="5">
        <f t="shared" si="34"/>
        <v>9000</v>
      </c>
      <c r="S66" s="5">
        <f t="shared" si="34"/>
        <v>9000</v>
      </c>
      <c r="T66" s="5">
        <f t="shared" si="34"/>
        <v>9000</v>
      </c>
      <c r="U66" s="5">
        <f t="shared" si="34"/>
        <v>9000</v>
      </c>
      <c r="V66" s="5">
        <f t="shared" si="34"/>
        <v>9000</v>
      </c>
      <c r="W66" s="5"/>
    </row>
    <row r="67" spans="1:23" x14ac:dyDescent="0.35">
      <c r="A67" s="19"/>
      <c r="B67" s="54"/>
    </row>
    <row r="68" spans="1:23" x14ac:dyDescent="0.35">
      <c r="A68" s="19" t="s">
        <v>16</v>
      </c>
      <c r="B68" s="8"/>
    </row>
    <row r="69" spans="1:23" x14ac:dyDescent="0.35">
      <c r="A69" s="19" t="s">
        <v>193</v>
      </c>
      <c r="B69" s="8" t="s">
        <v>11</v>
      </c>
      <c r="C69">
        <f>1333/4</f>
        <v>333.25</v>
      </c>
      <c r="D69">
        <f>C69</f>
        <v>333.25</v>
      </c>
      <c r="E69">
        <f>D69</f>
        <v>333.25</v>
      </c>
    </row>
    <row r="70" spans="1:23" x14ac:dyDescent="0.35">
      <c r="A70" s="19" t="s">
        <v>423</v>
      </c>
      <c r="B70" s="8" t="s">
        <v>11</v>
      </c>
      <c r="C70">
        <v>600</v>
      </c>
      <c r="D70">
        <f>C70</f>
        <v>600</v>
      </c>
      <c r="E70">
        <f t="shared" ref="E70:V70" si="35">D70</f>
        <v>600</v>
      </c>
      <c r="F70">
        <f t="shared" si="35"/>
        <v>600</v>
      </c>
      <c r="G70">
        <f t="shared" si="35"/>
        <v>600</v>
      </c>
      <c r="H70">
        <f t="shared" si="35"/>
        <v>600</v>
      </c>
      <c r="I70">
        <f t="shared" si="35"/>
        <v>600</v>
      </c>
      <c r="J70">
        <f t="shared" si="35"/>
        <v>600</v>
      </c>
      <c r="K70">
        <f t="shared" si="35"/>
        <v>600</v>
      </c>
      <c r="L70">
        <f t="shared" si="35"/>
        <v>600</v>
      </c>
      <c r="M70">
        <f t="shared" si="35"/>
        <v>600</v>
      </c>
      <c r="N70">
        <f t="shared" si="35"/>
        <v>600</v>
      </c>
      <c r="O70">
        <f t="shared" si="35"/>
        <v>600</v>
      </c>
      <c r="P70">
        <f t="shared" si="35"/>
        <v>600</v>
      </c>
      <c r="Q70">
        <f t="shared" si="35"/>
        <v>600</v>
      </c>
      <c r="R70">
        <f t="shared" si="35"/>
        <v>600</v>
      </c>
      <c r="S70">
        <f t="shared" si="35"/>
        <v>600</v>
      </c>
      <c r="T70">
        <f t="shared" si="35"/>
        <v>600</v>
      </c>
      <c r="U70">
        <f t="shared" si="35"/>
        <v>600</v>
      </c>
      <c r="V70">
        <f t="shared" si="35"/>
        <v>600</v>
      </c>
    </row>
    <row r="71" spans="1:23" x14ac:dyDescent="0.35">
      <c r="A71" s="19" t="s">
        <v>194</v>
      </c>
      <c r="B71" s="8" t="s">
        <v>11</v>
      </c>
      <c r="C71">
        <f>C69</f>
        <v>333.25</v>
      </c>
      <c r="D71">
        <f>D69</f>
        <v>333.25</v>
      </c>
      <c r="E71">
        <f>D71</f>
        <v>333.25</v>
      </c>
    </row>
    <row r="72" spans="1:23" x14ac:dyDescent="0.35">
      <c r="A72" s="19" t="s">
        <v>132</v>
      </c>
      <c r="B72" s="54" t="s">
        <v>10</v>
      </c>
      <c r="C72">
        <f>C70*100/1000</f>
        <v>60</v>
      </c>
      <c r="D72">
        <f>C72</f>
        <v>60</v>
      </c>
      <c r="E72">
        <f t="shared" ref="E72:V72" si="36">D72</f>
        <v>60</v>
      </c>
      <c r="F72">
        <f t="shared" si="36"/>
        <v>60</v>
      </c>
      <c r="G72">
        <f t="shared" si="36"/>
        <v>60</v>
      </c>
      <c r="H72">
        <f t="shared" si="36"/>
        <v>60</v>
      </c>
      <c r="I72">
        <f t="shared" si="36"/>
        <v>60</v>
      </c>
      <c r="J72">
        <f t="shared" si="36"/>
        <v>60</v>
      </c>
      <c r="K72">
        <f t="shared" si="36"/>
        <v>60</v>
      </c>
      <c r="L72">
        <f t="shared" si="36"/>
        <v>60</v>
      </c>
      <c r="M72">
        <f t="shared" si="36"/>
        <v>60</v>
      </c>
      <c r="N72">
        <f t="shared" si="36"/>
        <v>60</v>
      </c>
      <c r="O72">
        <f t="shared" si="36"/>
        <v>60</v>
      </c>
      <c r="P72">
        <f t="shared" si="36"/>
        <v>60</v>
      </c>
      <c r="Q72">
        <f t="shared" si="36"/>
        <v>60</v>
      </c>
      <c r="R72">
        <f t="shared" si="36"/>
        <v>60</v>
      </c>
      <c r="S72">
        <f t="shared" si="36"/>
        <v>60</v>
      </c>
      <c r="T72">
        <f t="shared" si="36"/>
        <v>60</v>
      </c>
      <c r="U72">
        <f t="shared" si="36"/>
        <v>60</v>
      </c>
      <c r="V72">
        <f t="shared" si="36"/>
        <v>60</v>
      </c>
    </row>
    <row r="73" spans="1:23" x14ac:dyDescent="0.35">
      <c r="A73" s="19" t="s">
        <v>133</v>
      </c>
      <c r="B73" s="54" t="s">
        <v>10</v>
      </c>
      <c r="C73">
        <f>35*C70*4/1000</f>
        <v>84</v>
      </c>
      <c r="D73">
        <f>C73</f>
        <v>84</v>
      </c>
      <c r="E73">
        <f t="shared" ref="E73:V73" si="37">D73</f>
        <v>84</v>
      </c>
      <c r="F73">
        <f t="shared" si="37"/>
        <v>84</v>
      </c>
      <c r="G73">
        <f t="shared" si="37"/>
        <v>84</v>
      </c>
      <c r="H73">
        <f t="shared" si="37"/>
        <v>84</v>
      </c>
      <c r="I73">
        <f t="shared" si="37"/>
        <v>84</v>
      </c>
      <c r="J73">
        <f t="shared" si="37"/>
        <v>84</v>
      </c>
      <c r="K73">
        <f t="shared" si="37"/>
        <v>84</v>
      </c>
      <c r="L73">
        <f t="shared" si="37"/>
        <v>84</v>
      </c>
      <c r="M73">
        <f t="shared" si="37"/>
        <v>84</v>
      </c>
      <c r="N73">
        <f t="shared" si="37"/>
        <v>84</v>
      </c>
      <c r="O73">
        <f t="shared" si="37"/>
        <v>84</v>
      </c>
      <c r="P73">
        <f t="shared" si="37"/>
        <v>84</v>
      </c>
      <c r="Q73">
        <f t="shared" si="37"/>
        <v>84</v>
      </c>
      <c r="R73">
        <f t="shared" si="37"/>
        <v>84</v>
      </c>
      <c r="S73">
        <f t="shared" si="37"/>
        <v>84</v>
      </c>
      <c r="T73">
        <f t="shared" si="37"/>
        <v>84</v>
      </c>
      <c r="U73">
        <f t="shared" si="37"/>
        <v>84</v>
      </c>
      <c r="V73">
        <f t="shared" si="37"/>
        <v>84</v>
      </c>
    </row>
    <row r="74" spans="1:23" x14ac:dyDescent="0.35">
      <c r="A74" s="19" t="s">
        <v>269</v>
      </c>
      <c r="B74" s="54" t="s">
        <v>10</v>
      </c>
      <c r="C74">
        <f>400*1*C70/1000</f>
        <v>240</v>
      </c>
      <c r="D74">
        <f>C74</f>
        <v>240</v>
      </c>
      <c r="E74">
        <f t="shared" ref="E74:V74" si="38">D74</f>
        <v>240</v>
      </c>
      <c r="F74">
        <f t="shared" si="38"/>
        <v>240</v>
      </c>
      <c r="G74">
        <f t="shared" si="38"/>
        <v>240</v>
      </c>
      <c r="H74">
        <f t="shared" si="38"/>
        <v>240</v>
      </c>
      <c r="I74">
        <f t="shared" si="38"/>
        <v>240</v>
      </c>
      <c r="J74">
        <f t="shared" si="38"/>
        <v>240</v>
      </c>
      <c r="K74">
        <f t="shared" si="38"/>
        <v>240</v>
      </c>
      <c r="L74">
        <f t="shared" si="38"/>
        <v>240</v>
      </c>
      <c r="M74">
        <f t="shared" si="38"/>
        <v>240</v>
      </c>
      <c r="N74">
        <f t="shared" si="38"/>
        <v>240</v>
      </c>
      <c r="O74">
        <f t="shared" si="38"/>
        <v>240</v>
      </c>
      <c r="P74">
        <f t="shared" si="38"/>
        <v>240</v>
      </c>
      <c r="Q74">
        <f t="shared" si="38"/>
        <v>240</v>
      </c>
      <c r="R74">
        <f t="shared" si="38"/>
        <v>240</v>
      </c>
      <c r="S74">
        <f t="shared" si="38"/>
        <v>240</v>
      </c>
      <c r="T74">
        <f t="shared" si="38"/>
        <v>240</v>
      </c>
      <c r="U74">
        <f t="shared" si="38"/>
        <v>240</v>
      </c>
      <c r="V74">
        <f t="shared" si="38"/>
        <v>240</v>
      </c>
    </row>
    <row r="75" spans="1:23" x14ac:dyDescent="0.35">
      <c r="A75" s="19" t="s">
        <v>207</v>
      </c>
      <c r="B75" s="54" t="s">
        <v>45</v>
      </c>
      <c r="C75" s="5">
        <f>3*4*C70/1666</f>
        <v>4.3217286914765909</v>
      </c>
      <c r="D75" s="5">
        <f>C75</f>
        <v>4.3217286914765909</v>
      </c>
      <c r="E75" s="5">
        <f t="shared" ref="E75:V75" si="39">D75</f>
        <v>4.3217286914765909</v>
      </c>
      <c r="F75" s="5">
        <f t="shared" si="39"/>
        <v>4.3217286914765909</v>
      </c>
      <c r="G75" s="5">
        <f t="shared" si="39"/>
        <v>4.3217286914765909</v>
      </c>
      <c r="H75" s="5">
        <f t="shared" si="39"/>
        <v>4.3217286914765909</v>
      </c>
      <c r="I75" s="5">
        <f t="shared" si="39"/>
        <v>4.3217286914765909</v>
      </c>
      <c r="J75" s="5">
        <f t="shared" si="39"/>
        <v>4.3217286914765909</v>
      </c>
      <c r="K75" s="5">
        <f t="shared" si="39"/>
        <v>4.3217286914765909</v>
      </c>
      <c r="L75" s="5">
        <f t="shared" si="39"/>
        <v>4.3217286914765909</v>
      </c>
      <c r="M75" s="5">
        <f t="shared" si="39"/>
        <v>4.3217286914765909</v>
      </c>
      <c r="N75" s="5">
        <f t="shared" si="39"/>
        <v>4.3217286914765909</v>
      </c>
      <c r="O75" s="5">
        <f t="shared" si="39"/>
        <v>4.3217286914765909</v>
      </c>
      <c r="P75" s="5">
        <f t="shared" si="39"/>
        <v>4.3217286914765909</v>
      </c>
      <c r="Q75" s="5">
        <f t="shared" si="39"/>
        <v>4.3217286914765909</v>
      </c>
      <c r="R75" s="5">
        <f t="shared" si="39"/>
        <v>4.3217286914765909</v>
      </c>
      <c r="S75" s="5">
        <f t="shared" si="39"/>
        <v>4.3217286914765909</v>
      </c>
      <c r="T75" s="5">
        <f t="shared" si="39"/>
        <v>4.3217286914765909</v>
      </c>
      <c r="U75" s="5">
        <f t="shared" si="39"/>
        <v>4.3217286914765909</v>
      </c>
      <c r="V75" s="5">
        <f t="shared" si="39"/>
        <v>4.3217286914765909</v>
      </c>
    </row>
    <row r="76" spans="1:23" s="20" customFormat="1" x14ac:dyDescent="0.35">
      <c r="A76" s="19" t="s">
        <v>17</v>
      </c>
      <c r="B76" s="43" t="s">
        <v>11</v>
      </c>
      <c r="C76" s="52">
        <f>SUM(C79:C80)/70</f>
        <v>3.2142857142857144</v>
      </c>
      <c r="D76" s="52">
        <f t="shared" ref="D76:V76" si="40">SUM(D79:D80)/70</f>
        <v>2.1428571428571428</v>
      </c>
      <c r="E76" s="52">
        <f t="shared" si="40"/>
        <v>1.8807500000000001</v>
      </c>
      <c r="F76" s="52">
        <f t="shared" si="40"/>
        <v>2.1187857142857141</v>
      </c>
      <c r="G76" s="52">
        <f t="shared" si="40"/>
        <v>2.7376785714285714</v>
      </c>
      <c r="H76" s="52">
        <f t="shared" si="40"/>
        <v>3.1661428571428569</v>
      </c>
      <c r="I76" s="52">
        <f t="shared" si="40"/>
        <v>3.5469999999999997</v>
      </c>
      <c r="J76" s="52">
        <f t="shared" si="40"/>
        <v>3.5469999999999997</v>
      </c>
      <c r="K76" s="52">
        <f t="shared" si="40"/>
        <v>3.5469999999999997</v>
      </c>
      <c r="L76" s="52">
        <f t="shared" si="40"/>
        <v>3.5469999999999997</v>
      </c>
      <c r="M76" s="52">
        <f t="shared" si="40"/>
        <v>3.5469999999999997</v>
      </c>
      <c r="N76" s="52">
        <f t="shared" si="40"/>
        <v>3.5469999999999997</v>
      </c>
      <c r="O76" s="52">
        <f t="shared" si="40"/>
        <v>3.5469999999999997</v>
      </c>
      <c r="P76" s="52">
        <f t="shared" si="40"/>
        <v>3.5469999999999997</v>
      </c>
      <c r="Q76" s="52">
        <f t="shared" si="40"/>
        <v>3.5469999999999997</v>
      </c>
      <c r="R76" s="52">
        <f t="shared" si="40"/>
        <v>3.5469999999999997</v>
      </c>
      <c r="S76" s="52">
        <f t="shared" si="40"/>
        <v>3.5469999999999997</v>
      </c>
      <c r="T76" s="52">
        <f t="shared" si="40"/>
        <v>3.5469999999999997</v>
      </c>
      <c r="U76" s="52">
        <f t="shared" si="40"/>
        <v>3.5469999999999997</v>
      </c>
      <c r="V76" s="52">
        <f t="shared" si="40"/>
        <v>3.5469999999999997</v>
      </c>
    </row>
    <row r="77" spans="1:23" x14ac:dyDescent="0.35">
      <c r="A77" s="19"/>
      <c r="B77" s="8"/>
    </row>
    <row r="78" spans="1:23" x14ac:dyDescent="0.35">
      <c r="A78" s="19" t="s">
        <v>6</v>
      </c>
      <c r="B78" s="8"/>
    </row>
    <row r="79" spans="1:23" x14ac:dyDescent="0.35">
      <c r="A79" s="19" t="s">
        <v>199</v>
      </c>
      <c r="B79" s="8" t="s">
        <v>10</v>
      </c>
      <c r="C79">
        <f>C18*0.75</f>
        <v>225</v>
      </c>
      <c r="D79">
        <f>D18*0.5</f>
        <v>150</v>
      </c>
      <c r="E79">
        <f>E18*0.25</f>
        <v>75</v>
      </c>
      <c r="F79">
        <f t="shared" ref="F79:U79" si="41">E79</f>
        <v>75</v>
      </c>
      <c r="G79">
        <f t="shared" si="41"/>
        <v>75</v>
      </c>
      <c r="H79">
        <f t="shared" si="41"/>
        <v>75</v>
      </c>
      <c r="I79">
        <f t="shared" si="41"/>
        <v>75</v>
      </c>
      <c r="J79">
        <f t="shared" si="41"/>
        <v>75</v>
      </c>
      <c r="K79">
        <f t="shared" si="41"/>
        <v>75</v>
      </c>
      <c r="L79">
        <f t="shared" si="41"/>
        <v>75</v>
      </c>
      <c r="M79">
        <f t="shared" si="41"/>
        <v>75</v>
      </c>
      <c r="N79">
        <f t="shared" si="41"/>
        <v>75</v>
      </c>
      <c r="O79">
        <f t="shared" si="41"/>
        <v>75</v>
      </c>
      <c r="P79">
        <f t="shared" si="41"/>
        <v>75</v>
      </c>
      <c r="Q79">
        <f t="shared" si="41"/>
        <v>75</v>
      </c>
      <c r="R79">
        <f t="shared" si="41"/>
        <v>75</v>
      </c>
      <c r="S79">
        <f t="shared" si="41"/>
        <v>75</v>
      </c>
      <c r="T79">
        <f t="shared" si="41"/>
        <v>75</v>
      </c>
      <c r="U79">
        <f t="shared" si="41"/>
        <v>75</v>
      </c>
      <c r="V79">
        <f t="shared" ref="V79" si="42">U79</f>
        <v>75</v>
      </c>
    </row>
    <row r="80" spans="1:23" x14ac:dyDescent="0.35">
      <c r="A80" t="s">
        <v>211</v>
      </c>
      <c r="B80" s="8" t="s">
        <v>10</v>
      </c>
      <c r="C80">
        <v>0</v>
      </c>
      <c r="D80">
        <v>0</v>
      </c>
      <c r="E80" s="5">
        <f>0.17*C69</f>
        <v>56.652500000000003</v>
      </c>
      <c r="F80">
        <f>0.22*C69</f>
        <v>73.314999999999998</v>
      </c>
      <c r="G80" s="5">
        <f>0.35*C69</f>
        <v>116.63749999999999</v>
      </c>
      <c r="H80">
        <f>0.44*C69</f>
        <v>146.63</v>
      </c>
      <c r="I80">
        <f>0.52*C69</f>
        <v>173.29</v>
      </c>
      <c r="J80">
        <f>I80</f>
        <v>173.29</v>
      </c>
      <c r="K80">
        <f t="shared" ref="K80:U83" si="43">J80</f>
        <v>173.29</v>
      </c>
      <c r="L80">
        <f t="shared" si="43"/>
        <v>173.29</v>
      </c>
      <c r="M80">
        <f t="shared" si="43"/>
        <v>173.29</v>
      </c>
      <c r="N80">
        <f t="shared" si="43"/>
        <v>173.29</v>
      </c>
      <c r="O80">
        <f t="shared" si="43"/>
        <v>173.29</v>
      </c>
      <c r="P80">
        <f t="shared" si="43"/>
        <v>173.29</v>
      </c>
      <c r="Q80">
        <f t="shared" si="43"/>
        <v>173.29</v>
      </c>
      <c r="R80">
        <f t="shared" si="43"/>
        <v>173.29</v>
      </c>
      <c r="S80">
        <f t="shared" si="43"/>
        <v>173.29</v>
      </c>
      <c r="T80">
        <f t="shared" si="43"/>
        <v>173.29</v>
      </c>
      <c r="U80">
        <f t="shared" si="43"/>
        <v>173.29</v>
      </c>
      <c r="V80">
        <f t="shared" ref="V80:V83" si="44">U80</f>
        <v>173.29</v>
      </c>
    </row>
    <row r="81" spans="1:23" x14ac:dyDescent="0.35">
      <c r="A81" t="s">
        <v>212</v>
      </c>
      <c r="B81" s="8"/>
      <c r="D81">
        <v>0</v>
      </c>
      <c r="E81" s="5">
        <v>0</v>
      </c>
      <c r="F81" s="5">
        <f>E80</f>
        <v>56.652500000000003</v>
      </c>
      <c r="G81" s="5">
        <f t="shared" ref="G81:V82" si="45">F80</f>
        <v>73.314999999999998</v>
      </c>
      <c r="H81" s="5">
        <f t="shared" si="45"/>
        <v>116.63749999999999</v>
      </c>
      <c r="I81" s="5">
        <f t="shared" si="45"/>
        <v>146.63</v>
      </c>
      <c r="J81" s="5">
        <f t="shared" si="45"/>
        <v>173.29</v>
      </c>
      <c r="K81" s="5">
        <f t="shared" si="45"/>
        <v>173.29</v>
      </c>
      <c r="L81" s="5">
        <f t="shared" si="45"/>
        <v>173.29</v>
      </c>
      <c r="M81" s="5">
        <f t="shared" si="45"/>
        <v>173.29</v>
      </c>
      <c r="N81" s="5">
        <f t="shared" si="45"/>
        <v>173.29</v>
      </c>
      <c r="O81" s="5">
        <f t="shared" si="45"/>
        <v>173.29</v>
      </c>
      <c r="P81" s="5">
        <f t="shared" si="45"/>
        <v>173.29</v>
      </c>
      <c r="Q81" s="5">
        <f t="shared" si="45"/>
        <v>173.29</v>
      </c>
      <c r="R81" s="5">
        <f t="shared" si="45"/>
        <v>173.29</v>
      </c>
      <c r="S81" s="5">
        <f t="shared" si="45"/>
        <v>173.29</v>
      </c>
      <c r="T81" s="5">
        <f t="shared" si="45"/>
        <v>173.29</v>
      </c>
      <c r="U81" s="5">
        <f t="shared" si="45"/>
        <v>173.29</v>
      </c>
      <c r="V81" s="5">
        <f t="shared" si="45"/>
        <v>173.29</v>
      </c>
    </row>
    <row r="82" spans="1:23" x14ac:dyDescent="0.35">
      <c r="A82" t="s">
        <v>249</v>
      </c>
      <c r="B82" s="8"/>
      <c r="E82" s="5"/>
      <c r="F82" s="5"/>
      <c r="G82" s="5">
        <f>F81</f>
        <v>56.652500000000003</v>
      </c>
      <c r="H82" s="5">
        <f t="shared" si="45"/>
        <v>73.314999999999998</v>
      </c>
      <c r="I82" s="5">
        <f t="shared" si="45"/>
        <v>116.63749999999999</v>
      </c>
      <c r="J82" s="5">
        <f t="shared" si="45"/>
        <v>146.63</v>
      </c>
      <c r="K82" s="5">
        <f t="shared" si="45"/>
        <v>173.29</v>
      </c>
      <c r="L82" s="5">
        <f t="shared" si="45"/>
        <v>173.29</v>
      </c>
      <c r="M82" s="5">
        <f t="shared" si="45"/>
        <v>173.29</v>
      </c>
      <c r="N82" s="5">
        <f t="shared" si="45"/>
        <v>173.29</v>
      </c>
      <c r="O82" s="5">
        <f t="shared" si="45"/>
        <v>173.29</v>
      </c>
      <c r="P82" s="5">
        <f t="shared" si="45"/>
        <v>173.29</v>
      </c>
      <c r="Q82" s="5">
        <f t="shared" si="45"/>
        <v>173.29</v>
      </c>
      <c r="R82" s="5">
        <f t="shared" si="45"/>
        <v>173.29</v>
      </c>
      <c r="S82" s="5">
        <f t="shared" si="45"/>
        <v>173.29</v>
      </c>
      <c r="T82" s="5">
        <f t="shared" si="45"/>
        <v>173.29</v>
      </c>
      <c r="U82" s="5">
        <f t="shared" si="45"/>
        <v>173.29</v>
      </c>
      <c r="V82" s="5">
        <f t="shared" si="45"/>
        <v>173.29</v>
      </c>
    </row>
    <row r="83" spans="1:23" x14ac:dyDescent="0.35">
      <c r="A83" s="40" t="s">
        <v>424</v>
      </c>
      <c r="B83" s="10" t="s">
        <v>200</v>
      </c>
      <c r="C83" s="11"/>
      <c r="D83" s="11">
        <f>C70</f>
        <v>600</v>
      </c>
      <c r="E83" s="11">
        <f>D83</f>
        <v>600</v>
      </c>
      <c r="F83" s="11">
        <f>E83</f>
        <v>600</v>
      </c>
      <c r="G83" s="11">
        <f t="shared" ref="G83:J83" si="46">F83</f>
        <v>600</v>
      </c>
      <c r="H83" s="11">
        <f t="shared" si="46"/>
        <v>600</v>
      </c>
      <c r="I83" s="11">
        <f t="shared" si="46"/>
        <v>600</v>
      </c>
      <c r="J83" s="11">
        <f t="shared" si="46"/>
        <v>600</v>
      </c>
      <c r="K83" s="11">
        <f t="shared" si="43"/>
        <v>600</v>
      </c>
      <c r="L83" s="11">
        <f t="shared" si="43"/>
        <v>600</v>
      </c>
      <c r="M83" s="11">
        <f t="shared" si="43"/>
        <v>600</v>
      </c>
      <c r="N83" s="11">
        <f t="shared" si="43"/>
        <v>600</v>
      </c>
      <c r="O83" s="11">
        <f t="shared" si="43"/>
        <v>600</v>
      </c>
      <c r="P83" s="11">
        <f t="shared" si="43"/>
        <v>600</v>
      </c>
      <c r="Q83" s="11">
        <f t="shared" si="43"/>
        <v>600</v>
      </c>
      <c r="R83" s="11">
        <f t="shared" si="43"/>
        <v>600</v>
      </c>
      <c r="S83" s="11">
        <f t="shared" si="43"/>
        <v>600</v>
      </c>
      <c r="T83" s="11">
        <f t="shared" si="43"/>
        <v>600</v>
      </c>
      <c r="U83" s="11">
        <f t="shared" si="43"/>
        <v>600</v>
      </c>
      <c r="V83" s="11">
        <f t="shared" si="44"/>
        <v>600</v>
      </c>
      <c r="W83" s="11"/>
    </row>
    <row r="85" spans="1:23" x14ac:dyDescent="0.35">
      <c r="A85" s="68" t="s">
        <v>304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</row>
    <row r="86" spans="1:23" x14ac:dyDescent="0.35">
      <c r="A86" s="12" t="s">
        <v>302</v>
      </c>
      <c r="B86" s="10" t="s">
        <v>12</v>
      </c>
      <c r="C86" s="11" t="s">
        <v>399</v>
      </c>
      <c r="D86" s="11" t="s">
        <v>400</v>
      </c>
      <c r="E86" s="11" t="s">
        <v>401</v>
      </c>
      <c r="F86" s="11" t="s">
        <v>402</v>
      </c>
      <c r="G86" s="11" t="s">
        <v>403</v>
      </c>
      <c r="H86" s="11" t="s">
        <v>404</v>
      </c>
      <c r="I86" s="11" t="s">
        <v>405</v>
      </c>
      <c r="J86" s="11" t="s">
        <v>406</v>
      </c>
      <c r="K86" s="11" t="s">
        <v>407</v>
      </c>
      <c r="L86" s="11" t="s">
        <v>408</v>
      </c>
      <c r="M86" s="11" t="s">
        <v>409</v>
      </c>
      <c r="N86" s="11" t="s">
        <v>410</v>
      </c>
      <c r="O86" s="11" t="s">
        <v>411</v>
      </c>
      <c r="P86" s="11" t="s">
        <v>412</v>
      </c>
      <c r="Q86" s="11" t="s">
        <v>413</v>
      </c>
      <c r="R86" s="11" t="s">
        <v>414</v>
      </c>
      <c r="S86" s="11" t="s">
        <v>415</v>
      </c>
      <c r="T86" s="11" t="s">
        <v>416</v>
      </c>
      <c r="U86" s="11" t="s">
        <v>417</v>
      </c>
      <c r="V86" s="11" t="s">
        <v>418</v>
      </c>
    </row>
    <row r="87" spans="1:23" x14ac:dyDescent="0.35">
      <c r="A87" t="str">
        <f t="shared" ref="A87:A107" si="47">A46</f>
        <v>Agricultural operations</v>
      </c>
      <c r="B87" s="8"/>
    </row>
    <row r="88" spans="1:23" x14ac:dyDescent="0.35">
      <c r="A88" s="19" t="str">
        <f t="shared" si="47"/>
        <v xml:space="preserve">  Undergrowth clearing</v>
      </c>
      <c r="B88" s="13">
        <f>'Prices &amp; assums'!C10</f>
        <v>30000</v>
      </c>
      <c r="C88" s="2">
        <f t="shared" ref="C88:V88" si="48">$B88*C47</f>
        <v>7500</v>
      </c>
      <c r="D88" s="2">
        <f t="shared" si="48"/>
        <v>7500</v>
      </c>
      <c r="E88" s="2">
        <f t="shared" si="48"/>
        <v>7500</v>
      </c>
      <c r="F88" s="2">
        <f t="shared" si="48"/>
        <v>0</v>
      </c>
      <c r="G88" s="2">
        <f t="shared" si="48"/>
        <v>0</v>
      </c>
      <c r="H88" s="2">
        <f t="shared" si="48"/>
        <v>0</v>
      </c>
      <c r="I88" s="2">
        <f t="shared" si="48"/>
        <v>0</v>
      </c>
      <c r="J88" s="2">
        <f t="shared" si="48"/>
        <v>0</v>
      </c>
      <c r="K88" s="2">
        <f t="shared" si="48"/>
        <v>0</v>
      </c>
      <c r="L88" s="2">
        <f t="shared" si="48"/>
        <v>0</v>
      </c>
      <c r="M88" s="2">
        <f t="shared" si="48"/>
        <v>0</v>
      </c>
      <c r="N88" s="2">
        <f t="shared" si="48"/>
        <v>0</v>
      </c>
      <c r="O88" s="2">
        <f t="shared" si="48"/>
        <v>0</v>
      </c>
      <c r="P88" s="2">
        <f t="shared" si="48"/>
        <v>0</v>
      </c>
      <c r="Q88" s="2">
        <f t="shared" si="48"/>
        <v>0</v>
      </c>
      <c r="R88" s="2">
        <f t="shared" si="48"/>
        <v>0</v>
      </c>
      <c r="S88" s="2">
        <f t="shared" si="48"/>
        <v>0</v>
      </c>
      <c r="T88" s="2">
        <f t="shared" si="48"/>
        <v>0</v>
      </c>
      <c r="U88" s="2">
        <f t="shared" si="48"/>
        <v>0</v>
      </c>
      <c r="V88" s="2">
        <f t="shared" si="48"/>
        <v>0</v>
      </c>
    </row>
    <row r="89" spans="1:23" x14ac:dyDescent="0.35">
      <c r="A89" s="19" t="str">
        <f t="shared" si="47"/>
        <v xml:space="preserve">  Cutting old trees and stumping</v>
      </c>
      <c r="B89" s="13">
        <f>'Cocoa FIN'!B83</f>
        <v>50000</v>
      </c>
      <c r="C89" s="2">
        <f t="shared" ref="C89:V89" si="49">$B89*C48</f>
        <v>12500</v>
      </c>
      <c r="D89" s="2">
        <f t="shared" si="49"/>
        <v>12500</v>
      </c>
      <c r="E89" s="2">
        <f t="shared" si="49"/>
        <v>12500</v>
      </c>
      <c r="F89" s="2">
        <f t="shared" si="49"/>
        <v>0</v>
      </c>
      <c r="G89" s="2">
        <f t="shared" si="49"/>
        <v>0</v>
      </c>
      <c r="H89" s="2">
        <f t="shared" si="49"/>
        <v>0</v>
      </c>
      <c r="I89" s="2">
        <f t="shared" si="49"/>
        <v>0</v>
      </c>
      <c r="J89" s="2">
        <f t="shared" si="49"/>
        <v>0</v>
      </c>
      <c r="K89" s="2">
        <f t="shared" si="49"/>
        <v>0</v>
      </c>
      <c r="L89" s="2">
        <f t="shared" si="49"/>
        <v>0</v>
      </c>
      <c r="M89" s="2">
        <f t="shared" si="49"/>
        <v>0</v>
      </c>
      <c r="N89" s="2">
        <f t="shared" si="49"/>
        <v>0</v>
      </c>
      <c r="O89" s="2">
        <f t="shared" si="49"/>
        <v>0</v>
      </c>
      <c r="P89" s="2">
        <f t="shared" si="49"/>
        <v>0</v>
      </c>
      <c r="Q89" s="2">
        <f t="shared" si="49"/>
        <v>0</v>
      </c>
      <c r="R89" s="2">
        <f t="shared" si="49"/>
        <v>0</v>
      </c>
      <c r="S89" s="2">
        <f t="shared" si="49"/>
        <v>0</v>
      </c>
      <c r="T89" s="2">
        <f t="shared" si="49"/>
        <v>0</v>
      </c>
      <c r="U89" s="2">
        <f t="shared" si="49"/>
        <v>0</v>
      </c>
      <c r="V89" s="2">
        <f t="shared" si="49"/>
        <v>0</v>
      </c>
    </row>
    <row r="90" spans="1:23" x14ac:dyDescent="0.35">
      <c r="A90" s="19" t="str">
        <f t="shared" si="47"/>
        <v xml:space="preserve">  Transport of seedlings and suckers</v>
      </c>
      <c r="B90" s="13">
        <f>'Prices &amp; assums'!C27</f>
        <v>7</v>
      </c>
      <c r="C90" s="2">
        <f t="shared" ref="C90:V90" si="50">$B90*C49</f>
        <v>6532.75</v>
      </c>
      <c r="D90" s="2">
        <f t="shared" si="50"/>
        <v>6532.75</v>
      </c>
      <c r="E90" s="2">
        <f t="shared" si="50"/>
        <v>6532.75</v>
      </c>
      <c r="F90" s="2">
        <f t="shared" si="50"/>
        <v>4200</v>
      </c>
      <c r="G90" s="2">
        <f t="shared" si="50"/>
        <v>4200</v>
      </c>
      <c r="H90" s="2">
        <f t="shared" si="50"/>
        <v>4200</v>
      </c>
      <c r="I90" s="2">
        <f t="shared" si="50"/>
        <v>4200</v>
      </c>
      <c r="J90" s="2">
        <f t="shared" si="50"/>
        <v>4200</v>
      </c>
      <c r="K90" s="2">
        <f t="shared" si="50"/>
        <v>4200</v>
      </c>
      <c r="L90" s="2">
        <f t="shared" si="50"/>
        <v>4200</v>
      </c>
      <c r="M90" s="2">
        <f t="shared" si="50"/>
        <v>4200</v>
      </c>
      <c r="N90" s="2">
        <f t="shared" si="50"/>
        <v>4200</v>
      </c>
      <c r="O90" s="2">
        <f t="shared" si="50"/>
        <v>4200</v>
      </c>
      <c r="P90" s="2">
        <f t="shared" si="50"/>
        <v>4200</v>
      </c>
      <c r="Q90" s="2">
        <f t="shared" si="50"/>
        <v>4200</v>
      </c>
      <c r="R90" s="2">
        <f t="shared" si="50"/>
        <v>4200</v>
      </c>
      <c r="S90" s="2">
        <f t="shared" si="50"/>
        <v>4200</v>
      </c>
      <c r="T90" s="2">
        <f t="shared" si="50"/>
        <v>4200</v>
      </c>
      <c r="U90" s="2">
        <f t="shared" si="50"/>
        <v>4200</v>
      </c>
      <c r="V90" s="2">
        <f t="shared" si="50"/>
        <v>4200</v>
      </c>
    </row>
    <row r="91" spans="1:23" x14ac:dyDescent="0.35">
      <c r="A91" s="19" t="str">
        <f t="shared" si="47"/>
        <v xml:space="preserve">  Transport of cuts</v>
      </c>
      <c r="B91" s="13">
        <f>B90</f>
        <v>7</v>
      </c>
      <c r="C91" s="2">
        <f t="shared" ref="C91:V91" si="51">$B91*C50</f>
        <v>2332.75</v>
      </c>
      <c r="D91" s="2">
        <f t="shared" si="51"/>
        <v>2332.75</v>
      </c>
      <c r="E91" s="2">
        <f t="shared" si="51"/>
        <v>2332.75</v>
      </c>
      <c r="F91" s="2">
        <f t="shared" si="51"/>
        <v>0</v>
      </c>
      <c r="G91" s="2">
        <f t="shared" si="51"/>
        <v>0</v>
      </c>
      <c r="H91" s="2">
        <f t="shared" si="51"/>
        <v>0</v>
      </c>
      <c r="I91" s="2">
        <f t="shared" si="51"/>
        <v>0</v>
      </c>
      <c r="J91" s="2">
        <f t="shared" si="51"/>
        <v>0</v>
      </c>
      <c r="K91" s="2">
        <f t="shared" si="51"/>
        <v>0</v>
      </c>
      <c r="L91" s="2">
        <f t="shared" si="51"/>
        <v>0</v>
      </c>
      <c r="M91" s="2">
        <f t="shared" si="51"/>
        <v>0</v>
      </c>
      <c r="N91" s="2">
        <f t="shared" si="51"/>
        <v>0</v>
      </c>
      <c r="O91" s="2">
        <f t="shared" si="51"/>
        <v>0</v>
      </c>
      <c r="P91" s="2">
        <f t="shared" si="51"/>
        <v>0</v>
      </c>
      <c r="Q91" s="2">
        <f t="shared" si="51"/>
        <v>0</v>
      </c>
      <c r="R91" s="2">
        <f t="shared" si="51"/>
        <v>0</v>
      </c>
      <c r="S91" s="2">
        <f t="shared" si="51"/>
        <v>0</v>
      </c>
      <c r="T91" s="2">
        <f t="shared" si="51"/>
        <v>0</v>
      </c>
      <c r="U91" s="2">
        <f t="shared" si="51"/>
        <v>0</v>
      </c>
      <c r="V91" s="2">
        <f t="shared" si="51"/>
        <v>0</v>
      </c>
    </row>
    <row r="92" spans="1:23" x14ac:dyDescent="0.35">
      <c r="A92" s="19" t="str">
        <f t="shared" si="47"/>
        <v xml:space="preserve">  Marking out</v>
      </c>
      <c r="B92" s="13">
        <f>'Prices &amp; assums'!C7</f>
        <v>25000</v>
      </c>
      <c r="C92" s="2">
        <f t="shared" ref="C92:V92" si="52">$B92*C51</f>
        <v>25000</v>
      </c>
      <c r="D92" s="2">
        <f t="shared" si="52"/>
        <v>25000</v>
      </c>
      <c r="E92" s="2">
        <f t="shared" si="52"/>
        <v>25000</v>
      </c>
      <c r="F92" s="2">
        <f t="shared" si="52"/>
        <v>0</v>
      </c>
      <c r="G92" s="2">
        <f t="shared" si="52"/>
        <v>0</v>
      </c>
      <c r="H92" s="2">
        <f t="shared" si="52"/>
        <v>0</v>
      </c>
      <c r="I92" s="2">
        <f t="shared" si="52"/>
        <v>0</v>
      </c>
      <c r="J92" s="2">
        <f t="shared" si="52"/>
        <v>0</v>
      </c>
      <c r="K92" s="2">
        <f t="shared" si="52"/>
        <v>0</v>
      </c>
      <c r="L92" s="2">
        <f t="shared" si="52"/>
        <v>0</v>
      </c>
      <c r="M92" s="2">
        <f t="shared" si="52"/>
        <v>0</v>
      </c>
      <c r="N92" s="2">
        <f t="shared" si="52"/>
        <v>0</v>
      </c>
      <c r="O92" s="2">
        <f t="shared" si="52"/>
        <v>0</v>
      </c>
      <c r="P92" s="2">
        <f t="shared" si="52"/>
        <v>0</v>
      </c>
      <c r="Q92" s="2">
        <f t="shared" si="52"/>
        <v>0</v>
      </c>
      <c r="R92" s="2">
        <f t="shared" si="52"/>
        <v>0</v>
      </c>
      <c r="S92" s="2">
        <f t="shared" si="52"/>
        <v>0</v>
      </c>
      <c r="T92" s="2">
        <f t="shared" si="52"/>
        <v>0</v>
      </c>
      <c r="U92" s="2">
        <f t="shared" si="52"/>
        <v>0</v>
      </c>
      <c r="V92" s="2">
        <f t="shared" si="52"/>
        <v>0</v>
      </c>
    </row>
    <row r="93" spans="1:23" x14ac:dyDescent="0.35">
      <c r="A93" s="19" t="str">
        <f t="shared" si="47"/>
        <v xml:space="preserve">  Digging holes</v>
      </c>
      <c r="B93" s="13">
        <f>'Prices &amp; assums'!C8</f>
        <v>30</v>
      </c>
      <c r="C93" s="2">
        <f t="shared" ref="C93:V93" si="53">$B93*C52</f>
        <v>37995</v>
      </c>
      <c r="D93" s="2">
        <f t="shared" si="53"/>
        <v>37995</v>
      </c>
      <c r="E93" s="2">
        <f t="shared" si="53"/>
        <v>18000</v>
      </c>
      <c r="F93" s="2">
        <f t="shared" si="53"/>
        <v>18000</v>
      </c>
      <c r="G93" s="2">
        <f t="shared" si="53"/>
        <v>18000</v>
      </c>
      <c r="H93" s="2">
        <f t="shared" si="53"/>
        <v>18000</v>
      </c>
      <c r="I93" s="2">
        <f t="shared" si="53"/>
        <v>18000</v>
      </c>
      <c r="J93" s="2">
        <f t="shared" si="53"/>
        <v>18000</v>
      </c>
      <c r="K93" s="2">
        <f t="shared" si="53"/>
        <v>18000</v>
      </c>
      <c r="L93" s="2">
        <f t="shared" si="53"/>
        <v>18000</v>
      </c>
      <c r="M93" s="2">
        <f t="shared" si="53"/>
        <v>18000</v>
      </c>
      <c r="N93" s="2">
        <f t="shared" si="53"/>
        <v>18000</v>
      </c>
      <c r="O93" s="2">
        <f t="shared" si="53"/>
        <v>18000</v>
      </c>
      <c r="P93" s="2">
        <f t="shared" si="53"/>
        <v>18000</v>
      </c>
      <c r="Q93" s="2">
        <f t="shared" si="53"/>
        <v>18000</v>
      </c>
      <c r="R93" s="2">
        <f t="shared" si="53"/>
        <v>18000</v>
      </c>
      <c r="S93" s="2">
        <f t="shared" si="53"/>
        <v>18000</v>
      </c>
      <c r="T93" s="2">
        <f t="shared" si="53"/>
        <v>18000</v>
      </c>
      <c r="U93" s="2">
        <f t="shared" si="53"/>
        <v>18000</v>
      </c>
      <c r="V93" s="2">
        <f t="shared" si="53"/>
        <v>18000</v>
      </c>
    </row>
    <row r="94" spans="1:23" x14ac:dyDescent="0.35">
      <c r="A94" s="19" t="str">
        <f t="shared" si="47"/>
        <v xml:space="preserve">  Planting</v>
      </c>
      <c r="B94" s="13">
        <f>'Prices &amp; assums'!C9</f>
        <v>30</v>
      </c>
      <c r="C94" s="2">
        <f t="shared" ref="C94:V94" si="54">$B94*C53</f>
        <v>37995</v>
      </c>
      <c r="D94" s="2">
        <f t="shared" si="54"/>
        <v>37995</v>
      </c>
      <c r="E94" s="2">
        <f t="shared" si="54"/>
        <v>18000</v>
      </c>
      <c r="F94" s="2">
        <f t="shared" si="54"/>
        <v>18000</v>
      </c>
      <c r="G94" s="2">
        <f t="shared" si="54"/>
        <v>18000</v>
      </c>
      <c r="H94" s="2">
        <f t="shared" si="54"/>
        <v>18000</v>
      </c>
      <c r="I94" s="2">
        <f t="shared" si="54"/>
        <v>18000</v>
      </c>
      <c r="J94" s="2">
        <f t="shared" si="54"/>
        <v>18000</v>
      </c>
      <c r="K94" s="2">
        <f t="shared" si="54"/>
        <v>18000</v>
      </c>
      <c r="L94" s="2">
        <f t="shared" si="54"/>
        <v>18000</v>
      </c>
      <c r="M94" s="2">
        <f t="shared" si="54"/>
        <v>18000</v>
      </c>
      <c r="N94" s="2">
        <f t="shared" si="54"/>
        <v>18000</v>
      </c>
      <c r="O94" s="2">
        <f t="shared" si="54"/>
        <v>18000</v>
      </c>
      <c r="P94" s="2">
        <f t="shared" si="54"/>
        <v>18000</v>
      </c>
      <c r="Q94" s="2">
        <f t="shared" si="54"/>
        <v>18000</v>
      </c>
      <c r="R94" s="2">
        <f t="shared" si="54"/>
        <v>18000</v>
      </c>
      <c r="S94" s="2">
        <f t="shared" si="54"/>
        <v>18000</v>
      </c>
      <c r="T94" s="2">
        <f t="shared" si="54"/>
        <v>18000</v>
      </c>
      <c r="U94" s="2">
        <f t="shared" si="54"/>
        <v>18000</v>
      </c>
      <c r="V94" s="2">
        <f t="shared" si="54"/>
        <v>18000</v>
      </c>
    </row>
    <row r="95" spans="1:23" x14ac:dyDescent="0.35">
      <c r="A95" s="19" t="str">
        <f t="shared" si="47"/>
        <v xml:space="preserve">  Weeding</v>
      </c>
      <c r="B95" s="13">
        <f>'Prices &amp; assums'!C5</f>
        <v>25000</v>
      </c>
      <c r="C95" s="2">
        <f t="shared" ref="C95:V95" si="55">$B95*C54</f>
        <v>0</v>
      </c>
      <c r="D95" s="2">
        <f t="shared" si="55"/>
        <v>100000</v>
      </c>
      <c r="E95" s="2">
        <f t="shared" si="55"/>
        <v>85000</v>
      </c>
      <c r="F95" s="2">
        <f t="shared" si="55"/>
        <v>70000</v>
      </c>
      <c r="G95" s="2">
        <f t="shared" si="55"/>
        <v>55000.000000000007</v>
      </c>
      <c r="H95" s="2">
        <f t="shared" si="55"/>
        <v>55000.000000000007</v>
      </c>
      <c r="I95" s="2">
        <f t="shared" si="55"/>
        <v>55000.000000000007</v>
      </c>
      <c r="J95" s="2">
        <f t="shared" si="55"/>
        <v>55000.000000000007</v>
      </c>
      <c r="K95" s="2">
        <f t="shared" si="55"/>
        <v>55000.000000000007</v>
      </c>
      <c r="L95" s="2">
        <f t="shared" si="55"/>
        <v>55000.000000000007</v>
      </c>
      <c r="M95" s="2">
        <f t="shared" si="55"/>
        <v>55000.000000000007</v>
      </c>
      <c r="N95" s="2">
        <f t="shared" si="55"/>
        <v>55000.000000000007</v>
      </c>
      <c r="O95" s="2">
        <f t="shared" si="55"/>
        <v>55000.000000000007</v>
      </c>
      <c r="P95" s="2">
        <f t="shared" si="55"/>
        <v>55000.000000000007</v>
      </c>
      <c r="Q95" s="2">
        <f t="shared" si="55"/>
        <v>55000.000000000007</v>
      </c>
      <c r="R95" s="2">
        <f t="shared" si="55"/>
        <v>55000.000000000007</v>
      </c>
      <c r="S95" s="2">
        <f t="shared" si="55"/>
        <v>55000.000000000007</v>
      </c>
      <c r="T95" s="2">
        <f t="shared" si="55"/>
        <v>55000.000000000007</v>
      </c>
      <c r="U95" s="2">
        <f t="shared" si="55"/>
        <v>55000.000000000007</v>
      </c>
      <c r="V95" s="2">
        <f t="shared" si="55"/>
        <v>55000.000000000007</v>
      </c>
    </row>
    <row r="96" spans="1:23" x14ac:dyDescent="0.35">
      <c r="A96" s="19" t="str">
        <f t="shared" si="47"/>
        <v xml:space="preserve">  Pruning  coffee</v>
      </c>
      <c r="B96" s="13">
        <f>'Prices &amp; assums'!C3</f>
        <v>2500</v>
      </c>
      <c r="C96" s="2">
        <f t="shared" ref="C96:V96" si="56">$B96*C55</f>
        <v>1875</v>
      </c>
      <c r="D96" s="2">
        <f t="shared" si="56"/>
        <v>2500</v>
      </c>
      <c r="E96" s="2">
        <f t="shared" si="56"/>
        <v>2500</v>
      </c>
      <c r="F96" s="2">
        <f t="shared" si="56"/>
        <v>2500</v>
      </c>
      <c r="G96" s="2">
        <f t="shared" si="56"/>
        <v>2500</v>
      </c>
      <c r="H96" s="2">
        <f t="shared" si="56"/>
        <v>2500</v>
      </c>
      <c r="I96" s="2">
        <f t="shared" si="56"/>
        <v>2500</v>
      </c>
      <c r="J96" s="2">
        <f t="shared" si="56"/>
        <v>2500</v>
      </c>
      <c r="K96" s="2">
        <f t="shared" si="56"/>
        <v>2500</v>
      </c>
      <c r="L96" s="2">
        <f t="shared" si="56"/>
        <v>2500</v>
      </c>
      <c r="M96" s="2">
        <f t="shared" si="56"/>
        <v>2500</v>
      </c>
      <c r="N96" s="2">
        <f t="shared" si="56"/>
        <v>2500</v>
      </c>
      <c r="O96" s="2">
        <f t="shared" si="56"/>
        <v>2500</v>
      </c>
      <c r="P96" s="2">
        <f t="shared" si="56"/>
        <v>2500</v>
      </c>
      <c r="Q96" s="2">
        <f t="shared" si="56"/>
        <v>2500</v>
      </c>
      <c r="R96" s="2">
        <f t="shared" si="56"/>
        <v>2500</v>
      </c>
      <c r="S96" s="2">
        <f t="shared" si="56"/>
        <v>2500</v>
      </c>
      <c r="T96" s="2">
        <f t="shared" si="56"/>
        <v>2500</v>
      </c>
      <c r="U96" s="2">
        <f t="shared" si="56"/>
        <v>2500</v>
      </c>
      <c r="V96" s="2">
        <f t="shared" si="56"/>
        <v>2500</v>
      </c>
    </row>
    <row r="97" spans="1:22" x14ac:dyDescent="0.35">
      <c r="A97" s="19" t="str">
        <f t="shared" si="47"/>
        <v xml:space="preserve">  Propping of plantain suckers</v>
      </c>
      <c r="B97" s="13">
        <f t="shared" ref="B97:B102" si="57">B96</f>
        <v>2500</v>
      </c>
      <c r="C97" s="2">
        <f t="shared" ref="C97:V97" si="58">$B97*C56</f>
        <v>75000</v>
      </c>
      <c r="D97" s="2">
        <f t="shared" si="58"/>
        <v>75000</v>
      </c>
      <c r="E97" s="2">
        <f t="shared" si="58"/>
        <v>75000</v>
      </c>
      <c r="F97" s="2">
        <f t="shared" si="58"/>
        <v>75000</v>
      </c>
      <c r="G97" s="2">
        <f t="shared" si="58"/>
        <v>75000</v>
      </c>
      <c r="H97" s="2">
        <f t="shared" si="58"/>
        <v>75000</v>
      </c>
      <c r="I97" s="2">
        <f t="shared" si="58"/>
        <v>75000</v>
      </c>
      <c r="J97" s="2">
        <f t="shared" si="58"/>
        <v>75000</v>
      </c>
      <c r="K97" s="2">
        <f t="shared" si="58"/>
        <v>75000</v>
      </c>
      <c r="L97" s="2">
        <f t="shared" si="58"/>
        <v>75000</v>
      </c>
      <c r="M97" s="2">
        <f t="shared" si="58"/>
        <v>75000</v>
      </c>
      <c r="N97" s="2">
        <f t="shared" si="58"/>
        <v>75000</v>
      </c>
      <c r="O97" s="2">
        <f t="shared" si="58"/>
        <v>75000</v>
      </c>
      <c r="P97" s="2">
        <f t="shared" si="58"/>
        <v>75000</v>
      </c>
      <c r="Q97" s="2">
        <f t="shared" si="58"/>
        <v>75000</v>
      </c>
      <c r="R97" s="2">
        <f t="shared" si="58"/>
        <v>75000</v>
      </c>
      <c r="S97" s="2">
        <f t="shared" si="58"/>
        <v>75000</v>
      </c>
      <c r="T97" s="2">
        <f t="shared" si="58"/>
        <v>75000</v>
      </c>
      <c r="U97" s="2">
        <f t="shared" si="58"/>
        <v>75000</v>
      </c>
      <c r="V97" s="2">
        <f t="shared" si="58"/>
        <v>75000</v>
      </c>
    </row>
    <row r="98" spans="1:22" x14ac:dyDescent="0.35">
      <c r="A98" s="19" t="str">
        <f t="shared" si="47"/>
        <v xml:space="preserve">  Pruning of plantain suckers</v>
      </c>
      <c r="B98" s="13">
        <f t="shared" si="57"/>
        <v>2500</v>
      </c>
      <c r="C98" s="2">
        <f t="shared" ref="C98:V98" si="59">$B98*C57</f>
        <v>42500</v>
      </c>
      <c r="D98" s="2">
        <f t="shared" si="59"/>
        <v>42500</v>
      </c>
      <c r="E98" s="2">
        <f t="shared" si="59"/>
        <v>42500</v>
      </c>
      <c r="F98" s="2">
        <f t="shared" si="59"/>
        <v>42500</v>
      </c>
      <c r="G98" s="2">
        <f t="shared" si="59"/>
        <v>42500</v>
      </c>
      <c r="H98" s="2">
        <f t="shared" si="59"/>
        <v>42500</v>
      </c>
      <c r="I98" s="2">
        <f t="shared" si="59"/>
        <v>42500</v>
      </c>
      <c r="J98" s="2">
        <f t="shared" si="59"/>
        <v>42500</v>
      </c>
      <c r="K98" s="2">
        <f t="shared" si="59"/>
        <v>42500</v>
      </c>
      <c r="L98" s="2">
        <f t="shared" si="59"/>
        <v>42500</v>
      </c>
      <c r="M98" s="2">
        <f t="shared" si="59"/>
        <v>42500</v>
      </c>
      <c r="N98" s="2">
        <f t="shared" si="59"/>
        <v>42500</v>
      </c>
      <c r="O98" s="2">
        <f t="shared" si="59"/>
        <v>42500</v>
      </c>
      <c r="P98" s="2">
        <f t="shared" si="59"/>
        <v>42500</v>
      </c>
      <c r="Q98" s="2">
        <f t="shared" si="59"/>
        <v>42500</v>
      </c>
      <c r="R98" s="2">
        <f t="shared" si="59"/>
        <v>42500</v>
      </c>
      <c r="S98" s="2">
        <f t="shared" si="59"/>
        <v>42500</v>
      </c>
      <c r="T98" s="2">
        <f t="shared" si="59"/>
        <v>42500</v>
      </c>
      <c r="U98" s="2">
        <f t="shared" si="59"/>
        <v>42500</v>
      </c>
      <c r="V98" s="2">
        <f t="shared" si="59"/>
        <v>42500</v>
      </c>
    </row>
    <row r="99" spans="1:22" x14ac:dyDescent="0.35">
      <c r="A99" s="19" t="str">
        <f t="shared" si="47"/>
        <v xml:space="preserve">  Fertilizer application</v>
      </c>
      <c r="B99" s="13">
        <f t="shared" si="57"/>
        <v>2500</v>
      </c>
      <c r="C99" s="2">
        <f t="shared" ref="C99:V99" si="60">$B99*C58</f>
        <v>17500</v>
      </c>
      <c r="D99" s="2">
        <f t="shared" si="60"/>
        <v>17500</v>
      </c>
      <c r="E99" s="2">
        <f t="shared" si="60"/>
        <v>17500</v>
      </c>
      <c r="F99" s="2">
        <f t="shared" si="60"/>
        <v>17500</v>
      </c>
      <c r="G99" s="2">
        <f t="shared" si="60"/>
        <v>17500</v>
      </c>
      <c r="H99" s="2">
        <f t="shared" si="60"/>
        <v>17500</v>
      </c>
      <c r="I99" s="2">
        <f t="shared" si="60"/>
        <v>17500</v>
      </c>
      <c r="J99" s="2">
        <f t="shared" si="60"/>
        <v>17500</v>
      </c>
      <c r="K99" s="2">
        <f t="shared" si="60"/>
        <v>17500</v>
      </c>
      <c r="L99" s="2">
        <f t="shared" si="60"/>
        <v>17500</v>
      </c>
      <c r="M99" s="2">
        <f t="shared" si="60"/>
        <v>17500</v>
      </c>
      <c r="N99" s="2">
        <f t="shared" si="60"/>
        <v>17500</v>
      </c>
      <c r="O99" s="2">
        <f t="shared" si="60"/>
        <v>17500</v>
      </c>
      <c r="P99" s="2">
        <f t="shared" si="60"/>
        <v>17500</v>
      </c>
      <c r="Q99" s="2">
        <f t="shared" si="60"/>
        <v>17500</v>
      </c>
      <c r="R99" s="2">
        <f t="shared" si="60"/>
        <v>17500</v>
      </c>
      <c r="S99" s="2">
        <f t="shared" si="60"/>
        <v>17500</v>
      </c>
      <c r="T99" s="2">
        <f t="shared" si="60"/>
        <v>17500</v>
      </c>
      <c r="U99" s="2">
        <f t="shared" si="60"/>
        <v>17500</v>
      </c>
      <c r="V99" s="2">
        <f t="shared" si="60"/>
        <v>17500</v>
      </c>
    </row>
    <row r="100" spans="1:22" x14ac:dyDescent="0.35">
      <c r="A100" s="19" t="str">
        <f t="shared" si="47"/>
        <v xml:space="preserve">  Herbicide application</v>
      </c>
      <c r="B100" s="13">
        <f t="shared" si="57"/>
        <v>2500</v>
      </c>
      <c r="C100" s="2">
        <f t="shared" ref="C100:V100" si="61">$B100*C59</f>
        <v>7500</v>
      </c>
      <c r="D100" s="2">
        <f t="shared" si="61"/>
        <v>7500</v>
      </c>
      <c r="E100" s="2">
        <f t="shared" si="61"/>
        <v>7500</v>
      </c>
      <c r="F100" s="2">
        <f t="shared" si="61"/>
        <v>7500</v>
      </c>
      <c r="G100" s="2">
        <f t="shared" si="61"/>
        <v>7500</v>
      </c>
      <c r="H100" s="2">
        <f t="shared" si="61"/>
        <v>7500</v>
      </c>
      <c r="I100" s="2">
        <f t="shared" si="61"/>
        <v>7500</v>
      </c>
      <c r="J100" s="2">
        <f t="shared" si="61"/>
        <v>7500</v>
      </c>
      <c r="K100" s="2">
        <f t="shared" si="61"/>
        <v>7500</v>
      </c>
      <c r="L100" s="2">
        <f t="shared" si="61"/>
        <v>7500</v>
      </c>
      <c r="M100" s="2">
        <f t="shared" si="61"/>
        <v>7500</v>
      </c>
      <c r="N100" s="2">
        <f t="shared" si="61"/>
        <v>7500</v>
      </c>
      <c r="O100" s="2">
        <f t="shared" si="61"/>
        <v>7500</v>
      </c>
      <c r="P100" s="2">
        <f t="shared" si="61"/>
        <v>7500</v>
      </c>
      <c r="Q100" s="2">
        <f t="shared" si="61"/>
        <v>7500</v>
      </c>
      <c r="R100" s="2">
        <f t="shared" si="61"/>
        <v>7500</v>
      </c>
      <c r="S100" s="2">
        <f t="shared" si="61"/>
        <v>7500</v>
      </c>
      <c r="T100" s="2">
        <f t="shared" si="61"/>
        <v>7500</v>
      </c>
      <c r="U100" s="2">
        <f t="shared" si="61"/>
        <v>7500</v>
      </c>
      <c r="V100" s="2">
        <f t="shared" si="61"/>
        <v>7500</v>
      </c>
    </row>
    <row r="101" spans="1:22" x14ac:dyDescent="0.35">
      <c r="A101" s="19" t="str">
        <f t="shared" si="47"/>
        <v xml:space="preserve">  Mulching</v>
      </c>
      <c r="B101" s="13">
        <f t="shared" si="57"/>
        <v>2500</v>
      </c>
      <c r="C101" s="2">
        <f t="shared" ref="C101:V101" si="62">$B101*C60</f>
        <v>15000</v>
      </c>
      <c r="D101" s="2">
        <f t="shared" si="62"/>
        <v>15000</v>
      </c>
      <c r="E101" s="2">
        <f t="shared" si="62"/>
        <v>15000</v>
      </c>
      <c r="F101" s="2">
        <f t="shared" si="62"/>
        <v>15000</v>
      </c>
      <c r="G101" s="2">
        <f t="shared" si="62"/>
        <v>15000</v>
      </c>
      <c r="H101" s="2">
        <f t="shared" si="62"/>
        <v>15000</v>
      </c>
      <c r="I101" s="2">
        <f t="shared" si="62"/>
        <v>15000</v>
      </c>
      <c r="J101" s="2">
        <f t="shared" si="62"/>
        <v>15000</v>
      </c>
      <c r="K101" s="2">
        <f t="shared" si="62"/>
        <v>15000</v>
      </c>
      <c r="L101" s="2">
        <f t="shared" si="62"/>
        <v>15000</v>
      </c>
      <c r="M101" s="2">
        <f t="shared" si="62"/>
        <v>15000</v>
      </c>
      <c r="N101" s="2">
        <f t="shared" si="62"/>
        <v>15000</v>
      </c>
      <c r="O101" s="2">
        <f t="shared" si="62"/>
        <v>15000</v>
      </c>
      <c r="P101" s="2">
        <f t="shared" si="62"/>
        <v>15000</v>
      </c>
      <c r="Q101" s="2">
        <f t="shared" si="62"/>
        <v>15000</v>
      </c>
      <c r="R101" s="2">
        <f t="shared" si="62"/>
        <v>15000</v>
      </c>
      <c r="S101" s="2">
        <f t="shared" si="62"/>
        <v>15000</v>
      </c>
      <c r="T101" s="2">
        <f t="shared" si="62"/>
        <v>15000</v>
      </c>
      <c r="U101" s="2">
        <f t="shared" si="62"/>
        <v>15000</v>
      </c>
      <c r="V101" s="2">
        <f t="shared" si="62"/>
        <v>15000</v>
      </c>
    </row>
    <row r="102" spans="1:22" x14ac:dyDescent="0.35">
      <c r="A102" s="19" t="str">
        <f t="shared" si="47"/>
        <v xml:space="preserve">  Coffee harvest and drying</v>
      </c>
      <c r="B102" s="13">
        <f t="shared" si="57"/>
        <v>2500</v>
      </c>
      <c r="C102" s="2">
        <f t="shared" ref="C102:V102" si="63">$B102*C61</f>
        <v>45000</v>
      </c>
      <c r="D102" s="2">
        <f t="shared" si="63"/>
        <v>30000</v>
      </c>
      <c r="E102" s="2">
        <f t="shared" si="63"/>
        <v>26330.500000000004</v>
      </c>
      <c r="F102" s="2">
        <f t="shared" si="63"/>
        <v>29663</v>
      </c>
      <c r="G102" s="2">
        <f t="shared" si="63"/>
        <v>38327.5</v>
      </c>
      <c r="H102" s="2">
        <f t="shared" si="63"/>
        <v>44326</v>
      </c>
      <c r="I102" s="2">
        <f t="shared" si="63"/>
        <v>49658</v>
      </c>
      <c r="J102" s="2">
        <f t="shared" si="63"/>
        <v>49658</v>
      </c>
      <c r="K102" s="2">
        <f t="shared" si="63"/>
        <v>49658</v>
      </c>
      <c r="L102" s="2">
        <f t="shared" si="63"/>
        <v>49658</v>
      </c>
      <c r="M102" s="2">
        <f t="shared" si="63"/>
        <v>49658</v>
      </c>
      <c r="N102" s="2">
        <f t="shared" si="63"/>
        <v>49658</v>
      </c>
      <c r="O102" s="2">
        <f t="shared" si="63"/>
        <v>49658</v>
      </c>
      <c r="P102" s="2">
        <f t="shared" si="63"/>
        <v>49658</v>
      </c>
      <c r="Q102" s="2">
        <f t="shared" si="63"/>
        <v>49658</v>
      </c>
      <c r="R102" s="2">
        <f t="shared" si="63"/>
        <v>49658</v>
      </c>
      <c r="S102" s="2">
        <f t="shared" si="63"/>
        <v>49658</v>
      </c>
      <c r="T102" s="2">
        <f t="shared" si="63"/>
        <v>49658</v>
      </c>
      <c r="U102" s="2">
        <f t="shared" si="63"/>
        <v>49658</v>
      </c>
      <c r="V102" s="2">
        <f t="shared" si="63"/>
        <v>49658</v>
      </c>
    </row>
    <row r="103" spans="1:22" x14ac:dyDescent="0.35">
      <c r="A103" s="19" t="str">
        <f t="shared" si="47"/>
        <v xml:space="preserve">  Husking</v>
      </c>
      <c r="B103" s="13">
        <f>'Prices &amp; assums'!C19</f>
        <v>60</v>
      </c>
      <c r="C103" s="2">
        <f t="shared" ref="C103:V103" si="64">$B103*C62</f>
        <v>13500</v>
      </c>
      <c r="D103" s="2">
        <f t="shared" si="64"/>
        <v>9000</v>
      </c>
      <c r="E103" s="2">
        <f t="shared" si="64"/>
        <v>7899.1500000000005</v>
      </c>
      <c r="F103" s="2">
        <f t="shared" si="64"/>
        <v>8898.9</v>
      </c>
      <c r="G103" s="2">
        <f t="shared" si="64"/>
        <v>11498.25</v>
      </c>
      <c r="H103" s="2">
        <f t="shared" si="64"/>
        <v>13297.8</v>
      </c>
      <c r="I103" s="2">
        <f t="shared" si="64"/>
        <v>14897.4</v>
      </c>
      <c r="J103" s="2">
        <f t="shared" si="64"/>
        <v>14897.4</v>
      </c>
      <c r="K103" s="2">
        <f t="shared" si="64"/>
        <v>14897.4</v>
      </c>
      <c r="L103" s="2">
        <f t="shared" si="64"/>
        <v>14897.4</v>
      </c>
      <c r="M103" s="2">
        <f t="shared" si="64"/>
        <v>14897.4</v>
      </c>
      <c r="N103" s="2">
        <f t="shared" si="64"/>
        <v>14897.4</v>
      </c>
      <c r="O103" s="2">
        <f t="shared" si="64"/>
        <v>14897.4</v>
      </c>
      <c r="P103" s="2">
        <f t="shared" si="64"/>
        <v>14897.4</v>
      </c>
      <c r="Q103" s="2">
        <f t="shared" si="64"/>
        <v>14897.4</v>
      </c>
      <c r="R103" s="2">
        <f t="shared" si="64"/>
        <v>14897.4</v>
      </c>
      <c r="S103" s="2">
        <f t="shared" si="64"/>
        <v>14897.4</v>
      </c>
      <c r="T103" s="2">
        <f t="shared" si="64"/>
        <v>14897.4</v>
      </c>
      <c r="U103" s="2">
        <f t="shared" si="64"/>
        <v>14897.4</v>
      </c>
      <c r="V103" s="2">
        <f t="shared" si="64"/>
        <v>14897.4</v>
      </c>
    </row>
    <row r="104" spans="1:22" x14ac:dyDescent="0.35">
      <c r="A104" s="19" t="str">
        <f t="shared" si="47"/>
        <v xml:space="preserve">  Transport and marketing of coffee</v>
      </c>
      <c r="B104" s="13">
        <f>B102</f>
        <v>2500</v>
      </c>
      <c r="C104" s="2">
        <f t="shared" ref="C104:V104" si="65">$B104*C63</f>
        <v>5625</v>
      </c>
      <c r="D104" s="2">
        <f t="shared" si="65"/>
        <v>3750</v>
      </c>
      <c r="E104" s="2">
        <f t="shared" si="65"/>
        <v>3291.3125000000005</v>
      </c>
      <c r="F104" s="2">
        <f t="shared" si="65"/>
        <v>3707.875</v>
      </c>
      <c r="G104" s="2">
        <f t="shared" si="65"/>
        <v>4790.9375</v>
      </c>
      <c r="H104" s="2">
        <f t="shared" si="65"/>
        <v>5540.75</v>
      </c>
      <c r="I104" s="2">
        <f t="shared" si="65"/>
        <v>6207.25</v>
      </c>
      <c r="J104" s="2">
        <f t="shared" si="65"/>
        <v>6207.25</v>
      </c>
      <c r="K104" s="2">
        <f t="shared" si="65"/>
        <v>6207.25</v>
      </c>
      <c r="L104" s="2">
        <f t="shared" si="65"/>
        <v>6207.25</v>
      </c>
      <c r="M104" s="2">
        <f t="shared" si="65"/>
        <v>6207.25</v>
      </c>
      <c r="N104" s="2">
        <f t="shared" si="65"/>
        <v>6207.25</v>
      </c>
      <c r="O104" s="2">
        <f t="shared" si="65"/>
        <v>6207.25</v>
      </c>
      <c r="P104" s="2">
        <f t="shared" si="65"/>
        <v>6207.25</v>
      </c>
      <c r="Q104" s="2">
        <f t="shared" si="65"/>
        <v>6207.25</v>
      </c>
      <c r="R104" s="2">
        <f t="shared" si="65"/>
        <v>6207.25</v>
      </c>
      <c r="S104" s="2">
        <f t="shared" si="65"/>
        <v>6207.25</v>
      </c>
      <c r="T104" s="2">
        <f t="shared" si="65"/>
        <v>6207.25</v>
      </c>
      <c r="U104" s="2">
        <f t="shared" si="65"/>
        <v>6207.25</v>
      </c>
      <c r="V104" s="2">
        <f t="shared" si="65"/>
        <v>6207.25</v>
      </c>
    </row>
    <row r="105" spans="1:22" x14ac:dyDescent="0.35">
      <c r="A105" s="19" t="str">
        <f t="shared" si="47"/>
        <v xml:space="preserve">  Transport of coffee</v>
      </c>
      <c r="B105" s="13">
        <f>'Prices &amp; assums'!C26/1000</f>
        <v>10</v>
      </c>
      <c r="C105" s="2">
        <f t="shared" ref="C105:V105" si="66">$B105*C64</f>
        <v>2250</v>
      </c>
      <c r="D105" s="2">
        <f t="shared" si="66"/>
        <v>1500</v>
      </c>
      <c r="E105" s="2">
        <f t="shared" si="66"/>
        <v>1316.5250000000001</v>
      </c>
      <c r="F105" s="2">
        <f t="shared" si="66"/>
        <v>1483.15</v>
      </c>
      <c r="G105" s="2">
        <f t="shared" si="66"/>
        <v>1916.375</v>
      </c>
      <c r="H105" s="2">
        <f t="shared" si="66"/>
        <v>2216.3000000000002</v>
      </c>
      <c r="I105" s="2">
        <f t="shared" si="66"/>
        <v>2482.9</v>
      </c>
      <c r="J105" s="2">
        <f t="shared" si="66"/>
        <v>2482.9</v>
      </c>
      <c r="K105" s="2">
        <f t="shared" si="66"/>
        <v>2482.9</v>
      </c>
      <c r="L105" s="2">
        <f t="shared" si="66"/>
        <v>2482.9</v>
      </c>
      <c r="M105" s="2">
        <f t="shared" si="66"/>
        <v>2482.9</v>
      </c>
      <c r="N105" s="2">
        <f t="shared" si="66"/>
        <v>2482.9</v>
      </c>
      <c r="O105" s="2">
        <f t="shared" si="66"/>
        <v>2482.9</v>
      </c>
      <c r="P105" s="2">
        <f t="shared" si="66"/>
        <v>2482.9</v>
      </c>
      <c r="Q105" s="2">
        <f t="shared" si="66"/>
        <v>2482.9</v>
      </c>
      <c r="R105" s="2">
        <f t="shared" si="66"/>
        <v>2482.9</v>
      </c>
      <c r="S105" s="2">
        <f t="shared" si="66"/>
        <v>2482.9</v>
      </c>
      <c r="T105" s="2">
        <f t="shared" si="66"/>
        <v>2482.9</v>
      </c>
      <c r="U105" s="2">
        <f t="shared" si="66"/>
        <v>2482.9</v>
      </c>
      <c r="V105" s="2">
        <f t="shared" si="66"/>
        <v>2482.9</v>
      </c>
    </row>
    <row r="106" spans="1:22" x14ac:dyDescent="0.35">
      <c r="A106" s="19" t="str">
        <f t="shared" si="47"/>
        <v xml:space="preserve">  Plantain harvest and marketing</v>
      </c>
      <c r="B106" s="13">
        <f>B104</f>
        <v>2500</v>
      </c>
      <c r="C106" s="2">
        <f t="shared" ref="C106:V106" si="67">$B106*C65</f>
        <v>0</v>
      </c>
      <c r="D106" s="2">
        <f t="shared" si="67"/>
        <v>37500</v>
      </c>
      <c r="E106" s="2">
        <f t="shared" si="67"/>
        <v>37500</v>
      </c>
      <c r="F106" s="2">
        <f t="shared" si="67"/>
        <v>37500</v>
      </c>
      <c r="G106" s="2">
        <f t="shared" si="67"/>
        <v>37500</v>
      </c>
      <c r="H106" s="2">
        <f t="shared" si="67"/>
        <v>37500</v>
      </c>
      <c r="I106" s="2">
        <f t="shared" si="67"/>
        <v>37500</v>
      </c>
      <c r="J106" s="2">
        <f t="shared" si="67"/>
        <v>37500</v>
      </c>
      <c r="K106" s="2">
        <f t="shared" si="67"/>
        <v>37500</v>
      </c>
      <c r="L106" s="2">
        <f t="shared" si="67"/>
        <v>37500</v>
      </c>
      <c r="M106" s="2">
        <f t="shared" si="67"/>
        <v>37500</v>
      </c>
      <c r="N106" s="2">
        <f t="shared" si="67"/>
        <v>37500</v>
      </c>
      <c r="O106" s="2">
        <f t="shared" si="67"/>
        <v>37500</v>
      </c>
      <c r="P106" s="2">
        <f t="shared" si="67"/>
        <v>37500</v>
      </c>
      <c r="Q106" s="2">
        <f t="shared" si="67"/>
        <v>37500</v>
      </c>
      <c r="R106" s="2">
        <f t="shared" si="67"/>
        <v>37500</v>
      </c>
      <c r="S106" s="2">
        <f t="shared" si="67"/>
        <v>37500</v>
      </c>
      <c r="T106" s="2">
        <f t="shared" si="67"/>
        <v>37500</v>
      </c>
      <c r="U106" s="2">
        <f t="shared" si="67"/>
        <v>37500</v>
      </c>
      <c r="V106" s="2">
        <f t="shared" si="67"/>
        <v>37500</v>
      </c>
    </row>
    <row r="107" spans="1:22" x14ac:dyDescent="0.35">
      <c r="A107" s="19" t="str">
        <f t="shared" si="47"/>
        <v xml:space="preserve">  Transport of plantain</v>
      </c>
      <c r="B107" s="13">
        <f>B105</f>
        <v>10</v>
      </c>
      <c r="C107" s="2">
        <f t="shared" ref="C107:V107" si="68">$B107*C66</f>
        <v>0</v>
      </c>
      <c r="D107" s="2">
        <f t="shared" si="68"/>
        <v>90000</v>
      </c>
      <c r="E107" s="2">
        <f t="shared" si="68"/>
        <v>90000</v>
      </c>
      <c r="F107" s="2">
        <f t="shared" si="68"/>
        <v>90000</v>
      </c>
      <c r="G107" s="2">
        <f t="shared" si="68"/>
        <v>90000</v>
      </c>
      <c r="H107" s="2">
        <f t="shared" si="68"/>
        <v>90000</v>
      </c>
      <c r="I107" s="2">
        <f t="shared" si="68"/>
        <v>90000</v>
      </c>
      <c r="J107" s="2">
        <f t="shared" si="68"/>
        <v>90000</v>
      </c>
      <c r="K107" s="2">
        <f t="shared" si="68"/>
        <v>90000</v>
      </c>
      <c r="L107" s="2">
        <f t="shared" si="68"/>
        <v>90000</v>
      </c>
      <c r="M107" s="2">
        <f t="shared" si="68"/>
        <v>90000</v>
      </c>
      <c r="N107" s="2">
        <f t="shared" si="68"/>
        <v>90000</v>
      </c>
      <c r="O107" s="2">
        <f t="shared" si="68"/>
        <v>90000</v>
      </c>
      <c r="P107" s="2">
        <f t="shared" si="68"/>
        <v>90000</v>
      </c>
      <c r="Q107" s="2">
        <f t="shared" si="68"/>
        <v>90000</v>
      </c>
      <c r="R107" s="2">
        <f t="shared" si="68"/>
        <v>90000</v>
      </c>
      <c r="S107" s="2">
        <f t="shared" si="68"/>
        <v>90000</v>
      </c>
      <c r="T107" s="2">
        <f t="shared" si="68"/>
        <v>90000</v>
      </c>
      <c r="U107" s="2">
        <f t="shared" si="68"/>
        <v>90000</v>
      </c>
      <c r="V107" s="2">
        <f t="shared" si="68"/>
        <v>90000</v>
      </c>
    </row>
    <row r="108" spans="1:22" x14ac:dyDescent="0.35">
      <c r="A108" s="19"/>
      <c r="B108" s="8"/>
    </row>
    <row r="109" spans="1:22" x14ac:dyDescent="0.35">
      <c r="A109" s="19" t="str">
        <f t="shared" ref="A109:A117" si="69">A68</f>
        <v>Inputs</v>
      </c>
      <c r="B109" s="8"/>
    </row>
    <row r="110" spans="1:22" x14ac:dyDescent="0.35">
      <c r="A110" s="19" t="str">
        <f t="shared" si="69"/>
        <v xml:space="preserve">  Coffee seedlings</v>
      </c>
      <c r="B110" s="13">
        <f>'Prices &amp; assums'!C84</f>
        <v>50</v>
      </c>
      <c r="C110" s="2">
        <f t="shared" ref="C110:V110" si="70">$B110*C69</f>
        <v>16662.5</v>
      </c>
      <c r="D110" s="2">
        <f t="shared" si="70"/>
        <v>16662.5</v>
      </c>
      <c r="E110" s="2">
        <f t="shared" si="70"/>
        <v>16662.5</v>
      </c>
      <c r="F110" s="2">
        <f t="shared" si="70"/>
        <v>0</v>
      </c>
      <c r="G110" s="2">
        <f t="shared" si="70"/>
        <v>0</v>
      </c>
      <c r="H110" s="2">
        <f t="shared" si="70"/>
        <v>0</v>
      </c>
      <c r="I110" s="2">
        <f t="shared" si="70"/>
        <v>0</v>
      </c>
      <c r="J110" s="2">
        <f t="shared" si="70"/>
        <v>0</v>
      </c>
      <c r="K110" s="2">
        <f t="shared" si="70"/>
        <v>0</v>
      </c>
      <c r="L110" s="2">
        <f t="shared" si="70"/>
        <v>0</v>
      </c>
      <c r="M110" s="2">
        <f t="shared" si="70"/>
        <v>0</v>
      </c>
      <c r="N110" s="2">
        <f t="shared" si="70"/>
        <v>0</v>
      </c>
      <c r="O110" s="2">
        <f t="shared" si="70"/>
        <v>0</v>
      </c>
      <c r="P110" s="2">
        <f t="shared" si="70"/>
        <v>0</v>
      </c>
      <c r="Q110" s="2">
        <f t="shared" si="70"/>
        <v>0</v>
      </c>
      <c r="R110" s="2">
        <f t="shared" si="70"/>
        <v>0</v>
      </c>
      <c r="S110" s="2">
        <f t="shared" si="70"/>
        <v>0</v>
      </c>
      <c r="T110" s="2">
        <f t="shared" si="70"/>
        <v>0</v>
      </c>
      <c r="U110" s="2">
        <f t="shared" si="70"/>
        <v>0</v>
      </c>
      <c r="V110" s="2">
        <f t="shared" si="70"/>
        <v>0</v>
      </c>
    </row>
    <row r="111" spans="1:22" x14ac:dyDescent="0.35">
      <c r="A111" s="19" t="str">
        <f t="shared" si="69"/>
        <v xml:space="preserve">  Plantain suckers</v>
      </c>
      <c r="B111" s="13">
        <f>'Prices &amp; assums'!C86</f>
        <v>200</v>
      </c>
      <c r="C111" s="2">
        <f t="shared" ref="C111:V111" si="71">$B111*C70</f>
        <v>120000</v>
      </c>
      <c r="D111" s="2">
        <f t="shared" si="71"/>
        <v>120000</v>
      </c>
      <c r="E111" s="2">
        <f t="shared" si="71"/>
        <v>120000</v>
      </c>
      <c r="F111" s="2">
        <f t="shared" si="71"/>
        <v>120000</v>
      </c>
      <c r="G111" s="2">
        <f t="shared" si="71"/>
        <v>120000</v>
      </c>
      <c r="H111" s="2">
        <f t="shared" si="71"/>
        <v>120000</v>
      </c>
      <c r="I111" s="2">
        <f t="shared" si="71"/>
        <v>120000</v>
      </c>
      <c r="J111" s="2">
        <f t="shared" si="71"/>
        <v>120000</v>
      </c>
      <c r="K111" s="2">
        <f t="shared" si="71"/>
        <v>120000</v>
      </c>
      <c r="L111" s="2">
        <f t="shared" si="71"/>
        <v>120000</v>
      </c>
      <c r="M111" s="2">
        <f t="shared" si="71"/>
        <v>120000</v>
      </c>
      <c r="N111" s="2">
        <f t="shared" si="71"/>
        <v>120000</v>
      </c>
      <c r="O111" s="2">
        <f t="shared" si="71"/>
        <v>120000</v>
      </c>
      <c r="P111" s="2">
        <f t="shared" si="71"/>
        <v>120000</v>
      </c>
      <c r="Q111" s="2">
        <f t="shared" si="71"/>
        <v>120000</v>
      </c>
      <c r="R111" s="2">
        <f t="shared" si="71"/>
        <v>120000</v>
      </c>
      <c r="S111" s="2">
        <f t="shared" si="71"/>
        <v>120000</v>
      </c>
      <c r="T111" s="2">
        <f t="shared" si="71"/>
        <v>120000</v>
      </c>
      <c r="U111" s="2">
        <f t="shared" si="71"/>
        <v>120000</v>
      </c>
      <c r="V111" s="2">
        <f t="shared" si="71"/>
        <v>120000</v>
      </c>
    </row>
    <row r="112" spans="1:22" x14ac:dyDescent="0.35">
      <c r="A112" s="19" t="str">
        <f t="shared" si="69"/>
        <v xml:space="preserve">  Glyricidia cuts</v>
      </c>
      <c r="B112" s="13">
        <f>'Prices &amp; assums'!C87</f>
        <v>30</v>
      </c>
      <c r="C112" s="2">
        <f t="shared" ref="C112:V112" si="72">$B112*C71</f>
        <v>9997.5</v>
      </c>
      <c r="D112" s="2">
        <f t="shared" si="72"/>
        <v>9997.5</v>
      </c>
      <c r="E112" s="2">
        <f t="shared" si="72"/>
        <v>9997.5</v>
      </c>
      <c r="F112" s="2">
        <f t="shared" si="72"/>
        <v>0</v>
      </c>
      <c r="G112" s="2">
        <f t="shared" si="72"/>
        <v>0</v>
      </c>
      <c r="H112" s="2">
        <f t="shared" si="72"/>
        <v>0</v>
      </c>
      <c r="I112" s="2">
        <f t="shared" si="72"/>
        <v>0</v>
      </c>
      <c r="J112" s="2">
        <f t="shared" si="72"/>
        <v>0</v>
      </c>
      <c r="K112" s="2">
        <f t="shared" si="72"/>
        <v>0</v>
      </c>
      <c r="L112" s="2">
        <f t="shared" si="72"/>
        <v>0</v>
      </c>
      <c r="M112" s="2">
        <f t="shared" si="72"/>
        <v>0</v>
      </c>
      <c r="N112" s="2">
        <f t="shared" si="72"/>
        <v>0</v>
      </c>
      <c r="O112" s="2">
        <f t="shared" si="72"/>
        <v>0</v>
      </c>
      <c r="P112" s="2">
        <f t="shared" si="72"/>
        <v>0</v>
      </c>
      <c r="Q112" s="2">
        <f t="shared" si="72"/>
        <v>0</v>
      </c>
      <c r="R112" s="2">
        <f t="shared" si="72"/>
        <v>0</v>
      </c>
      <c r="S112" s="2">
        <f t="shared" si="72"/>
        <v>0</v>
      </c>
      <c r="T112" s="2">
        <f t="shared" si="72"/>
        <v>0</v>
      </c>
      <c r="U112" s="2">
        <f t="shared" si="72"/>
        <v>0</v>
      </c>
      <c r="V112" s="2">
        <f t="shared" si="72"/>
        <v>0</v>
      </c>
    </row>
    <row r="113" spans="1:22" x14ac:dyDescent="0.35">
      <c r="A113" s="19" t="str">
        <f t="shared" si="69"/>
        <v xml:space="preserve">  NPK</v>
      </c>
      <c r="B113" s="13">
        <f>'Prices &amp; assums'!C55</f>
        <v>500</v>
      </c>
      <c r="C113" s="2">
        <f t="shared" ref="C113:V113" si="73">$B113*C72</f>
        <v>30000</v>
      </c>
      <c r="D113" s="2">
        <f t="shared" si="73"/>
        <v>30000</v>
      </c>
      <c r="E113" s="2">
        <f t="shared" si="73"/>
        <v>30000</v>
      </c>
      <c r="F113" s="2">
        <f t="shared" si="73"/>
        <v>30000</v>
      </c>
      <c r="G113" s="2">
        <f t="shared" si="73"/>
        <v>30000</v>
      </c>
      <c r="H113" s="2">
        <f t="shared" si="73"/>
        <v>30000</v>
      </c>
      <c r="I113" s="2">
        <f t="shared" si="73"/>
        <v>30000</v>
      </c>
      <c r="J113" s="2">
        <f t="shared" si="73"/>
        <v>30000</v>
      </c>
      <c r="K113" s="2">
        <f t="shared" si="73"/>
        <v>30000</v>
      </c>
      <c r="L113" s="2">
        <f t="shared" si="73"/>
        <v>30000</v>
      </c>
      <c r="M113" s="2">
        <f t="shared" si="73"/>
        <v>30000</v>
      </c>
      <c r="N113" s="2">
        <f t="shared" si="73"/>
        <v>30000</v>
      </c>
      <c r="O113" s="2">
        <f t="shared" si="73"/>
        <v>30000</v>
      </c>
      <c r="P113" s="2">
        <f t="shared" si="73"/>
        <v>30000</v>
      </c>
      <c r="Q113" s="2">
        <f t="shared" si="73"/>
        <v>30000</v>
      </c>
      <c r="R113" s="2">
        <f t="shared" si="73"/>
        <v>30000</v>
      </c>
      <c r="S113" s="2">
        <f t="shared" si="73"/>
        <v>30000</v>
      </c>
      <c r="T113" s="2">
        <f t="shared" si="73"/>
        <v>30000</v>
      </c>
      <c r="U113" s="2">
        <f t="shared" si="73"/>
        <v>30000</v>
      </c>
      <c r="V113" s="2">
        <f t="shared" si="73"/>
        <v>30000</v>
      </c>
    </row>
    <row r="114" spans="1:22" x14ac:dyDescent="0.35">
      <c r="A114" s="19" t="str">
        <f t="shared" si="69"/>
        <v xml:space="preserve">  Urea</v>
      </c>
      <c r="B114" s="13">
        <f>'Prices &amp; assums'!C56</f>
        <v>500</v>
      </c>
      <c r="C114" s="2">
        <f t="shared" ref="C114:V114" si="74">$B114*C73</f>
        <v>42000</v>
      </c>
      <c r="D114" s="2">
        <f t="shared" si="74"/>
        <v>42000</v>
      </c>
      <c r="E114" s="2">
        <f t="shared" si="74"/>
        <v>42000</v>
      </c>
      <c r="F114" s="2">
        <f t="shared" si="74"/>
        <v>42000</v>
      </c>
      <c r="G114" s="2">
        <f t="shared" si="74"/>
        <v>42000</v>
      </c>
      <c r="H114" s="2">
        <f t="shared" si="74"/>
        <v>42000</v>
      </c>
      <c r="I114" s="2">
        <f t="shared" si="74"/>
        <v>42000</v>
      </c>
      <c r="J114" s="2">
        <f t="shared" si="74"/>
        <v>42000</v>
      </c>
      <c r="K114" s="2">
        <f t="shared" si="74"/>
        <v>42000</v>
      </c>
      <c r="L114" s="2">
        <f t="shared" si="74"/>
        <v>42000</v>
      </c>
      <c r="M114" s="2">
        <f t="shared" si="74"/>
        <v>42000</v>
      </c>
      <c r="N114" s="2">
        <f t="shared" si="74"/>
        <v>42000</v>
      </c>
      <c r="O114" s="2">
        <f t="shared" si="74"/>
        <v>42000</v>
      </c>
      <c r="P114" s="2">
        <f t="shared" si="74"/>
        <v>42000</v>
      </c>
      <c r="Q114" s="2">
        <f t="shared" si="74"/>
        <v>42000</v>
      </c>
      <c r="R114" s="2">
        <f t="shared" si="74"/>
        <v>42000</v>
      </c>
      <c r="S114" s="2">
        <f t="shared" si="74"/>
        <v>42000</v>
      </c>
      <c r="T114" s="2">
        <f t="shared" si="74"/>
        <v>42000</v>
      </c>
      <c r="U114" s="2">
        <f t="shared" si="74"/>
        <v>42000</v>
      </c>
      <c r="V114" s="2">
        <f t="shared" si="74"/>
        <v>42000</v>
      </c>
    </row>
    <row r="115" spans="1:22" x14ac:dyDescent="0.35">
      <c r="A115" s="19" t="str">
        <f t="shared" si="69"/>
        <v xml:space="preserve">  Potassium chloride</v>
      </c>
      <c r="B115" s="13">
        <f>'Prices &amp; assums'!C58</f>
        <v>400</v>
      </c>
      <c r="C115" s="2">
        <f t="shared" ref="C115:V115" si="75">$B115*C74</f>
        <v>96000</v>
      </c>
      <c r="D115" s="2">
        <f t="shared" si="75"/>
        <v>96000</v>
      </c>
      <c r="E115" s="2">
        <f t="shared" si="75"/>
        <v>96000</v>
      </c>
      <c r="F115" s="2">
        <f t="shared" si="75"/>
        <v>96000</v>
      </c>
      <c r="G115" s="2">
        <f t="shared" si="75"/>
        <v>96000</v>
      </c>
      <c r="H115" s="2">
        <f t="shared" si="75"/>
        <v>96000</v>
      </c>
      <c r="I115" s="2">
        <f t="shared" si="75"/>
        <v>96000</v>
      </c>
      <c r="J115" s="2">
        <f t="shared" si="75"/>
        <v>96000</v>
      </c>
      <c r="K115" s="2">
        <f t="shared" si="75"/>
        <v>96000</v>
      </c>
      <c r="L115" s="2">
        <f t="shared" si="75"/>
        <v>96000</v>
      </c>
      <c r="M115" s="2">
        <f t="shared" si="75"/>
        <v>96000</v>
      </c>
      <c r="N115" s="2">
        <f t="shared" si="75"/>
        <v>96000</v>
      </c>
      <c r="O115" s="2">
        <f t="shared" si="75"/>
        <v>96000</v>
      </c>
      <c r="P115" s="2">
        <f t="shared" si="75"/>
        <v>96000</v>
      </c>
      <c r="Q115" s="2">
        <f t="shared" si="75"/>
        <v>96000</v>
      </c>
      <c r="R115" s="2">
        <f t="shared" si="75"/>
        <v>96000</v>
      </c>
      <c r="S115" s="2">
        <f t="shared" si="75"/>
        <v>96000</v>
      </c>
      <c r="T115" s="2">
        <f t="shared" si="75"/>
        <v>96000</v>
      </c>
      <c r="U115" s="2">
        <f t="shared" si="75"/>
        <v>96000</v>
      </c>
      <c r="V115" s="2">
        <f t="shared" si="75"/>
        <v>96000</v>
      </c>
    </row>
    <row r="116" spans="1:22" x14ac:dyDescent="0.35">
      <c r="A116" s="19" t="str">
        <f t="shared" si="69"/>
        <v xml:space="preserve">  Herbicide</v>
      </c>
      <c r="B116" s="13">
        <f>'Prices &amp; assums'!C60</f>
        <v>3000</v>
      </c>
      <c r="C116" s="2">
        <f t="shared" ref="C116:V116" si="76">$B116*C75</f>
        <v>12965.186074429772</v>
      </c>
      <c r="D116" s="2">
        <f t="shared" si="76"/>
        <v>12965.186074429772</v>
      </c>
      <c r="E116" s="2">
        <f t="shared" si="76"/>
        <v>12965.186074429772</v>
      </c>
      <c r="F116" s="2">
        <f t="shared" si="76"/>
        <v>12965.186074429772</v>
      </c>
      <c r="G116" s="2">
        <f t="shared" si="76"/>
        <v>12965.186074429772</v>
      </c>
      <c r="H116" s="2">
        <f t="shared" si="76"/>
        <v>12965.186074429772</v>
      </c>
      <c r="I116" s="2">
        <f t="shared" si="76"/>
        <v>12965.186074429772</v>
      </c>
      <c r="J116" s="2">
        <f t="shared" si="76"/>
        <v>12965.186074429772</v>
      </c>
      <c r="K116" s="2">
        <f t="shared" si="76"/>
        <v>12965.186074429772</v>
      </c>
      <c r="L116" s="2">
        <f t="shared" si="76"/>
        <v>12965.186074429772</v>
      </c>
      <c r="M116" s="2">
        <f t="shared" si="76"/>
        <v>12965.186074429772</v>
      </c>
      <c r="N116" s="2">
        <f t="shared" si="76"/>
        <v>12965.186074429772</v>
      </c>
      <c r="O116" s="2">
        <f t="shared" si="76"/>
        <v>12965.186074429772</v>
      </c>
      <c r="P116" s="2">
        <f t="shared" si="76"/>
        <v>12965.186074429772</v>
      </c>
      <c r="Q116" s="2">
        <f t="shared" si="76"/>
        <v>12965.186074429772</v>
      </c>
      <c r="R116" s="2">
        <f t="shared" si="76"/>
        <v>12965.186074429772</v>
      </c>
      <c r="S116" s="2">
        <f t="shared" si="76"/>
        <v>12965.186074429772</v>
      </c>
      <c r="T116" s="2">
        <f t="shared" si="76"/>
        <v>12965.186074429772</v>
      </c>
      <c r="U116" s="2">
        <f t="shared" si="76"/>
        <v>12965.186074429772</v>
      </c>
      <c r="V116" s="2">
        <f t="shared" si="76"/>
        <v>12965.186074429772</v>
      </c>
    </row>
    <row r="117" spans="1:22" x14ac:dyDescent="0.35">
      <c r="A117" s="19" t="str">
        <f t="shared" si="69"/>
        <v xml:space="preserve">  Bags</v>
      </c>
      <c r="B117" s="13">
        <f>'Prices &amp; assums'!C50</f>
        <v>300</v>
      </c>
      <c r="C117" s="2">
        <f t="shared" ref="C117:V117" si="77">$B117*C76</f>
        <v>964.28571428571433</v>
      </c>
      <c r="D117" s="2">
        <f t="shared" si="77"/>
        <v>642.85714285714289</v>
      </c>
      <c r="E117" s="2">
        <f t="shared" si="77"/>
        <v>564.22500000000002</v>
      </c>
      <c r="F117" s="2">
        <f t="shared" si="77"/>
        <v>635.63571428571424</v>
      </c>
      <c r="G117" s="2">
        <f t="shared" si="77"/>
        <v>821.30357142857144</v>
      </c>
      <c r="H117" s="2">
        <f t="shared" si="77"/>
        <v>949.84285714285704</v>
      </c>
      <c r="I117" s="2">
        <f t="shared" si="77"/>
        <v>1064.0999999999999</v>
      </c>
      <c r="J117" s="2">
        <f t="shared" si="77"/>
        <v>1064.0999999999999</v>
      </c>
      <c r="K117" s="2">
        <f t="shared" si="77"/>
        <v>1064.0999999999999</v>
      </c>
      <c r="L117" s="2">
        <f t="shared" si="77"/>
        <v>1064.0999999999999</v>
      </c>
      <c r="M117" s="2">
        <f t="shared" si="77"/>
        <v>1064.0999999999999</v>
      </c>
      <c r="N117" s="2">
        <f t="shared" si="77"/>
        <v>1064.0999999999999</v>
      </c>
      <c r="O117" s="2">
        <f t="shared" si="77"/>
        <v>1064.0999999999999</v>
      </c>
      <c r="P117" s="2">
        <f t="shared" si="77"/>
        <v>1064.0999999999999</v>
      </c>
      <c r="Q117" s="2">
        <f t="shared" si="77"/>
        <v>1064.0999999999999</v>
      </c>
      <c r="R117" s="2">
        <f t="shared" si="77"/>
        <v>1064.0999999999999</v>
      </c>
      <c r="S117" s="2">
        <f t="shared" si="77"/>
        <v>1064.0999999999999</v>
      </c>
      <c r="T117" s="2">
        <f t="shared" si="77"/>
        <v>1064.0999999999999</v>
      </c>
      <c r="U117" s="2">
        <f t="shared" si="77"/>
        <v>1064.0999999999999</v>
      </c>
      <c r="V117" s="2">
        <f t="shared" si="77"/>
        <v>1064.0999999999999</v>
      </c>
    </row>
    <row r="118" spans="1:22" x14ac:dyDescent="0.35">
      <c r="A118" s="19"/>
      <c r="B118" s="8"/>
    </row>
    <row r="119" spans="1:22" x14ac:dyDescent="0.35">
      <c r="A119" s="19" t="str">
        <f>A78</f>
        <v>Production</v>
      </c>
      <c r="B119" s="8"/>
    </row>
    <row r="120" spans="1:22" x14ac:dyDescent="0.35">
      <c r="A120" s="19" t="str">
        <f>A79</f>
        <v xml:space="preserve">  Old coffee plants</v>
      </c>
      <c r="B120" s="13">
        <f>'Prices &amp; assums'!C96</f>
        <v>700</v>
      </c>
      <c r="C120" s="2">
        <f t="shared" ref="C120:V120" si="78">$B120*C79</f>
        <v>157500</v>
      </c>
      <c r="D120" s="2">
        <f t="shared" si="78"/>
        <v>105000</v>
      </c>
      <c r="E120" s="2">
        <f t="shared" si="78"/>
        <v>52500</v>
      </c>
      <c r="F120" s="2">
        <f t="shared" si="78"/>
        <v>52500</v>
      </c>
      <c r="G120" s="2">
        <f t="shared" si="78"/>
        <v>52500</v>
      </c>
      <c r="H120" s="2">
        <f t="shared" si="78"/>
        <v>52500</v>
      </c>
      <c r="I120" s="2">
        <f t="shared" si="78"/>
        <v>52500</v>
      </c>
      <c r="J120" s="2">
        <f t="shared" si="78"/>
        <v>52500</v>
      </c>
      <c r="K120" s="2">
        <f t="shared" si="78"/>
        <v>52500</v>
      </c>
      <c r="L120" s="2">
        <f t="shared" si="78"/>
        <v>52500</v>
      </c>
      <c r="M120" s="2">
        <f t="shared" si="78"/>
        <v>52500</v>
      </c>
      <c r="N120" s="2">
        <f t="shared" si="78"/>
        <v>52500</v>
      </c>
      <c r="O120" s="2">
        <f t="shared" si="78"/>
        <v>52500</v>
      </c>
      <c r="P120" s="2">
        <f t="shared" si="78"/>
        <v>52500</v>
      </c>
      <c r="Q120" s="2">
        <f t="shared" si="78"/>
        <v>52500</v>
      </c>
      <c r="R120" s="2">
        <f t="shared" si="78"/>
        <v>52500</v>
      </c>
      <c r="S120" s="2">
        <f t="shared" si="78"/>
        <v>52500</v>
      </c>
      <c r="T120" s="2">
        <f t="shared" si="78"/>
        <v>52500</v>
      </c>
      <c r="U120" s="2">
        <f t="shared" si="78"/>
        <v>52500</v>
      </c>
      <c r="V120" s="2">
        <f t="shared" si="78"/>
        <v>52500</v>
      </c>
    </row>
    <row r="121" spans="1:22" x14ac:dyDescent="0.35">
      <c r="A121" s="19" t="str">
        <f>A80</f>
        <v xml:space="preserve">  Coffee production of plants replanted f1st year</v>
      </c>
      <c r="B121" s="13">
        <f>B120</f>
        <v>700</v>
      </c>
      <c r="C121" s="2">
        <f t="shared" ref="C121:V121" si="79">$B121*C80</f>
        <v>0</v>
      </c>
      <c r="D121" s="2">
        <f t="shared" si="79"/>
        <v>0</v>
      </c>
      <c r="E121" s="2">
        <f t="shared" si="79"/>
        <v>39656.75</v>
      </c>
      <c r="F121" s="2">
        <f t="shared" si="79"/>
        <v>51320.5</v>
      </c>
      <c r="G121" s="2">
        <f t="shared" si="79"/>
        <v>81646.249999999985</v>
      </c>
      <c r="H121" s="2">
        <f t="shared" si="79"/>
        <v>102641</v>
      </c>
      <c r="I121" s="2">
        <f t="shared" si="79"/>
        <v>121303</v>
      </c>
      <c r="J121" s="2">
        <f t="shared" si="79"/>
        <v>121303</v>
      </c>
      <c r="K121" s="2">
        <f t="shared" si="79"/>
        <v>121303</v>
      </c>
      <c r="L121" s="2">
        <f t="shared" si="79"/>
        <v>121303</v>
      </c>
      <c r="M121" s="2">
        <f t="shared" si="79"/>
        <v>121303</v>
      </c>
      <c r="N121" s="2">
        <f t="shared" si="79"/>
        <v>121303</v>
      </c>
      <c r="O121" s="2">
        <f t="shared" si="79"/>
        <v>121303</v>
      </c>
      <c r="P121" s="2">
        <f t="shared" si="79"/>
        <v>121303</v>
      </c>
      <c r="Q121" s="2">
        <f t="shared" si="79"/>
        <v>121303</v>
      </c>
      <c r="R121" s="2">
        <f t="shared" si="79"/>
        <v>121303</v>
      </c>
      <c r="S121" s="2">
        <f t="shared" si="79"/>
        <v>121303</v>
      </c>
      <c r="T121" s="2">
        <f t="shared" si="79"/>
        <v>121303</v>
      </c>
      <c r="U121" s="2">
        <f t="shared" si="79"/>
        <v>121303</v>
      </c>
      <c r="V121" s="2">
        <f t="shared" si="79"/>
        <v>121303</v>
      </c>
    </row>
    <row r="122" spans="1:22" x14ac:dyDescent="0.35">
      <c r="A122" s="19" t="str">
        <f>A81</f>
        <v xml:space="preserve">  Coffee production of plants replanted 2nd  year</v>
      </c>
      <c r="B122" s="13">
        <f>B121</f>
        <v>700</v>
      </c>
      <c r="C122" s="2">
        <f t="shared" ref="C122:V122" si="80">$B122*C81</f>
        <v>0</v>
      </c>
      <c r="D122" s="2">
        <f t="shared" si="80"/>
        <v>0</v>
      </c>
      <c r="E122" s="2">
        <f t="shared" si="80"/>
        <v>0</v>
      </c>
      <c r="F122" s="2">
        <f t="shared" si="80"/>
        <v>39656.75</v>
      </c>
      <c r="G122" s="2">
        <f t="shared" si="80"/>
        <v>51320.5</v>
      </c>
      <c r="H122" s="2">
        <f t="shared" si="80"/>
        <v>81646.249999999985</v>
      </c>
      <c r="I122" s="2">
        <f t="shared" si="80"/>
        <v>102641</v>
      </c>
      <c r="J122" s="2">
        <f t="shared" si="80"/>
        <v>121303</v>
      </c>
      <c r="K122" s="2">
        <f t="shared" si="80"/>
        <v>121303</v>
      </c>
      <c r="L122" s="2">
        <f t="shared" si="80"/>
        <v>121303</v>
      </c>
      <c r="M122" s="2">
        <f t="shared" si="80"/>
        <v>121303</v>
      </c>
      <c r="N122" s="2">
        <f t="shared" si="80"/>
        <v>121303</v>
      </c>
      <c r="O122" s="2">
        <f t="shared" si="80"/>
        <v>121303</v>
      </c>
      <c r="P122" s="2">
        <f t="shared" si="80"/>
        <v>121303</v>
      </c>
      <c r="Q122" s="2">
        <f t="shared" si="80"/>
        <v>121303</v>
      </c>
      <c r="R122" s="2">
        <f t="shared" si="80"/>
        <v>121303</v>
      </c>
      <c r="S122" s="2">
        <f t="shared" si="80"/>
        <v>121303</v>
      </c>
      <c r="T122" s="2">
        <f t="shared" si="80"/>
        <v>121303</v>
      </c>
      <c r="U122" s="2">
        <f t="shared" si="80"/>
        <v>121303</v>
      </c>
      <c r="V122" s="2">
        <f t="shared" si="80"/>
        <v>121303</v>
      </c>
    </row>
    <row r="123" spans="1:22" x14ac:dyDescent="0.35">
      <c r="A123" s="40" t="str">
        <f>A83</f>
        <v xml:space="preserve">  Plantain</v>
      </c>
      <c r="B123" s="22">
        <f>'Prices &amp; assums'!C107</f>
        <v>800</v>
      </c>
      <c r="C123" s="14">
        <f t="shared" ref="C123:V123" si="81">$B123*C83</f>
        <v>0</v>
      </c>
      <c r="D123" s="14">
        <f t="shared" si="81"/>
        <v>480000</v>
      </c>
      <c r="E123" s="14">
        <f t="shared" si="81"/>
        <v>480000</v>
      </c>
      <c r="F123" s="14">
        <f t="shared" si="81"/>
        <v>480000</v>
      </c>
      <c r="G123" s="14">
        <f t="shared" si="81"/>
        <v>480000</v>
      </c>
      <c r="H123" s="14">
        <f t="shared" si="81"/>
        <v>480000</v>
      </c>
      <c r="I123" s="14">
        <f t="shared" si="81"/>
        <v>480000</v>
      </c>
      <c r="J123" s="14">
        <f t="shared" si="81"/>
        <v>480000</v>
      </c>
      <c r="K123" s="14">
        <f t="shared" si="81"/>
        <v>480000</v>
      </c>
      <c r="L123" s="14">
        <f t="shared" si="81"/>
        <v>480000</v>
      </c>
      <c r="M123" s="14">
        <f t="shared" si="81"/>
        <v>480000</v>
      </c>
      <c r="N123" s="14">
        <f t="shared" si="81"/>
        <v>480000</v>
      </c>
      <c r="O123" s="14">
        <f t="shared" si="81"/>
        <v>480000</v>
      </c>
      <c r="P123" s="14">
        <f t="shared" si="81"/>
        <v>480000</v>
      </c>
      <c r="Q123" s="14">
        <f t="shared" si="81"/>
        <v>480000</v>
      </c>
      <c r="R123" s="14">
        <f t="shared" si="81"/>
        <v>480000</v>
      </c>
      <c r="S123" s="14">
        <f t="shared" si="81"/>
        <v>480000</v>
      </c>
      <c r="T123" s="14">
        <f t="shared" si="81"/>
        <v>480000</v>
      </c>
      <c r="U123" s="14">
        <f t="shared" si="81"/>
        <v>480000</v>
      </c>
      <c r="V123" s="14">
        <f t="shared" si="81"/>
        <v>480000</v>
      </c>
    </row>
    <row r="124" spans="1:22" x14ac:dyDescent="0.35">
      <c r="A124" s="19" t="s">
        <v>156</v>
      </c>
      <c r="C124" s="55"/>
      <c r="D124" s="55"/>
      <c r="E124" s="55"/>
    </row>
    <row r="125" spans="1:22" x14ac:dyDescent="0.35">
      <c r="A125" s="19" t="s">
        <v>157</v>
      </c>
      <c r="C125" s="2">
        <f t="shared" ref="C125:V125" si="82">SUM(C88:C107)+SUM(C110:C117)</f>
        <v>684194.97178871557</v>
      </c>
      <c r="D125" s="2">
        <f t="shared" si="82"/>
        <v>889873.54321728693</v>
      </c>
      <c r="E125" s="2">
        <f t="shared" si="82"/>
        <v>829392.3985744298</v>
      </c>
      <c r="F125" s="2">
        <f t="shared" si="82"/>
        <v>743053.74678871548</v>
      </c>
      <c r="G125" s="2">
        <f t="shared" si="82"/>
        <v>741019.5521458583</v>
      </c>
      <c r="H125" s="2">
        <f t="shared" si="82"/>
        <v>749995.87893157266</v>
      </c>
      <c r="I125" s="2">
        <f t="shared" si="82"/>
        <v>757974.8360744298</v>
      </c>
      <c r="J125" s="2">
        <f t="shared" si="82"/>
        <v>757974.8360744298</v>
      </c>
      <c r="K125" s="2">
        <f t="shared" si="82"/>
        <v>757974.8360744298</v>
      </c>
      <c r="L125" s="2">
        <f t="shared" si="82"/>
        <v>757974.8360744298</v>
      </c>
      <c r="M125" s="2">
        <f t="shared" si="82"/>
        <v>757974.8360744298</v>
      </c>
      <c r="N125" s="2">
        <f t="shared" si="82"/>
        <v>757974.8360744298</v>
      </c>
      <c r="O125" s="2">
        <f t="shared" si="82"/>
        <v>757974.8360744298</v>
      </c>
      <c r="P125" s="2">
        <f t="shared" si="82"/>
        <v>757974.8360744298</v>
      </c>
      <c r="Q125" s="2">
        <f t="shared" si="82"/>
        <v>757974.8360744298</v>
      </c>
      <c r="R125" s="2">
        <f t="shared" si="82"/>
        <v>757974.8360744298</v>
      </c>
      <c r="S125" s="2">
        <f t="shared" si="82"/>
        <v>757974.8360744298</v>
      </c>
      <c r="T125" s="2">
        <f t="shared" si="82"/>
        <v>757974.8360744298</v>
      </c>
      <c r="U125" s="2">
        <f t="shared" si="82"/>
        <v>757974.8360744298</v>
      </c>
      <c r="V125" s="2">
        <f t="shared" si="82"/>
        <v>757974.8360744298</v>
      </c>
    </row>
    <row r="126" spans="1:22" x14ac:dyDescent="0.35">
      <c r="A126" s="19" t="s">
        <v>210</v>
      </c>
      <c r="C126" s="2">
        <f t="shared" ref="C126:V126" si="83">C125-C88-C89-C93/3-C94-C95/3-C96-C97/3-C98/2-C99-C100-C101-C102/2-C106/2</f>
        <v>502909.97178871557</v>
      </c>
      <c r="D126" s="2">
        <f t="shared" si="83"/>
        <v>663380.20988395356</v>
      </c>
      <c r="E126" s="2">
        <f t="shared" si="83"/>
        <v>636393.81524109642</v>
      </c>
      <c r="F126" s="2">
        <f t="shared" si="83"/>
        <v>573388.91345538211</v>
      </c>
      <c r="G126" s="2">
        <f t="shared" si="83"/>
        <v>572022.46881252492</v>
      </c>
      <c r="H126" s="2">
        <f t="shared" si="83"/>
        <v>577999.54559823929</v>
      </c>
      <c r="I126" s="2">
        <f t="shared" si="83"/>
        <v>583312.50274109642</v>
      </c>
      <c r="J126" s="2">
        <f t="shared" si="83"/>
        <v>583312.50274109642</v>
      </c>
      <c r="K126" s="2">
        <f t="shared" si="83"/>
        <v>583312.50274109642</v>
      </c>
      <c r="L126" s="2">
        <f t="shared" si="83"/>
        <v>583312.50274109642</v>
      </c>
      <c r="M126" s="2">
        <f t="shared" si="83"/>
        <v>583312.50274109642</v>
      </c>
      <c r="N126" s="2">
        <f t="shared" si="83"/>
        <v>583312.50274109642</v>
      </c>
      <c r="O126" s="2">
        <f t="shared" si="83"/>
        <v>583312.50274109642</v>
      </c>
      <c r="P126" s="2">
        <f t="shared" si="83"/>
        <v>583312.50274109642</v>
      </c>
      <c r="Q126" s="2">
        <f t="shared" si="83"/>
        <v>583312.50274109642</v>
      </c>
      <c r="R126" s="2">
        <f t="shared" si="83"/>
        <v>583312.50274109642</v>
      </c>
      <c r="S126" s="2">
        <f t="shared" si="83"/>
        <v>583312.50274109642</v>
      </c>
      <c r="T126" s="2">
        <f t="shared" si="83"/>
        <v>583312.50274109642</v>
      </c>
      <c r="U126" s="2">
        <f t="shared" si="83"/>
        <v>583312.50274109642</v>
      </c>
      <c r="V126" s="2">
        <f t="shared" si="83"/>
        <v>583312.50274109642</v>
      </c>
    </row>
    <row r="127" spans="1:22" x14ac:dyDescent="0.35">
      <c r="A127" s="19" t="s">
        <v>159</v>
      </c>
      <c r="C127" s="2">
        <f>C92+C110+C111+C112</f>
        <v>171660</v>
      </c>
      <c r="D127" s="2">
        <f>D92+D110+D111+D112</f>
        <v>171660</v>
      </c>
      <c r="E127" s="2">
        <f>E92+E110+E111+E112</f>
        <v>171660</v>
      </c>
      <c r="F127" s="2">
        <f t="shared" ref="F127:V127" si="84">F92+F110+F112</f>
        <v>0</v>
      </c>
      <c r="G127" s="2">
        <f t="shared" si="84"/>
        <v>0</v>
      </c>
      <c r="H127" s="2">
        <f t="shared" si="84"/>
        <v>0</v>
      </c>
      <c r="I127" s="2">
        <f t="shared" si="84"/>
        <v>0</v>
      </c>
      <c r="J127" s="2">
        <f t="shared" si="84"/>
        <v>0</v>
      </c>
      <c r="K127" s="2">
        <f t="shared" si="84"/>
        <v>0</v>
      </c>
      <c r="L127" s="2">
        <f t="shared" si="84"/>
        <v>0</v>
      </c>
      <c r="M127" s="2">
        <f t="shared" si="84"/>
        <v>0</v>
      </c>
      <c r="N127" s="2">
        <f t="shared" si="84"/>
        <v>0</v>
      </c>
      <c r="O127" s="2">
        <f t="shared" si="84"/>
        <v>0</v>
      </c>
      <c r="P127" s="2">
        <f t="shared" si="84"/>
        <v>0</v>
      </c>
      <c r="Q127" s="2">
        <f t="shared" si="84"/>
        <v>0</v>
      </c>
      <c r="R127" s="2">
        <f t="shared" si="84"/>
        <v>0</v>
      </c>
      <c r="S127" s="2">
        <f t="shared" si="84"/>
        <v>0</v>
      </c>
      <c r="T127" s="2">
        <f t="shared" si="84"/>
        <v>0</v>
      </c>
      <c r="U127" s="2">
        <f t="shared" si="84"/>
        <v>0</v>
      </c>
      <c r="V127" s="2">
        <f t="shared" si="84"/>
        <v>0</v>
      </c>
    </row>
    <row r="128" spans="1:22" x14ac:dyDescent="0.35">
      <c r="A128" s="19" t="s">
        <v>160</v>
      </c>
      <c r="C128" s="2">
        <f>C125-C127</f>
        <v>512534.97178871557</v>
      </c>
      <c r="D128" s="2">
        <f t="shared" ref="D128:V128" si="85">D125-D127</f>
        <v>718213.54321728693</v>
      </c>
      <c r="E128" s="2">
        <f t="shared" si="85"/>
        <v>657732.3985744298</v>
      </c>
      <c r="F128" s="2">
        <f t="shared" si="85"/>
        <v>743053.74678871548</v>
      </c>
      <c r="G128" s="2">
        <f t="shared" si="85"/>
        <v>741019.5521458583</v>
      </c>
      <c r="H128" s="2">
        <f t="shared" si="85"/>
        <v>749995.87893157266</v>
      </c>
      <c r="I128" s="2">
        <f t="shared" si="85"/>
        <v>757974.8360744298</v>
      </c>
      <c r="J128" s="2">
        <f t="shared" si="85"/>
        <v>757974.8360744298</v>
      </c>
      <c r="K128" s="2">
        <f t="shared" si="85"/>
        <v>757974.8360744298</v>
      </c>
      <c r="L128" s="2">
        <f t="shared" si="85"/>
        <v>757974.8360744298</v>
      </c>
      <c r="M128" s="2">
        <f t="shared" si="85"/>
        <v>757974.8360744298</v>
      </c>
      <c r="N128" s="2">
        <f t="shared" si="85"/>
        <v>757974.8360744298</v>
      </c>
      <c r="O128" s="2">
        <f t="shared" si="85"/>
        <v>757974.8360744298</v>
      </c>
      <c r="P128" s="2">
        <f t="shared" si="85"/>
        <v>757974.8360744298</v>
      </c>
      <c r="Q128" s="2">
        <f t="shared" si="85"/>
        <v>757974.8360744298</v>
      </c>
      <c r="R128" s="2">
        <f t="shared" si="85"/>
        <v>757974.8360744298</v>
      </c>
      <c r="S128" s="2">
        <f t="shared" si="85"/>
        <v>757974.8360744298</v>
      </c>
      <c r="T128" s="2">
        <f t="shared" si="85"/>
        <v>757974.8360744298</v>
      </c>
      <c r="U128" s="2">
        <f t="shared" si="85"/>
        <v>757974.8360744298</v>
      </c>
      <c r="V128" s="2">
        <f t="shared" si="85"/>
        <v>757974.8360744298</v>
      </c>
    </row>
    <row r="129" spans="1:22" x14ac:dyDescent="0.35">
      <c r="A129" s="19" t="s">
        <v>65</v>
      </c>
      <c r="C129" s="2">
        <f t="shared" ref="C129:V129" si="86">SUM(C120:C123)</f>
        <v>157500</v>
      </c>
      <c r="D129" s="2">
        <f t="shared" si="86"/>
        <v>585000</v>
      </c>
      <c r="E129" s="2">
        <f t="shared" si="86"/>
        <v>572156.75</v>
      </c>
      <c r="F129" s="2">
        <f t="shared" si="86"/>
        <v>623477.25</v>
      </c>
      <c r="G129" s="2">
        <f t="shared" si="86"/>
        <v>665466.75</v>
      </c>
      <c r="H129" s="2">
        <f t="shared" si="86"/>
        <v>716787.25</v>
      </c>
      <c r="I129" s="2">
        <f t="shared" si="86"/>
        <v>756444</v>
      </c>
      <c r="J129" s="2">
        <f t="shared" si="86"/>
        <v>775106</v>
      </c>
      <c r="K129" s="2">
        <f t="shared" si="86"/>
        <v>775106</v>
      </c>
      <c r="L129" s="2">
        <f t="shared" si="86"/>
        <v>775106</v>
      </c>
      <c r="M129" s="2">
        <f t="shared" si="86"/>
        <v>775106</v>
      </c>
      <c r="N129" s="2">
        <f t="shared" si="86"/>
        <v>775106</v>
      </c>
      <c r="O129" s="2">
        <f t="shared" si="86"/>
        <v>775106</v>
      </c>
      <c r="P129" s="2">
        <f t="shared" si="86"/>
        <v>775106</v>
      </c>
      <c r="Q129" s="2">
        <f t="shared" si="86"/>
        <v>775106</v>
      </c>
      <c r="R129" s="2">
        <f t="shared" si="86"/>
        <v>775106</v>
      </c>
      <c r="S129" s="2">
        <f t="shared" si="86"/>
        <v>775106</v>
      </c>
      <c r="T129" s="2">
        <f t="shared" si="86"/>
        <v>775106</v>
      </c>
      <c r="U129" s="2">
        <f t="shared" si="86"/>
        <v>775106</v>
      </c>
      <c r="V129" s="2">
        <f t="shared" si="86"/>
        <v>775106</v>
      </c>
    </row>
    <row r="130" spans="1:22" x14ac:dyDescent="0.35">
      <c r="A130" s="45" t="s">
        <v>154</v>
      </c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x14ac:dyDescent="0.35">
      <c r="A131" t="s">
        <v>151</v>
      </c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x14ac:dyDescent="0.35">
      <c r="A132" t="s">
        <v>152</v>
      </c>
      <c r="C132" s="2">
        <f>C129-C125</f>
        <v>-526694.97178871557</v>
      </c>
      <c r="D132" s="2">
        <f t="shared" ref="D132:V132" si="87">D129-D125</f>
        <v>-304873.54321728693</v>
      </c>
      <c r="E132" s="2">
        <f t="shared" si="87"/>
        <v>-257235.6485744298</v>
      </c>
      <c r="F132" s="2">
        <f t="shared" si="87"/>
        <v>-119576.49678871548</v>
      </c>
      <c r="G132" s="2">
        <f t="shared" si="87"/>
        <v>-75552.802145858295</v>
      </c>
      <c r="H132" s="2">
        <f t="shared" si="87"/>
        <v>-33208.628931572661</v>
      </c>
      <c r="I132" s="2">
        <f t="shared" si="87"/>
        <v>-1530.836074429797</v>
      </c>
      <c r="J132" s="2">
        <f t="shared" si="87"/>
        <v>17131.163925570203</v>
      </c>
      <c r="K132" s="2">
        <f t="shared" si="87"/>
        <v>17131.163925570203</v>
      </c>
      <c r="L132" s="2">
        <f t="shared" si="87"/>
        <v>17131.163925570203</v>
      </c>
      <c r="M132" s="2">
        <f t="shared" si="87"/>
        <v>17131.163925570203</v>
      </c>
      <c r="N132" s="2">
        <f t="shared" si="87"/>
        <v>17131.163925570203</v>
      </c>
      <c r="O132" s="2">
        <f t="shared" si="87"/>
        <v>17131.163925570203</v>
      </c>
      <c r="P132" s="2">
        <f t="shared" si="87"/>
        <v>17131.163925570203</v>
      </c>
      <c r="Q132" s="2">
        <f t="shared" si="87"/>
        <v>17131.163925570203</v>
      </c>
      <c r="R132" s="2">
        <f t="shared" si="87"/>
        <v>17131.163925570203</v>
      </c>
      <c r="S132" s="2">
        <f t="shared" si="87"/>
        <v>17131.163925570203</v>
      </c>
      <c r="T132" s="2">
        <f t="shared" si="87"/>
        <v>17131.163925570203</v>
      </c>
      <c r="U132" s="2">
        <f t="shared" si="87"/>
        <v>17131.163925570203</v>
      </c>
      <c r="V132" s="2">
        <f t="shared" si="87"/>
        <v>17131.163925570203</v>
      </c>
    </row>
    <row r="133" spans="1:22" x14ac:dyDescent="0.35">
      <c r="A133" t="s">
        <v>153</v>
      </c>
      <c r="C133" s="2">
        <f t="shared" ref="C133:V133" si="88">C129-C126</f>
        <v>-345409.97178871557</v>
      </c>
      <c r="D133" s="2">
        <f t="shared" si="88"/>
        <v>-78380.209883953561</v>
      </c>
      <c r="E133" s="2">
        <f t="shared" si="88"/>
        <v>-64237.065241096425</v>
      </c>
      <c r="F133" s="2">
        <f t="shared" si="88"/>
        <v>50088.336544617894</v>
      </c>
      <c r="G133" s="2">
        <f>G129-G126</f>
        <v>93444.281187475077</v>
      </c>
      <c r="H133" s="2">
        <f t="shared" si="88"/>
        <v>138787.70440176071</v>
      </c>
      <c r="I133" s="2">
        <f t="shared" si="88"/>
        <v>173131.49725890358</v>
      </c>
      <c r="J133" s="2">
        <f t="shared" si="88"/>
        <v>191793.49725890358</v>
      </c>
      <c r="K133" s="2">
        <f t="shared" si="88"/>
        <v>191793.49725890358</v>
      </c>
      <c r="L133" s="2">
        <f t="shared" si="88"/>
        <v>191793.49725890358</v>
      </c>
      <c r="M133" s="2">
        <f t="shared" si="88"/>
        <v>191793.49725890358</v>
      </c>
      <c r="N133" s="2">
        <f t="shared" si="88"/>
        <v>191793.49725890358</v>
      </c>
      <c r="O133" s="2">
        <f t="shared" si="88"/>
        <v>191793.49725890358</v>
      </c>
      <c r="P133" s="2">
        <f t="shared" si="88"/>
        <v>191793.49725890358</v>
      </c>
      <c r="Q133" s="2">
        <f t="shared" si="88"/>
        <v>191793.49725890358</v>
      </c>
      <c r="R133" s="2">
        <f t="shared" si="88"/>
        <v>191793.49725890358</v>
      </c>
      <c r="S133" s="2">
        <f t="shared" si="88"/>
        <v>191793.49725890358</v>
      </c>
      <c r="T133" s="2">
        <f t="shared" si="88"/>
        <v>191793.49725890358</v>
      </c>
      <c r="U133" s="2">
        <f t="shared" si="88"/>
        <v>191793.49725890358</v>
      </c>
      <c r="V133" s="2">
        <f t="shared" si="88"/>
        <v>191793.49725890358</v>
      </c>
    </row>
    <row r="134" spans="1:22" x14ac:dyDescent="0.35">
      <c r="A134" t="s">
        <v>215</v>
      </c>
      <c r="C134" s="2">
        <f>C129-C125+C127</f>
        <v>-355034.97178871557</v>
      </c>
      <c r="D134" s="2">
        <f t="shared" ref="D134:V134" si="89">D129-D125+D127</f>
        <v>-133213.54321728693</v>
      </c>
      <c r="E134" s="2">
        <f t="shared" si="89"/>
        <v>-85575.648574429797</v>
      </c>
      <c r="F134" s="2">
        <f t="shared" si="89"/>
        <v>-119576.49678871548</v>
      </c>
      <c r="G134" s="2">
        <f t="shared" si="89"/>
        <v>-75552.802145858295</v>
      </c>
      <c r="H134" s="2">
        <f t="shared" si="89"/>
        <v>-33208.628931572661</v>
      </c>
      <c r="I134" s="2">
        <f t="shared" si="89"/>
        <v>-1530.836074429797</v>
      </c>
      <c r="J134" s="2">
        <f t="shared" si="89"/>
        <v>17131.163925570203</v>
      </c>
      <c r="K134" s="2">
        <f t="shared" si="89"/>
        <v>17131.163925570203</v>
      </c>
      <c r="L134" s="2">
        <f t="shared" si="89"/>
        <v>17131.163925570203</v>
      </c>
      <c r="M134" s="2">
        <f t="shared" si="89"/>
        <v>17131.163925570203</v>
      </c>
      <c r="N134" s="2">
        <f t="shared" si="89"/>
        <v>17131.163925570203</v>
      </c>
      <c r="O134" s="2">
        <f t="shared" si="89"/>
        <v>17131.163925570203</v>
      </c>
      <c r="P134" s="2">
        <f t="shared" si="89"/>
        <v>17131.163925570203</v>
      </c>
      <c r="Q134" s="2">
        <f t="shared" si="89"/>
        <v>17131.163925570203</v>
      </c>
      <c r="R134" s="2">
        <f t="shared" si="89"/>
        <v>17131.163925570203</v>
      </c>
      <c r="S134" s="2">
        <f t="shared" si="89"/>
        <v>17131.163925570203</v>
      </c>
      <c r="T134" s="2">
        <f t="shared" si="89"/>
        <v>17131.163925570203</v>
      </c>
      <c r="U134" s="2">
        <f t="shared" si="89"/>
        <v>17131.163925570203</v>
      </c>
      <c r="V134" s="2">
        <f t="shared" si="89"/>
        <v>17131.163925570203</v>
      </c>
    </row>
    <row r="135" spans="1:22" x14ac:dyDescent="0.35">
      <c r="A135" t="s">
        <v>213</v>
      </c>
      <c r="C135" s="2">
        <f>C129-C126+C127</f>
        <v>-173749.97178871557</v>
      </c>
      <c r="D135" s="2">
        <f t="shared" ref="D135:V135" si="90">D129-D126+D127</f>
        <v>93279.790116046439</v>
      </c>
      <c r="E135" s="2">
        <f>E129-E126+E127</f>
        <v>107422.93475890358</v>
      </c>
      <c r="F135" s="2">
        <f t="shared" si="90"/>
        <v>50088.336544617894</v>
      </c>
      <c r="G135" s="2">
        <f t="shared" si="90"/>
        <v>93444.281187475077</v>
      </c>
      <c r="H135" s="2">
        <f t="shared" si="90"/>
        <v>138787.70440176071</v>
      </c>
      <c r="I135" s="2">
        <f t="shared" si="90"/>
        <v>173131.49725890358</v>
      </c>
      <c r="J135" s="2">
        <f t="shared" si="90"/>
        <v>191793.49725890358</v>
      </c>
      <c r="K135" s="2">
        <f t="shared" si="90"/>
        <v>191793.49725890358</v>
      </c>
      <c r="L135" s="2">
        <f t="shared" si="90"/>
        <v>191793.49725890358</v>
      </c>
      <c r="M135" s="2">
        <f t="shared" si="90"/>
        <v>191793.49725890358</v>
      </c>
      <c r="N135" s="2">
        <f t="shared" si="90"/>
        <v>191793.49725890358</v>
      </c>
      <c r="O135" s="2">
        <f t="shared" si="90"/>
        <v>191793.49725890358</v>
      </c>
      <c r="P135" s="2">
        <f t="shared" si="90"/>
        <v>191793.49725890358</v>
      </c>
      <c r="Q135" s="2">
        <f t="shared" si="90"/>
        <v>191793.49725890358</v>
      </c>
      <c r="R135" s="2">
        <f t="shared" si="90"/>
        <v>191793.49725890358</v>
      </c>
      <c r="S135" s="2">
        <f t="shared" si="90"/>
        <v>191793.49725890358</v>
      </c>
      <c r="T135" s="2">
        <f t="shared" si="90"/>
        <v>191793.49725890358</v>
      </c>
      <c r="U135" s="2">
        <f t="shared" si="90"/>
        <v>191793.49725890358</v>
      </c>
      <c r="V135" s="2">
        <f t="shared" si="90"/>
        <v>191793.49725890358</v>
      </c>
    </row>
    <row r="136" spans="1:22" x14ac:dyDescent="0.35">
      <c r="A136" s="37" t="s">
        <v>145</v>
      </c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x14ac:dyDescent="0.35">
      <c r="A137" t="s">
        <v>146</v>
      </c>
      <c r="C137" s="2">
        <f>C132-C$38</f>
        <v>-571909.25750300125</v>
      </c>
      <c r="D137" s="2">
        <f t="shared" ref="D137:V137" si="91">D132-D$38</f>
        <v>-350087.82893157261</v>
      </c>
      <c r="E137" s="2">
        <f t="shared" si="91"/>
        <v>-302449.93428871548</v>
      </c>
      <c r="F137" s="2">
        <f t="shared" si="91"/>
        <v>-164790.78250300119</v>
      </c>
      <c r="G137" s="2">
        <f t="shared" si="91"/>
        <v>-120767.08786014401</v>
      </c>
      <c r="H137" s="2">
        <f t="shared" si="91"/>
        <v>-78422.914645858371</v>
      </c>
      <c r="I137" s="2">
        <f t="shared" si="91"/>
        <v>-46745.121788715507</v>
      </c>
      <c r="J137" s="2">
        <f t="shared" si="91"/>
        <v>-28083.121788715507</v>
      </c>
      <c r="K137" s="2">
        <f t="shared" si="91"/>
        <v>-28083.121788715507</v>
      </c>
      <c r="L137" s="2">
        <f t="shared" si="91"/>
        <v>-28083.121788715507</v>
      </c>
      <c r="M137" s="2">
        <f t="shared" si="91"/>
        <v>-28083.121788715507</v>
      </c>
      <c r="N137" s="2">
        <f t="shared" si="91"/>
        <v>-28083.121788715507</v>
      </c>
      <c r="O137" s="2">
        <f t="shared" si="91"/>
        <v>-28083.121788715507</v>
      </c>
      <c r="P137" s="2">
        <f t="shared" si="91"/>
        <v>-28083.121788715507</v>
      </c>
      <c r="Q137" s="2">
        <f t="shared" si="91"/>
        <v>-28083.121788715507</v>
      </c>
      <c r="R137" s="2">
        <f t="shared" si="91"/>
        <v>-28083.121788715507</v>
      </c>
      <c r="S137" s="2">
        <f t="shared" si="91"/>
        <v>-28083.121788715507</v>
      </c>
      <c r="T137" s="2">
        <f t="shared" si="91"/>
        <v>-28083.121788715507</v>
      </c>
      <c r="U137" s="2">
        <f t="shared" si="91"/>
        <v>-28083.121788715507</v>
      </c>
      <c r="V137" s="2">
        <f t="shared" si="91"/>
        <v>-28083.121788715507</v>
      </c>
    </row>
    <row r="138" spans="1:22" hidden="1" x14ac:dyDescent="0.35">
      <c r="A138" t="s">
        <v>147</v>
      </c>
      <c r="B138" s="24">
        <f>NPV(disc_rate_fin,C137:V137)</f>
        <v>-1338325.8394672426</v>
      </c>
    </row>
    <row r="139" spans="1:22" hidden="1" x14ac:dyDescent="0.35">
      <c r="A139" t="s">
        <v>148</v>
      </c>
      <c r="B139" s="21">
        <f>B138/usd</f>
        <v>-2268.3488804529534</v>
      </c>
    </row>
    <row r="140" spans="1:22" hidden="1" x14ac:dyDescent="0.35">
      <c r="A140" t="s">
        <v>149</v>
      </c>
      <c r="B140" s="23" t="e">
        <f>IRR(C137:V137)</f>
        <v>#NUM!</v>
      </c>
    </row>
    <row r="141" spans="1:22" x14ac:dyDescent="0.35">
      <c r="A141" t="s">
        <v>214</v>
      </c>
      <c r="B141" s="23"/>
      <c r="C141" s="2">
        <f>C133-C$39</f>
        <v>-445624.25750300125</v>
      </c>
      <c r="D141" s="2">
        <f t="shared" ref="D141:V141" si="92">D133-D$39</f>
        <v>-178594.49559823927</v>
      </c>
      <c r="E141" s="2">
        <f t="shared" si="92"/>
        <v>-164451.35095538213</v>
      </c>
      <c r="F141" s="2">
        <f t="shared" si="92"/>
        <v>-50125.949169667816</v>
      </c>
      <c r="G141" s="2">
        <f t="shared" si="92"/>
        <v>-6770.0045268106333</v>
      </c>
      <c r="H141" s="2">
        <f t="shared" si="92"/>
        <v>38573.418687475001</v>
      </c>
      <c r="I141" s="2">
        <f t="shared" si="92"/>
        <v>72917.211544617865</v>
      </c>
      <c r="J141" s="2">
        <f t="shared" si="92"/>
        <v>91579.211544617865</v>
      </c>
      <c r="K141" s="2">
        <f t="shared" si="92"/>
        <v>91579.211544617865</v>
      </c>
      <c r="L141" s="2">
        <f t="shared" si="92"/>
        <v>91579.211544617865</v>
      </c>
      <c r="M141" s="2">
        <f t="shared" si="92"/>
        <v>91579.211544617865</v>
      </c>
      <c r="N141" s="2">
        <f t="shared" si="92"/>
        <v>91579.211544617865</v>
      </c>
      <c r="O141" s="2">
        <f t="shared" si="92"/>
        <v>91579.211544617865</v>
      </c>
      <c r="P141" s="2">
        <f t="shared" si="92"/>
        <v>91579.211544617865</v>
      </c>
      <c r="Q141" s="2">
        <f t="shared" si="92"/>
        <v>91579.211544617865</v>
      </c>
      <c r="R141" s="2">
        <f t="shared" si="92"/>
        <v>91579.211544617865</v>
      </c>
      <c r="S141" s="2">
        <f t="shared" si="92"/>
        <v>91579.211544617865</v>
      </c>
      <c r="T141" s="2">
        <f t="shared" si="92"/>
        <v>91579.211544617865</v>
      </c>
      <c r="U141" s="2">
        <f t="shared" si="92"/>
        <v>91579.211544617865</v>
      </c>
      <c r="V141" s="2">
        <f t="shared" si="92"/>
        <v>91579.211544617865</v>
      </c>
    </row>
    <row r="142" spans="1:22" x14ac:dyDescent="0.35">
      <c r="A142" t="s">
        <v>147</v>
      </c>
      <c r="B142" s="24">
        <f>NPV(disc_rate_fin,C141:V141)</f>
        <v>-362801.28569952608</v>
      </c>
    </row>
    <row r="143" spans="1:22" x14ac:dyDescent="0.35">
      <c r="A143" t="s">
        <v>148</v>
      </c>
      <c r="B143" s="21">
        <f>B142/usd</f>
        <v>-614.91743338902722</v>
      </c>
    </row>
    <row r="144" spans="1:22" x14ac:dyDescent="0.35">
      <c r="A144" t="s">
        <v>149</v>
      </c>
      <c r="B144" s="23">
        <f>IRR(C141:V141)</f>
        <v>3.9104809888890424E-2</v>
      </c>
    </row>
    <row r="145" spans="1:22" x14ac:dyDescent="0.35">
      <c r="A145" s="37" t="s">
        <v>150</v>
      </c>
      <c r="B145" s="23"/>
    </row>
    <row r="146" spans="1:22" x14ac:dyDescent="0.35">
      <c r="A146" t="s">
        <v>146</v>
      </c>
      <c r="C146" s="2">
        <f>C134-C$38</f>
        <v>-400249.25750300125</v>
      </c>
      <c r="D146" s="2">
        <f t="shared" ref="D146:V146" si="93">D134-D$38</f>
        <v>-178427.82893157264</v>
      </c>
      <c r="E146" s="2">
        <f t="shared" si="93"/>
        <v>-130789.93428871551</v>
      </c>
      <c r="F146" s="2">
        <f t="shared" si="93"/>
        <v>-164790.78250300119</v>
      </c>
      <c r="G146" s="2">
        <f t="shared" si="93"/>
        <v>-120767.08786014401</v>
      </c>
      <c r="H146" s="2">
        <f t="shared" si="93"/>
        <v>-78422.914645858371</v>
      </c>
      <c r="I146" s="2">
        <f t="shared" si="93"/>
        <v>-46745.121788715507</v>
      </c>
      <c r="J146" s="2">
        <f t="shared" si="93"/>
        <v>-28083.121788715507</v>
      </c>
      <c r="K146" s="2">
        <f t="shared" si="93"/>
        <v>-28083.121788715507</v>
      </c>
      <c r="L146" s="2">
        <f t="shared" si="93"/>
        <v>-28083.121788715507</v>
      </c>
      <c r="M146" s="2">
        <f t="shared" si="93"/>
        <v>-28083.121788715507</v>
      </c>
      <c r="N146" s="2">
        <f t="shared" si="93"/>
        <v>-28083.121788715507</v>
      </c>
      <c r="O146" s="2">
        <f t="shared" si="93"/>
        <v>-28083.121788715507</v>
      </c>
      <c r="P146" s="2">
        <f t="shared" si="93"/>
        <v>-28083.121788715507</v>
      </c>
      <c r="Q146" s="2">
        <f t="shared" si="93"/>
        <v>-28083.121788715507</v>
      </c>
      <c r="R146" s="2">
        <f t="shared" si="93"/>
        <v>-28083.121788715507</v>
      </c>
      <c r="S146" s="2">
        <f t="shared" si="93"/>
        <v>-28083.121788715507</v>
      </c>
      <c r="T146" s="2">
        <f t="shared" si="93"/>
        <v>-28083.121788715507</v>
      </c>
      <c r="U146" s="2">
        <f t="shared" si="93"/>
        <v>-28083.121788715507</v>
      </c>
      <c r="V146" s="2">
        <f t="shared" si="93"/>
        <v>-28083.121788715507</v>
      </c>
    </row>
    <row r="147" spans="1:22" hidden="1" x14ac:dyDescent="0.35">
      <c r="A147" t="s">
        <v>147</v>
      </c>
      <c r="B147" s="24">
        <f>NPV(disc_rate_fin,C146:V146)</f>
        <v>-922458.99561301479</v>
      </c>
    </row>
    <row r="148" spans="1:22" hidden="1" x14ac:dyDescent="0.35">
      <c r="A148" t="s">
        <v>148</v>
      </c>
      <c r="B148" s="21">
        <f>B147/usd</f>
        <v>-1563.4898230729063</v>
      </c>
    </row>
    <row r="149" spans="1:22" hidden="1" x14ac:dyDescent="0.35">
      <c r="A149" t="s">
        <v>149</v>
      </c>
      <c r="B149" s="23" t="e">
        <f>IRR(C146:V146)</f>
        <v>#NUM!</v>
      </c>
    </row>
    <row r="150" spans="1:22" x14ac:dyDescent="0.35">
      <c r="A150" t="s">
        <v>214</v>
      </c>
      <c r="B150" s="23"/>
      <c r="C150" s="2">
        <f>C135-C$39</f>
        <v>-273964.25750300125</v>
      </c>
      <c r="D150" s="2">
        <f>D135-D$39</f>
        <v>-6934.4955982392712</v>
      </c>
      <c r="E150" s="2">
        <f t="shared" ref="E150:V150" si="94">E135-E$39</f>
        <v>7208.649044617865</v>
      </c>
      <c r="F150" s="2">
        <f t="shared" si="94"/>
        <v>-50125.949169667816</v>
      </c>
      <c r="G150" s="2">
        <f t="shared" si="94"/>
        <v>-6770.0045268106333</v>
      </c>
      <c r="H150" s="2">
        <f t="shared" si="94"/>
        <v>38573.418687475001</v>
      </c>
      <c r="I150" s="2">
        <f t="shared" si="94"/>
        <v>72917.211544617865</v>
      </c>
      <c r="J150" s="2">
        <f t="shared" si="94"/>
        <v>91579.211544617865</v>
      </c>
      <c r="K150" s="2">
        <f t="shared" si="94"/>
        <v>91579.211544617865</v>
      </c>
      <c r="L150" s="2">
        <f t="shared" si="94"/>
        <v>91579.211544617865</v>
      </c>
      <c r="M150" s="2">
        <f t="shared" si="94"/>
        <v>91579.211544617865</v>
      </c>
      <c r="N150" s="2">
        <f t="shared" si="94"/>
        <v>91579.211544617865</v>
      </c>
      <c r="O150" s="2">
        <f t="shared" si="94"/>
        <v>91579.211544617865</v>
      </c>
      <c r="P150" s="2">
        <f t="shared" si="94"/>
        <v>91579.211544617865</v>
      </c>
      <c r="Q150" s="2">
        <f t="shared" si="94"/>
        <v>91579.211544617865</v>
      </c>
      <c r="R150" s="2">
        <f t="shared" si="94"/>
        <v>91579.211544617865</v>
      </c>
      <c r="S150" s="2">
        <f t="shared" si="94"/>
        <v>91579.211544617865</v>
      </c>
      <c r="T150" s="2">
        <f t="shared" si="94"/>
        <v>91579.211544617865</v>
      </c>
      <c r="U150" s="2">
        <f t="shared" si="94"/>
        <v>91579.211544617865</v>
      </c>
      <c r="V150" s="2">
        <f t="shared" si="94"/>
        <v>91579.211544617865</v>
      </c>
    </row>
    <row r="151" spans="1:22" x14ac:dyDescent="0.35">
      <c r="A151" t="s">
        <v>147</v>
      </c>
      <c r="B151" s="24">
        <f>NPV(disc_rate_fin,C150:V150)</f>
        <v>53065.558154702107</v>
      </c>
    </row>
    <row r="152" spans="1:22" x14ac:dyDescent="0.35">
      <c r="A152" t="s">
        <v>148</v>
      </c>
      <c r="B152" s="21">
        <f>B151/usd</f>
        <v>89.941623991020521</v>
      </c>
    </row>
    <row r="153" spans="1:22" x14ac:dyDescent="0.35">
      <c r="A153" t="s">
        <v>149</v>
      </c>
      <c r="B153" s="23">
        <f>IRR(C150:V150)</f>
        <v>0.13422762946771516</v>
      </c>
    </row>
    <row r="156" spans="1:22" x14ac:dyDescent="0.35">
      <c r="A156" s="1" t="s">
        <v>475</v>
      </c>
    </row>
    <row r="157" spans="1:22" x14ac:dyDescent="0.35">
      <c r="A157" t="s">
        <v>386</v>
      </c>
      <c r="B157" s="66">
        <v>0.02</v>
      </c>
      <c r="C157" s="2">
        <f>SUM(C120:C123)*(1-$B157)-(C126-C127)</f>
        <v>-176899.97178871557</v>
      </c>
      <c r="D157" s="2">
        <f t="shared" ref="D157:V157" si="95">SUM(D120:D123)*(1-$B157)-(D126-D127)</f>
        <v>81579.790116046439</v>
      </c>
      <c r="E157" s="2">
        <f t="shared" si="95"/>
        <v>95979.799758903566</v>
      </c>
      <c r="F157" s="2">
        <f t="shared" si="95"/>
        <v>37618.791544617852</v>
      </c>
      <c r="G157" s="2">
        <f t="shared" si="95"/>
        <v>80134.946187475114</v>
      </c>
      <c r="H157" s="2">
        <f t="shared" si="95"/>
        <v>124451.95940176072</v>
      </c>
      <c r="I157" s="2">
        <f t="shared" si="95"/>
        <v>158002.61725890357</v>
      </c>
      <c r="J157" s="2">
        <f t="shared" si="95"/>
        <v>176291.37725890358</v>
      </c>
      <c r="K157" s="2">
        <f t="shared" si="95"/>
        <v>176291.37725890358</v>
      </c>
      <c r="L157" s="2">
        <f t="shared" si="95"/>
        <v>176291.37725890358</v>
      </c>
      <c r="M157" s="2">
        <f t="shared" si="95"/>
        <v>176291.37725890358</v>
      </c>
      <c r="N157" s="2">
        <f t="shared" si="95"/>
        <v>176291.37725890358</v>
      </c>
      <c r="O157" s="2">
        <f t="shared" si="95"/>
        <v>176291.37725890358</v>
      </c>
      <c r="P157" s="2">
        <f t="shared" si="95"/>
        <v>176291.37725890358</v>
      </c>
      <c r="Q157" s="2">
        <f t="shared" si="95"/>
        <v>176291.37725890358</v>
      </c>
      <c r="R157" s="2">
        <f t="shared" si="95"/>
        <v>176291.37725890358</v>
      </c>
      <c r="S157" s="2">
        <f t="shared" si="95"/>
        <v>176291.37725890358</v>
      </c>
      <c r="T157" s="2">
        <f t="shared" si="95"/>
        <v>176291.37725890358</v>
      </c>
      <c r="U157" s="2">
        <f t="shared" si="95"/>
        <v>176291.37725890358</v>
      </c>
      <c r="V157" s="2">
        <f t="shared" si="95"/>
        <v>176291.37725890358</v>
      </c>
    </row>
    <row r="158" spans="1:22" x14ac:dyDescent="0.35">
      <c r="A158" t="s">
        <v>383</v>
      </c>
      <c r="C158" s="2">
        <f>C33*(1-$B157)-(C35)</f>
        <v>96014.28571428571</v>
      </c>
      <c r="D158" s="2">
        <f t="shared" ref="D158:V158" si="96">D33*(1-$B157)-(D35)</f>
        <v>96014.28571428571</v>
      </c>
      <c r="E158" s="2">
        <f t="shared" si="96"/>
        <v>96014.28571428571</v>
      </c>
      <c r="F158" s="2">
        <f t="shared" si="96"/>
        <v>96014.28571428571</v>
      </c>
      <c r="G158" s="2">
        <f t="shared" si="96"/>
        <v>96014.28571428571</v>
      </c>
      <c r="H158" s="2">
        <f t="shared" si="96"/>
        <v>96014.28571428571</v>
      </c>
      <c r="I158" s="2">
        <f t="shared" si="96"/>
        <v>96014.28571428571</v>
      </c>
      <c r="J158" s="2">
        <f t="shared" si="96"/>
        <v>96014.28571428571</v>
      </c>
      <c r="K158" s="2">
        <f t="shared" si="96"/>
        <v>96014.28571428571</v>
      </c>
      <c r="L158" s="2">
        <f t="shared" si="96"/>
        <v>96014.28571428571</v>
      </c>
      <c r="M158" s="2">
        <f t="shared" si="96"/>
        <v>96014.28571428571</v>
      </c>
      <c r="N158" s="2">
        <f t="shared" si="96"/>
        <v>96014.28571428571</v>
      </c>
      <c r="O158" s="2">
        <f t="shared" si="96"/>
        <v>96014.28571428571</v>
      </c>
      <c r="P158" s="2">
        <f t="shared" si="96"/>
        <v>96014.28571428571</v>
      </c>
      <c r="Q158" s="2">
        <f t="shared" si="96"/>
        <v>96014.28571428571</v>
      </c>
      <c r="R158" s="2">
        <f t="shared" si="96"/>
        <v>96014.28571428571</v>
      </c>
      <c r="S158" s="2">
        <f t="shared" si="96"/>
        <v>96014.28571428571</v>
      </c>
      <c r="T158" s="2">
        <f t="shared" si="96"/>
        <v>96014.28571428571</v>
      </c>
      <c r="U158" s="2">
        <f t="shared" si="96"/>
        <v>96014.28571428571</v>
      </c>
      <c r="V158" s="2">
        <f t="shared" si="96"/>
        <v>96014.28571428571</v>
      </c>
    </row>
    <row r="159" spans="1:22" x14ac:dyDescent="0.35">
      <c r="A159" t="s">
        <v>384</v>
      </c>
      <c r="C159" s="2">
        <f>C157-C158</f>
        <v>-272914.25750300125</v>
      </c>
      <c r="D159" s="2">
        <f t="shared" ref="D159:V159" si="97">D157-D158</f>
        <v>-14434.495598239271</v>
      </c>
      <c r="E159" s="2">
        <f t="shared" si="97"/>
        <v>-34.485955382144311</v>
      </c>
      <c r="F159" s="2">
        <f t="shared" si="97"/>
        <v>-58395.494169667858</v>
      </c>
      <c r="G159" s="2">
        <f t="shared" si="97"/>
        <v>-15879.339526810596</v>
      </c>
      <c r="H159" s="2">
        <f t="shared" si="97"/>
        <v>28437.673687475006</v>
      </c>
      <c r="I159" s="2">
        <f t="shared" si="97"/>
        <v>61988.33154461786</v>
      </c>
      <c r="J159" s="2">
        <f t="shared" si="97"/>
        <v>80277.09154461787</v>
      </c>
      <c r="K159" s="2">
        <f t="shared" si="97"/>
        <v>80277.09154461787</v>
      </c>
      <c r="L159" s="2">
        <f t="shared" si="97"/>
        <v>80277.09154461787</v>
      </c>
      <c r="M159" s="2">
        <f t="shared" si="97"/>
        <v>80277.09154461787</v>
      </c>
      <c r="N159" s="2">
        <f t="shared" si="97"/>
        <v>80277.09154461787</v>
      </c>
      <c r="O159" s="2">
        <f t="shared" si="97"/>
        <v>80277.09154461787</v>
      </c>
      <c r="P159" s="2">
        <f t="shared" si="97"/>
        <v>80277.09154461787</v>
      </c>
      <c r="Q159" s="2">
        <f t="shared" si="97"/>
        <v>80277.09154461787</v>
      </c>
      <c r="R159" s="2">
        <f t="shared" si="97"/>
        <v>80277.09154461787</v>
      </c>
      <c r="S159" s="2">
        <f t="shared" si="97"/>
        <v>80277.09154461787</v>
      </c>
      <c r="T159" s="2">
        <f t="shared" si="97"/>
        <v>80277.09154461787</v>
      </c>
      <c r="U159" s="2">
        <f t="shared" si="97"/>
        <v>80277.09154461787</v>
      </c>
      <c r="V159" s="2">
        <f t="shared" si="97"/>
        <v>80277.09154461787</v>
      </c>
    </row>
    <row r="160" spans="1:22" x14ac:dyDescent="0.35">
      <c r="A160" t="s">
        <v>125</v>
      </c>
      <c r="B160" s="24">
        <f>NPV(disc_rate_fin,C159:V159)</f>
        <v>-12991.492500911932</v>
      </c>
    </row>
    <row r="161" spans="1:22" x14ac:dyDescent="0.35">
      <c r="A161" t="s">
        <v>387</v>
      </c>
      <c r="B161" s="66">
        <v>0.02</v>
      </c>
      <c r="C161" s="2">
        <f>SUM(C120:C123)-(C126-C127)*(1+$B161)</f>
        <v>-180374.97122448991</v>
      </c>
      <c r="D161" s="2">
        <f t="shared" ref="D161:V161" si="98">SUM(D120:D123)-(D126-D127)*(1+$B161)</f>
        <v>83445.385918367363</v>
      </c>
      <c r="E161" s="2">
        <f t="shared" si="98"/>
        <v>98128.258454081661</v>
      </c>
      <c r="F161" s="2">
        <f t="shared" si="98"/>
        <v>38620.558275510208</v>
      </c>
      <c r="G161" s="2">
        <f t="shared" si="98"/>
        <v>82003.831811224576</v>
      </c>
      <c r="H161" s="2">
        <f t="shared" si="98"/>
        <v>127227.71348979592</v>
      </c>
      <c r="I161" s="2">
        <f t="shared" si="98"/>
        <v>161465.24720408162</v>
      </c>
      <c r="J161" s="2">
        <f t="shared" si="98"/>
        <v>180127.24720408162</v>
      </c>
      <c r="K161" s="2">
        <f t="shared" si="98"/>
        <v>180127.24720408162</v>
      </c>
      <c r="L161" s="2">
        <f t="shared" si="98"/>
        <v>180127.24720408162</v>
      </c>
      <c r="M161" s="2">
        <f t="shared" si="98"/>
        <v>180127.24720408162</v>
      </c>
      <c r="N161" s="2">
        <f t="shared" si="98"/>
        <v>180127.24720408162</v>
      </c>
      <c r="O161" s="2">
        <f t="shared" si="98"/>
        <v>180127.24720408162</v>
      </c>
      <c r="P161" s="2">
        <f t="shared" si="98"/>
        <v>180127.24720408162</v>
      </c>
      <c r="Q161" s="2">
        <f t="shared" si="98"/>
        <v>180127.24720408162</v>
      </c>
      <c r="R161" s="2">
        <f t="shared" si="98"/>
        <v>180127.24720408162</v>
      </c>
      <c r="S161" s="2">
        <f t="shared" si="98"/>
        <v>180127.24720408162</v>
      </c>
      <c r="T161" s="2">
        <f t="shared" si="98"/>
        <v>180127.24720408162</v>
      </c>
      <c r="U161" s="2">
        <f t="shared" si="98"/>
        <v>180127.24720408162</v>
      </c>
      <c r="V161" s="2">
        <f t="shared" si="98"/>
        <v>180127.24720408162</v>
      </c>
    </row>
    <row r="162" spans="1:22" x14ac:dyDescent="0.35">
      <c r="A162" t="s">
        <v>385</v>
      </c>
      <c r="C162" s="2">
        <f>C33-(C35)*(1+$B161)</f>
        <v>98018.57142857142</v>
      </c>
      <c r="D162" s="2">
        <f t="shared" ref="D162:V162" si="99">D33-(D35)*(1+$B161)</f>
        <v>98018.57142857142</v>
      </c>
      <c r="E162" s="2">
        <f t="shared" si="99"/>
        <v>98018.57142857142</v>
      </c>
      <c r="F162" s="2">
        <f t="shared" si="99"/>
        <v>98018.57142857142</v>
      </c>
      <c r="G162" s="2">
        <f t="shared" si="99"/>
        <v>98018.57142857142</v>
      </c>
      <c r="H162" s="2">
        <f t="shared" si="99"/>
        <v>98018.57142857142</v>
      </c>
      <c r="I162" s="2">
        <f t="shared" si="99"/>
        <v>98018.57142857142</v>
      </c>
      <c r="J162" s="2">
        <f t="shared" si="99"/>
        <v>98018.57142857142</v>
      </c>
      <c r="K162" s="2">
        <f t="shared" si="99"/>
        <v>98018.57142857142</v>
      </c>
      <c r="L162" s="2">
        <f t="shared" si="99"/>
        <v>98018.57142857142</v>
      </c>
      <c r="M162" s="2">
        <f t="shared" si="99"/>
        <v>98018.57142857142</v>
      </c>
      <c r="N162" s="2">
        <f t="shared" si="99"/>
        <v>98018.57142857142</v>
      </c>
      <c r="O162" s="2">
        <f t="shared" si="99"/>
        <v>98018.57142857142</v>
      </c>
      <c r="P162" s="2">
        <f t="shared" si="99"/>
        <v>98018.57142857142</v>
      </c>
      <c r="Q162" s="2">
        <f t="shared" si="99"/>
        <v>98018.57142857142</v>
      </c>
      <c r="R162" s="2">
        <f t="shared" si="99"/>
        <v>98018.57142857142</v>
      </c>
      <c r="S162" s="2">
        <f t="shared" si="99"/>
        <v>98018.57142857142</v>
      </c>
      <c r="T162" s="2">
        <f t="shared" si="99"/>
        <v>98018.57142857142</v>
      </c>
      <c r="U162" s="2">
        <f t="shared" si="99"/>
        <v>98018.57142857142</v>
      </c>
      <c r="V162" s="2">
        <f t="shared" si="99"/>
        <v>98018.57142857142</v>
      </c>
    </row>
    <row r="163" spans="1:22" x14ac:dyDescent="0.35">
      <c r="A163" t="s">
        <v>384</v>
      </c>
      <c r="C163" s="2">
        <f>C161-C162</f>
        <v>-278393.54265306133</v>
      </c>
      <c r="D163" s="2">
        <f t="shared" ref="D163" si="100">D161-D162</f>
        <v>-14573.185510204057</v>
      </c>
      <c r="E163" s="2">
        <f t="shared" ref="E163" si="101">E161-E162</f>
        <v>109.68702551024035</v>
      </c>
      <c r="F163" s="2">
        <f t="shared" ref="F163" si="102">F161-F162</f>
        <v>-59398.013153061213</v>
      </c>
      <c r="G163" s="2">
        <f t="shared" ref="G163" si="103">G161-G162</f>
        <v>-16014.739617346844</v>
      </c>
      <c r="H163" s="2">
        <f t="shared" ref="H163" si="104">H161-H162</f>
        <v>29209.142061224498</v>
      </c>
      <c r="I163" s="2">
        <f t="shared" ref="I163" si="105">I161-I162</f>
        <v>63446.675775510201</v>
      </c>
      <c r="J163" s="2">
        <f t="shared" ref="J163" si="106">J161-J162</f>
        <v>82108.675775510201</v>
      </c>
      <c r="K163" s="2">
        <f t="shared" ref="K163" si="107">K161-K162</f>
        <v>82108.675775510201</v>
      </c>
      <c r="L163" s="2">
        <f t="shared" ref="L163" si="108">L161-L162</f>
        <v>82108.675775510201</v>
      </c>
      <c r="M163" s="2">
        <f t="shared" ref="M163" si="109">M161-M162</f>
        <v>82108.675775510201</v>
      </c>
      <c r="N163" s="2">
        <f t="shared" ref="N163" si="110">N161-N162</f>
        <v>82108.675775510201</v>
      </c>
      <c r="O163" s="2">
        <f t="shared" ref="O163" si="111">O161-O162</f>
        <v>82108.675775510201</v>
      </c>
      <c r="P163" s="2">
        <f t="shared" ref="P163" si="112">P161-P162</f>
        <v>82108.675775510201</v>
      </c>
      <c r="Q163" s="2">
        <f t="shared" ref="Q163" si="113">Q161-Q162</f>
        <v>82108.675775510201</v>
      </c>
      <c r="R163" s="2">
        <f t="shared" ref="R163" si="114">R161-R162</f>
        <v>82108.675775510201</v>
      </c>
      <c r="S163" s="2">
        <f t="shared" ref="S163" si="115">S161-S162</f>
        <v>82108.675775510201</v>
      </c>
      <c r="T163" s="2">
        <f t="shared" ref="T163" si="116">T161-T162</f>
        <v>82108.675775510201</v>
      </c>
      <c r="U163" s="2">
        <f t="shared" ref="U163" si="117">U161-U162</f>
        <v>82108.675775510201</v>
      </c>
      <c r="V163" s="2">
        <f t="shared" ref="V163" si="118">V161-V162</f>
        <v>82108.675775510201</v>
      </c>
    </row>
    <row r="164" spans="1:22" x14ac:dyDescent="0.35">
      <c r="A164" t="s">
        <v>125</v>
      </c>
      <c r="B164" s="24">
        <f>NPV(disc_rate_fin,C163:V163)</f>
        <v>-11930.181337817981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2"/>
  <sheetViews>
    <sheetView topLeftCell="A124" workbookViewId="0">
      <selection activeCell="A149" sqref="A149"/>
    </sheetView>
  </sheetViews>
  <sheetFormatPr defaultRowHeight="14.5" x14ac:dyDescent="0.35"/>
  <cols>
    <col min="1" max="1" width="37.1796875" customWidth="1"/>
  </cols>
  <sheetData>
    <row r="1" spans="1:22" x14ac:dyDescent="0.35">
      <c r="A1" t="s">
        <v>185</v>
      </c>
    </row>
    <row r="3" spans="1:22" x14ac:dyDescent="0.35">
      <c r="A3" s="48" t="s">
        <v>466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</row>
    <row r="4" spans="1:22" x14ac:dyDescent="0.35">
      <c r="A4" s="69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x14ac:dyDescent="0.35">
      <c r="A5" s="68" t="s">
        <v>398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</row>
    <row r="6" spans="1:22" x14ac:dyDescent="0.35">
      <c r="A6" s="9" t="s">
        <v>7</v>
      </c>
      <c r="B6" s="10" t="s">
        <v>11</v>
      </c>
      <c r="C6" s="11" t="s">
        <v>399</v>
      </c>
      <c r="D6" s="11" t="s">
        <v>400</v>
      </c>
      <c r="E6" s="11" t="s">
        <v>401</v>
      </c>
      <c r="F6" s="11" t="s">
        <v>402</v>
      </c>
      <c r="G6" s="11" t="s">
        <v>403</v>
      </c>
      <c r="H6" s="11" t="s">
        <v>404</v>
      </c>
      <c r="I6" s="11" t="s">
        <v>405</v>
      </c>
      <c r="J6" s="11" t="s">
        <v>406</v>
      </c>
      <c r="K6" s="11" t="s">
        <v>407</v>
      </c>
      <c r="L6" s="11" t="s">
        <v>408</v>
      </c>
      <c r="M6" s="11" t="s">
        <v>409</v>
      </c>
      <c r="N6" s="11" t="s">
        <v>410</v>
      </c>
      <c r="O6" s="11" t="s">
        <v>411</v>
      </c>
      <c r="P6" s="11" t="s">
        <v>412</v>
      </c>
      <c r="Q6" s="11" t="s">
        <v>413</v>
      </c>
      <c r="R6" s="11" t="s">
        <v>414</v>
      </c>
      <c r="S6" s="11" t="s">
        <v>415</v>
      </c>
      <c r="T6" s="11" t="s">
        <v>416</v>
      </c>
      <c r="U6" s="11" t="s">
        <v>417</v>
      </c>
      <c r="V6" s="11" t="s">
        <v>418</v>
      </c>
    </row>
    <row r="7" spans="1:22" x14ac:dyDescent="0.35">
      <c r="A7" s="50" t="s">
        <v>2</v>
      </c>
      <c r="B7" s="15"/>
    </row>
    <row r="8" spans="1:22" x14ac:dyDescent="0.35">
      <c r="A8" s="6" t="s">
        <v>8</v>
      </c>
      <c r="B8" s="8" t="s">
        <v>1</v>
      </c>
      <c r="C8">
        <f>'Coffee FIN'!C8</f>
        <v>3</v>
      </c>
      <c r="D8">
        <f>'Coffee FIN'!D8</f>
        <v>3</v>
      </c>
      <c r="E8">
        <f>'Coffee FIN'!E8</f>
        <v>3</v>
      </c>
      <c r="F8">
        <f>'Coffee FIN'!F8</f>
        <v>3</v>
      </c>
      <c r="G8">
        <f>'Coffee FIN'!G8</f>
        <v>3</v>
      </c>
      <c r="H8">
        <f>'Coffee FIN'!H8</f>
        <v>3</v>
      </c>
      <c r="I8">
        <f>'Coffee FIN'!I8</f>
        <v>3</v>
      </c>
      <c r="J8">
        <f>'Coffee FIN'!J8</f>
        <v>3</v>
      </c>
      <c r="K8">
        <f>'Coffee FIN'!K8</f>
        <v>3</v>
      </c>
      <c r="L8">
        <f>'Coffee FIN'!L8</f>
        <v>3</v>
      </c>
      <c r="M8">
        <f>'Coffee FIN'!M8</f>
        <v>3</v>
      </c>
      <c r="N8">
        <f>'Coffee FIN'!N8</f>
        <v>3</v>
      </c>
      <c r="O8">
        <f>'Coffee FIN'!O8</f>
        <v>3</v>
      </c>
      <c r="P8">
        <f>'Coffee FIN'!P8</f>
        <v>3</v>
      </c>
      <c r="Q8">
        <f>'Coffee FIN'!Q8</f>
        <v>3</v>
      </c>
      <c r="R8">
        <f>'Coffee FIN'!R8</f>
        <v>3</v>
      </c>
      <c r="S8">
        <f>'Coffee FIN'!S8</f>
        <v>3</v>
      </c>
      <c r="T8">
        <f>'Coffee FIN'!T8</f>
        <v>3</v>
      </c>
      <c r="U8">
        <f>'Coffee FIN'!U8</f>
        <v>3</v>
      </c>
      <c r="V8">
        <f>'Coffee FIN'!V8</f>
        <v>3</v>
      </c>
    </row>
    <row r="9" spans="1:22" x14ac:dyDescent="0.35">
      <c r="A9" s="7" t="s">
        <v>187</v>
      </c>
      <c r="B9" s="8" t="s">
        <v>42</v>
      </c>
      <c r="C9">
        <f>'Coffee FIN'!C9</f>
        <v>24</v>
      </c>
      <c r="D9">
        <f>'Coffee FIN'!D9</f>
        <v>24</v>
      </c>
      <c r="E9">
        <f>'Coffee FIN'!E9</f>
        <v>24</v>
      </c>
      <c r="F9">
        <f>'Coffee FIN'!F9</f>
        <v>24</v>
      </c>
      <c r="G9">
        <f>'Coffee FIN'!G9</f>
        <v>24</v>
      </c>
      <c r="H9">
        <f>'Coffee FIN'!H9</f>
        <v>24</v>
      </c>
      <c r="I9">
        <f>'Coffee FIN'!I9</f>
        <v>24</v>
      </c>
      <c r="J9">
        <f>'Coffee FIN'!J9</f>
        <v>24</v>
      </c>
      <c r="K9">
        <f>'Coffee FIN'!K9</f>
        <v>24</v>
      </c>
      <c r="L9">
        <f>'Coffee FIN'!L9</f>
        <v>24</v>
      </c>
      <c r="M9">
        <f>'Coffee FIN'!M9</f>
        <v>24</v>
      </c>
      <c r="N9">
        <f>'Coffee FIN'!N9</f>
        <v>24</v>
      </c>
      <c r="O9">
        <f>'Coffee FIN'!O9</f>
        <v>24</v>
      </c>
      <c r="P9">
        <f>'Coffee FIN'!P9</f>
        <v>24</v>
      </c>
      <c r="Q9">
        <f>'Coffee FIN'!Q9</f>
        <v>24</v>
      </c>
      <c r="R9">
        <f>'Coffee FIN'!R9</f>
        <v>24</v>
      </c>
      <c r="S9">
        <f>'Coffee FIN'!S9</f>
        <v>24</v>
      </c>
      <c r="T9">
        <f>'Coffee FIN'!T9</f>
        <v>24</v>
      </c>
      <c r="U9">
        <f>'Coffee FIN'!U9</f>
        <v>24</v>
      </c>
      <c r="V9">
        <f>'Coffee FIN'!V9</f>
        <v>24</v>
      </c>
    </row>
    <row r="10" spans="1:22" x14ac:dyDescent="0.35">
      <c r="A10" s="7" t="s">
        <v>192</v>
      </c>
      <c r="B10" s="8" t="s">
        <v>10</v>
      </c>
      <c r="C10">
        <f>'Coffee FIN'!C10</f>
        <v>300</v>
      </c>
      <c r="D10">
        <f>'Coffee FIN'!D10</f>
        <v>300</v>
      </c>
      <c r="E10">
        <f>'Coffee FIN'!E10</f>
        <v>300</v>
      </c>
      <c r="F10">
        <f>'Coffee FIN'!F10</f>
        <v>300</v>
      </c>
      <c r="G10">
        <f>'Coffee FIN'!G10</f>
        <v>300</v>
      </c>
      <c r="H10">
        <f>'Coffee FIN'!H10</f>
        <v>300</v>
      </c>
      <c r="I10">
        <f>'Coffee FIN'!I10</f>
        <v>300</v>
      </c>
      <c r="J10">
        <f>'Coffee FIN'!J10</f>
        <v>300</v>
      </c>
      <c r="K10">
        <f>'Coffee FIN'!K10</f>
        <v>300</v>
      </c>
      <c r="L10">
        <f>'Coffee FIN'!L10</f>
        <v>300</v>
      </c>
      <c r="M10">
        <f>'Coffee FIN'!M10</f>
        <v>300</v>
      </c>
      <c r="N10">
        <f>'Coffee FIN'!N10</f>
        <v>300</v>
      </c>
      <c r="O10">
        <f>'Coffee FIN'!O10</f>
        <v>300</v>
      </c>
      <c r="P10">
        <f>'Coffee FIN'!P10</f>
        <v>300</v>
      </c>
      <c r="Q10">
        <f>'Coffee FIN'!Q10</f>
        <v>300</v>
      </c>
      <c r="R10">
        <f>'Coffee FIN'!R10</f>
        <v>300</v>
      </c>
      <c r="S10">
        <f>'Coffee FIN'!S10</f>
        <v>300</v>
      </c>
      <c r="T10">
        <f>'Coffee FIN'!T10</f>
        <v>300</v>
      </c>
      <c r="U10">
        <f>'Coffee FIN'!U10</f>
        <v>300</v>
      </c>
      <c r="V10">
        <f>'Coffee FIN'!V10</f>
        <v>300</v>
      </c>
    </row>
    <row r="11" spans="1:22" x14ac:dyDescent="0.35">
      <c r="A11" s="7" t="s">
        <v>188</v>
      </c>
      <c r="B11" s="8" t="s">
        <v>42</v>
      </c>
      <c r="C11">
        <f>'Coffee FIN'!C11</f>
        <v>3</v>
      </c>
      <c r="D11">
        <f>'Coffee FIN'!D11</f>
        <v>3</v>
      </c>
      <c r="E11">
        <f>'Coffee FIN'!E11</f>
        <v>3</v>
      </c>
      <c r="F11">
        <f>'Coffee FIN'!F11</f>
        <v>3</v>
      </c>
      <c r="G11">
        <f>'Coffee FIN'!G11</f>
        <v>3</v>
      </c>
      <c r="H11">
        <f>'Coffee FIN'!H11</f>
        <v>3</v>
      </c>
      <c r="I11">
        <f>'Coffee FIN'!I11</f>
        <v>3</v>
      </c>
      <c r="J11">
        <f>'Coffee FIN'!J11</f>
        <v>3</v>
      </c>
      <c r="K11">
        <f>'Coffee FIN'!K11</f>
        <v>3</v>
      </c>
      <c r="L11">
        <f>'Coffee FIN'!L11</f>
        <v>3</v>
      </c>
      <c r="M11">
        <f>'Coffee FIN'!M11</f>
        <v>3</v>
      </c>
      <c r="N11">
        <f>'Coffee FIN'!N11</f>
        <v>3</v>
      </c>
      <c r="O11">
        <f>'Coffee FIN'!O11</f>
        <v>3</v>
      </c>
      <c r="P11">
        <f>'Coffee FIN'!P11</f>
        <v>3</v>
      </c>
      <c r="Q11">
        <f>'Coffee FIN'!Q11</f>
        <v>3</v>
      </c>
      <c r="R11">
        <f>'Coffee FIN'!R11</f>
        <v>3</v>
      </c>
      <c r="S11">
        <f>'Coffee FIN'!S11</f>
        <v>3</v>
      </c>
      <c r="T11">
        <f>'Coffee FIN'!T11</f>
        <v>3</v>
      </c>
      <c r="U11">
        <f>'Coffee FIN'!U11</f>
        <v>3</v>
      </c>
      <c r="V11">
        <f>'Coffee FIN'!V11</f>
        <v>3</v>
      </c>
    </row>
    <row r="12" spans="1:22" x14ac:dyDescent="0.35">
      <c r="A12" s="7" t="s">
        <v>76</v>
      </c>
      <c r="B12" s="8" t="s">
        <v>10</v>
      </c>
      <c r="C12">
        <f>'Coffee FIN'!C12</f>
        <v>300</v>
      </c>
      <c r="D12">
        <f>'Coffee FIN'!D12</f>
        <v>300</v>
      </c>
      <c r="E12">
        <f>'Coffee FIN'!E12</f>
        <v>300</v>
      </c>
      <c r="F12">
        <f>'Coffee FIN'!F12</f>
        <v>300</v>
      </c>
      <c r="G12">
        <f>'Coffee FIN'!G12</f>
        <v>300</v>
      </c>
      <c r="H12">
        <f>'Coffee FIN'!H12</f>
        <v>300</v>
      </c>
      <c r="I12">
        <f>'Coffee FIN'!I12</f>
        <v>300</v>
      </c>
      <c r="J12">
        <f>'Coffee FIN'!J12</f>
        <v>300</v>
      </c>
      <c r="K12">
        <f>'Coffee FIN'!K12</f>
        <v>300</v>
      </c>
      <c r="L12">
        <f>'Coffee FIN'!L12</f>
        <v>300</v>
      </c>
      <c r="M12">
        <f>'Coffee FIN'!M12</f>
        <v>300</v>
      </c>
      <c r="N12">
        <f>'Coffee FIN'!N12</f>
        <v>300</v>
      </c>
      <c r="O12">
        <f>'Coffee FIN'!O12</f>
        <v>300</v>
      </c>
      <c r="P12">
        <f>'Coffee FIN'!P12</f>
        <v>300</v>
      </c>
      <c r="Q12">
        <f>'Coffee FIN'!Q12</f>
        <v>300</v>
      </c>
      <c r="R12">
        <f>'Coffee FIN'!R12</f>
        <v>300</v>
      </c>
      <c r="S12">
        <f>'Coffee FIN'!S12</f>
        <v>300</v>
      </c>
      <c r="T12">
        <f>'Coffee FIN'!T12</f>
        <v>300</v>
      </c>
      <c r="U12">
        <f>'Coffee FIN'!U12</f>
        <v>300</v>
      </c>
      <c r="V12">
        <f>'Coffee FIN'!V12</f>
        <v>300</v>
      </c>
    </row>
    <row r="13" spans="1:22" x14ac:dyDescent="0.35">
      <c r="A13" s="6"/>
      <c r="B13" s="8"/>
    </row>
    <row r="14" spans="1:22" x14ac:dyDescent="0.35">
      <c r="A14" s="51" t="s">
        <v>16</v>
      </c>
      <c r="B14" s="8"/>
    </row>
    <row r="15" spans="1:22" x14ac:dyDescent="0.35">
      <c r="A15" s="6" t="s">
        <v>17</v>
      </c>
      <c r="B15" s="8" t="s">
        <v>11</v>
      </c>
      <c r="C15" s="5">
        <f>'Coffee FIN'!C15</f>
        <v>4.2857142857142856</v>
      </c>
      <c r="D15" s="5">
        <f>'Coffee FIN'!D15</f>
        <v>4.2857142857142856</v>
      </c>
      <c r="E15" s="5">
        <f>'Coffee FIN'!E15</f>
        <v>4.2857142857142856</v>
      </c>
      <c r="F15" s="5">
        <f>'Coffee FIN'!F15</f>
        <v>4.2857142857142856</v>
      </c>
      <c r="G15" s="5">
        <f>'Coffee FIN'!G15</f>
        <v>4.2857142857142856</v>
      </c>
      <c r="H15" s="5">
        <f>'Coffee FIN'!H15</f>
        <v>4.2857142857142856</v>
      </c>
      <c r="I15" s="5">
        <f>'Coffee FIN'!I15</f>
        <v>4.2857142857142856</v>
      </c>
      <c r="J15" s="5">
        <f>'Coffee FIN'!J15</f>
        <v>4.2857142857142856</v>
      </c>
      <c r="K15" s="5">
        <f>'Coffee FIN'!K15</f>
        <v>4.2857142857142856</v>
      </c>
      <c r="L15" s="5">
        <f>'Coffee FIN'!L15</f>
        <v>4.2857142857142856</v>
      </c>
      <c r="M15" s="5">
        <f>'Coffee FIN'!M15</f>
        <v>4.2857142857142856</v>
      </c>
      <c r="N15" s="5">
        <f>'Coffee FIN'!N15</f>
        <v>4.2857142857142856</v>
      </c>
      <c r="O15" s="5">
        <f>'Coffee FIN'!O15</f>
        <v>4.2857142857142856</v>
      </c>
      <c r="P15" s="5">
        <f>'Coffee FIN'!P15</f>
        <v>4.2857142857142856</v>
      </c>
      <c r="Q15" s="5">
        <f>'Coffee FIN'!Q15</f>
        <v>4.2857142857142856</v>
      </c>
      <c r="R15" s="5">
        <f>'Coffee FIN'!R15</f>
        <v>4.2857142857142856</v>
      </c>
      <c r="S15" s="5">
        <f>'Coffee FIN'!S15</f>
        <v>4.2857142857142856</v>
      </c>
      <c r="T15" s="5">
        <f>'Coffee FIN'!T15</f>
        <v>4.2857142857142856</v>
      </c>
      <c r="U15" s="5">
        <f>'Coffee FIN'!U15</f>
        <v>4.2857142857142856</v>
      </c>
      <c r="V15" s="5">
        <f>'Coffee FIN'!V15</f>
        <v>4.2857142857142856</v>
      </c>
    </row>
    <row r="16" spans="1:22" x14ac:dyDescent="0.35">
      <c r="A16" s="6"/>
      <c r="B16" s="8"/>
    </row>
    <row r="17" spans="1:22" x14ac:dyDescent="0.35">
      <c r="A17" s="51" t="s">
        <v>6</v>
      </c>
      <c r="B17" s="8"/>
    </row>
    <row r="18" spans="1:22" x14ac:dyDescent="0.35">
      <c r="A18" s="12" t="s">
        <v>186</v>
      </c>
      <c r="B18" s="10" t="s">
        <v>10</v>
      </c>
      <c r="C18" s="72">
        <f>'Coffee FIN'!C18</f>
        <v>300</v>
      </c>
      <c r="D18" s="11">
        <f>'Coffee FIN'!D18</f>
        <v>300</v>
      </c>
      <c r="E18" s="11">
        <f>'Coffee FIN'!E18</f>
        <v>300</v>
      </c>
      <c r="F18" s="11">
        <f>'Coffee FIN'!F18</f>
        <v>300</v>
      </c>
      <c r="G18" s="11">
        <f>'Coffee FIN'!G18</f>
        <v>300</v>
      </c>
      <c r="H18" s="11">
        <f>'Coffee FIN'!H18</f>
        <v>300</v>
      </c>
      <c r="I18" s="11">
        <f>'Coffee FIN'!I18</f>
        <v>300</v>
      </c>
      <c r="J18" s="11">
        <f>'Coffee FIN'!J18</f>
        <v>300</v>
      </c>
      <c r="K18" s="11">
        <f>'Coffee FIN'!K18</f>
        <v>300</v>
      </c>
      <c r="L18" s="11">
        <f>'Coffee FIN'!L18</f>
        <v>300</v>
      </c>
      <c r="M18" s="11">
        <f>'Coffee FIN'!M18</f>
        <v>300</v>
      </c>
      <c r="N18" s="11">
        <f>'Coffee FIN'!N18</f>
        <v>300</v>
      </c>
      <c r="O18" s="11">
        <f>'Coffee FIN'!O18</f>
        <v>300</v>
      </c>
      <c r="P18" s="11">
        <f>'Coffee FIN'!P18</f>
        <v>300</v>
      </c>
      <c r="Q18" s="11">
        <f>'Coffee FIN'!Q18</f>
        <v>300</v>
      </c>
      <c r="R18" s="11">
        <f>'Coffee FIN'!R18</f>
        <v>300</v>
      </c>
      <c r="S18" s="11">
        <f>'Coffee FIN'!S18</f>
        <v>300</v>
      </c>
      <c r="T18" s="11">
        <f>'Coffee FIN'!T18</f>
        <v>300</v>
      </c>
      <c r="U18" s="11">
        <f>'Coffee FIN'!U18</f>
        <v>300</v>
      </c>
      <c r="V18" s="11">
        <f>'Coffee FIN'!V18</f>
        <v>300</v>
      </c>
    </row>
    <row r="20" spans="1:22" x14ac:dyDescent="0.35">
      <c r="A20" s="68" t="s">
        <v>303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</row>
    <row r="21" spans="1:22" x14ac:dyDescent="0.35">
      <c r="A21" s="12" t="s">
        <v>302</v>
      </c>
      <c r="B21" s="10" t="s">
        <v>12</v>
      </c>
      <c r="C21" s="11" t="s">
        <v>399</v>
      </c>
      <c r="D21" s="11" t="s">
        <v>400</v>
      </c>
      <c r="E21" s="11" t="s">
        <v>401</v>
      </c>
      <c r="F21" s="11" t="s">
        <v>402</v>
      </c>
      <c r="G21" s="11" t="s">
        <v>403</v>
      </c>
      <c r="H21" s="11" t="s">
        <v>404</v>
      </c>
      <c r="I21" s="11" t="s">
        <v>405</v>
      </c>
      <c r="J21" s="11" t="s">
        <v>406</v>
      </c>
      <c r="K21" s="11" t="s">
        <v>407</v>
      </c>
      <c r="L21" s="11" t="s">
        <v>408</v>
      </c>
      <c r="M21" s="11" t="s">
        <v>409</v>
      </c>
      <c r="N21" s="11" t="s">
        <v>410</v>
      </c>
      <c r="O21" s="11" t="s">
        <v>411</v>
      </c>
      <c r="P21" s="11" t="s">
        <v>412</v>
      </c>
      <c r="Q21" s="11" t="s">
        <v>413</v>
      </c>
      <c r="R21" s="11" t="s">
        <v>414</v>
      </c>
      <c r="S21" s="11" t="s">
        <v>415</v>
      </c>
      <c r="T21" s="11" t="s">
        <v>416</v>
      </c>
      <c r="U21" s="11" t="s">
        <v>417</v>
      </c>
      <c r="V21" s="11" t="s">
        <v>418</v>
      </c>
    </row>
    <row r="22" spans="1:22" x14ac:dyDescent="0.35">
      <c r="A22" s="51" t="str">
        <f t="shared" ref="A22:A27" si="0">A7</f>
        <v>Agricultural operations</v>
      </c>
      <c r="B22" s="8"/>
    </row>
    <row r="23" spans="1:22" x14ac:dyDescent="0.35">
      <c r="A23" s="6" t="str">
        <f t="shared" si="0"/>
        <v xml:space="preserve">  Weeding</v>
      </c>
      <c r="B23" s="13">
        <f>'Prices &amp; assums'!D5</f>
        <v>23400</v>
      </c>
      <c r="C23" s="2">
        <f t="shared" ref="C23:V27" si="1">$B23*C8</f>
        <v>70200</v>
      </c>
      <c r="D23" s="2">
        <f t="shared" si="1"/>
        <v>70200</v>
      </c>
      <c r="E23" s="2">
        <f t="shared" si="1"/>
        <v>70200</v>
      </c>
      <c r="F23" s="2">
        <f t="shared" si="1"/>
        <v>70200</v>
      </c>
      <c r="G23" s="2">
        <f t="shared" si="1"/>
        <v>70200</v>
      </c>
      <c r="H23" s="2">
        <f t="shared" si="1"/>
        <v>70200</v>
      </c>
      <c r="I23" s="2">
        <f t="shared" si="1"/>
        <v>70200</v>
      </c>
      <c r="J23" s="2">
        <f t="shared" si="1"/>
        <v>70200</v>
      </c>
      <c r="K23" s="2">
        <f t="shared" si="1"/>
        <v>70200</v>
      </c>
      <c r="L23" s="2">
        <f t="shared" si="1"/>
        <v>70200</v>
      </c>
      <c r="M23" s="2">
        <f t="shared" si="1"/>
        <v>70200</v>
      </c>
      <c r="N23" s="2">
        <f t="shared" si="1"/>
        <v>70200</v>
      </c>
      <c r="O23" s="2">
        <f t="shared" si="1"/>
        <v>70200</v>
      </c>
      <c r="P23" s="2">
        <f t="shared" si="1"/>
        <v>70200</v>
      </c>
      <c r="Q23" s="2">
        <f t="shared" si="1"/>
        <v>70200</v>
      </c>
      <c r="R23" s="2">
        <f t="shared" si="1"/>
        <v>70200</v>
      </c>
      <c r="S23" s="2">
        <f t="shared" si="1"/>
        <v>70200</v>
      </c>
      <c r="T23" s="2">
        <f t="shared" si="1"/>
        <v>70200</v>
      </c>
      <c r="U23" s="2">
        <f t="shared" si="1"/>
        <v>70200</v>
      </c>
      <c r="V23" s="2">
        <f t="shared" si="1"/>
        <v>70200</v>
      </c>
    </row>
    <row r="24" spans="1:22" x14ac:dyDescent="0.35">
      <c r="A24" s="6" t="str">
        <f t="shared" si="0"/>
        <v xml:space="preserve">  Harvest and drying</v>
      </c>
      <c r="B24" s="13">
        <f>'Prices &amp; assums'!D3</f>
        <v>2340</v>
      </c>
      <c r="C24" s="2">
        <f t="shared" si="1"/>
        <v>56160</v>
      </c>
      <c r="D24" s="2">
        <f t="shared" si="1"/>
        <v>56160</v>
      </c>
      <c r="E24" s="2">
        <f t="shared" si="1"/>
        <v>56160</v>
      </c>
      <c r="F24" s="2">
        <f t="shared" si="1"/>
        <v>56160</v>
      </c>
      <c r="G24" s="2">
        <f t="shared" si="1"/>
        <v>56160</v>
      </c>
      <c r="H24" s="2">
        <f t="shared" si="1"/>
        <v>56160</v>
      </c>
      <c r="I24" s="2">
        <f t="shared" si="1"/>
        <v>56160</v>
      </c>
      <c r="J24" s="2">
        <f t="shared" si="1"/>
        <v>56160</v>
      </c>
      <c r="K24" s="2">
        <f t="shared" si="1"/>
        <v>56160</v>
      </c>
      <c r="L24" s="2">
        <f t="shared" si="1"/>
        <v>56160</v>
      </c>
      <c r="M24" s="2">
        <f t="shared" si="1"/>
        <v>56160</v>
      </c>
      <c r="N24" s="2">
        <f t="shared" si="1"/>
        <v>56160</v>
      </c>
      <c r="O24" s="2">
        <f t="shared" si="1"/>
        <v>56160</v>
      </c>
      <c r="P24" s="2">
        <f t="shared" si="1"/>
        <v>56160</v>
      </c>
      <c r="Q24" s="2">
        <f t="shared" si="1"/>
        <v>56160</v>
      </c>
      <c r="R24" s="2">
        <f t="shared" si="1"/>
        <v>56160</v>
      </c>
      <c r="S24" s="2">
        <f t="shared" si="1"/>
        <v>56160</v>
      </c>
      <c r="T24" s="2">
        <f t="shared" si="1"/>
        <v>56160</v>
      </c>
      <c r="U24" s="2">
        <f t="shared" si="1"/>
        <v>56160</v>
      </c>
      <c r="V24" s="2">
        <f t="shared" si="1"/>
        <v>56160</v>
      </c>
    </row>
    <row r="25" spans="1:22" x14ac:dyDescent="0.35">
      <c r="A25" s="6" t="str">
        <f t="shared" si="0"/>
        <v xml:space="preserve">  Husking</v>
      </c>
      <c r="B25" s="13">
        <f>'Prices &amp; assums'!D19</f>
        <v>59.4</v>
      </c>
      <c r="C25" s="2">
        <f t="shared" si="1"/>
        <v>17820</v>
      </c>
      <c r="D25" s="2">
        <f t="shared" si="1"/>
        <v>17820</v>
      </c>
      <c r="E25" s="2">
        <f t="shared" si="1"/>
        <v>17820</v>
      </c>
      <c r="F25" s="2">
        <f t="shared" si="1"/>
        <v>17820</v>
      </c>
      <c r="G25" s="2">
        <f t="shared" si="1"/>
        <v>17820</v>
      </c>
      <c r="H25" s="2">
        <f t="shared" si="1"/>
        <v>17820</v>
      </c>
      <c r="I25" s="2">
        <f t="shared" si="1"/>
        <v>17820</v>
      </c>
      <c r="J25" s="2">
        <f t="shared" si="1"/>
        <v>17820</v>
      </c>
      <c r="K25" s="2">
        <f t="shared" si="1"/>
        <v>17820</v>
      </c>
      <c r="L25" s="2">
        <f t="shared" si="1"/>
        <v>17820</v>
      </c>
      <c r="M25" s="2">
        <f t="shared" si="1"/>
        <v>17820</v>
      </c>
      <c r="N25" s="2">
        <f t="shared" si="1"/>
        <v>17820</v>
      </c>
      <c r="O25" s="2">
        <f t="shared" si="1"/>
        <v>17820</v>
      </c>
      <c r="P25" s="2">
        <f t="shared" si="1"/>
        <v>17820</v>
      </c>
      <c r="Q25" s="2">
        <f t="shared" si="1"/>
        <v>17820</v>
      </c>
      <c r="R25" s="2">
        <f t="shared" si="1"/>
        <v>17820</v>
      </c>
      <c r="S25" s="2">
        <f t="shared" si="1"/>
        <v>17820</v>
      </c>
      <c r="T25" s="2">
        <f t="shared" si="1"/>
        <v>17820</v>
      </c>
      <c r="U25" s="2">
        <f t="shared" si="1"/>
        <v>17820</v>
      </c>
      <c r="V25" s="2">
        <f t="shared" si="1"/>
        <v>17820</v>
      </c>
    </row>
    <row r="26" spans="1:22" x14ac:dyDescent="0.35">
      <c r="A26" s="6" t="str">
        <f t="shared" si="0"/>
        <v xml:space="preserve">  Transport and marketing</v>
      </c>
      <c r="B26" s="13">
        <f>'Prices &amp; assums'!D3</f>
        <v>2340</v>
      </c>
      <c r="C26" s="2">
        <f t="shared" si="1"/>
        <v>7020</v>
      </c>
      <c r="D26" s="2">
        <f t="shared" si="1"/>
        <v>7020</v>
      </c>
      <c r="E26" s="2">
        <f t="shared" si="1"/>
        <v>7020</v>
      </c>
      <c r="F26" s="2">
        <f t="shared" si="1"/>
        <v>7020</v>
      </c>
      <c r="G26" s="2">
        <f t="shared" si="1"/>
        <v>7020</v>
      </c>
      <c r="H26" s="2">
        <f t="shared" si="1"/>
        <v>7020</v>
      </c>
      <c r="I26" s="2">
        <f t="shared" si="1"/>
        <v>7020</v>
      </c>
      <c r="J26" s="2">
        <f t="shared" si="1"/>
        <v>7020</v>
      </c>
      <c r="K26" s="2">
        <f t="shared" si="1"/>
        <v>7020</v>
      </c>
      <c r="L26" s="2">
        <f t="shared" si="1"/>
        <v>7020</v>
      </c>
      <c r="M26" s="2">
        <f t="shared" si="1"/>
        <v>7020</v>
      </c>
      <c r="N26" s="2">
        <f t="shared" si="1"/>
        <v>7020</v>
      </c>
      <c r="O26" s="2">
        <f t="shared" si="1"/>
        <v>7020</v>
      </c>
      <c r="P26" s="2">
        <f t="shared" si="1"/>
        <v>7020</v>
      </c>
      <c r="Q26" s="2">
        <f t="shared" si="1"/>
        <v>7020</v>
      </c>
      <c r="R26" s="2">
        <f t="shared" si="1"/>
        <v>7020</v>
      </c>
      <c r="S26" s="2">
        <f t="shared" si="1"/>
        <v>7020</v>
      </c>
      <c r="T26" s="2">
        <f t="shared" si="1"/>
        <v>7020</v>
      </c>
      <c r="U26" s="2">
        <f t="shared" si="1"/>
        <v>7020</v>
      </c>
      <c r="V26" s="2">
        <f t="shared" si="1"/>
        <v>7020</v>
      </c>
    </row>
    <row r="27" spans="1:22" x14ac:dyDescent="0.35">
      <c r="A27" s="6" t="str">
        <f t="shared" si="0"/>
        <v xml:space="preserve">  Transport</v>
      </c>
      <c r="B27" s="13">
        <f>'Prices &amp; assums'!D18</f>
        <v>9.9</v>
      </c>
      <c r="C27" s="2">
        <f t="shared" si="1"/>
        <v>2970</v>
      </c>
      <c r="D27" s="2">
        <f t="shared" si="1"/>
        <v>2970</v>
      </c>
      <c r="E27" s="2">
        <f t="shared" si="1"/>
        <v>2970</v>
      </c>
      <c r="F27" s="2">
        <f t="shared" si="1"/>
        <v>2970</v>
      </c>
      <c r="G27" s="2">
        <f t="shared" si="1"/>
        <v>2970</v>
      </c>
      <c r="H27" s="2">
        <f t="shared" si="1"/>
        <v>2970</v>
      </c>
      <c r="I27" s="2">
        <f t="shared" si="1"/>
        <v>2970</v>
      </c>
      <c r="J27" s="2">
        <f t="shared" si="1"/>
        <v>2970</v>
      </c>
      <c r="K27" s="2">
        <f t="shared" si="1"/>
        <v>2970</v>
      </c>
      <c r="L27" s="2">
        <f t="shared" si="1"/>
        <v>2970</v>
      </c>
      <c r="M27" s="2">
        <f t="shared" si="1"/>
        <v>2970</v>
      </c>
      <c r="N27" s="2">
        <f t="shared" si="1"/>
        <v>2970</v>
      </c>
      <c r="O27" s="2">
        <f t="shared" si="1"/>
        <v>2970</v>
      </c>
      <c r="P27" s="2">
        <f t="shared" si="1"/>
        <v>2970</v>
      </c>
      <c r="Q27" s="2">
        <f t="shared" si="1"/>
        <v>2970</v>
      </c>
      <c r="R27" s="2">
        <f t="shared" si="1"/>
        <v>2970</v>
      </c>
      <c r="S27" s="2">
        <f t="shared" si="1"/>
        <v>2970</v>
      </c>
      <c r="T27" s="2">
        <f t="shared" si="1"/>
        <v>2970</v>
      </c>
      <c r="U27" s="2">
        <f t="shared" si="1"/>
        <v>2970</v>
      </c>
      <c r="V27" s="2">
        <f t="shared" si="1"/>
        <v>2970</v>
      </c>
    </row>
    <row r="28" spans="1:22" x14ac:dyDescent="0.35">
      <c r="A28" s="6"/>
      <c r="B28" s="8"/>
    </row>
    <row r="29" spans="1:22" x14ac:dyDescent="0.35">
      <c r="A29" s="51" t="str">
        <f>A14</f>
        <v>Inputs</v>
      </c>
      <c r="B29" s="8"/>
    </row>
    <row r="30" spans="1:22" x14ac:dyDescent="0.35">
      <c r="A30" s="6" t="str">
        <f>A15</f>
        <v xml:space="preserve">  Bags</v>
      </c>
      <c r="B30" s="13">
        <f>'Prices &amp; assums'!D50</f>
        <v>245.99999999999997</v>
      </c>
      <c r="C30" s="2">
        <f t="shared" ref="C30:V30" si="2">$B30*C15</f>
        <v>1054.2857142857142</v>
      </c>
      <c r="D30" s="2">
        <f t="shared" si="2"/>
        <v>1054.2857142857142</v>
      </c>
      <c r="E30" s="2">
        <f t="shared" si="2"/>
        <v>1054.2857142857142</v>
      </c>
      <c r="F30" s="2">
        <f t="shared" si="2"/>
        <v>1054.2857142857142</v>
      </c>
      <c r="G30" s="2">
        <f t="shared" si="2"/>
        <v>1054.2857142857142</v>
      </c>
      <c r="H30" s="2">
        <f t="shared" si="2"/>
        <v>1054.2857142857142</v>
      </c>
      <c r="I30" s="2">
        <f t="shared" si="2"/>
        <v>1054.2857142857142</v>
      </c>
      <c r="J30" s="2">
        <f t="shared" si="2"/>
        <v>1054.2857142857142</v>
      </c>
      <c r="K30" s="2">
        <f t="shared" si="2"/>
        <v>1054.2857142857142</v>
      </c>
      <c r="L30" s="2">
        <f t="shared" si="2"/>
        <v>1054.2857142857142</v>
      </c>
      <c r="M30" s="2">
        <f t="shared" si="2"/>
        <v>1054.2857142857142</v>
      </c>
      <c r="N30" s="2">
        <f t="shared" si="2"/>
        <v>1054.2857142857142</v>
      </c>
      <c r="O30" s="2">
        <f t="shared" si="2"/>
        <v>1054.2857142857142</v>
      </c>
      <c r="P30" s="2">
        <f t="shared" si="2"/>
        <v>1054.2857142857142</v>
      </c>
      <c r="Q30" s="2">
        <f t="shared" si="2"/>
        <v>1054.2857142857142</v>
      </c>
      <c r="R30" s="2">
        <f t="shared" si="2"/>
        <v>1054.2857142857142</v>
      </c>
      <c r="S30" s="2">
        <f t="shared" si="2"/>
        <v>1054.2857142857142</v>
      </c>
      <c r="T30" s="2">
        <f t="shared" si="2"/>
        <v>1054.2857142857142</v>
      </c>
      <c r="U30" s="2">
        <f t="shared" si="2"/>
        <v>1054.2857142857142</v>
      </c>
      <c r="V30" s="2">
        <f t="shared" si="2"/>
        <v>1054.2857142857142</v>
      </c>
    </row>
    <row r="31" spans="1:22" x14ac:dyDescent="0.35">
      <c r="A31" s="6"/>
      <c r="B31" s="8"/>
    </row>
    <row r="32" spans="1:22" x14ac:dyDescent="0.35">
      <c r="A32" s="51" t="str">
        <f>A17</f>
        <v>Production</v>
      </c>
      <c r="B32" s="8"/>
    </row>
    <row r="33" spans="1:22" x14ac:dyDescent="0.35">
      <c r="A33" s="12" t="str">
        <f>A18</f>
        <v xml:space="preserve">  Coffee</v>
      </c>
      <c r="B33" s="22">
        <f>'Prices &amp; assums'!D96</f>
        <v>700</v>
      </c>
      <c r="C33" s="42">
        <f t="shared" ref="C33:V33" si="3">$B33*C18</f>
        <v>210000</v>
      </c>
      <c r="D33" s="14">
        <f t="shared" si="3"/>
        <v>210000</v>
      </c>
      <c r="E33" s="14">
        <f t="shared" si="3"/>
        <v>210000</v>
      </c>
      <c r="F33" s="14">
        <f t="shared" si="3"/>
        <v>210000</v>
      </c>
      <c r="G33" s="14">
        <f t="shared" si="3"/>
        <v>210000</v>
      </c>
      <c r="H33" s="14">
        <f t="shared" si="3"/>
        <v>210000</v>
      </c>
      <c r="I33" s="14">
        <f t="shared" si="3"/>
        <v>210000</v>
      </c>
      <c r="J33" s="14">
        <f t="shared" si="3"/>
        <v>210000</v>
      </c>
      <c r="K33" s="14">
        <f t="shared" si="3"/>
        <v>210000</v>
      </c>
      <c r="L33" s="14">
        <f t="shared" si="3"/>
        <v>210000</v>
      </c>
      <c r="M33" s="14">
        <f t="shared" si="3"/>
        <v>210000</v>
      </c>
      <c r="N33" s="14">
        <f t="shared" si="3"/>
        <v>210000</v>
      </c>
      <c r="O33" s="14">
        <f t="shared" si="3"/>
        <v>210000</v>
      </c>
      <c r="P33" s="14">
        <f t="shared" si="3"/>
        <v>210000</v>
      </c>
      <c r="Q33" s="14">
        <f t="shared" si="3"/>
        <v>210000</v>
      </c>
      <c r="R33" s="14">
        <f t="shared" si="3"/>
        <v>210000</v>
      </c>
      <c r="S33" s="14">
        <f t="shared" si="3"/>
        <v>210000</v>
      </c>
      <c r="T33" s="14">
        <f t="shared" si="3"/>
        <v>210000</v>
      </c>
      <c r="U33" s="14">
        <f t="shared" si="3"/>
        <v>210000</v>
      </c>
      <c r="V33" s="14">
        <f t="shared" si="3"/>
        <v>210000</v>
      </c>
    </row>
    <row r="34" spans="1:22" x14ac:dyDescent="0.35">
      <c r="A34" s="6" t="s">
        <v>21</v>
      </c>
      <c r="B34" s="15"/>
      <c r="C34" s="2">
        <f t="shared" ref="C34:V34" si="4">SUM(C23:C27)+C30</f>
        <v>155224.28571428571</v>
      </c>
      <c r="D34" s="2">
        <f t="shared" si="4"/>
        <v>155224.28571428571</v>
      </c>
      <c r="E34" s="2">
        <f t="shared" si="4"/>
        <v>155224.28571428571</v>
      </c>
      <c r="F34" s="2">
        <f t="shared" si="4"/>
        <v>155224.28571428571</v>
      </c>
      <c r="G34" s="2">
        <f t="shared" si="4"/>
        <v>155224.28571428571</v>
      </c>
      <c r="H34" s="2">
        <f t="shared" si="4"/>
        <v>155224.28571428571</v>
      </c>
      <c r="I34" s="2">
        <f t="shared" si="4"/>
        <v>155224.28571428571</v>
      </c>
      <c r="J34" s="2">
        <f t="shared" si="4"/>
        <v>155224.28571428571</v>
      </c>
      <c r="K34" s="2">
        <f t="shared" si="4"/>
        <v>155224.28571428571</v>
      </c>
      <c r="L34" s="2">
        <f t="shared" si="4"/>
        <v>155224.28571428571</v>
      </c>
      <c r="M34" s="2">
        <f t="shared" si="4"/>
        <v>155224.28571428571</v>
      </c>
      <c r="N34" s="2">
        <f t="shared" si="4"/>
        <v>155224.28571428571</v>
      </c>
      <c r="O34" s="2">
        <f t="shared" si="4"/>
        <v>155224.28571428571</v>
      </c>
      <c r="P34" s="2">
        <f t="shared" si="4"/>
        <v>155224.28571428571</v>
      </c>
      <c r="Q34" s="2">
        <f t="shared" si="4"/>
        <v>155224.28571428571</v>
      </c>
      <c r="R34" s="2">
        <f t="shared" si="4"/>
        <v>155224.28571428571</v>
      </c>
      <c r="S34" s="2">
        <f t="shared" si="4"/>
        <v>155224.28571428571</v>
      </c>
      <c r="T34" s="2">
        <f t="shared" si="4"/>
        <v>155224.28571428571</v>
      </c>
      <c r="U34" s="2">
        <f t="shared" si="4"/>
        <v>155224.28571428571</v>
      </c>
      <c r="V34" s="2">
        <f t="shared" si="4"/>
        <v>155224.28571428571</v>
      </c>
    </row>
    <row r="35" spans="1:22" x14ac:dyDescent="0.35">
      <c r="A35" s="6" t="s">
        <v>217</v>
      </c>
      <c r="B35" s="8"/>
      <c r="C35" s="2">
        <f t="shared" ref="C35:V35" si="5">C34-C23/3-C24/2</f>
        <v>103744.28571428571</v>
      </c>
      <c r="D35" s="2">
        <f t="shared" si="5"/>
        <v>103744.28571428571</v>
      </c>
      <c r="E35" s="2">
        <f t="shared" si="5"/>
        <v>103744.28571428571</v>
      </c>
      <c r="F35" s="2">
        <f t="shared" si="5"/>
        <v>103744.28571428571</v>
      </c>
      <c r="G35" s="2">
        <f t="shared" si="5"/>
        <v>103744.28571428571</v>
      </c>
      <c r="H35" s="2">
        <f t="shared" si="5"/>
        <v>103744.28571428571</v>
      </c>
      <c r="I35" s="2">
        <f t="shared" si="5"/>
        <v>103744.28571428571</v>
      </c>
      <c r="J35" s="2">
        <f t="shared" si="5"/>
        <v>103744.28571428571</v>
      </c>
      <c r="K35" s="2">
        <f t="shared" si="5"/>
        <v>103744.28571428571</v>
      </c>
      <c r="L35" s="2">
        <f t="shared" si="5"/>
        <v>103744.28571428571</v>
      </c>
      <c r="M35" s="2">
        <f t="shared" si="5"/>
        <v>103744.28571428571</v>
      </c>
      <c r="N35" s="2">
        <f t="shared" si="5"/>
        <v>103744.28571428571</v>
      </c>
      <c r="O35" s="2">
        <f t="shared" si="5"/>
        <v>103744.28571428571</v>
      </c>
      <c r="P35" s="2">
        <f t="shared" si="5"/>
        <v>103744.28571428571</v>
      </c>
      <c r="Q35" s="2">
        <f t="shared" si="5"/>
        <v>103744.28571428571</v>
      </c>
      <c r="R35" s="2">
        <f t="shared" si="5"/>
        <v>103744.28571428571</v>
      </c>
      <c r="S35" s="2">
        <f t="shared" si="5"/>
        <v>103744.28571428571</v>
      </c>
      <c r="T35" s="2">
        <f t="shared" si="5"/>
        <v>103744.28571428571</v>
      </c>
      <c r="U35" s="2">
        <f t="shared" si="5"/>
        <v>103744.28571428571</v>
      </c>
      <c r="V35" s="2">
        <f t="shared" si="5"/>
        <v>103744.28571428571</v>
      </c>
    </row>
    <row r="36" spans="1:22" x14ac:dyDescent="0.35">
      <c r="A36" s="6" t="s">
        <v>65</v>
      </c>
      <c r="B36" s="8"/>
      <c r="C36" s="2">
        <f>C33</f>
        <v>210000</v>
      </c>
      <c r="D36" s="2">
        <f t="shared" ref="D36:V36" si="6">D33</f>
        <v>210000</v>
      </c>
      <c r="E36" s="2">
        <f t="shared" si="6"/>
        <v>210000</v>
      </c>
      <c r="F36" s="2">
        <f t="shared" si="6"/>
        <v>210000</v>
      </c>
      <c r="G36" s="2">
        <f t="shared" si="6"/>
        <v>210000</v>
      </c>
      <c r="H36" s="2">
        <f t="shared" si="6"/>
        <v>210000</v>
      </c>
      <c r="I36" s="2">
        <f t="shared" si="6"/>
        <v>210000</v>
      </c>
      <c r="J36" s="2">
        <f t="shared" si="6"/>
        <v>210000</v>
      </c>
      <c r="K36" s="2">
        <f t="shared" si="6"/>
        <v>210000</v>
      </c>
      <c r="L36" s="2">
        <f t="shared" si="6"/>
        <v>210000</v>
      </c>
      <c r="M36" s="2">
        <f t="shared" si="6"/>
        <v>210000</v>
      </c>
      <c r="N36" s="2">
        <f t="shared" si="6"/>
        <v>210000</v>
      </c>
      <c r="O36" s="2">
        <f t="shared" si="6"/>
        <v>210000</v>
      </c>
      <c r="P36" s="2">
        <f t="shared" si="6"/>
        <v>210000</v>
      </c>
      <c r="Q36" s="2">
        <f t="shared" si="6"/>
        <v>210000</v>
      </c>
      <c r="R36" s="2">
        <f t="shared" si="6"/>
        <v>210000</v>
      </c>
      <c r="S36" s="2">
        <f t="shared" si="6"/>
        <v>210000</v>
      </c>
      <c r="T36" s="2">
        <f t="shared" si="6"/>
        <v>210000</v>
      </c>
      <c r="U36" s="2">
        <f t="shared" si="6"/>
        <v>210000</v>
      </c>
      <c r="V36" s="2">
        <f t="shared" si="6"/>
        <v>210000</v>
      </c>
    </row>
    <row r="37" spans="1:22" ht="8.25" customHeight="1" x14ac:dyDescent="0.35">
      <c r="A37" s="51"/>
      <c r="B37" s="8"/>
    </row>
    <row r="38" spans="1:22" x14ac:dyDescent="0.35">
      <c r="A38" s="6" t="s">
        <v>80</v>
      </c>
      <c r="B38" s="8"/>
      <c r="C38" s="2">
        <f>C36-C34</f>
        <v>54775.71428571429</v>
      </c>
      <c r="D38" s="2">
        <f t="shared" ref="D38:V38" si="7">D36-D34</f>
        <v>54775.71428571429</v>
      </c>
      <c r="E38" s="2">
        <f t="shared" si="7"/>
        <v>54775.71428571429</v>
      </c>
      <c r="F38" s="2">
        <f t="shared" si="7"/>
        <v>54775.71428571429</v>
      </c>
      <c r="G38" s="2">
        <f t="shared" si="7"/>
        <v>54775.71428571429</v>
      </c>
      <c r="H38" s="2">
        <f t="shared" si="7"/>
        <v>54775.71428571429</v>
      </c>
      <c r="I38" s="2">
        <f t="shared" si="7"/>
        <v>54775.71428571429</v>
      </c>
      <c r="J38" s="2">
        <f t="shared" si="7"/>
        <v>54775.71428571429</v>
      </c>
      <c r="K38" s="2">
        <f t="shared" si="7"/>
        <v>54775.71428571429</v>
      </c>
      <c r="L38" s="2">
        <f t="shared" si="7"/>
        <v>54775.71428571429</v>
      </c>
      <c r="M38" s="2">
        <f t="shared" si="7"/>
        <v>54775.71428571429</v>
      </c>
      <c r="N38" s="2">
        <f t="shared" si="7"/>
        <v>54775.71428571429</v>
      </c>
      <c r="O38" s="2">
        <f t="shared" si="7"/>
        <v>54775.71428571429</v>
      </c>
      <c r="P38" s="2">
        <f t="shared" si="7"/>
        <v>54775.71428571429</v>
      </c>
      <c r="Q38" s="2">
        <f t="shared" si="7"/>
        <v>54775.71428571429</v>
      </c>
      <c r="R38" s="2">
        <f t="shared" si="7"/>
        <v>54775.71428571429</v>
      </c>
      <c r="S38" s="2">
        <f t="shared" si="7"/>
        <v>54775.71428571429</v>
      </c>
      <c r="T38" s="2">
        <f t="shared" si="7"/>
        <v>54775.71428571429</v>
      </c>
      <c r="U38" s="2">
        <f t="shared" si="7"/>
        <v>54775.71428571429</v>
      </c>
      <c r="V38" s="2">
        <f t="shared" si="7"/>
        <v>54775.71428571429</v>
      </c>
    </row>
    <row r="39" spans="1:22" x14ac:dyDescent="0.35">
      <c r="A39" s="12" t="s">
        <v>81</v>
      </c>
      <c r="B39" s="10"/>
      <c r="C39" s="14">
        <f>C36-C35</f>
        <v>106255.71428571429</v>
      </c>
      <c r="D39" s="14">
        <f t="shared" ref="D39:V39" si="8">D36-D35</f>
        <v>106255.71428571429</v>
      </c>
      <c r="E39" s="14">
        <f t="shared" si="8"/>
        <v>106255.71428571429</v>
      </c>
      <c r="F39" s="14">
        <f t="shared" si="8"/>
        <v>106255.71428571429</v>
      </c>
      <c r="G39" s="14">
        <f t="shared" si="8"/>
        <v>106255.71428571429</v>
      </c>
      <c r="H39" s="14">
        <f t="shared" si="8"/>
        <v>106255.71428571429</v>
      </c>
      <c r="I39" s="14">
        <f t="shared" si="8"/>
        <v>106255.71428571429</v>
      </c>
      <c r="J39" s="14">
        <f t="shared" si="8"/>
        <v>106255.71428571429</v>
      </c>
      <c r="K39" s="14">
        <f t="shared" si="8"/>
        <v>106255.71428571429</v>
      </c>
      <c r="L39" s="14">
        <f t="shared" si="8"/>
        <v>106255.71428571429</v>
      </c>
      <c r="M39" s="14">
        <f t="shared" si="8"/>
        <v>106255.71428571429</v>
      </c>
      <c r="N39" s="14">
        <f t="shared" si="8"/>
        <v>106255.71428571429</v>
      </c>
      <c r="O39" s="14">
        <f t="shared" si="8"/>
        <v>106255.71428571429</v>
      </c>
      <c r="P39" s="14">
        <f t="shared" si="8"/>
        <v>106255.71428571429</v>
      </c>
      <c r="Q39" s="14">
        <f t="shared" si="8"/>
        <v>106255.71428571429</v>
      </c>
      <c r="R39" s="14">
        <f t="shared" si="8"/>
        <v>106255.71428571429</v>
      </c>
      <c r="S39" s="14">
        <f t="shared" si="8"/>
        <v>106255.71428571429</v>
      </c>
      <c r="T39" s="14">
        <f t="shared" si="8"/>
        <v>106255.71428571429</v>
      </c>
      <c r="U39" s="14">
        <f t="shared" si="8"/>
        <v>106255.71428571429</v>
      </c>
      <c r="V39" s="14">
        <f t="shared" si="8"/>
        <v>106255.71428571429</v>
      </c>
    </row>
    <row r="40" spans="1:22" x14ac:dyDescent="0.35">
      <c r="A40" s="3"/>
      <c r="B40" s="3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2" spans="1:22" x14ac:dyDescent="0.35">
      <c r="A42" s="48" t="s">
        <v>465</v>
      </c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</row>
    <row r="44" spans="1:22" x14ac:dyDescent="0.35">
      <c r="A44" s="68" t="s">
        <v>398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</row>
    <row r="45" spans="1:22" x14ac:dyDescent="0.35">
      <c r="A45" s="34" t="s">
        <v>7</v>
      </c>
      <c r="B45" s="10" t="s">
        <v>11</v>
      </c>
      <c r="C45" s="11" t="s">
        <v>399</v>
      </c>
      <c r="D45" s="11" t="s">
        <v>400</v>
      </c>
      <c r="E45" s="11" t="s">
        <v>401</v>
      </c>
      <c r="F45" s="11" t="s">
        <v>402</v>
      </c>
      <c r="G45" s="11" t="s">
        <v>403</v>
      </c>
      <c r="H45" s="11" t="s">
        <v>404</v>
      </c>
      <c r="I45" s="11" t="s">
        <v>405</v>
      </c>
      <c r="J45" s="11" t="s">
        <v>406</v>
      </c>
      <c r="K45" s="11" t="s">
        <v>407</v>
      </c>
      <c r="L45" s="11" t="s">
        <v>408</v>
      </c>
      <c r="M45" s="11" t="s">
        <v>409</v>
      </c>
      <c r="N45" s="11" t="s">
        <v>410</v>
      </c>
      <c r="O45" s="11" t="s">
        <v>411</v>
      </c>
      <c r="P45" s="11" t="s">
        <v>412</v>
      </c>
      <c r="Q45" s="11" t="s">
        <v>413</v>
      </c>
      <c r="R45" s="11" t="s">
        <v>414</v>
      </c>
      <c r="S45" s="11" t="s">
        <v>415</v>
      </c>
      <c r="T45" s="11" t="s">
        <v>416</v>
      </c>
      <c r="U45" s="11" t="s">
        <v>417</v>
      </c>
      <c r="V45" s="11" t="s">
        <v>418</v>
      </c>
    </row>
    <row r="46" spans="1:22" x14ac:dyDescent="0.35">
      <c r="A46" s="53" t="s">
        <v>2</v>
      </c>
      <c r="B46" s="15"/>
    </row>
    <row r="47" spans="1:22" x14ac:dyDescent="0.35">
      <c r="A47" s="19" t="s">
        <v>33</v>
      </c>
      <c r="B47" s="8" t="s">
        <v>1</v>
      </c>
      <c r="C47" s="5">
        <f>'Coffee FIN'!C47</f>
        <v>0.25</v>
      </c>
      <c r="D47" s="5">
        <f>'Coffee FIN'!D47</f>
        <v>0.25</v>
      </c>
      <c r="E47" s="5">
        <f>'Coffee FIN'!E47</f>
        <v>0.25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</row>
    <row r="48" spans="1:22" x14ac:dyDescent="0.35">
      <c r="A48" s="19" t="s">
        <v>198</v>
      </c>
      <c r="B48" s="8" t="s">
        <v>1</v>
      </c>
      <c r="C48" s="5">
        <f>'Coffee FIN'!C48</f>
        <v>0.25</v>
      </c>
      <c r="D48" s="5">
        <f>'Coffee FIN'!D48</f>
        <v>0.25</v>
      </c>
      <c r="E48" s="5">
        <f>'Coffee FIN'!E48</f>
        <v>0.25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</row>
    <row r="49" spans="1:22" x14ac:dyDescent="0.35">
      <c r="A49" s="19" t="s">
        <v>208</v>
      </c>
      <c r="B49" s="54" t="s">
        <v>11</v>
      </c>
      <c r="C49" s="5">
        <f>'Coffee FIN'!C49</f>
        <v>933.25</v>
      </c>
      <c r="D49" s="5">
        <f>'Coffee FIN'!D49</f>
        <v>933.25</v>
      </c>
      <c r="E49" s="5">
        <f>'Coffee FIN'!E49</f>
        <v>933.25</v>
      </c>
      <c r="F49" s="5">
        <f>'Coffee FIN'!F49</f>
        <v>600</v>
      </c>
      <c r="G49" s="5">
        <f>'Coffee FIN'!G49</f>
        <v>600</v>
      </c>
      <c r="H49" s="5">
        <f>'Coffee FIN'!H49</f>
        <v>600</v>
      </c>
      <c r="I49" s="5">
        <f>'Coffee FIN'!I49</f>
        <v>600</v>
      </c>
      <c r="J49" s="5">
        <f>'Coffee FIN'!J49</f>
        <v>600</v>
      </c>
      <c r="K49" s="5">
        <f>'Coffee FIN'!K49</f>
        <v>600</v>
      </c>
      <c r="L49" s="5">
        <f>'Coffee FIN'!L49</f>
        <v>600</v>
      </c>
      <c r="M49" s="5">
        <f>'Coffee FIN'!M49</f>
        <v>600</v>
      </c>
      <c r="N49" s="5">
        <f>'Coffee FIN'!N49</f>
        <v>600</v>
      </c>
      <c r="O49" s="5">
        <f>'Coffee FIN'!O49</f>
        <v>600</v>
      </c>
      <c r="P49" s="5">
        <f>'Coffee FIN'!P49</f>
        <v>600</v>
      </c>
      <c r="Q49" s="5">
        <f>'Coffee FIN'!Q49</f>
        <v>600</v>
      </c>
      <c r="R49" s="5">
        <f>'Coffee FIN'!R49</f>
        <v>600</v>
      </c>
      <c r="S49" s="5">
        <f>'Coffee FIN'!S49</f>
        <v>600</v>
      </c>
      <c r="T49" s="5">
        <f>'Coffee FIN'!T49</f>
        <v>600</v>
      </c>
      <c r="U49" s="5">
        <f>'Coffee FIN'!U49</f>
        <v>600</v>
      </c>
      <c r="V49" s="5">
        <f>'Coffee FIN'!V49</f>
        <v>600</v>
      </c>
    </row>
    <row r="50" spans="1:22" x14ac:dyDescent="0.35">
      <c r="A50" s="19" t="s">
        <v>195</v>
      </c>
      <c r="B50" s="54" t="s">
        <v>11</v>
      </c>
      <c r="C50" s="5">
        <f>'Coffee FIN'!C50</f>
        <v>333.25</v>
      </c>
      <c r="D50" s="5">
        <f>'Coffee FIN'!D50</f>
        <v>333.25</v>
      </c>
      <c r="E50" s="5">
        <f>'Coffee FIN'!E50</f>
        <v>333.25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</row>
    <row r="51" spans="1:22" x14ac:dyDescent="0.35">
      <c r="A51" s="19" t="s">
        <v>31</v>
      </c>
      <c r="B51" s="54" t="s">
        <v>1</v>
      </c>
      <c r="C51" s="5">
        <f>'Coffee FIN'!C51</f>
        <v>1</v>
      </c>
      <c r="D51" s="5">
        <f>'Coffee FIN'!D51</f>
        <v>1</v>
      </c>
      <c r="E51" s="5">
        <f>'Coffee FIN'!E51</f>
        <v>1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</row>
    <row r="52" spans="1:22" x14ac:dyDescent="0.35">
      <c r="A52" s="19" t="s">
        <v>49</v>
      </c>
      <c r="B52" s="54" t="s">
        <v>11</v>
      </c>
      <c r="C52" s="5">
        <f>'Coffee FIN'!C52</f>
        <v>1266.5</v>
      </c>
      <c r="D52" s="5">
        <f>'Coffee FIN'!D52</f>
        <v>1266.5</v>
      </c>
      <c r="E52" s="5">
        <f>'Coffee FIN'!E52</f>
        <v>600</v>
      </c>
      <c r="F52" s="5">
        <f>'Coffee FIN'!F52</f>
        <v>600</v>
      </c>
      <c r="G52" s="5">
        <f>'Coffee FIN'!G52</f>
        <v>600</v>
      </c>
      <c r="H52" s="5">
        <f>'Coffee FIN'!H52</f>
        <v>600</v>
      </c>
      <c r="I52" s="5">
        <f>'Coffee FIN'!I52</f>
        <v>600</v>
      </c>
      <c r="J52" s="5">
        <f>'Coffee FIN'!J52</f>
        <v>600</v>
      </c>
      <c r="K52" s="5">
        <f>'Coffee FIN'!K52</f>
        <v>600</v>
      </c>
      <c r="L52" s="5">
        <f>'Coffee FIN'!L52</f>
        <v>600</v>
      </c>
      <c r="M52" s="5">
        <f>'Coffee FIN'!M52</f>
        <v>600</v>
      </c>
      <c r="N52" s="5">
        <f>'Coffee FIN'!N52</f>
        <v>600</v>
      </c>
      <c r="O52" s="5">
        <f>'Coffee FIN'!O52</f>
        <v>600</v>
      </c>
      <c r="P52" s="5">
        <f>'Coffee FIN'!P52</f>
        <v>600</v>
      </c>
      <c r="Q52" s="5">
        <f>'Coffee FIN'!Q52</f>
        <v>600</v>
      </c>
      <c r="R52" s="5">
        <f>'Coffee FIN'!R52</f>
        <v>600</v>
      </c>
      <c r="S52" s="5">
        <f>'Coffee FIN'!S52</f>
        <v>600</v>
      </c>
      <c r="T52" s="5">
        <f>'Coffee FIN'!T52</f>
        <v>600</v>
      </c>
      <c r="U52" s="5">
        <f>'Coffee FIN'!U52</f>
        <v>600</v>
      </c>
      <c r="V52" s="5">
        <f>'Coffee FIN'!V52</f>
        <v>600</v>
      </c>
    </row>
    <row r="53" spans="1:22" x14ac:dyDescent="0.35">
      <c r="A53" s="19" t="s">
        <v>100</v>
      </c>
      <c r="B53" s="54" t="s">
        <v>11</v>
      </c>
      <c r="C53" s="5">
        <f>'Coffee FIN'!C53</f>
        <v>1266.5</v>
      </c>
      <c r="D53" s="5">
        <f>'Coffee FIN'!D53</f>
        <v>1266.5</v>
      </c>
      <c r="E53" s="5">
        <f>'Coffee FIN'!E53</f>
        <v>600</v>
      </c>
      <c r="F53" s="5">
        <f>'Coffee FIN'!F53</f>
        <v>600</v>
      </c>
      <c r="G53" s="5">
        <f>'Coffee FIN'!G53</f>
        <v>600</v>
      </c>
      <c r="H53" s="5">
        <f>'Coffee FIN'!H53</f>
        <v>600</v>
      </c>
      <c r="I53" s="5">
        <f>'Coffee FIN'!I53</f>
        <v>600</v>
      </c>
      <c r="J53" s="5">
        <f>'Coffee FIN'!J53</f>
        <v>600</v>
      </c>
      <c r="K53" s="5">
        <f>'Coffee FIN'!K53</f>
        <v>600</v>
      </c>
      <c r="L53" s="5">
        <f>'Coffee FIN'!L53</f>
        <v>600</v>
      </c>
      <c r="M53" s="5">
        <f>'Coffee FIN'!M53</f>
        <v>600</v>
      </c>
      <c r="N53" s="5">
        <f>'Coffee FIN'!N53</f>
        <v>600</v>
      </c>
      <c r="O53" s="5">
        <f>'Coffee FIN'!O53</f>
        <v>600</v>
      </c>
      <c r="P53" s="5">
        <f>'Coffee FIN'!P53</f>
        <v>600</v>
      </c>
      <c r="Q53" s="5">
        <f>'Coffee FIN'!Q53</f>
        <v>600</v>
      </c>
      <c r="R53" s="5">
        <f>'Coffee FIN'!R53</f>
        <v>600</v>
      </c>
      <c r="S53" s="5">
        <f>'Coffee FIN'!S53</f>
        <v>600</v>
      </c>
      <c r="T53" s="5">
        <f>'Coffee FIN'!T53</f>
        <v>600</v>
      </c>
      <c r="U53" s="5">
        <f>'Coffee FIN'!U53</f>
        <v>600</v>
      </c>
      <c r="V53" s="5">
        <f>'Coffee FIN'!V53</f>
        <v>600</v>
      </c>
    </row>
    <row r="54" spans="1:22" x14ac:dyDescent="0.35">
      <c r="A54" s="19" t="s">
        <v>8</v>
      </c>
      <c r="B54" s="54" t="s">
        <v>1</v>
      </c>
      <c r="C54" s="5">
        <f>'Coffee FIN'!C54</f>
        <v>0</v>
      </c>
      <c r="D54" s="5">
        <f>'Coffee FIN'!D54</f>
        <v>4</v>
      </c>
      <c r="E54" s="5">
        <f>'Coffee FIN'!E54</f>
        <v>3.4</v>
      </c>
      <c r="F54" s="5">
        <f>'Coffee FIN'!F54</f>
        <v>2.8</v>
      </c>
      <c r="G54" s="5">
        <f>'Coffee FIN'!G54</f>
        <v>2.2000000000000002</v>
      </c>
      <c r="H54" s="5">
        <f>'Coffee FIN'!H54</f>
        <v>2.2000000000000002</v>
      </c>
      <c r="I54" s="5">
        <f>'Coffee FIN'!I54</f>
        <v>2.2000000000000002</v>
      </c>
      <c r="J54" s="5">
        <f>'Coffee FIN'!J54</f>
        <v>2.2000000000000002</v>
      </c>
      <c r="K54" s="5">
        <f>'Coffee FIN'!K54</f>
        <v>2.2000000000000002</v>
      </c>
      <c r="L54" s="5">
        <f>'Coffee FIN'!L54</f>
        <v>2.2000000000000002</v>
      </c>
      <c r="M54" s="5">
        <f>'Coffee FIN'!M54</f>
        <v>2.2000000000000002</v>
      </c>
      <c r="N54" s="5">
        <f>'Coffee FIN'!N54</f>
        <v>2.2000000000000002</v>
      </c>
      <c r="O54" s="5">
        <f>'Coffee FIN'!O54</f>
        <v>2.2000000000000002</v>
      </c>
      <c r="P54" s="5">
        <f>'Coffee FIN'!P54</f>
        <v>2.2000000000000002</v>
      </c>
      <c r="Q54" s="5">
        <f>'Coffee FIN'!Q54</f>
        <v>2.2000000000000002</v>
      </c>
      <c r="R54" s="5">
        <f>'Coffee FIN'!R54</f>
        <v>2.2000000000000002</v>
      </c>
      <c r="S54" s="5">
        <f>'Coffee FIN'!S54</f>
        <v>2.2000000000000002</v>
      </c>
      <c r="T54" s="5">
        <f>'Coffee FIN'!T54</f>
        <v>2.2000000000000002</v>
      </c>
      <c r="U54" s="5">
        <f>'Coffee FIN'!U54</f>
        <v>2.2000000000000002</v>
      </c>
      <c r="V54" s="5">
        <f>'Coffee FIN'!V54</f>
        <v>2.2000000000000002</v>
      </c>
    </row>
    <row r="55" spans="1:22" x14ac:dyDescent="0.35">
      <c r="A55" s="19" t="s">
        <v>196</v>
      </c>
      <c r="B55" s="54" t="s">
        <v>42</v>
      </c>
      <c r="C55" s="5">
        <f>'Coffee FIN'!C55</f>
        <v>0.75</v>
      </c>
      <c r="D55" s="5">
        <f>'Coffee FIN'!D55</f>
        <v>1</v>
      </c>
      <c r="E55" s="5">
        <f>'Coffee FIN'!E55</f>
        <v>1</v>
      </c>
      <c r="F55" s="5">
        <f>'Coffee FIN'!F55</f>
        <v>1</v>
      </c>
      <c r="G55" s="5">
        <f>'Coffee FIN'!G55</f>
        <v>1</v>
      </c>
      <c r="H55" s="5">
        <f>'Coffee FIN'!H55</f>
        <v>1</v>
      </c>
      <c r="I55" s="5">
        <f>'Coffee FIN'!I55</f>
        <v>1</v>
      </c>
      <c r="J55" s="5">
        <f>'Coffee FIN'!J55</f>
        <v>1</v>
      </c>
      <c r="K55" s="5">
        <f>'Coffee FIN'!K55</f>
        <v>1</v>
      </c>
      <c r="L55" s="5">
        <f>'Coffee FIN'!L55</f>
        <v>1</v>
      </c>
      <c r="M55" s="5">
        <f>'Coffee FIN'!M55</f>
        <v>1</v>
      </c>
      <c r="N55" s="5">
        <f>'Coffee FIN'!N55</f>
        <v>1</v>
      </c>
      <c r="O55" s="5">
        <f>'Coffee FIN'!O55</f>
        <v>1</v>
      </c>
      <c r="P55" s="5">
        <f>'Coffee FIN'!P55</f>
        <v>1</v>
      </c>
      <c r="Q55" s="5">
        <f>'Coffee FIN'!Q55</f>
        <v>1</v>
      </c>
      <c r="R55" s="5">
        <f>'Coffee FIN'!R55</f>
        <v>1</v>
      </c>
      <c r="S55" s="5">
        <f>'Coffee FIN'!S55</f>
        <v>1</v>
      </c>
      <c r="T55" s="5">
        <f>'Coffee FIN'!T55</f>
        <v>1</v>
      </c>
      <c r="U55" s="5">
        <f>'Coffee FIN'!U55</f>
        <v>1</v>
      </c>
      <c r="V55" s="5">
        <f>'Coffee FIN'!V55</f>
        <v>1</v>
      </c>
    </row>
    <row r="56" spans="1:22" x14ac:dyDescent="0.35">
      <c r="A56" s="19" t="s">
        <v>419</v>
      </c>
      <c r="B56" s="54" t="s">
        <v>42</v>
      </c>
      <c r="C56" s="5">
        <f>'Coffee FIN'!C56</f>
        <v>30</v>
      </c>
      <c r="D56" s="5">
        <f>'Coffee FIN'!D56</f>
        <v>30</v>
      </c>
      <c r="E56" s="5">
        <f>'Coffee FIN'!E56</f>
        <v>30</v>
      </c>
      <c r="F56" s="5">
        <f>'Coffee FIN'!F56</f>
        <v>30</v>
      </c>
      <c r="G56" s="5">
        <f>'Coffee FIN'!G56</f>
        <v>30</v>
      </c>
      <c r="H56" s="5">
        <f>'Coffee FIN'!H56</f>
        <v>30</v>
      </c>
      <c r="I56" s="5">
        <f>'Coffee FIN'!I56</f>
        <v>30</v>
      </c>
      <c r="J56" s="5">
        <f>'Coffee FIN'!J56</f>
        <v>30</v>
      </c>
      <c r="K56" s="5">
        <f>'Coffee FIN'!K56</f>
        <v>30</v>
      </c>
      <c r="L56" s="5">
        <f>'Coffee FIN'!L56</f>
        <v>30</v>
      </c>
      <c r="M56" s="5">
        <f>'Coffee FIN'!M56</f>
        <v>30</v>
      </c>
      <c r="N56" s="5">
        <f>'Coffee FIN'!N56</f>
        <v>30</v>
      </c>
      <c r="O56" s="5">
        <f>'Coffee FIN'!O56</f>
        <v>30</v>
      </c>
      <c r="P56" s="5">
        <f>'Coffee FIN'!P56</f>
        <v>30</v>
      </c>
      <c r="Q56" s="5">
        <f>'Coffee FIN'!Q56</f>
        <v>30</v>
      </c>
      <c r="R56" s="5">
        <f>'Coffee FIN'!R56</f>
        <v>30</v>
      </c>
      <c r="S56" s="5">
        <f>'Coffee FIN'!S56</f>
        <v>30</v>
      </c>
      <c r="T56" s="5">
        <f>'Coffee FIN'!T56</f>
        <v>30</v>
      </c>
      <c r="U56" s="5">
        <f>'Coffee FIN'!U56</f>
        <v>30</v>
      </c>
      <c r="V56" s="5">
        <f>'Coffee FIN'!V56</f>
        <v>30</v>
      </c>
    </row>
    <row r="57" spans="1:22" x14ac:dyDescent="0.35">
      <c r="A57" s="19" t="s">
        <v>420</v>
      </c>
      <c r="B57" s="54" t="s">
        <v>42</v>
      </c>
      <c r="C57" s="5">
        <f>'Coffee FIN'!C57</f>
        <v>17</v>
      </c>
      <c r="D57" s="5">
        <f>'Coffee FIN'!D57</f>
        <v>17</v>
      </c>
      <c r="E57" s="5">
        <f>'Coffee FIN'!E57</f>
        <v>17</v>
      </c>
      <c r="F57" s="5">
        <f>'Coffee FIN'!F57</f>
        <v>17</v>
      </c>
      <c r="G57" s="5">
        <f>'Coffee FIN'!G57</f>
        <v>17</v>
      </c>
      <c r="H57" s="5">
        <f>'Coffee FIN'!H57</f>
        <v>17</v>
      </c>
      <c r="I57" s="5">
        <f>'Coffee FIN'!I57</f>
        <v>17</v>
      </c>
      <c r="J57" s="5">
        <f>'Coffee FIN'!J57</f>
        <v>17</v>
      </c>
      <c r="K57" s="5">
        <f>'Coffee FIN'!K57</f>
        <v>17</v>
      </c>
      <c r="L57" s="5">
        <f>'Coffee FIN'!L57</f>
        <v>17</v>
      </c>
      <c r="M57" s="5">
        <f>'Coffee FIN'!M57</f>
        <v>17</v>
      </c>
      <c r="N57" s="5">
        <f>'Coffee FIN'!N57</f>
        <v>17</v>
      </c>
      <c r="O57" s="5">
        <f>'Coffee FIN'!O57</f>
        <v>17</v>
      </c>
      <c r="P57" s="5">
        <f>'Coffee FIN'!P57</f>
        <v>17</v>
      </c>
      <c r="Q57" s="5">
        <f>'Coffee FIN'!Q57</f>
        <v>17</v>
      </c>
      <c r="R57" s="5">
        <f>'Coffee FIN'!R57</f>
        <v>17</v>
      </c>
      <c r="S57" s="5">
        <f>'Coffee FIN'!S57</f>
        <v>17</v>
      </c>
      <c r="T57" s="5">
        <f>'Coffee FIN'!T57</f>
        <v>17</v>
      </c>
      <c r="U57" s="5">
        <f>'Coffee FIN'!U57</f>
        <v>17</v>
      </c>
      <c r="V57" s="5">
        <f>'Coffee FIN'!V57</f>
        <v>17</v>
      </c>
    </row>
    <row r="58" spans="1:22" x14ac:dyDescent="0.35">
      <c r="A58" s="19" t="s">
        <v>41</v>
      </c>
      <c r="B58" s="54" t="s">
        <v>42</v>
      </c>
      <c r="C58" s="5">
        <f>'Coffee FIN'!C58</f>
        <v>7</v>
      </c>
      <c r="D58" s="5">
        <f>'Coffee FIN'!D58</f>
        <v>7</v>
      </c>
      <c r="E58" s="5">
        <f>'Coffee FIN'!E58</f>
        <v>7</v>
      </c>
      <c r="F58" s="5">
        <f>'Coffee FIN'!F58</f>
        <v>7</v>
      </c>
      <c r="G58" s="5">
        <f>'Coffee FIN'!G58</f>
        <v>7</v>
      </c>
      <c r="H58" s="5">
        <f>'Coffee FIN'!H58</f>
        <v>7</v>
      </c>
      <c r="I58" s="5">
        <f>'Coffee FIN'!I58</f>
        <v>7</v>
      </c>
      <c r="J58" s="5">
        <f>'Coffee FIN'!J58</f>
        <v>7</v>
      </c>
      <c r="K58" s="5">
        <f>'Coffee FIN'!K58</f>
        <v>7</v>
      </c>
      <c r="L58" s="5">
        <f>'Coffee FIN'!L58</f>
        <v>7</v>
      </c>
      <c r="M58" s="5">
        <f>'Coffee FIN'!M58</f>
        <v>7</v>
      </c>
      <c r="N58" s="5">
        <f>'Coffee FIN'!N58</f>
        <v>7</v>
      </c>
      <c r="O58" s="5">
        <f>'Coffee FIN'!O58</f>
        <v>7</v>
      </c>
      <c r="P58" s="5">
        <f>'Coffee FIN'!P58</f>
        <v>7</v>
      </c>
      <c r="Q58" s="5">
        <f>'Coffee FIN'!Q58</f>
        <v>7</v>
      </c>
      <c r="R58" s="5">
        <f>'Coffee FIN'!R58</f>
        <v>7</v>
      </c>
      <c r="S58" s="5">
        <f>'Coffee FIN'!S58</f>
        <v>7</v>
      </c>
      <c r="T58" s="5">
        <f>'Coffee FIN'!T58</f>
        <v>7</v>
      </c>
      <c r="U58" s="5">
        <f>'Coffee FIN'!U58</f>
        <v>7</v>
      </c>
      <c r="V58" s="5">
        <f>'Coffee FIN'!V58</f>
        <v>7</v>
      </c>
    </row>
    <row r="59" spans="1:22" x14ac:dyDescent="0.35">
      <c r="A59" s="19" t="s">
        <v>130</v>
      </c>
      <c r="B59" s="54" t="s">
        <v>42</v>
      </c>
      <c r="C59" s="5">
        <f>'Coffee FIN'!C59</f>
        <v>3</v>
      </c>
      <c r="D59" s="5">
        <f>'Coffee FIN'!D59</f>
        <v>3</v>
      </c>
      <c r="E59" s="5">
        <f>'Coffee FIN'!E59</f>
        <v>3</v>
      </c>
      <c r="F59" s="5">
        <f>'Coffee FIN'!F59</f>
        <v>3</v>
      </c>
      <c r="G59" s="5">
        <f>'Coffee FIN'!G59</f>
        <v>3</v>
      </c>
      <c r="H59" s="5">
        <f>'Coffee FIN'!H59</f>
        <v>3</v>
      </c>
      <c r="I59" s="5">
        <f>'Coffee FIN'!I59</f>
        <v>3</v>
      </c>
      <c r="J59" s="5">
        <f>'Coffee FIN'!J59</f>
        <v>3</v>
      </c>
      <c r="K59" s="5">
        <f>'Coffee FIN'!K59</f>
        <v>3</v>
      </c>
      <c r="L59" s="5">
        <f>'Coffee FIN'!L59</f>
        <v>3</v>
      </c>
      <c r="M59" s="5">
        <f>'Coffee FIN'!M59</f>
        <v>3</v>
      </c>
      <c r="N59" s="5">
        <f>'Coffee FIN'!N59</f>
        <v>3</v>
      </c>
      <c r="O59" s="5">
        <f>'Coffee FIN'!O59</f>
        <v>3</v>
      </c>
      <c r="P59" s="5">
        <f>'Coffee FIN'!P59</f>
        <v>3</v>
      </c>
      <c r="Q59" s="5">
        <f>'Coffee FIN'!Q59</f>
        <v>3</v>
      </c>
      <c r="R59" s="5">
        <f>'Coffee FIN'!R59</f>
        <v>3</v>
      </c>
      <c r="S59" s="5">
        <f>'Coffee FIN'!S59</f>
        <v>3</v>
      </c>
      <c r="T59" s="5">
        <f>'Coffee FIN'!T59</f>
        <v>3</v>
      </c>
      <c r="U59" s="5">
        <f>'Coffee FIN'!U59</f>
        <v>3</v>
      </c>
      <c r="V59" s="5">
        <f>'Coffee FIN'!V59</f>
        <v>3</v>
      </c>
    </row>
    <row r="60" spans="1:22" x14ac:dyDescent="0.35">
      <c r="A60" s="19" t="s">
        <v>206</v>
      </c>
      <c r="B60" s="54" t="s">
        <v>42</v>
      </c>
      <c r="C60" s="5">
        <f>'Coffee FIN'!C60</f>
        <v>6</v>
      </c>
      <c r="D60" s="5">
        <f>'Coffee FIN'!D60</f>
        <v>6</v>
      </c>
      <c r="E60" s="5">
        <f>'Coffee FIN'!E60</f>
        <v>6</v>
      </c>
      <c r="F60" s="5">
        <f>'Coffee FIN'!F60</f>
        <v>6</v>
      </c>
      <c r="G60" s="5">
        <f>'Coffee FIN'!G60</f>
        <v>6</v>
      </c>
      <c r="H60" s="5">
        <f>'Coffee FIN'!H60</f>
        <v>6</v>
      </c>
      <c r="I60" s="5">
        <f>'Coffee FIN'!I60</f>
        <v>6</v>
      </c>
      <c r="J60" s="5">
        <f>'Coffee FIN'!J60</f>
        <v>6</v>
      </c>
      <c r="K60" s="5">
        <f>'Coffee FIN'!K60</f>
        <v>6</v>
      </c>
      <c r="L60" s="5">
        <f>'Coffee FIN'!L60</f>
        <v>6</v>
      </c>
      <c r="M60" s="5">
        <f>'Coffee FIN'!M60</f>
        <v>6</v>
      </c>
      <c r="N60" s="5">
        <f>'Coffee FIN'!N60</f>
        <v>6</v>
      </c>
      <c r="O60" s="5">
        <f>'Coffee FIN'!O60</f>
        <v>6</v>
      </c>
      <c r="P60" s="5">
        <f>'Coffee FIN'!P60</f>
        <v>6</v>
      </c>
      <c r="Q60" s="5">
        <f>'Coffee FIN'!Q60</f>
        <v>6</v>
      </c>
      <c r="R60" s="5">
        <f>'Coffee FIN'!R60</f>
        <v>6</v>
      </c>
      <c r="S60" s="5">
        <f>'Coffee FIN'!S60</f>
        <v>6</v>
      </c>
      <c r="T60" s="5">
        <f>'Coffee FIN'!T60</f>
        <v>6</v>
      </c>
      <c r="U60" s="5">
        <f>'Coffee FIN'!U60</f>
        <v>6</v>
      </c>
      <c r="V60" s="5">
        <f>'Coffee FIN'!V60</f>
        <v>6</v>
      </c>
    </row>
    <row r="61" spans="1:22" x14ac:dyDescent="0.35">
      <c r="A61" s="19" t="s">
        <v>201</v>
      </c>
      <c r="B61" s="54" t="s">
        <v>42</v>
      </c>
      <c r="C61" s="5">
        <f>'Coffee FIN'!C61</f>
        <v>18</v>
      </c>
      <c r="D61" s="5">
        <f>'Coffee FIN'!D61</f>
        <v>12</v>
      </c>
      <c r="E61" s="5">
        <f>'Coffee FIN'!E61</f>
        <v>10.532200000000001</v>
      </c>
      <c r="F61" s="5">
        <f>'Coffee FIN'!F61</f>
        <v>11.8652</v>
      </c>
      <c r="G61" s="5">
        <f>'Coffee FIN'!G61</f>
        <v>15.331</v>
      </c>
      <c r="H61" s="5">
        <f>'Coffee FIN'!H61</f>
        <v>17.730399999999999</v>
      </c>
      <c r="I61" s="5">
        <f>'Coffee FIN'!I61</f>
        <v>19.863199999999999</v>
      </c>
      <c r="J61" s="5">
        <f>'Coffee FIN'!J61</f>
        <v>19.863199999999999</v>
      </c>
      <c r="K61" s="5">
        <f>'Coffee FIN'!K61</f>
        <v>19.863199999999999</v>
      </c>
      <c r="L61" s="5">
        <f>'Coffee FIN'!L61</f>
        <v>19.863199999999999</v>
      </c>
      <c r="M61" s="5">
        <f>'Coffee FIN'!M61</f>
        <v>19.863199999999999</v>
      </c>
      <c r="N61" s="5">
        <f>'Coffee FIN'!N61</f>
        <v>19.863199999999999</v>
      </c>
      <c r="O61" s="5">
        <f>'Coffee FIN'!O61</f>
        <v>19.863199999999999</v>
      </c>
      <c r="P61" s="5">
        <f>'Coffee FIN'!P61</f>
        <v>19.863199999999999</v>
      </c>
      <c r="Q61" s="5">
        <f>'Coffee FIN'!Q61</f>
        <v>19.863199999999999</v>
      </c>
      <c r="R61" s="5">
        <f>'Coffee FIN'!R61</f>
        <v>19.863199999999999</v>
      </c>
      <c r="S61" s="5">
        <f>'Coffee FIN'!S61</f>
        <v>19.863199999999999</v>
      </c>
      <c r="T61" s="5">
        <f>'Coffee FIN'!T61</f>
        <v>19.863199999999999</v>
      </c>
      <c r="U61" s="5">
        <f>'Coffee FIN'!U61</f>
        <v>19.863199999999999</v>
      </c>
      <c r="V61" s="5">
        <f>'Coffee FIN'!V61</f>
        <v>19.863199999999999</v>
      </c>
    </row>
    <row r="62" spans="1:22" x14ac:dyDescent="0.35">
      <c r="A62" s="19" t="s">
        <v>192</v>
      </c>
      <c r="B62" s="54" t="s">
        <v>10</v>
      </c>
      <c r="C62" s="5">
        <f>'Coffee FIN'!C62</f>
        <v>225</v>
      </c>
      <c r="D62" s="5">
        <f>'Coffee FIN'!D62</f>
        <v>150</v>
      </c>
      <c r="E62" s="5">
        <f>'Coffee FIN'!E62</f>
        <v>131.6525</v>
      </c>
      <c r="F62" s="5">
        <f>'Coffee FIN'!F62</f>
        <v>148.315</v>
      </c>
      <c r="G62" s="5">
        <f>'Coffee FIN'!G62</f>
        <v>191.63749999999999</v>
      </c>
      <c r="H62" s="5">
        <f>'Coffee FIN'!H62</f>
        <v>221.63</v>
      </c>
      <c r="I62" s="5">
        <f>'Coffee FIN'!I62</f>
        <v>248.29</v>
      </c>
      <c r="J62" s="5">
        <f>'Coffee FIN'!J62</f>
        <v>248.29</v>
      </c>
      <c r="K62" s="5">
        <f>'Coffee FIN'!K62</f>
        <v>248.29</v>
      </c>
      <c r="L62" s="5">
        <f>'Coffee FIN'!L62</f>
        <v>248.29</v>
      </c>
      <c r="M62" s="5">
        <f>'Coffee FIN'!M62</f>
        <v>248.29</v>
      </c>
      <c r="N62" s="5">
        <f>'Coffee FIN'!N62</f>
        <v>248.29</v>
      </c>
      <c r="O62" s="5">
        <f>'Coffee FIN'!O62</f>
        <v>248.29</v>
      </c>
      <c r="P62" s="5">
        <f>'Coffee FIN'!P62</f>
        <v>248.29</v>
      </c>
      <c r="Q62" s="5">
        <f>'Coffee FIN'!Q62</f>
        <v>248.29</v>
      </c>
      <c r="R62" s="5">
        <f>'Coffee FIN'!R62</f>
        <v>248.29</v>
      </c>
      <c r="S62" s="5">
        <f>'Coffee FIN'!S62</f>
        <v>248.29</v>
      </c>
      <c r="T62" s="5">
        <f>'Coffee FIN'!T62</f>
        <v>248.29</v>
      </c>
      <c r="U62" s="5">
        <f>'Coffee FIN'!U62</f>
        <v>248.29</v>
      </c>
      <c r="V62" s="5">
        <f>'Coffee FIN'!V62</f>
        <v>248.29</v>
      </c>
    </row>
    <row r="63" spans="1:22" x14ac:dyDescent="0.35">
      <c r="A63" s="19" t="s">
        <v>202</v>
      </c>
      <c r="B63" s="54" t="s">
        <v>42</v>
      </c>
      <c r="C63" s="5">
        <f>'Coffee FIN'!C63</f>
        <v>2.25</v>
      </c>
      <c r="D63" s="5">
        <f>'Coffee FIN'!D63</f>
        <v>1.5</v>
      </c>
      <c r="E63" s="5">
        <f>'Coffee FIN'!E63</f>
        <v>1.3165250000000002</v>
      </c>
      <c r="F63" s="5">
        <f>'Coffee FIN'!F63</f>
        <v>1.48315</v>
      </c>
      <c r="G63" s="5">
        <f>'Coffee FIN'!G63</f>
        <v>1.9163749999999999</v>
      </c>
      <c r="H63" s="5">
        <f>'Coffee FIN'!H63</f>
        <v>2.2162999999999999</v>
      </c>
      <c r="I63" s="5">
        <f>'Coffee FIN'!I63</f>
        <v>2.4828999999999999</v>
      </c>
      <c r="J63" s="5">
        <f>'Coffee FIN'!J63</f>
        <v>2.4828999999999999</v>
      </c>
      <c r="K63" s="5">
        <f>'Coffee FIN'!K63</f>
        <v>2.4828999999999999</v>
      </c>
      <c r="L63" s="5">
        <f>'Coffee FIN'!L63</f>
        <v>2.4828999999999999</v>
      </c>
      <c r="M63" s="5">
        <f>'Coffee FIN'!M63</f>
        <v>2.4828999999999999</v>
      </c>
      <c r="N63" s="5">
        <f>'Coffee FIN'!N63</f>
        <v>2.4828999999999999</v>
      </c>
      <c r="O63" s="5">
        <f>'Coffee FIN'!O63</f>
        <v>2.4828999999999999</v>
      </c>
      <c r="P63" s="5">
        <f>'Coffee FIN'!P63</f>
        <v>2.4828999999999999</v>
      </c>
      <c r="Q63" s="5">
        <f>'Coffee FIN'!Q63</f>
        <v>2.4828999999999999</v>
      </c>
      <c r="R63" s="5">
        <f>'Coffee FIN'!R63</f>
        <v>2.4828999999999999</v>
      </c>
      <c r="S63" s="5">
        <f>'Coffee FIN'!S63</f>
        <v>2.4828999999999999</v>
      </c>
      <c r="T63" s="5">
        <f>'Coffee FIN'!T63</f>
        <v>2.4828999999999999</v>
      </c>
      <c r="U63" s="5">
        <f>'Coffee FIN'!U63</f>
        <v>2.4828999999999999</v>
      </c>
      <c r="V63" s="5">
        <f>'Coffee FIN'!V63</f>
        <v>2.4828999999999999</v>
      </c>
    </row>
    <row r="64" spans="1:22" x14ac:dyDescent="0.35">
      <c r="A64" s="19" t="s">
        <v>203</v>
      </c>
      <c r="B64" s="54" t="s">
        <v>10</v>
      </c>
      <c r="C64" s="5">
        <f>'Coffee FIN'!C64</f>
        <v>225</v>
      </c>
      <c r="D64" s="5">
        <f>'Coffee FIN'!D64</f>
        <v>150</v>
      </c>
      <c r="E64" s="5">
        <f>'Coffee FIN'!E64</f>
        <v>131.6525</v>
      </c>
      <c r="F64" s="5">
        <f>'Coffee FIN'!F64</f>
        <v>148.315</v>
      </c>
      <c r="G64" s="5">
        <f>'Coffee FIN'!G64</f>
        <v>191.63749999999999</v>
      </c>
      <c r="H64" s="5">
        <f>'Coffee FIN'!H64</f>
        <v>221.63</v>
      </c>
      <c r="I64" s="5">
        <f>'Coffee FIN'!I64</f>
        <v>248.29</v>
      </c>
      <c r="J64" s="5">
        <f>'Coffee FIN'!J64</f>
        <v>248.29</v>
      </c>
      <c r="K64" s="5">
        <f>'Coffee FIN'!K64</f>
        <v>248.29</v>
      </c>
      <c r="L64" s="5">
        <f>'Coffee FIN'!L64</f>
        <v>248.29</v>
      </c>
      <c r="M64" s="5">
        <f>'Coffee FIN'!M64</f>
        <v>248.29</v>
      </c>
      <c r="N64" s="5">
        <f>'Coffee FIN'!N64</f>
        <v>248.29</v>
      </c>
      <c r="O64" s="5">
        <f>'Coffee FIN'!O64</f>
        <v>248.29</v>
      </c>
      <c r="P64" s="5">
        <f>'Coffee FIN'!P64</f>
        <v>248.29</v>
      </c>
      <c r="Q64" s="5">
        <f>'Coffee FIN'!Q64</f>
        <v>248.29</v>
      </c>
      <c r="R64" s="5">
        <f>'Coffee FIN'!R64</f>
        <v>248.29</v>
      </c>
      <c r="S64" s="5">
        <f>'Coffee FIN'!S64</f>
        <v>248.29</v>
      </c>
      <c r="T64" s="5">
        <f>'Coffee FIN'!T64</f>
        <v>248.29</v>
      </c>
      <c r="U64" s="5">
        <f>'Coffee FIN'!U64</f>
        <v>248.29</v>
      </c>
      <c r="V64" s="5">
        <f>'Coffee FIN'!V64</f>
        <v>248.29</v>
      </c>
    </row>
    <row r="65" spans="1:23" x14ac:dyDescent="0.35">
      <c r="A65" s="19" t="s">
        <v>421</v>
      </c>
      <c r="B65" s="54" t="s">
        <v>42</v>
      </c>
      <c r="C65" s="5">
        <f>'Coffee FIN'!C65</f>
        <v>0</v>
      </c>
      <c r="D65" s="5">
        <f>'Coffee FIN'!D65</f>
        <v>15</v>
      </c>
      <c r="E65" s="5">
        <f>'Coffee FIN'!E65</f>
        <v>15</v>
      </c>
      <c r="F65" s="5">
        <f>'Coffee FIN'!F65</f>
        <v>15</v>
      </c>
      <c r="G65" s="5">
        <f>'Coffee FIN'!G65</f>
        <v>15</v>
      </c>
      <c r="H65" s="5">
        <f>'Coffee FIN'!H65</f>
        <v>15</v>
      </c>
      <c r="I65" s="5">
        <f>'Coffee FIN'!I65</f>
        <v>15</v>
      </c>
      <c r="J65" s="5">
        <f>'Coffee FIN'!J65</f>
        <v>15</v>
      </c>
      <c r="K65" s="5">
        <f>'Coffee FIN'!K65</f>
        <v>15</v>
      </c>
      <c r="L65" s="5">
        <f>'Coffee FIN'!L65</f>
        <v>15</v>
      </c>
      <c r="M65" s="5">
        <f>'Coffee FIN'!M65</f>
        <v>15</v>
      </c>
      <c r="N65" s="5">
        <f>'Coffee FIN'!N65</f>
        <v>15</v>
      </c>
      <c r="O65" s="5">
        <f>'Coffee FIN'!O65</f>
        <v>15</v>
      </c>
      <c r="P65" s="5">
        <f>'Coffee FIN'!P65</f>
        <v>15</v>
      </c>
      <c r="Q65" s="5">
        <f>'Coffee FIN'!Q65</f>
        <v>15</v>
      </c>
      <c r="R65" s="5">
        <f>'Coffee FIN'!R65</f>
        <v>15</v>
      </c>
      <c r="S65" s="5">
        <f>'Coffee FIN'!S65</f>
        <v>15</v>
      </c>
      <c r="T65" s="5">
        <f>'Coffee FIN'!T65</f>
        <v>15</v>
      </c>
      <c r="U65" s="5">
        <f>'Coffee FIN'!U65</f>
        <v>15</v>
      </c>
      <c r="V65" s="5">
        <f>'Coffee FIN'!V65</f>
        <v>15</v>
      </c>
      <c r="W65" s="5"/>
    </row>
    <row r="66" spans="1:23" x14ac:dyDescent="0.35">
      <c r="A66" s="19" t="s">
        <v>422</v>
      </c>
      <c r="B66" s="54" t="s">
        <v>10</v>
      </c>
      <c r="C66" s="5">
        <f>'Coffee FIN'!C66</f>
        <v>0</v>
      </c>
      <c r="D66" s="5">
        <f>'Coffee FIN'!D66</f>
        <v>9000</v>
      </c>
      <c r="E66" s="5">
        <f>'Coffee FIN'!E66</f>
        <v>9000</v>
      </c>
      <c r="F66" s="5">
        <f>'Coffee FIN'!F66</f>
        <v>9000</v>
      </c>
      <c r="G66" s="5">
        <f>'Coffee FIN'!G66</f>
        <v>9000</v>
      </c>
      <c r="H66" s="5">
        <f>'Coffee FIN'!H66</f>
        <v>9000</v>
      </c>
      <c r="I66" s="5">
        <f>'Coffee FIN'!I66</f>
        <v>9000</v>
      </c>
      <c r="J66" s="5">
        <f>'Coffee FIN'!J66</f>
        <v>9000</v>
      </c>
      <c r="K66" s="5">
        <f>'Coffee FIN'!K66</f>
        <v>9000</v>
      </c>
      <c r="L66" s="5">
        <f>'Coffee FIN'!L66</f>
        <v>9000</v>
      </c>
      <c r="M66" s="5">
        <f>'Coffee FIN'!M66</f>
        <v>9000</v>
      </c>
      <c r="N66" s="5">
        <f>'Coffee FIN'!N66</f>
        <v>9000</v>
      </c>
      <c r="O66" s="5">
        <f>'Coffee FIN'!O66</f>
        <v>9000</v>
      </c>
      <c r="P66" s="5">
        <f>'Coffee FIN'!P66</f>
        <v>9000</v>
      </c>
      <c r="Q66" s="5">
        <f>'Coffee FIN'!Q66</f>
        <v>9000</v>
      </c>
      <c r="R66" s="5">
        <f>'Coffee FIN'!R66</f>
        <v>9000</v>
      </c>
      <c r="S66" s="5">
        <f>'Coffee FIN'!S66</f>
        <v>9000</v>
      </c>
      <c r="T66" s="5">
        <f>'Coffee FIN'!T66</f>
        <v>9000</v>
      </c>
      <c r="U66" s="5">
        <f>'Coffee FIN'!U66</f>
        <v>9000</v>
      </c>
      <c r="V66" s="5">
        <f>'Coffee FIN'!V66</f>
        <v>9000</v>
      </c>
      <c r="W66" s="5"/>
    </row>
    <row r="67" spans="1:23" x14ac:dyDescent="0.35">
      <c r="A67" s="19"/>
      <c r="B67" s="54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</row>
    <row r="68" spans="1:23" x14ac:dyDescent="0.35">
      <c r="A68" s="19" t="s">
        <v>16</v>
      </c>
      <c r="B68" s="8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</row>
    <row r="69" spans="1:23" x14ac:dyDescent="0.35">
      <c r="A69" s="19" t="s">
        <v>193</v>
      </c>
      <c r="B69" s="8" t="s">
        <v>11</v>
      </c>
      <c r="C69" s="5">
        <f>'Coffee FIN'!C69</f>
        <v>333.25</v>
      </c>
      <c r="D69" s="5">
        <f>'Coffee FIN'!D69</f>
        <v>333.25</v>
      </c>
      <c r="E69" s="5">
        <f>'Coffee FIN'!E69</f>
        <v>333.25</v>
      </c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</row>
    <row r="70" spans="1:23" x14ac:dyDescent="0.35">
      <c r="A70" s="19" t="s">
        <v>423</v>
      </c>
      <c r="B70" s="8" t="s">
        <v>11</v>
      </c>
      <c r="C70" s="5">
        <f>'Coffee FIN'!C70</f>
        <v>600</v>
      </c>
      <c r="D70" s="5">
        <f>'Coffee FIN'!D70</f>
        <v>600</v>
      </c>
      <c r="E70" s="5">
        <f>'Coffee FIN'!E70</f>
        <v>600</v>
      </c>
      <c r="F70" s="5">
        <f>'Coffee FIN'!F70</f>
        <v>600</v>
      </c>
      <c r="G70" s="5">
        <f>'Coffee FIN'!G70</f>
        <v>600</v>
      </c>
      <c r="H70" s="5">
        <f>'Coffee FIN'!H70</f>
        <v>600</v>
      </c>
      <c r="I70" s="5">
        <f>'Coffee FIN'!I70</f>
        <v>600</v>
      </c>
      <c r="J70" s="5">
        <f>'Coffee FIN'!J70</f>
        <v>600</v>
      </c>
      <c r="K70" s="5">
        <f>'Coffee FIN'!K70</f>
        <v>600</v>
      </c>
      <c r="L70" s="5">
        <f>'Coffee FIN'!L70</f>
        <v>600</v>
      </c>
      <c r="M70" s="5">
        <f>'Coffee FIN'!M70</f>
        <v>600</v>
      </c>
      <c r="N70" s="5">
        <f>'Coffee FIN'!N70</f>
        <v>600</v>
      </c>
      <c r="O70" s="5">
        <f>'Coffee FIN'!O70</f>
        <v>600</v>
      </c>
      <c r="P70" s="5">
        <f>'Coffee FIN'!P70</f>
        <v>600</v>
      </c>
      <c r="Q70" s="5">
        <f>'Coffee FIN'!Q70</f>
        <v>600</v>
      </c>
      <c r="R70" s="5">
        <f>'Coffee FIN'!R70</f>
        <v>600</v>
      </c>
      <c r="S70" s="5">
        <f>'Coffee FIN'!S70</f>
        <v>600</v>
      </c>
      <c r="T70" s="5">
        <f>'Coffee FIN'!T70</f>
        <v>600</v>
      </c>
      <c r="U70" s="5">
        <f>'Coffee FIN'!U70</f>
        <v>600</v>
      </c>
      <c r="V70" s="5">
        <f>'Coffee FIN'!V70</f>
        <v>600</v>
      </c>
    </row>
    <row r="71" spans="1:23" x14ac:dyDescent="0.35">
      <c r="A71" s="19" t="s">
        <v>194</v>
      </c>
      <c r="B71" s="8" t="s">
        <v>11</v>
      </c>
      <c r="C71" s="5">
        <f>'Coffee FIN'!C71</f>
        <v>333.25</v>
      </c>
      <c r="D71" s="5">
        <f>'Coffee FIN'!D71</f>
        <v>333.25</v>
      </c>
      <c r="E71" s="5">
        <f>'Coffee FIN'!E71</f>
        <v>333.25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 spans="1:23" x14ac:dyDescent="0.35">
      <c r="A72" s="19" t="s">
        <v>132</v>
      </c>
      <c r="B72" s="54" t="s">
        <v>10</v>
      </c>
      <c r="C72" s="5">
        <f>'Coffee FIN'!C72</f>
        <v>60</v>
      </c>
      <c r="D72" s="5">
        <f>'Coffee FIN'!D72</f>
        <v>60</v>
      </c>
      <c r="E72" s="5">
        <f>'Coffee FIN'!E72</f>
        <v>60</v>
      </c>
      <c r="F72" s="5">
        <f>'Coffee FIN'!F72</f>
        <v>60</v>
      </c>
      <c r="G72" s="5">
        <f>'Coffee FIN'!G72</f>
        <v>60</v>
      </c>
      <c r="H72" s="5">
        <f>'Coffee FIN'!H72</f>
        <v>60</v>
      </c>
      <c r="I72" s="5">
        <f>'Coffee FIN'!I72</f>
        <v>60</v>
      </c>
      <c r="J72" s="5">
        <f>'Coffee FIN'!J72</f>
        <v>60</v>
      </c>
      <c r="K72" s="5">
        <f>'Coffee FIN'!K72</f>
        <v>60</v>
      </c>
      <c r="L72" s="5">
        <f>'Coffee FIN'!L72</f>
        <v>60</v>
      </c>
      <c r="M72" s="5">
        <f>'Coffee FIN'!M72</f>
        <v>60</v>
      </c>
      <c r="N72" s="5">
        <f>'Coffee FIN'!N72</f>
        <v>60</v>
      </c>
      <c r="O72" s="5">
        <f>'Coffee FIN'!O72</f>
        <v>60</v>
      </c>
      <c r="P72" s="5">
        <f>'Coffee FIN'!P72</f>
        <v>60</v>
      </c>
      <c r="Q72" s="5">
        <f>'Coffee FIN'!Q72</f>
        <v>60</v>
      </c>
      <c r="R72" s="5">
        <f>'Coffee FIN'!R72</f>
        <v>60</v>
      </c>
      <c r="S72" s="5">
        <f>'Coffee FIN'!S72</f>
        <v>60</v>
      </c>
      <c r="T72" s="5">
        <f>'Coffee FIN'!T72</f>
        <v>60</v>
      </c>
      <c r="U72" s="5">
        <f>'Coffee FIN'!U72</f>
        <v>60</v>
      </c>
      <c r="V72" s="5">
        <f>'Coffee FIN'!V72</f>
        <v>60</v>
      </c>
    </row>
    <row r="73" spans="1:23" x14ac:dyDescent="0.35">
      <c r="A73" s="19" t="s">
        <v>133</v>
      </c>
      <c r="B73" s="54" t="s">
        <v>10</v>
      </c>
      <c r="C73" s="5">
        <f>'Coffee FIN'!C73</f>
        <v>84</v>
      </c>
      <c r="D73" s="5">
        <f>'Coffee FIN'!D73</f>
        <v>84</v>
      </c>
      <c r="E73" s="5">
        <f>'Coffee FIN'!E73</f>
        <v>84</v>
      </c>
      <c r="F73" s="5">
        <f>'Coffee FIN'!F73</f>
        <v>84</v>
      </c>
      <c r="G73" s="5">
        <f>'Coffee FIN'!G73</f>
        <v>84</v>
      </c>
      <c r="H73" s="5">
        <f>'Coffee FIN'!H73</f>
        <v>84</v>
      </c>
      <c r="I73" s="5">
        <f>'Coffee FIN'!I73</f>
        <v>84</v>
      </c>
      <c r="J73" s="5">
        <f>'Coffee FIN'!J73</f>
        <v>84</v>
      </c>
      <c r="K73" s="5">
        <f>'Coffee FIN'!K73</f>
        <v>84</v>
      </c>
      <c r="L73" s="5">
        <f>'Coffee FIN'!L73</f>
        <v>84</v>
      </c>
      <c r="M73" s="5">
        <f>'Coffee FIN'!M73</f>
        <v>84</v>
      </c>
      <c r="N73" s="5">
        <f>'Coffee FIN'!N73</f>
        <v>84</v>
      </c>
      <c r="O73" s="5">
        <f>'Coffee FIN'!O73</f>
        <v>84</v>
      </c>
      <c r="P73" s="5">
        <f>'Coffee FIN'!P73</f>
        <v>84</v>
      </c>
      <c r="Q73" s="5">
        <f>'Coffee FIN'!Q73</f>
        <v>84</v>
      </c>
      <c r="R73" s="5">
        <f>'Coffee FIN'!R73</f>
        <v>84</v>
      </c>
      <c r="S73" s="5">
        <f>'Coffee FIN'!S73</f>
        <v>84</v>
      </c>
      <c r="T73" s="5">
        <f>'Coffee FIN'!T73</f>
        <v>84</v>
      </c>
      <c r="U73" s="5">
        <f>'Coffee FIN'!U73</f>
        <v>84</v>
      </c>
      <c r="V73" s="5">
        <f>'Coffee FIN'!V73</f>
        <v>84</v>
      </c>
    </row>
    <row r="74" spans="1:23" x14ac:dyDescent="0.35">
      <c r="A74" s="19" t="s">
        <v>269</v>
      </c>
      <c r="B74" s="54" t="s">
        <v>10</v>
      </c>
      <c r="C74" s="5">
        <f>'Coffee FIN'!C74</f>
        <v>240</v>
      </c>
      <c r="D74" s="5">
        <f>'Coffee FIN'!D74</f>
        <v>240</v>
      </c>
      <c r="E74" s="5">
        <f>'Coffee FIN'!E74</f>
        <v>240</v>
      </c>
      <c r="F74" s="5">
        <f>'Coffee FIN'!F74</f>
        <v>240</v>
      </c>
      <c r="G74" s="5">
        <f>'Coffee FIN'!G74</f>
        <v>240</v>
      </c>
      <c r="H74" s="5">
        <f>'Coffee FIN'!H74</f>
        <v>240</v>
      </c>
      <c r="I74" s="5">
        <f>'Coffee FIN'!I74</f>
        <v>240</v>
      </c>
      <c r="J74" s="5">
        <f>'Coffee FIN'!J74</f>
        <v>240</v>
      </c>
      <c r="K74" s="5">
        <f>'Coffee FIN'!K74</f>
        <v>240</v>
      </c>
      <c r="L74" s="5">
        <f>'Coffee FIN'!L74</f>
        <v>240</v>
      </c>
      <c r="M74" s="5">
        <f>'Coffee FIN'!M74</f>
        <v>240</v>
      </c>
      <c r="N74" s="5">
        <f>'Coffee FIN'!N74</f>
        <v>240</v>
      </c>
      <c r="O74" s="5">
        <f>'Coffee FIN'!O74</f>
        <v>240</v>
      </c>
      <c r="P74" s="5">
        <f>'Coffee FIN'!P74</f>
        <v>240</v>
      </c>
      <c r="Q74" s="5">
        <f>'Coffee FIN'!Q74</f>
        <v>240</v>
      </c>
      <c r="R74" s="5">
        <f>'Coffee FIN'!R74</f>
        <v>240</v>
      </c>
      <c r="S74" s="5">
        <f>'Coffee FIN'!S74</f>
        <v>240</v>
      </c>
      <c r="T74" s="5">
        <f>'Coffee FIN'!T74</f>
        <v>240</v>
      </c>
      <c r="U74" s="5">
        <f>'Coffee FIN'!U74</f>
        <v>240</v>
      </c>
      <c r="V74" s="5">
        <f>'Coffee FIN'!V74</f>
        <v>240</v>
      </c>
    </row>
    <row r="75" spans="1:23" x14ac:dyDescent="0.35">
      <c r="A75" s="19" t="s">
        <v>207</v>
      </c>
      <c r="B75" s="54" t="s">
        <v>45</v>
      </c>
      <c r="C75" s="5">
        <f>'Coffee FIN'!C75</f>
        <v>4.3217286914765909</v>
      </c>
      <c r="D75" s="5">
        <f>'Coffee FIN'!D75</f>
        <v>4.3217286914765909</v>
      </c>
      <c r="E75" s="5">
        <f>'Coffee FIN'!E75</f>
        <v>4.3217286914765909</v>
      </c>
      <c r="F75" s="5">
        <f>'Coffee FIN'!F75</f>
        <v>4.3217286914765909</v>
      </c>
      <c r="G75" s="5">
        <f>'Coffee FIN'!G75</f>
        <v>4.3217286914765909</v>
      </c>
      <c r="H75" s="5">
        <f>'Coffee FIN'!H75</f>
        <v>4.3217286914765909</v>
      </c>
      <c r="I75" s="5">
        <f>'Coffee FIN'!I75</f>
        <v>4.3217286914765909</v>
      </c>
      <c r="J75" s="5">
        <f>'Coffee FIN'!J75</f>
        <v>4.3217286914765909</v>
      </c>
      <c r="K75" s="5">
        <f>'Coffee FIN'!K75</f>
        <v>4.3217286914765909</v>
      </c>
      <c r="L75" s="5">
        <f>'Coffee FIN'!L75</f>
        <v>4.3217286914765909</v>
      </c>
      <c r="M75" s="5">
        <f>'Coffee FIN'!M75</f>
        <v>4.3217286914765909</v>
      </c>
      <c r="N75" s="5">
        <f>'Coffee FIN'!N75</f>
        <v>4.3217286914765909</v>
      </c>
      <c r="O75" s="5">
        <f>'Coffee FIN'!O75</f>
        <v>4.3217286914765909</v>
      </c>
      <c r="P75" s="5">
        <f>'Coffee FIN'!P75</f>
        <v>4.3217286914765909</v>
      </c>
      <c r="Q75" s="5">
        <f>'Coffee FIN'!Q75</f>
        <v>4.3217286914765909</v>
      </c>
      <c r="R75" s="5">
        <f>'Coffee FIN'!R75</f>
        <v>4.3217286914765909</v>
      </c>
      <c r="S75" s="5">
        <f>'Coffee FIN'!S75</f>
        <v>4.3217286914765909</v>
      </c>
      <c r="T75" s="5">
        <f>'Coffee FIN'!T75</f>
        <v>4.3217286914765909</v>
      </c>
      <c r="U75" s="5">
        <f>'Coffee FIN'!U75</f>
        <v>4.3217286914765909</v>
      </c>
      <c r="V75" s="5">
        <f>'Coffee FIN'!V75</f>
        <v>4.3217286914765909</v>
      </c>
    </row>
    <row r="76" spans="1:23" s="20" customFormat="1" x14ac:dyDescent="0.35">
      <c r="A76" s="19" t="s">
        <v>17</v>
      </c>
      <c r="B76" s="43" t="s">
        <v>11</v>
      </c>
      <c r="C76" s="5">
        <f>'Coffee FIN'!C76</f>
        <v>3.2142857142857144</v>
      </c>
      <c r="D76" s="5">
        <f>'Coffee FIN'!D76</f>
        <v>2.1428571428571428</v>
      </c>
      <c r="E76" s="5">
        <f>'Coffee FIN'!E76</f>
        <v>1.8807500000000001</v>
      </c>
      <c r="F76" s="5">
        <f>'Coffee FIN'!F76</f>
        <v>2.1187857142857141</v>
      </c>
      <c r="G76" s="5">
        <f>'Coffee FIN'!G76</f>
        <v>2.7376785714285714</v>
      </c>
      <c r="H76" s="5">
        <f>'Coffee FIN'!H76</f>
        <v>3.1661428571428569</v>
      </c>
      <c r="I76" s="5">
        <f>'Coffee FIN'!I76</f>
        <v>3.5469999999999997</v>
      </c>
      <c r="J76" s="5">
        <f>'Coffee FIN'!J76</f>
        <v>3.5469999999999997</v>
      </c>
      <c r="K76" s="5">
        <f>'Coffee FIN'!K76</f>
        <v>3.5469999999999997</v>
      </c>
      <c r="L76" s="5">
        <f>'Coffee FIN'!L76</f>
        <v>3.5469999999999997</v>
      </c>
      <c r="M76" s="5">
        <f>'Coffee FIN'!M76</f>
        <v>3.5469999999999997</v>
      </c>
      <c r="N76" s="5">
        <f>'Coffee FIN'!N76</f>
        <v>3.5469999999999997</v>
      </c>
      <c r="O76" s="5">
        <f>'Coffee FIN'!O76</f>
        <v>3.5469999999999997</v>
      </c>
      <c r="P76" s="5">
        <f>'Coffee FIN'!P76</f>
        <v>3.5469999999999997</v>
      </c>
      <c r="Q76" s="5">
        <f>'Coffee FIN'!Q76</f>
        <v>3.5469999999999997</v>
      </c>
      <c r="R76" s="5">
        <f>'Coffee FIN'!R76</f>
        <v>3.5469999999999997</v>
      </c>
      <c r="S76" s="5">
        <f>'Coffee FIN'!S76</f>
        <v>3.5469999999999997</v>
      </c>
      <c r="T76" s="5">
        <f>'Coffee FIN'!T76</f>
        <v>3.5469999999999997</v>
      </c>
      <c r="U76" s="5">
        <f>'Coffee FIN'!U76</f>
        <v>3.5469999999999997</v>
      </c>
      <c r="V76" s="5">
        <f>'Coffee FIN'!V76</f>
        <v>3.5469999999999997</v>
      </c>
    </row>
    <row r="77" spans="1:23" x14ac:dyDescent="0.35">
      <c r="A77" s="19"/>
      <c r="B77" s="8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</row>
    <row r="78" spans="1:23" x14ac:dyDescent="0.35">
      <c r="A78" s="19" t="s">
        <v>6</v>
      </c>
      <c r="B78" s="8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</row>
    <row r="79" spans="1:23" x14ac:dyDescent="0.35">
      <c r="A79" s="19" t="s">
        <v>199</v>
      </c>
      <c r="B79" s="8" t="s">
        <v>10</v>
      </c>
      <c r="C79" s="5">
        <f>'Coffee FIN'!C79</f>
        <v>225</v>
      </c>
      <c r="D79" s="5">
        <f>'Coffee FIN'!D79</f>
        <v>150</v>
      </c>
      <c r="E79" s="5">
        <f>'Coffee FIN'!E79</f>
        <v>75</v>
      </c>
      <c r="F79" s="5">
        <f>'Coffee FIN'!F79</f>
        <v>75</v>
      </c>
      <c r="G79" s="5">
        <f>'Coffee FIN'!G79</f>
        <v>75</v>
      </c>
      <c r="H79" s="5">
        <f>'Coffee FIN'!H79</f>
        <v>75</v>
      </c>
      <c r="I79" s="5">
        <f>'Coffee FIN'!I79</f>
        <v>75</v>
      </c>
      <c r="J79" s="5">
        <f>'Coffee FIN'!J79</f>
        <v>75</v>
      </c>
      <c r="K79" s="5">
        <f>'Coffee FIN'!K79</f>
        <v>75</v>
      </c>
      <c r="L79" s="5">
        <f>'Coffee FIN'!L79</f>
        <v>75</v>
      </c>
      <c r="M79" s="5">
        <f>'Coffee FIN'!M79</f>
        <v>75</v>
      </c>
      <c r="N79" s="5">
        <f>'Coffee FIN'!N79</f>
        <v>75</v>
      </c>
      <c r="O79" s="5">
        <f>'Coffee FIN'!O79</f>
        <v>75</v>
      </c>
      <c r="P79" s="5">
        <f>'Coffee FIN'!P79</f>
        <v>75</v>
      </c>
      <c r="Q79" s="5">
        <f>'Coffee FIN'!Q79</f>
        <v>75</v>
      </c>
      <c r="R79" s="5">
        <f>'Coffee FIN'!R79</f>
        <v>75</v>
      </c>
      <c r="S79" s="5">
        <f>'Coffee FIN'!S79</f>
        <v>75</v>
      </c>
      <c r="T79" s="5">
        <f>'Coffee FIN'!T79</f>
        <v>75</v>
      </c>
      <c r="U79" s="5">
        <f>'Coffee FIN'!U79</f>
        <v>75</v>
      </c>
      <c r="V79" s="5">
        <f>'Coffee FIN'!V79</f>
        <v>75</v>
      </c>
    </row>
    <row r="80" spans="1:23" x14ac:dyDescent="0.35">
      <c r="A80" t="s">
        <v>211</v>
      </c>
      <c r="B80" s="8" t="s">
        <v>10</v>
      </c>
      <c r="C80" s="5">
        <f>'Coffee FIN'!C80</f>
        <v>0</v>
      </c>
      <c r="D80" s="5">
        <f>'Coffee FIN'!D80</f>
        <v>0</v>
      </c>
      <c r="E80" s="5">
        <f>'Coffee FIN'!E80</f>
        <v>56.652500000000003</v>
      </c>
      <c r="F80" s="5">
        <f>'Coffee FIN'!F80</f>
        <v>73.314999999999998</v>
      </c>
      <c r="G80" s="5">
        <f>'Coffee FIN'!G80</f>
        <v>116.63749999999999</v>
      </c>
      <c r="H80" s="5">
        <f>'Coffee FIN'!H80</f>
        <v>146.63</v>
      </c>
      <c r="I80" s="5">
        <f>'Coffee FIN'!I80</f>
        <v>173.29</v>
      </c>
      <c r="J80" s="5">
        <f>'Coffee FIN'!J80</f>
        <v>173.29</v>
      </c>
      <c r="K80" s="5">
        <f>'Coffee FIN'!K80</f>
        <v>173.29</v>
      </c>
      <c r="L80" s="5">
        <f>'Coffee FIN'!L80</f>
        <v>173.29</v>
      </c>
      <c r="M80" s="5">
        <f>'Coffee FIN'!M80</f>
        <v>173.29</v>
      </c>
      <c r="N80" s="5">
        <f>'Coffee FIN'!N80</f>
        <v>173.29</v>
      </c>
      <c r="O80" s="5">
        <f>'Coffee FIN'!O80</f>
        <v>173.29</v>
      </c>
      <c r="P80" s="5">
        <f>'Coffee FIN'!P80</f>
        <v>173.29</v>
      </c>
      <c r="Q80" s="5">
        <f>'Coffee FIN'!Q80</f>
        <v>173.29</v>
      </c>
      <c r="R80" s="5">
        <f>'Coffee FIN'!R80</f>
        <v>173.29</v>
      </c>
      <c r="S80" s="5">
        <f>'Coffee FIN'!S80</f>
        <v>173.29</v>
      </c>
      <c r="T80" s="5">
        <f>'Coffee FIN'!T80</f>
        <v>173.29</v>
      </c>
      <c r="U80" s="5">
        <f>'Coffee FIN'!U80</f>
        <v>173.29</v>
      </c>
      <c r="V80" s="5">
        <f>'Coffee FIN'!V80</f>
        <v>173.29</v>
      </c>
    </row>
    <row r="81" spans="1:23" x14ac:dyDescent="0.35">
      <c r="A81" t="s">
        <v>212</v>
      </c>
      <c r="B81" s="8"/>
      <c r="C81" s="5">
        <f>'Coffee FIN'!C81</f>
        <v>0</v>
      </c>
      <c r="D81" s="5">
        <f>'Coffee FIN'!D81</f>
        <v>0</v>
      </c>
      <c r="E81" s="5">
        <f>'Coffee FIN'!E81</f>
        <v>0</v>
      </c>
      <c r="F81" s="5">
        <f>'Coffee FIN'!F81</f>
        <v>56.652500000000003</v>
      </c>
      <c r="G81" s="5">
        <f>'Coffee FIN'!G81</f>
        <v>73.314999999999998</v>
      </c>
      <c r="H81" s="5">
        <f>'Coffee FIN'!H81</f>
        <v>116.63749999999999</v>
      </c>
      <c r="I81" s="5">
        <f>'Coffee FIN'!I81</f>
        <v>146.63</v>
      </c>
      <c r="J81" s="5">
        <f>'Coffee FIN'!J81</f>
        <v>173.29</v>
      </c>
      <c r="K81" s="5">
        <f>'Coffee FIN'!K81</f>
        <v>173.29</v>
      </c>
      <c r="L81" s="5">
        <f>'Coffee FIN'!L81</f>
        <v>173.29</v>
      </c>
      <c r="M81" s="5">
        <f>'Coffee FIN'!M81</f>
        <v>173.29</v>
      </c>
      <c r="N81" s="5">
        <f>'Coffee FIN'!N81</f>
        <v>173.29</v>
      </c>
      <c r="O81" s="5">
        <f>'Coffee FIN'!O81</f>
        <v>173.29</v>
      </c>
      <c r="P81" s="5">
        <f>'Coffee FIN'!P81</f>
        <v>173.29</v>
      </c>
      <c r="Q81" s="5">
        <f>'Coffee FIN'!Q81</f>
        <v>173.29</v>
      </c>
      <c r="R81" s="5">
        <f>'Coffee FIN'!R81</f>
        <v>173.29</v>
      </c>
      <c r="S81" s="5">
        <f>'Coffee FIN'!S81</f>
        <v>173.29</v>
      </c>
      <c r="T81" s="5">
        <f>'Coffee FIN'!T81</f>
        <v>173.29</v>
      </c>
      <c r="U81" s="5">
        <f>'Coffee FIN'!U81</f>
        <v>173.29</v>
      </c>
      <c r="V81" s="5">
        <f>'Coffee FIN'!V81</f>
        <v>173.29</v>
      </c>
    </row>
    <row r="82" spans="1:23" x14ac:dyDescent="0.35">
      <c r="A82" t="s">
        <v>249</v>
      </c>
      <c r="B82" s="8"/>
      <c r="C82" s="5"/>
      <c r="D82" s="5"/>
      <c r="E82" s="5"/>
      <c r="F82" s="5"/>
      <c r="G82" s="5">
        <f>F81</f>
        <v>56.652500000000003</v>
      </c>
      <c r="H82" s="5">
        <f t="shared" ref="H82:V82" si="9">G81</f>
        <v>73.314999999999998</v>
      </c>
      <c r="I82" s="5">
        <f t="shared" si="9"/>
        <v>116.63749999999999</v>
      </c>
      <c r="J82" s="5">
        <f t="shared" si="9"/>
        <v>146.63</v>
      </c>
      <c r="K82" s="5">
        <f t="shared" si="9"/>
        <v>173.29</v>
      </c>
      <c r="L82" s="5">
        <f t="shared" si="9"/>
        <v>173.29</v>
      </c>
      <c r="M82" s="5">
        <f t="shared" si="9"/>
        <v>173.29</v>
      </c>
      <c r="N82" s="5">
        <f t="shared" si="9"/>
        <v>173.29</v>
      </c>
      <c r="O82" s="5">
        <f t="shared" si="9"/>
        <v>173.29</v>
      </c>
      <c r="P82" s="5">
        <f t="shared" si="9"/>
        <v>173.29</v>
      </c>
      <c r="Q82" s="5">
        <f t="shared" si="9"/>
        <v>173.29</v>
      </c>
      <c r="R82" s="5">
        <f t="shared" si="9"/>
        <v>173.29</v>
      </c>
      <c r="S82" s="5">
        <f t="shared" si="9"/>
        <v>173.29</v>
      </c>
      <c r="T82" s="5">
        <f t="shared" si="9"/>
        <v>173.29</v>
      </c>
      <c r="U82" s="5">
        <f t="shared" si="9"/>
        <v>173.29</v>
      </c>
      <c r="V82" s="5">
        <f t="shared" si="9"/>
        <v>173.29</v>
      </c>
    </row>
    <row r="83" spans="1:23" x14ac:dyDescent="0.35">
      <c r="A83" s="40" t="s">
        <v>424</v>
      </c>
      <c r="B83" s="10" t="s">
        <v>200</v>
      </c>
      <c r="C83" s="73">
        <f>'Coffee FIN'!C83</f>
        <v>0</v>
      </c>
      <c r="D83" s="74">
        <f>'Coffee FIN'!D83</f>
        <v>600</v>
      </c>
      <c r="E83" s="74">
        <f>'Coffee FIN'!E83</f>
        <v>600</v>
      </c>
      <c r="F83" s="74">
        <f>'Coffee FIN'!F83</f>
        <v>600</v>
      </c>
      <c r="G83" s="74">
        <f>'Coffee FIN'!G83</f>
        <v>600</v>
      </c>
      <c r="H83" s="74">
        <f>'Coffee FIN'!H83</f>
        <v>600</v>
      </c>
      <c r="I83" s="74">
        <f>'Coffee FIN'!I83</f>
        <v>600</v>
      </c>
      <c r="J83" s="74">
        <f>'Coffee FIN'!J83</f>
        <v>600</v>
      </c>
      <c r="K83" s="74">
        <f>'Coffee FIN'!K83</f>
        <v>600</v>
      </c>
      <c r="L83" s="74">
        <f>'Coffee FIN'!L83</f>
        <v>600</v>
      </c>
      <c r="M83" s="74">
        <f>'Coffee FIN'!M83</f>
        <v>600</v>
      </c>
      <c r="N83" s="74">
        <f>'Coffee FIN'!N83</f>
        <v>600</v>
      </c>
      <c r="O83" s="74">
        <f>'Coffee FIN'!O83</f>
        <v>600</v>
      </c>
      <c r="P83" s="74">
        <f>'Coffee FIN'!P83</f>
        <v>600</v>
      </c>
      <c r="Q83" s="74">
        <f>'Coffee FIN'!Q83</f>
        <v>600</v>
      </c>
      <c r="R83" s="74">
        <f>'Coffee FIN'!R83</f>
        <v>600</v>
      </c>
      <c r="S83" s="74">
        <f>'Coffee FIN'!S83</f>
        <v>600</v>
      </c>
      <c r="T83" s="74">
        <f>'Coffee FIN'!T83</f>
        <v>600</v>
      </c>
      <c r="U83" s="74">
        <f>'Coffee FIN'!U83</f>
        <v>600</v>
      </c>
      <c r="V83" s="74">
        <f>'Coffee FIN'!V83</f>
        <v>600</v>
      </c>
      <c r="W83" s="11"/>
    </row>
    <row r="85" spans="1:23" x14ac:dyDescent="0.35">
      <c r="A85" s="68" t="s">
        <v>303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</row>
    <row r="86" spans="1:23" x14ac:dyDescent="0.35">
      <c r="A86" s="12" t="s">
        <v>302</v>
      </c>
      <c r="B86" s="10" t="s">
        <v>12</v>
      </c>
      <c r="C86" s="11" t="s">
        <v>399</v>
      </c>
      <c r="D86" s="11" t="s">
        <v>400</v>
      </c>
      <c r="E86" s="11" t="s">
        <v>401</v>
      </c>
      <c r="F86" s="11" t="s">
        <v>402</v>
      </c>
      <c r="G86" s="11" t="s">
        <v>403</v>
      </c>
      <c r="H86" s="11" t="s">
        <v>404</v>
      </c>
      <c r="I86" s="11" t="s">
        <v>405</v>
      </c>
      <c r="J86" s="11" t="s">
        <v>406</v>
      </c>
      <c r="K86" s="11" t="s">
        <v>407</v>
      </c>
      <c r="L86" s="11" t="s">
        <v>408</v>
      </c>
      <c r="M86" s="11" t="s">
        <v>409</v>
      </c>
      <c r="N86" s="11" t="s">
        <v>410</v>
      </c>
      <c r="O86" s="11" t="s">
        <v>411</v>
      </c>
      <c r="P86" s="11" t="s">
        <v>412</v>
      </c>
      <c r="Q86" s="11" t="s">
        <v>413</v>
      </c>
      <c r="R86" s="11" t="s">
        <v>414</v>
      </c>
      <c r="S86" s="11" t="s">
        <v>415</v>
      </c>
      <c r="T86" s="11" t="s">
        <v>416</v>
      </c>
      <c r="U86" s="11" t="s">
        <v>417</v>
      </c>
      <c r="V86" s="11" t="s">
        <v>418</v>
      </c>
    </row>
    <row r="87" spans="1:23" x14ac:dyDescent="0.35">
      <c r="A87" t="str">
        <f t="shared" ref="A87:A107" si="10">A46</f>
        <v>Agricultural operations</v>
      </c>
      <c r="B87" s="8"/>
    </row>
    <row r="88" spans="1:23" x14ac:dyDescent="0.35">
      <c r="A88" s="19" t="str">
        <f t="shared" si="10"/>
        <v xml:space="preserve">  Undergrowth clearing</v>
      </c>
      <c r="B88" s="13">
        <f>'Prices &amp; assums'!D10</f>
        <v>28080</v>
      </c>
      <c r="C88" s="2">
        <f t="shared" ref="C88:V88" si="11">$B88*C47</f>
        <v>7020</v>
      </c>
      <c r="D88" s="2">
        <f t="shared" si="11"/>
        <v>7020</v>
      </c>
      <c r="E88" s="2">
        <f t="shared" si="11"/>
        <v>7020</v>
      </c>
      <c r="F88" s="2">
        <f t="shared" si="11"/>
        <v>0</v>
      </c>
      <c r="G88" s="2">
        <f t="shared" si="11"/>
        <v>0</v>
      </c>
      <c r="H88" s="2">
        <f t="shared" si="11"/>
        <v>0</v>
      </c>
      <c r="I88" s="2">
        <f t="shared" si="11"/>
        <v>0</v>
      </c>
      <c r="J88" s="2">
        <f t="shared" si="11"/>
        <v>0</v>
      </c>
      <c r="K88" s="2">
        <f t="shared" si="11"/>
        <v>0</v>
      </c>
      <c r="L88" s="2">
        <f t="shared" si="11"/>
        <v>0</v>
      </c>
      <c r="M88" s="2">
        <f t="shared" si="11"/>
        <v>0</v>
      </c>
      <c r="N88" s="2">
        <f t="shared" si="11"/>
        <v>0</v>
      </c>
      <c r="O88" s="2">
        <f t="shared" si="11"/>
        <v>0</v>
      </c>
      <c r="P88" s="2">
        <f t="shared" si="11"/>
        <v>0</v>
      </c>
      <c r="Q88" s="2">
        <f t="shared" si="11"/>
        <v>0</v>
      </c>
      <c r="R88" s="2">
        <f t="shared" si="11"/>
        <v>0</v>
      </c>
      <c r="S88" s="2">
        <f t="shared" si="11"/>
        <v>0</v>
      </c>
      <c r="T88" s="2">
        <f t="shared" si="11"/>
        <v>0</v>
      </c>
      <c r="U88" s="2">
        <f t="shared" si="11"/>
        <v>0</v>
      </c>
      <c r="V88" s="2">
        <f t="shared" si="11"/>
        <v>0</v>
      </c>
    </row>
    <row r="89" spans="1:23" x14ac:dyDescent="0.35">
      <c r="A89" s="19" t="str">
        <f t="shared" si="10"/>
        <v xml:space="preserve">  Cutting old trees and stumping</v>
      </c>
      <c r="B89" s="13">
        <f>'Prices &amp; assums'!D11</f>
        <v>46800</v>
      </c>
      <c r="C89" s="2">
        <f t="shared" ref="C89:V89" si="12">$B89*C48</f>
        <v>11700</v>
      </c>
      <c r="D89" s="2">
        <f t="shared" si="12"/>
        <v>11700</v>
      </c>
      <c r="E89" s="2">
        <f t="shared" si="12"/>
        <v>11700</v>
      </c>
      <c r="F89" s="2">
        <f t="shared" si="12"/>
        <v>0</v>
      </c>
      <c r="G89" s="2">
        <f t="shared" si="12"/>
        <v>0</v>
      </c>
      <c r="H89" s="2">
        <f t="shared" si="12"/>
        <v>0</v>
      </c>
      <c r="I89" s="2">
        <f t="shared" si="12"/>
        <v>0</v>
      </c>
      <c r="J89" s="2">
        <f t="shared" si="12"/>
        <v>0</v>
      </c>
      <c r="K89" s="2">
        <f t="shared" si="12"/>
        <v>0</v>
      </c>
      <c r="L89" s="2">
        <f t="shared" si="12"/>
        <v>0</v>
      </c>
      <c r="M89" s="2">
        <f t="shared" si="12"/>
        <v>0</v>
      </c>
      <c r="N89" s="2">
        <f t="shared" si="12"/>
        <v>0</v>
      </c>
      <c r="O89" s="2">
        <f t="shared" si="12"/>
        <v>0</v>
      </c>
      <c r="P89" s="2">
        <f t="shared" si="12"/>
        <v>0</v>
      </c>
      <c r="Q89" s="2">
        <f t="shared" si="12"/>
        <v>0</v>
      </c>
      <c r="R89" s="2">
        <f t="shared" si="12"/>
        <v>0</v>
      </c>
      <c r="S89" s="2">
        <f t="shared" si="12"/>
        <v>0</v>
      </c>
      <c r="T89" s="2">
        <f t="shared" si="12"/>
        <v>0</v>
      </c>
      <c r="U89" s="2">
        <f t="shared" si="12"/>
        <v>0</v>
      </c>
      <c r="V89" s="2">
        <f t="shared" si="12"/>
        <v>0</v>
      </c>
    </row>
    <row r="90" spans="1:23" x14ac:dyDescent="0.35">
      <c r="A90" s="19" t="str">
        <f t="shared" si="10"/>
        <v xml:space="preserve">  Transport of seedlings and suckers</v>
      </c>
      <c r="B90" s="13">
        <f>'Prices &amp; assums'!D27</f>
        <v>6.93</v>
      </c>
      <c r="C90" s="2">
        <f t="shared" ref="C90:V90" si="13">$B90*C49</f>
        <v>6467.4224999999997</v>
      </c>
      <c r="D90" s="2">
        <f t="shared" si="13"/>
        <v>6467.4224999999997</v>
      </c>
      <c r="E90" s="2">
        <f t="shared" si="13"/>
        <v>6467.4224999999997</v>
      </c>
      <c r="F90" s="2">
        <f t="shared" si="13"/>
        <v>4158</v>
      </c>
      <c r="G90" s="2">
        <f t="shared" si="13"/>
        <v>4158</v>
      </c>
      <c r="H90" s="2">
        <f t="shared" si="13"/>
        <v>4158</v>
      </c>
      <c r="I90" s="2">
        <f t="shared" si="13"/>
        <v>4158</v>
      </c>
      <c r="J90" s="2">
        <f t="shared" si="13"/>
        <v>4158</v>
      </c>
      <c r="K90" s="2">
        <f t="shared" si="13"/>
        <v>4158</v>
      </c>
      <c r="L90" s="2">
        <f t="shared" si="13"/>
        <v>4158</v>
      </c>
      <c r="M90" s="2">
        <f t="shared" si="13"/>
        <v>4158</v>
      </c>
      <c r="N90" s="2">
        <f t="shared" si="13"/>
        <v>4158</v>
      </c>
      <c r="O90" s="2">
        <f t="shared" si="13"/>
        <v>4158</v>
      </c>
      <c r="P90" s="2">
        <f t="shared" si="13"/>
        <v>4158</v>
      </c>
      <c r="Q90" s="2">
        <f t="shared" si="13"/>
        <v>4158</v>
      </c>
      <c r="R90" s="2">
        <f t="shared" si="13"/>
        <v>4158</v>
      </c>
      <c r="S90" s="2">
        <f t="shared" si="13"/>
        <v>4158</v>
      </c>
      <c r="T90" s="2">
        <f t="shared" si="13"/>
        <v>4158</v>
      </c>
      <c r="U90" s="2">
        <f t="shared" si="13"/>
        <v>4158</v>
      </c>
      <c r="V90" s="2">
        <f t="shared" si="13"/>
        <v>4158</v>
      </c>
    </row>
    <row r="91" spans="1:23" x14ac:dyDescent="0.35">
      <c r="A91" s="19" t="str">
        <f t="shared" si="10"/>
        <v xml:space="preserve">  Transport of cuts</v>
      </c>
      <c r="B91" s="13">
        <f>B90</f>
        <v>6.93</v>
      </c>
      <c r="C91" s="2">
        <f t="shared" ref="C91:V91" si="14">$B91*C50</f>
        <v>2309.4225000000001</v>
      </c>
      <c r="D91" s="2">
        <f t="shared" si="14"/>
        <v>2309.4225000000001</v>
      </c>
      <c r="E91" s="2">
        <f t="shared" si="14"/>
        <v>2309.4225000000001</v>
      </c>
      <c r="F91" s="2">
        <f t="shared" si="14"/>
        <v>0</v>
      </c>
      <c r="G91" s="2">
        <f t="shared" si="14"/>
        <v>0</v>
      </c>
      <c r="H91" s="2">
        <f t="shared" si="14"/>
        <v>0</v>
      </c>
      <c r="I91" s="2">
        <f t="shared" si="14"/>
        <v>0</v>
      </c>
      <c r="J91" s="2">
        <f t="shared" si="14"/>
        <v>0</v>
      </c>
      <c r="K91" s="2">
        <f t="shared" si="14"/>
        <v>0</v>
      </c>
      <c r="L91" s="2">
        <f t="shared" si="14"/>
        <v>0</v>
      </c>
      <c r="M91" s="2">
        <f t="shared" si="14"/>
        <v>0</v>
      </c>
      <c r="N91" s="2">
        <f t="shared" si="14"/>
        <v>0</v>
      </c>
      <c r="O91" s="2">
        <f t="shared" si="14"/>
        <v>0</v>
      </c>
      <c r="P91" s="2">
        <f t="shared" si="14"/>
        <v>0</v>
      </c>
      <c r="Q91" s="2">
        <f t="shared" si="14"/>
        <v>0</v>
      </c>
      <c r="R91" s="2">
        <f t="shared" si="14"/>
        <v>0</v>
      </c>
      <c r="S91" s="2">
        <f t="shared" si="14"/>
        <v>0</v>
      </c>
      <c r="T91" s="2">
        <f t="shared" si="14"/>
        <v>0</v>
      </c>
      <c r="U91" s="2">
        <f t="shared" si="14"/>
        <v>0</v>
      </c>
      <c r="V91" s="2">
        <f t="shared" si="14"/>
        <v>0</v>
      </c>
    </row>
    <row r="92" spans="1:23" x14ac:dyDescent="0.35">
      <c r="A92" s="19" t="str">
        <f t="shared" si="10"/>
        <v xml:space="preserve">  Marking out</v>
      </c>
      <c r="B92" s="13">
        <f>'Prices &amp; assums'!D7</f>
        <v>25000</v>
      </c>
      <c r="C92" s="2">
        <f t="shared" ref="C92:V92" si="15">$B92*C51</f>
        <v>25000</v>
      </c>
      <c r="D92" s="2">
        <f t="shared" si="15"/>
        <v>25000</v>
      </c>
      <c r="E92" s="2">
        <f t="shared" si="15"/>
        <v>25000</v>
      </c>
      <c r="F92" s="2">
        <f t="shared" si="15"/>
        <v>0</v>
      </c>
      <c r="G92" s="2">
        <f t="shared" si="15"/>
        <v>0</v>
      </c>
      <c r="H92" s="2">
        <f t="shared" si="15"/>
        <v>0</v>
      </c>
      <c r="I92" s="2">
        <f t="shared" si="15"/>
        <v>0</v>
      </c>
      <c r="J92" s="2">
        <f t="shared" si="15"/>
        <v>0</v>
      </c>
      <c r="K92" s="2">
        <f t="shared" si="15"/>
        <v>0</v>
      </c>
      <c r="L92" s="2">
        <f t="shared" si="15"/>
        <v>0</v>
      </c>
      <c r="M92" s="2">
        <f t="shared" si="15"/>
        <v>0</v>
      </c>
      <c r="N92" s="2">
        <f t="shared" si="15"/>
        <v>0</v>
      </c>
      <c r="O92" s="2">
        <f t="shared" si="15"/>
        <v>0</v>
      </c>
      <c r="P92" s="2">
        <f t="shared" si="15"/>
        <v>0</v>
      </c>
      <c r="Q92" s="2">
        <f t="shared" si="15"/>
        <v>0</v>
      </c>
      <c r="R92" s="2">
        <f t="shared" si="15"/>
        <v>0</v>
      </c>
      <c r="S92" s="2">
        <f t="shared" si="15"/>
        <v>0</v>
      </c>
      <c r="T92" s="2">
        <f t="shared" si="15"/>
        <v>0</v>
      </c>
      <c r="U92" s="2">
        <f t="shared" si="15"/>
        <v>0</v>
      </c>
      <c r="V92" s="2">
        <f t="shared" si="15"/>
        <v>0</v>
      </c>
    </row>
    <row r="93" spans="1:23" x14ac:dyDescent="0.35">
      <c r="A93" s="19" t="str">
        <f t="shared" si="10"/>
        <v xml:space="preserve">  Digging holes</v>
      </c>
      <c r="B93" s="13">
        <f>'Prices &amp; assums'!D8</f>
        <v>28.08</v>
      </c>
      <c r="C93" s="2">
        <f t="shared" ref="C93:V93" si="16">$B93*C52</f>
        <v>35563.32</v>
      </c>
      <c r="D93" s="2">
        <f t="shared" si="16"/>
        <v>35563.32</v>
      </c>
      <c r="E93" s="2">
        <f t="shared" si="16"/>
        <v>16848</v>
      </c>
      <c r="F93" s="2">
        <f t="shared" si="16"/>
        <v>16848</v>
      </c>
      <c r="G93" s="2">
        <f t="shared" si="16"/>
        <v>16848</v>
      </c>
      <c r="H93" s="2">
        <f t="shared" si="16"/>
        <v>16848</v>
      </c>
      <c r="I93" s="2">
        <f t="shared" si="16"/>
        <v>16848</v>
      </c>
      <c r="J93" s="2">
        <f t="shared" si="16"/>
        <v>16848</v>
      </c>
      <c r="K93" s="2">
        <f t="shared" si="16"/>
        <v>16848</v>
      </c>
      <c r="L93" s="2">
        <f t="shared" si="16"/>
        <v>16848</v>
      </c>
      <c r="M93" s="2">
        <f t="shared" si="16"/>
        <v>16848</v>
      </c>
      <c r="N93" s="2">
        <f t="shared" si="16"/>
        <v>16848</v>
      </c>
      <c r="O93" s="2">
        <f t="shared" si="16"/>
        <v>16848</v>
      </c>
      <c r="P93" s="2">
        <f t="shared" si="16"/>
        <v>16848</v>
      </c>
      <c r="Q93" s="2">
        <f t="shared" si="16"/>
        <v>16848</v>
      </c>
      <c r="R93" s="2">
        <f t="shared" si="16"/>
        <v>16848</v>
      </c>
      <c r="S93" s="2">
        <f t="shared" si="16"/>
        <v>16848</v>
      </c>
      <c r="T93" s="2">
        <f t="shared" si="16"/>
        <v>16848</v>
      </c>
      <c r="U93" s="2">
        <f t="shared" si="16"/>
        <v>16848</v>
      </c>
      <c r="V93" s="2">
        <f t="shared" si="16"/>
        <v>16848</v>
      </c>
    </row>
    <row r="94" spans="1:23" x14ac:dyDescent="0.35">
      <c r="A94" s="19" t="str">
        <f t="shared" si="10"/>
        <v xml:space="preserve">  Planting</v>
      </c>
      <c r="B94" s="13">
        <f>'Prices &amp; assums'!D9</f>
        <v>28.08</v>
      </c>
      <c r="C94" s="2">
        <f t="shared" ref="C94:V94" si="17">$B94*C53</f>
        <v>35563.32</v>
      </c>
      <c r="D94" s="2">
        <f t="shared" si="17"/>
        <v>35563.32</v>
      </c>
      <c r="E94" s="2">
        <f t="shared" si="17"/>
        <v>16848</v>
      </c>
      <c r="F94" s="2">
        <f t="shared" si="17"/>
        <v>16848</v>
      </c>
      <c r="G94" s="2">
        <f t="shared" si="17"/>
        <v>16848</v>
      </c>
      <c r="H94" s="2">
        <f t="shared" si="17"/>
        <v>16848</v>
      </c>
      <c r="I94" s="2">
        <f t="shared" si="17"/>
        <v>16848</v>
      </c>
      <c r="J94" s="2">
        <f t="shared" si="17"/>
        <v>16848</v>
      </c>
      <c r="K94" s="2">
        <f t="shared" si="17"/>
        <v>16848</v>
      </c>
      <c r="L94" s="2">
        <f t="shared" si="17"/>
        <v>16848</v>
      </c>
      <c r="M94" s="2">
        <f t="shared" si="17"/>
        <v>16848</v>
      </c>
      <c r="N94" s="2">
        <f t="shared" si="17"/>
        <v>16848</v>
      </c>
      <c r="O94" s="2">
        <f t="shared" si="17"/>
        <v>16848</v>
      </c>
      <c r="P94" s="2">
        <f t="shared" si="17"/>
        <v>16848</v>
      </c>
      <c r="Q94" s="2">
        <f t="shared" si="17"/>
        <v>16848</v>
      </c>
      <c r="R94" s="2">
        <f t="shared" si="17"/>
        <v>16848</v>
      </c>
      <c r="S94" s="2">
        <f t="shared" si="17"/>
        <v>16848</v>
      </c>
      <c r="T94" s="2">
        <f t="shared" si="17"/>
        <v>16848</v>
      </c>
      <c r="U94" s="2">
        <f t="shared" si="17"/>
        <v>16848</v>
      </c>
      <c r="V94" s="2">
        <f t="shared" si="17"/>
        <v>16848</v>
      </c>
    </row>
    <row r="95" spans="1:23" x14ac:dyDescent="0.35">
      <c r="A95" s="19" t="str">
        <f t="shared" si="10"/>
        <v xml:space="preserve">  Weeding</v>
      </c>
      <c r="B95" s="13">
        <f>'Prices &amp; assums'!D5</f>
        <v>23400</v>
      </c>
      <c r="C95" s="2">
        <f t="shared" ref="C95:V95" si="18">$B95*C54</f>
        <v>0</v>
      </c>
      <c r="D95" s="2">
        <f t="shared" si="18"/>
        <v>93600</v>
      </c>
      <c r="E95" s="2">
        <f t="shared" si="18"/>
        <v>79560</v>
      </c>
      <c r="F95" s="2">
        <f t="shared" si="18"/>
        <v>65519.999999999993</v>
      </c>
      <c r="G95" s="2">
        <f t="shared" si="18"/>
        <v>51480.000000000007</v>
      </c>
      <c r="H95" s="2">
        <f t="shared" si="18"/>
        <v>51480.000000000007</v>
      </c>
      <c r="I95" s="2">
        <f t="shared" si="18"/>
        <v>51480.000000000007</v>
      </c>
      <c r="J95" s="2">
        <f t="shared" si="18"/>
        <v>51480.000000000007</v>
      </c>
      <c r="K95" s="2">
        <f t="shared" si="18"/>
        <v>51480.000000000007</v>
      </c>
      <c r="L95" s="2">
        <f t="shared" si="18"/>
        <v>51480.000000000007</v>
      </c>
      <c r="M95" s="2">
        <f t="shared" si="18"/>
        <v>51480.000000000007</v>
      </c>
      <c r="N95" s="2">
        <f t="shared" si="18"/>
        <v>51480.000000000007</v>
      </c>
      <c r="O95" s="2">
        <f t="shared" si="18"/>
        <v>51480.000000000007</v>
      </c>
      <c r="P95" s="2">
        <f t="shared" si="18"/>
        <v>51480.000000000007</v>
      </c>
      <c r="Q95" s="2">
        <f t="shared" si="18"/>
        <v>51480.000000000007</v>
      </c>
      <c r="R95" s="2">
        <f t="shared" si="18"/>
        <v>51480.000000000007</v>
      </c>
      <c r="S95" s="2">
        <f t="shared" si="18"/>
        <v>51480.000000000007</v>
      </c>
      <c r="T95" s="2">
        <f t="shared" si="18"/>
        <v>51480.000000000007</v>
      </c>
      <c r="U95" s="2">
        <f t="shared" si="18"/>
        <v>51480.000000000007</v>
      </c>
      <c r="V95" s="2">
        <f t="shared" si="18"/>
        <v>51480.000000000007</v>
      </c>
    </row>
    <row r="96" spans="1:23" x14ac:dyDescent="0.35">
      <c r="A96" s="19" t="str">
        <f t="shared" si="10"/>
        <v xml:space="preserve">  Pruning  coffee</v>
      </c>
      <c r="B96" s="13">
        <f>'Prices &amp; assums'!D3</f>
        <v>2340</v>
      </c>
      <c r="C96" s="2">
        <f t="shared" ref="C96:V96" si="19">$B96*C55</f>
        <v>1755</v>
      </c>
      <c r="D96" s="2">
        <f t="shared" si="19"/>
        <v>2340</v>
      </c>
      <c r="E96" s="2">
        <f t="shared" si="19"/>
        <v>2340</v>
      </c>
      <c r="F96" s="2">
        <f t="shared" si="19"/>
        <v>2340</v>
      </c>
      <c r="G96" s="2">
        <f t="shared" si="19"/>
        <v>2340</v>
      </c>
      <c r="H96" s="2">
        <f t="shared" si="19"/>
        <v>2340</v>
      </c>
      <c r="I96" s="2">
        <f t="shared" si="19"/>
        <v>2340</v>
      </c>
      <c r="J96" s="2">
        <f t="shared" si="19"/>
        <v>2340</v>
      </c>
      <c r="K96" s="2">
        <f t="shared" si="19"/>
        <v>2340</v>
      </c>
      <c r="L96" s="2">
        <f t="shared" si="19"/>
        <v>2340</v>
      </c>
      <c r="M96" s="2">
        <f t="shared" si="19"/>
        <v>2340</v>
      </c>
      <c r="N96" s="2">
        <f t="shared" si="19"/>
        <v>2340</v>
      </c>
      <c r="O96" s="2">
        <f t="shared" si="19"/>
        <v>2340</v>
      </c>
      <c r="P96" s="2">
        <f t="shared" si="19"/>
        <v>2340</v>
      </c>
      <c r="Q96" s="2">
        <f t="shared" si="19"/>
        <v>2340</v>
      </c>
      <c r="R96" s="2">
        <f t="shared" si="19"/>
        <v>2340</v>
      </c>
      <c r="S96" s="2">
        <f t="shared" si="19"/>
        <v>2340</v>
      </c>
      <c r="T96" s="2">
        <f t="shared" si="19"/>
        <v>2340</v>
      </c>
      <c r="U96" s="2">
        <f t="shared" si="19"/>
        <v>2340</v>
      </c>
      <c r="V96" s="2">
        <f t="shared" si="19"/>
        <v>2340</v>
      </c>
    </row>
    <row r="97" spans="1:22" x14ac:dyDescent="0.35">
      <c r="A97" s="19" t="str">
        <f t="shared" si="10"/>
        <v xml:space="preserve">  Propping of plantain suckers</v>
      </c>
      <c r="B97" s="13">
        <f t="shared" ref="B97:B102" si="20">B96</f>
        <v>2340</v>
      </c>
      <c r="C97" s="2">
        <f t="shared" ref="C97:V97" si="21">$B97*C56</f>
        <v>70200</v>
      </c>
      <c r="D97" s="2">
        <f t="shared" si="21"/>
        <v>70200</v>
      </c>
      <c r="E97" s="2">
        <f t="shared" si="21"/>
        <v>70200</v>
      </c>
      <c r="F97" s="2">
        <f t="shared" si="21"/>
        <v>70200</v>
      </c>
      <c r="G97" s="2">
        <f t="shared" si="21"/>
        <v>70200</v>
      </c>
      <c r="H97" s="2">
        <f t="shared" si="21"/>
        <v>70200</v>
      </c>
      <c r="I97" s="2">
        <f t="shared" si="21"/>
        <v>70200</v>
      </c>
      <c r="J97" s="2">
        <f t="shared" si="21"/>
        <v>70200</v>
      </c>
      <c r="K97" s="2">
        <f t="shared" si="21"/>
        <v>70200</v>
      </c>
      <c r="L97" s="2">
        <f t="shared" si="21"/>
        <v>70200</v>
      </c>
      <c r="M97" s="2">
        <f t="shared" si="21"/>
        <v>70200</v>
      </c>
      <c r="N97" s="2">
        <f t="shared" si="21"/>
        <v>70200</v>
      </c>
      <c r="O97" s="2">
        <f t="shared" si="21"/>
        <v>70200</v>
      </c>
      <c r="P97" s="2">
        <f t="shared" si="21"/>
        <v>70200</v>
      </c>
      <c r="Q97" s="2">
        <f t="shared" si="21"/>
        <v>70200</v>
      </c>
      <c r="R97" s="2">
        <f t="shared" si="21"/>
        <v>70200</v>
      </c>
      <c r="S97" s="2">
        <f t="shared" si="21"/>
        <v>70200</v>
      </c>
      <c r="T97" s="2">
        <f t="shared" si="21"/>
        <v>70200</v>
      </c>
      <c r="U97" s="2">
        <f t="shared" si="21"/>
        <v>70200</v>
      </c>
      <c r="V97" s="2">
        <f t="shared" si="21"/>
        <v>70200</v>
      </c>
    </row>
    <row r="98" spans="1:22" x14ac:dyDescent="0.35">
      <c r="A98" s="19" t="str">
        <f t="shared" si="10"/>
        <v xml:space="preserve">  Pruning of plantain suckers</v>
      </c>
      <c r="B98" s="13">
        <f t="shared" si="20"/>
        <v>2340</v>
      </c>
      <c r="C98" s="2">
        <f t="shared" ref="C98:V98" si="22">$B98*C57</f>
        <v>39780</v>
      </c>
      <c r="D98" s="2">
        <f t="shared" si="22"/>
        <v>39780</v>
      </c>
      <c r="E98" s="2">
        <f t="shared" si="22"/>
        <v>39780</v>
      </c>
      <c r="F98" s="2">
        <f t="shared" si="22"/>
        <v>39780</v>
      </c>
      <c r="G98" s="2">
        <f t="shared" si="22"/>
        <v>39780</v>
      </c>
      <c r="H98" s="2">
        <f t="shared" si="22"/>
        <v>39780</v>
      </c>
      <c r="I98" s="2">
        <f t="shared" si="22"/>
        <v>39780</v>
      </c>
      <c r="J98" s="2">
        <f t="shared" si="22"/>
        <v>39780</v>
      </c>
      <c r="K98" s="2">
        <f t="shared" si="22"/>
        <v>39780</v>
      </c>
      <c r="L98" s="2">
        <f t="shared" si="22"/>
        <v>39780</v>
      </c>
      <c r="M98" s="2">
        <f t="shared" si="22"/>
        <v>39780</v>
      </c>
      <c r="N98" s="2">
        <f t="shared" si="22"/>
        <v>39780</v>
      </c>
      <c r="O98" s="2">
        <f t="shared" si="22"/>
        <v>39780</v>
      </c>
      <c r="P98" s="2">
        <f t="shared" si="22"/>
        <v>39780</v>
      </c>
      <c r="Q98" s="2">
        <f t="shared" si="22"/>
        <v>39780</v>
      </c>
      <c r="R98" s="2">
        <f t="shared" si="22"/>
        <v>39780</v>
      </c>
      <c r="S98" s="2">
        <f t="shared" si="22"/>
        <v>39780</v>
      </c>
      <c r="T98" s="2">
        <f t="shared" si="22"/>
        <v>39780</v>
      </c>
      <c r="U98" s="2">
        <f t="shared" si="22"/>
        <v>39780</v>
      </c>
      <c r="V98" s="2">
        <f t="shared" si="22"/>
        <v>39780</v>
      </c>
    </row>
    <row r="99" spans="1:22" x14ac:dyDescent="0.35">
      <c r="A99" s="19" t="str">
        <f t="shared" si="10"/>
        <v xml:space="preserve">  Fertilizer application</v>
      </c>
      <c r="B99" s="13">
        <f t="shared" si="20"/>
        <v>2340</v>
      </c>
      <c r="C99" s="2">
        <f t="shared" ref="C99:V99" si="23">$B99*C58</f>
        <v>16380</v>
      </c>
      <c r="D99" s="2">
        <f t="shared" si="23"/>
        <v>16380</v>
      </c>
      <c r="E99" s="2">
        <f t="shared" si="23"/>
        <v>16380</v>
      </c>
      <c r="F99" s="2">
        <f t="shared" si="23"/>
        <v>16380</v>
      </c>
      <c r="G99" s="2">
        <f t="shared" si="23"/>
        <v>16380</v>
      </c>
      <c r="H99" s="2">
        <f t="shared" si="23"/>
        <v>16380</v>
      </c>
      <c r="I99" s="2">
        <f t="shared" si="23"/>
        <v>16380</v>
      </c>
      <c r="J99" s="2">
        <f t="shared" si="23"/>
        <v>16380</v>
      </c>
      <c r="K99" s="2">
        <f t="shared" si="23"/>
        <v>16380</v>
      </c>
      <c r="L99" s="2">
        <f t="shared" si="23"/>
        <v>16380</v>
      </c>
      <c r="M99" s="2">
        <f t="shared" si="23"/>
        <v>16380</v>
      </c>
      <c r="N99" s="2">
        <f t="shared" si="23"/>
        <v>16380</v>
      </c>
      <c r="O99" s="2">
        <f t="shared" si="23"/>
        <v>16380</v>
      </c>
      <c r="P99" s="2">
        <f t="shared" si="23"/>
        <v>16380</v>
      </c>
      <c r="Q99" s="2">
        <f t="shared" si="23"/>
        <v>16380</v>
      </c>
      <c r="R99" s="2">
        <f t="shared" si="23"/>
        <v>16380</v>
      </c>
      <c r="S99" s="2">
        <f t="shared" si="23"/>
        <v>16380</v>
      </c>
      <c r="T99" s="2">
        <f t="shared" si="23"/>
        <v>16380</v>
      </c>
      <c r="U99" s="2">
        <f t="shared" si="23"/>
        <v>16380</v>
      </c>
      <c r="V99" s="2">
        <f t="shared" si="23"/>
        <v>16380</v>
      </c>
    </row>
    <row r="100" spans="1:22" x14ac:dyDescent="0.35">
      <c r="A100" s="19" t="str">
        <f t="shared" si="10"/>
        <v xml:space="preserve">  Herbicide application</v>
      </c>
      <c r="B100" s="13">
        <f t="shared" si="20"/>
        <v>2340</v>
      </c>
      <c r="C100" s="2">
        <f t="shared" ref="C100:V100" si="24">$B100*C59</f>
        <v>7020</v>
      </c>
      <c r="D100" s="2">
        <f t="shared" si="24"/>
        <v>7020</v>
      </c>
      <c r="E100" s="2">
        <f t="shared" si="24"/>
        <v>7020</v>
      </c>
      <c r="F100" s="2">
        <f t="shared" si="24"/>
        <v>7020</v>
      </c>
      <c r="G100" s="2">
        <f t="shared" si="24"/>
        <v>7020</v>
      </c>
      <c r="H100" s="2">
        <f t="shared" si="24"/>
        <v>7020</v>
      </c>
      <c r="I100" s="2">
        <f t="shared" si="24"/>
        <v>7020</v>
      </c>
      <c r="J100" s="2">
        <f t="shared" si="24"/>
        <v>7020</v>
      </c>
      <c r="K100" s="2">
        <f t="shared" si="24"/>
        <v>7020</v>
      </c>
      <c r="L100" s="2">
        <f t="shared" si="24"/>
        <v>7020</v>
      </c>
      <c r="M100" s="2">
        <f t="shared" si="24"/>
        <v>7020</v>
      </c>
      <c r="N100" s="2">
        <f t="shared" si="24"/>
        <v>7020</v>
      </c>
      <c r="O100" s="2">
        <f t="shared" si="24"/>
        <v>7020</v>
      </c>
      <c r="P100" s="2">
        <f t="shared" si="24"/>
        <v>7020</v>
      </c>
      <c r="Q100" s="2">
        <f t="shared" si="24"/>
        <v>7020</v>
      </c>
      <c r="R100" s="2">
        <f t="shared" si="24"/>
        <v>7020</v>
      </c>
      <c r="S100" s="2">
        <f t="shared" si="24"/>
        <v>7020</v>
      </c>
      <c r="T100" s="2">
        <f t="shared" si="24"/>
        <v>7020</v>
      </c>
      <c r="U100" s="2">
        <f t="shared" si="24"/>
        <v>7020</v>
      </c>
      <c r="V100" s="2">
        <f t="shared" si="24"/>
        <v>7020</v>
      </c>
    </row>
    <row r="101" spans="1:22" x14ac:dyDescent="0.35">
      <c r="A101" s="19" t="str">
        <f t="shared" si="10"/>
        <v xml:space="preserve">  Mulching</v>
      </c>
      <c r="B101" s="13">
        <f t="shared" si="20"/>
        <v>2340</v>
      </c>
      <c r="C101" s="2">
        <f t="shared" ref="C101:V101" si="25">$B101*C60</f>
        <v>14040</v>
      </c>
      <c r="D101" s="2">
        <f t="shared" si="25"/>
        <v>14040</v>
      </c>
      <c r="E101" s="2">
        <f t="shared" si="25"/>
        <v>14040</v>
      </c>
      <c r="F101" s="2">
        <f t="shared" si="25"/>
        <v>14040</v>
      </c>
      <c r="G101" s="2">
        <f t="shared" si="25"/>
        <v>14040</v>
      </c>
      <c r="H101" s="2">
        <f t="shared" si="25"/>
        <v>14040</v>
      </c>
      <c r="I101" s="2">
        <f t="shared" si="25"/>
        <v>14040</v>
      </c>
      <c r="J101" s="2">
        <f t="shared" si="25"/>
        <v>14040</v>
      </c>
      <c r="K101" s="2">
        <f t="shared" si="25"/>
        <v>14040</v>
      </c>
      <c r="L101" s="2">
        <f t="shared" si="25"/>
        <v>14040</v>
      </c>
      <c r="M101" s="2">
        <f t="shared" si="25"/>
        <v>14040</v>
      </c>
      <c r="N101" s="2">
        <f t="shared" si="25"/>
        <v>14040</v>
      </c>
      <c r="O101" s="2">
        <f t="shared" si="25"/>
        <v>14040</v>
      </c>
      <c r="P101" s="2">
        <f t="shared" si="25"/>
        <v>14040</v>
      </c>
      <c r="Q101" s="2">
        <f t="shared" si="25"/>
        <v>14040</v>
      </c>
      <c r="R101" s="2">
        <f t="shared" si="25"/>
        <v>14040</v>
      </c>
      <c r="S101" s="2">
        <f t="shared" si="25"/>
        <v>14040</v>
      </c>
      <c r="T101" s="2">
        <f t="shared" si="25"/>
        <v>14040</v>
      </c>
      <c r="U101" s="2">
        <f t="shared" si="25"/>
        <v>14040</v>
      </c>
      <c r="V101" s="2">
        <f t="shared" si="25"/>
        <v>14040</v>
      </c>
    </row>
    <row r="102" spans="1:22" x14ac:dyDescent="0.35">
      <c r="A102" s="19" t="str">
        <f t="shared" si="10"/>
        <v xml:space="preserve">  Coffee harvest and drying</v>
      </c>
      <c r="B102" s="13">
        <f t="shared" si="20"/>
        <v>2340</v>
      </c>
      <c r="C102" s="2">
        <f t="shared" ref="C102:V102" si="26">$B102*C61</f>
        <v>42120</v>
      </c>
      <c r="D102" s="2">
        <f t="shared" si="26"/>
        <v>28080</v>
      </c>
      <c r="E102" s="2">
        <f t="shared" si="26"/>
        <v>24645.348000000002</v>
      </c>
      <c r="F102" s="2">
        <f t="shared" si="26"/>
        <v>27764.567999999999</v>
      </c>
      <c r="G102" s="2">
        <f t="shared" si="26"/>
        <v>35874.54</v>
      </c>
      <c r="H102" s="2">
        <f t="shared" si="26"/>
        <v>41489.135999999999</v>
      </c>
      <c r="I102" s="2">
        <f t="shared" si="26"/>
        <v>46479.887999999999</v>
      </c>
      <c r="J102" s="2">
        <f t="shared" si="26"/>
        <v>46479.887999999999</v>
      </c>
      <c r="K102" s="2">
        <f t="shared" si="26"/>
        <v>46479.887999999999</v>
      </c>
      <c r="L102" s="2">
        <f t="shared" si="26"/>
        <v>46479.887999999999</v>
      </c>
      <c r="M102" s="2">
        <f t="shared" si="26"/>
        <v>46479.887999999999</v>
      </c>
      <c r="N102" s="2">
        <f t="shared" si="26"/>
        <v>46479.887999999999</v>
      </c>
      <c r="O102" s="2">
        <f t="shared" si="26"/>
        <v>46479.887999999999</v>
      </c>
      <c r="P102" s="2">
        <f t="shared" si="26"/>
        <v>46479.887999999999</v>
      </c>
      <c r="Q102" s="2">
        <f t="shared" si="26"/>
        <v>46479.887999999999</v>
      </c>
      <c r="R102" s="2">
        <f t="shared" si="26"/>
        <v>46479.887999999999</v>
      </c>
      <c r="S102" s="2">
        <f t="shared" si="26"/>
        <v>46479.887999999999</v>
      </c>
      <c r="T102" s="2">
        <f t="shared" si="26"/>
        <v>46479.887999999999</v>
      </c>
      <c r="U102" s="2">
        <f t="shared" si="26"/>
        <v>46479.887999999999</v>
      </c>
      <c r="V102" s="2">
        <f t="shared" si="26"/>
        <v>46479.887999999999</v>
      </c>
    </row>
    <row r="103" spans="1:22" x14ac:dyDescent="0.35">
      <c r="A103" s="19" t="str">
        <f t="shared" si="10"/>
        <v xml:space="preserve">  Husking</v>
      </c>
      <c r="B103" s="13">
        <f>'Prices &amp; assums'!D19</f>
        <v>59.4</v>
      </c>
      <c r="C103" s="2">
        <f t="shared" ref="C103:V103" si="27">$B103*C62</f>
        <v>13365</v>
      </c>
      <c r="D103" s="2">
        <f t="shared" si="27"/>
        <v>8910</v>
      </c>
      <c r="E103" s="2">
        <f t="shared" si="27"/>
        <v>7820.1585000000005</v>
      </c>
      <c r="F103" s="2">
        <f t="shared" si="27"/>
        <v>8809.9110000000001</v>
      </c>
      <c r="G103" s="2">
        <f t="shared" si="27"/>
        <v>11383.2675</v>
      </c>
      <c r="H103" s="2">
        <f t="shared" si="27"/>
        <v>13164.822</v>
      </c>
      <c r="I103" s="2">
        <f t="shared" si="27"/>
        <v>14748.425999999999</v>
      </c>
      <c r="J103" s="2">
        <f t="shared" si="27"/>
        <v>14748.425999999999</v>
      </c>
      <c r="K103" s="2">
        <f t="shared" si="27"/>
        <v>14748.425999999999</v>
      </c>
      <c r="L103" s="2">
        <f t="shared" si="27"/>
        <v>14748.425999999999</v>
      </c>
      <c r="M103" s="2">
        <f t="shared" si="27"/>
        <v>14748.425999999999</v>
      </c>
      <c r="N103" s="2">
        <f t="shared" si="27"/>
        <v>14748.425999999999</v>
      </c>
      <c r="O103" s="2">
        <f t="shared" si="27"/>
        <v>14748.425999999999</v>
      </c>
      <c r="P103" s="2">
        <f t="shared" si="27"/>
        <v>14748.425999999999</v>
      </c>
      <c r="Q103" s="2">
        <f t="shared" si="27"/>
        <v>14748.425999999999</v>
      </c>
      <c r="R103" s="2">
        <f t="shared" si="27"/>
        <v>14748.425999999999</v>
      </c>
      <c r="S103" s="2">
        <f t="shared" si="27"/>
        <v>14748.425999999999</v>
      </c>
      <c r="T103" s="2">
        <f t="shared" si="27"/>
        <v>14748.425999999999</v>
      </c>
      <c r="U103" s="2">
        <f t="shared" si="27"/>
        <v>14748.425999999999</v>
      </c>
      <c r="V103" s="2">
        <f t="shared" si="27"/>
        <v>14748.425999999999</v>
      </c>
    </row>
    <row r="104" spans="1:22" x14ac:dyDescent="0.35">
      <c r="A104" s="19" t="str">
        <f t="shared" si="10"/>
        <v xml:space="preserve">  Transport and marketing of coffee</v>
      </c>
      <c r="B104" s="13">
        <f>B102</f>
        <v>2340</v>
      </c>
      <c r="C104" s="2">
        <f t="shared" ref="C104:V104" si="28">$B104*C63</f>
        <v>5265</v>
      </c>
      <c r="D104" s="2">
        <f t="shared" si="28"/>
        <v>3510</v>
      </c>
      <c r="E104" s="2">
        <f t="shared" si="28"/>
        <v>3080.6685000000002</v>
      </c>
      <c r="F104" s="2">
        <f t="shared" si="28"/>
        <v>3470.5709999999999</v>
      </c>
      <c r="G104" s="2">
        <f t="shared" si="28"/>
        <v>4484.3175000000001</v>
      </c>
      <c r="H104" s="2">
        <f t="shared" si="28"/>
        <v>5186.1419999999998</v>
      </c>
      <c r="I104" s="2">
        <f t="shared" si="28"/>
        <v>5809.9859999999999</v>
      </c>
      <c r="J104" s="2">
        <f t="shared" si="28"/>
        <v>5809.9859999999999</v>
      </c>
      <c r="K104" s="2">
        <f t="shared" si="28"/>
        <v>5809.9859999999999</v>
      </c>
      <c r="L104" s="2">
        <f t="shared" si="28"/>
        <v>5809.9859999999999</v>
      </c>
      <c r="M104" s="2">
        <f t="shared" si="28"/>
        <v>5809.9859999999999</v>
      </c>
      <c r="N104" s="2">
        <f t="shared" si="28"/>
        <v>5809.9859999999999</v>
      </c>
      <c r="O104" s="2">
        <f t="shared" si="28"/>
        <v>5809.9859999999999</v>
      </c>
      <c r="P104" s="2">
        <f t="shared" si="28"/>
        <v>5809.9859999999999</v>
      </c>
      <c r="Q104" s="2">
        <f t="shared" si="28"/>
        <v>5809.9859999999999</v>
      </c>
      <c r="R104" s="2">
        <f t="shared" si="28"/>
        <v>5809.9859999999999</v>
      </c>
      <c r="S104" s="2">
        <f t="shared" si="28"/>
        <v>5809.9859999999999</v>
      </c>
      <c r="T104" s="2">
        <f t="shared" si="28"/>
        <v>5809.9859999999999</v>
      </c>
      <c r="U104" s="2">
        <f t="shared" si="28"/>
        <v>5809.9859999999999</v>
      </c>
      <c r="V104" s="2">
        <f t="shared" si="28"/>
        <v>5809.9859999999999</v>
      </c>
    </row>
    <row r="105" spans="1:22" x14ac:dyDescent="0.35">
      <c r="A105" s="19" t="str">
        <f t="shared" si="10"/>
        <v xml:space="preserve">  Transport of coffee</v>
      </c>
      <c r="B105" s="13">
        <f>'Prices &amp; assums'!D26/1000</f>
        <v>9.9</v>
      </c>
      <c r="C105" s="2">
        <f t="shared" ref="C105:V105" si="29">$B105*C64</f>
        <v>2227.5</v>
      </c>
      <c r="D105" s="2">
        <f t="shared" si="29"/>
        <v>1485</v>
      </c>
      <c r="E105" s="2">
        <f t="shared" si="29"/>
        <v>1303.3597500000001</v>
      </c>
      <c r="F105" s="2">
        <f t="shared" si="29"/>
        <v>1468.3185000000001</v>
      </c>
      <c r="G105" s="2">
        <f t="shared" si="29"/>
        <v>1897.2112500000001</v>
      </c>
      <c r="H105" s="2">
        <f t="shared" si="29"/>
        <v>2194.1370000000002</v>
      </c>
      <c r="I105" s="2">
        <f t="shared" si="29"/>
        <v>2458.0709999999999</v>
      </c>
      <c r="J105" s="2">
        <f t="shared" si="29"/>
        <v>2458.0709999999999</v>
      </c>
      <c r="K105" s="2">
        <f t="shared" si="29"/>
        <v>2458.0709999999999</v>
      </c>
      <c r="L105" s="2">
        <f t="shared" si="29"/>
        <v>2458.0709999999999</v>
      </c>
      <c r="M105" s="2">
        <f t="shared" si="29"/>
        <v>2458.0709999999999</v>
      </c>
      <c r="N105" s="2">
        <f t="shared" si="29"/>
        <v>2458.0709999999999</v>
      </c>
      <c r="O105" s="2">
        <f t="shared" si="29"/>
        <v>2458.0709999999999</v>
      </c>
      <c r="P105" s="2">
        <f t="shared" si="29"/>
        <v>2458.0709999999999</v>
      </c>
      <c r="Q105" s="2">
        <f t="shared" si="29"/>
        <v>2458.0709999999999</v>
      </c>
      <c r="R105" s="2">
        <f t="shared" si="29"/>
        <v>2458.0709999999999</v>
      </c>
      <c r="S105" s="2">
        <f t="shared" si="29"/>
        <v>2458.0709999999999</v>
      </c>
      <c r="T105" s="2">
        <f t="shared" si="29"/>
        <v>2458.0709999999999</v>
      </c>
      <c r="U105" s="2">
        <f t="shared" si="29"/>
        <v>2458.0709999999999</v>
      </c>
      <c r="V105" s="2">
        <f t="shared" si="29"/>
        <v>2458.0709999999999</v>
      </c>
    </row>
    <row r="106" spans="1:22" x14ac:dyDescent="0.35">
      <c r="A106" s="19" t="str">
        <f t="shared" si="10"/>
        <v xml:space="preserve">  Plantain harvest and marketing</v>
      </c>
      <c r="B106" s="13">
        <f>B104</f>
        <v>2340</v>
      </c>
      <c r="C106" s="2">
        <f t="shared" ref="C106:V106" si="30">$B106*C65</f>
        <v>0</v>
      </c>
      <c r="D106" s="2">
        <f t="shared" si="30"/>
        <v>35100</v>
      </c>
      <c r="E106" s="2">
        <f t="shared" si="30"/>
        <v>35100</v>
      </c>
      <c r="F106" s="2">
        <f t="shared" si="30"/>
        <v>35100</v>
      </c>
      <c r="G106" s="2">
        <f t="shared" si="30"/>
        <v>35100</v>
      </c>
      <c r="H106" s="2">
        <f t="shared" si="30"/>
        <v>35100</v>
      </c>
      <c r="I106" s="2">
        <f t="shared" si="30"/>
        <v>35100</v>
      </c>
      <c r="J106" s="2">
        <f t="shared" si="30"/>
        <v>35100</v>
      </c>
      <c r="K106" s="2">
        <f t="shared" si="30"/>
        <v>35100</v>
      </c>
      <c r="L106" s="2">
        <f t="shared" si="30"/>
        <v>35100</v>
      </c>
      <c r="M106" s="2">
        <f t="shared" si="30"/>
        <v>35100</v>
      </c>
      <c r="N106" s="2">
        <f t="shared" si="30"/>
        <v>35100</v>
      </c>
      <c r="O106" s="2">
        <f t="shared" si="30"/>
        <v>35100</v>
      </c>
      <c r="P106" s="2">
        <f t="shared" si="30"/>
        <v>35100</v>
      </c>
      <c r="Q106" s="2">
        <f t="shared" si="30"/>
        <v>35100</v>
      </c>
      <c r="R106" s="2">
        <f t="shared" si="30"/>
        <v>35100</v>
      </c>
      <c r="S106" s="2">
        <f t="shared" si="30"/>
        <v>35100</v>
      </c>
      <c r="T106" s="2">
        <f t="shared" si="30"/>
        <v>35100</v>
      </c>
      <c r="U106" s="2">
        <f t="shared" si="30"/>
        <v>35100</v>
      </c>
      <c r="V106" s="2">
        <f t="shared" si="30"/>
        <v>35100</v>
      </c>
    </row>
    <row r="107" spans="1:22" x14ac:dyDescent="0.35">
      <c r="A107" s="19" t="str">
        <f t="shared" si="10"/>
        <v xml:space="preserve">  Transport of plantain</v>
      </c>
      <c r="B107" s="13">
        <f>B105</f>
        <v>9.9</v>
      </c>
      <c r="C107" s="2">
        <f t="shared" ref="C107:V107" si="31">$B107*C66</f>
        <v>0</v>
      </c>
      <c r="D107" s="2">
        <f t="shared" si="31"/>
        <v>89100</v>
      </c>
      <c r="E107" s="2">
        <f t="shared" si="31"/>
        <v>89100</v>
      </c>
      <c r="F107" s="2">
        <f t="shared" si="31"/>
        <v>89100</v>
      </c>
      <c r="G107" s="2">
        <f t="shared" si="31"/>
        <v>89100</v>
      </c>
      <c r="H107" s="2">
        <f t="shared" si="31"/>
        <v>89100</v>
      </c>
      <c r="I107" s="2">
        <f t="shared" si="31"/>
        <v>89100</v>
      </c>
      <c r="J107" s="2">
        <f t="shared" si="31"/>
        <v>89100</v>
      </c>
      <c r="K107" s="2">
        <f t="shared" si="31"/>
        <v>89100</v>
      </c>
      <c r="L107" s="2">
        <f t="shared" si="31"/>
        <v>89100</v>
      </c>
      <c r="M107" s="2">
        <f t="shared" si="31"/>
        <v>89100</v>
      </c>
      <c r="N107" s="2">
        <f t="shared" si="31"/>
        <v>89100</v>
      </c>
      <c r="O107" s="2">
        <f t="shared" si="31"/>
        <v>89100</v>
      </c>
      <c r="P107" s="2">
        <f t="shared" si="31"/>
        <v>89100</v>
      </c>
      <c r="Q107" s="2">
        <f t="shared" si="31"/>
        <v>89100</v>
      </c>
      <c r="R107" s="2">
        <f t="shared" si="31"/>
        <v>89100</v>
      </c>
      <c r="S107" s="2">
        <f t="shared" si="31"/>
        <v>89100</v>
      </c>
      <c r="T107" s="2">
        <f t="shared" si="31"/>
        <v>89100</v>
      </c>
      <c r="U107" s="2">
        <f t="shared" si="31"/>
        <v>89100</v>
      </c>
      <c r="V107" s="2">
        <f t="shared" si="31"/>
        <v>89100</v>
      </c>
    </row>
    <row r="108" spans="1:22" x14ac:dyDescent="0.35">
      <c r="A108" s="19"/>
      <c r="B108" s="8"/>
    </row>
    <row r="109" spans="1:22" x14ac:dyDescent="0.35">
      <c r="A109" s="19" t="str">
        <f t="shared" ref="A109:A117" si="32">A68</f>
        <v>Inputs</v>
      </c>
      <c r="B109" s="8"/>
    </row>
    <row r="110" spans="1:22" x14ac:dyDescent="0.35">
      <c r="A110" s="19" t="str">
        <f t="shared" si="32"/>
        <v xml:space="preserve">  Coffee seedlings</v>
      </c>
      <c r="B110" s="13">
        <f>'Prices &amp; assums'!D84</f>
        <v>1000</v>
      </c>
      <c r="C110" s="2">
        <f t="shared" ref="C110:V110" si="33">$B110*C69</f>
        <v>333250</v>
      </c>
      <c r="D110" s="2">
        <f t="shared" si="33"/>
        <v>333250</v>
      </c>
      <c r="E110" s="2">
        <f t="shared" si="33"/>
        <v>333250</v>
      </c>
      <c r="F110" s="2">
        <f t="shared" si="33"/>
        <v>0</v>
      </c>
      <c r="G110" s="2">
        <f t="shared" si="33"/>
        <v>0</v>
      </c>
      <c r="H110" s="2">
        <f t="shared" si="33"/>
        <v>0</v>
      </c>
      <c r="I110" s="2">
        <f t="shared" si="33"/>
        <v>0</v>
      </c>
      <c r="J110" s="2">
        <f t="shared" si="33"/>
        <v>0</v>
      </c>
      <c r="K110" s="2">
        <f t="shared" si="33"/>
        <v>0</v>
      </c>
      <c r="L110" s="2">
        <f t="shared" si="33"/>
        <v>0</v>
      </c>
      <c r="M110" s="2">
        <f t="shared" si="33"/>
        <v>0</v>
      </c>
      <c r="N110" s="2">
        <f t="shared" si="33"/>
        <v>0</v>
      </c>
      <c r="O110" s="2">
        <f t="shared" si="33"/>
        <v>0</v>
      </c>
      <c r="P110" s="2">
        <f t="shared" si="33"/>
        <v>0</v>
      </c>
      <c r="Q110" s="2">
        <f t="shared" si="33"/>
        <v>0</v>
      </c>
      <c r="R110" s="2">
        <f t="shared" si="33"/>
        <v>0</v>
      </c>
      <c r="S110" s="2">
        <f t="shared" si="33"/>
        <v>0</v>
      </c>
      <c r="T110" s="2">
        <f t="shared" si="33"/>
        <v>0</v>
      </c>
      <c r="U110" s="2">
        <f t="shared" si="33"/>
        <v>0</v>
      </c>
      <c r="V110" s="2">
        <f t="shared" si="33"/>
        <v>0</v>
      </c>
    </row>
    <row r="111" spans="1:22" x14ac:dyDescent="0.35">
      <c r="A111" s="19" t="str">
        <f t="shared" si="32"/>
        <v xml:space="preserve">  Plantain suckers</v>
      </c>
      <c r="B111" s="13">
        <f>'Prices &amp; assums'!D86</f>
        <v>196</v>
      </c>
      <c r="C111" s="2">
        <f t="shared" ref="C111:V111" si="34">$B111*C70</f>
        <v>117600</v>
      </c>
      <c r="D111" s="2">
        <f t="shared" si="34"/>
        <v>117600</v>
      </c>
      <c r="E111" s="2">
        <f t="shared" si="34"/>
        <v>117600</v>
      </c>
      <c r="F111" s="2">
        <f t="shared" si="34"/>
        <v>117600</v>
      </c>
      <c r="G111" s="2">
        <f t="shared" si="34"/>
        <v>117600</v>
      </c>
      <c r="H111" s="2">
        <f t="shared" si="34"/>
        <v>117600</v>
      </c>
      <c r="I111" s="2">
        <f t="shared" si="34"/>
        <v>117600</v>
      </c>
      <c r="J111" s="2">
        <f t="shared" si="34"/>
        <v>117600</v>
      </c>
      <c r="K111" s="2">
        <f t="shared" si="34"/>
        <v>117600</v>
      </c>
      <c r="L111" s="2">
        <f t="shared" si="34"/>
        <v>117600</v>
      </c>
      <c r="M111" s="2">
        <f t="shared" si="34"/>
        <v>117600</v>
      </c>
      <c r="N111" s="2">
        <f t="shared" si="34"/>
        <v>117600</v>
      </c>
      <c r="O111" s="2">
        <f t="shared" si="34"/>
        <v>117600</v>
      </c>
      <c r="P111" s="2">
        <f t="shared" si="34"/>
        <v>117600</v>
      </c>
      <c r="Q111" s="2">
        <f t="shared" si="34"/>
        <v>117600</v>
      </c>
      <c r="R111" s="2">
        <f t="shared" si="34"/>
        <v>117600</v>
      </c>
      <c r="S111" s="2">
        <f t="shared" si="34"/>
        <v>117600</v>
      </c>
      <c r="T111" s="2">
        <f t="shared" si="34"/>
        <v>117600</v>
      </c>
      <c r="U111" s="2">
        <f t="shared" si="34"/>
        <v>117600</v>
      </c>
      <c r="V111" s="2">
        <f t="shared" si="34"/>
        <v>117600</v>
      </c>
    </row>
    <row r="112" spans="1:22" x14ac:dyDescent="0.35">
      <c r="A112" s="19" t="str">
        <f t="shared" si="32"/>
        <v xml:space="preserve">  Glyricidia cuts</v>
      </c>
      <c r="B112" s="13">
        <f>'Prices &amp; assums'!D87</f>
        <v>30</v>
      </c>
      <c r="C112" s="2">
        <f t="shared" ref="C112:V112" si="35">$B112*C71</f>
        <v>9997.5</v>
      </c>
      <c r="D112" s="2">
        <f t="shared" si="35"/>
        <v>9997.5</v>
      </c>
      <c r="E112" s="2">
        <f t="shared" si="35"/>
        <v>9997.5</v>
      </c>
      <c r="F112" s="2">
        <f t="shared" si="35"/>
        <v>0</v>
      </c>
      <c r="G112" s="2">
        <f t="shared" si="35"/>
        <v>0</v>
      </c>
      <c r="H112" s="2">
        <f t="shared" si="35"/>
        <v>0</v>
      </c>
      <c r="I112" s="2">
        <f t="shared" si="35"/>
        <v>0</v>
      </c>
      <c r="J112" s="2">
        <f t="shared" si="35"/>
        <v>0</v>
      </c>
      <c r="K112" s="2">
        <f t="shared" si="35"/>
        <v>0</v>
      </c>
      <c r="L112" s="2">
        <f t="shared" si="35"/>
        <v>0</v>
      </c>
      <c r="M112" s="2">
        <f t="shared" si="35"/>
        <v>0</v>
      </c>
      <c r="N112" s="2">
        <f t="shared" si="35"/>
        <v>0</v>
      </c>
      <c r="O112" s="2">
        <f t="shared" si="35"/>
        <v>0</v>
      </c>
      <c r="P112" s="2">
        <f t="shared" si="35"/>
        <v>0</v>
      </c>
      <c r="Q112" s="2">
        <f t="shared" si="35"/>
        <v>0</v>
      </c>
      <c r="R112" s="2">
        <f t="shared" si="35"/>
        <v>0</v>
      </c>
      <c r="S112" s="2">
        <f t="shared" si="35"/>
        <v>0</v>
      </c>
      <c r="T112" s="2">
        <f t="shared" si="35"/>
        <v>0</v>
      </c>
      <c r="U112" s="2">
        <f t="shared" si="35"/>
        <v>0</v>
      </c>
      <c r="V112" s="2">
        <f t="shared" si="35"/>
        <v>0</v>
      </c>
    </row>
    <row r="113" spans="1:22" x14ac:dyDescent="0.35">
      <c r="A113" s="19" t="str">
        <f t="shared" si="32"/>
        <v xml:space="preserve">  NPK</v>
      </c>
      <c r="B113" s="13">
        <f>'Prices &amp; assums'!D55</f>
        <v>490</v>
      </c>
      <c r="C113" s="2">
        <f t="shared" ref="C113:V113" si="36">$B113*C72</f>
        <v>29400</v>
      </c>
      <c r="D113" s="2">
        <f t="shared" si="36"/>
        <v>29400</v>
      </c>
      <c r="E113" s="2">
        <f t="shared" si="36"/>
        <v>29400</v>
      </c>
      <c r="F113" s="2">
        <f t="shared" si="36"/>
        <v>29400</v>
      </c>
      <c r="G113" s="2">
        <f t="shared" si="36"/>
        <v>29400</v>
      </c>
      <c r="H113" s="2">
        <f t="shared" si="36"/>
        <v>29400</v>
      </c>
      <c r="I113" s="2">
        <f t="shared" si="36"/>
        <v>29400</v>
      </c>
      <c r="J113" s="2">
        <f t="shared" si="36"/>
        <v>29400</v>
      </c>
      <c r="K113" s="2">
        <f t="shared" si="36"/>
        <v>29400</v>
      </c>
      <c r="L113" s="2">
        <f t="shared" si="36"/>
        <v>29400</v>
      </c>
      <c r="M113" s="2">
        <f t="shared" si="36"/>
        <v>29400</v>
      </c>
      <c r="N113" s="2">
        <f t="shared" si="36"/>
        <v>29400</v>
      </c>
      <c r="O113" s="2">
        <f t="shared" si="36"/>
        <v>29400</v>
      </c>
      <c r="P113" s="2">
        <f t="shared" si="36"/>
        <v>29400</v>
      </c>
      <c r="Q113" s="2">
        <f t="shared" si="36"/>
        <v>29400</v>
      </c>
      <c r="R113" s="2">
        <f t="shared" si="36"/>
        <v>29400</v>
      </c>
      <c r="S113" s="2">
        <f t="shared" si="36"/>
        <v>29400</v>
      </c>
      <c r="T113" s="2">
        <f t="shared" si="36"/>
        <v>29400</v>
      </c>
      <c r="U113" s="2">
        <f t="shared" si="36"/>
        <v>29400</v>
      </c>
      <c r="V113" s="2">
        <f t="shared" si="36"/>
        <v>29400</v>
      </c>
    </row>
    <row r="114" spans="1:22" x14ac:dyDescent="0.35">
      <c r="A114" s="19" t="str">
        <f t="shared" si="32"/>
        <v xml:space="preserve">  Urea</v>
      </c>
      <c r="B114" s="13">
        <f>'Prices &amp; assums'!D56</f>
        <v>490</v>
      </c>
      <c r="C114" s="2">
        <f t="shared" ref="C114:V114" si="37">$B114*C73</f>
        <v>41160</v>
      </c>
      <c r="D114" s="2">
        <f t="shared" si="37"/>
        <v>41160</v>
      </c>
      <c r="E114" s="2">
        <f t="shared" si="37"/>
        <v>41160</v>
      </c>
      <c r="F114" s="2">
        <f t="shared" si="37"/>
        <v>41160</v>
      </c>
      <c r="G114" s="2">
        <f t="shared" si="37"/>
        <v>41160</v>
      </c>
      <c r="H114" s="2">
        <f t="shared" si="37"/>
        <v>41160</v>
      </c>
      <c r="I114" s="2">
        <f t="shared" si="37"/>
        <v>41160</v>
      </c>
      <c r="J114" s="2">
        <f t="shared" si="37"/>
        <v>41160</v>
      </c>
      <c r="K114" s="2">
        <f t="shared" si="37"/>
        <v>41160</v>
      </c>
      <c r="L114" s="2">
        <f t="shared" si="37"/>
        <v>41160</v>
      </c>
      <c r="M114" s="2">
        <f t="shared" si="37"/>
        <v>41160</v>
      </c>
      <c r="N114" s="2">
        <f t="shared" si="37"/>
        <v>41160</v>
      </c>
      <c r="O114" s="2">
        <f t="shared" si="37"/>
        <v>41160</v>
      </c>
      <c r="P114" s="2">
        <f t="shared" si="37"/>
        <v>41160</v>
      </c>
      <c r="Q114" s="2">
        <f t="shared" si="37"/>
        <v>41160</v>
      </c>
      <c r="R114" s="2">
        <f t="shared" si="37"/>
        <v>41160</v>
      </c>
      <c r="S114" s="2">
        <f t="shared" si="37"/>
        <v>41160</v>
      </c>
      <c r="T114" s="2">
        <f t="shared" si="37"/>
        <v>41160</v>
      </c>
      <c r="U114" s="2">
        <f t="shared" si="37"/>
        <v>41160</v>
      </c>
      <c r="V114" s="2">
        <f t="shared" si="37"/>
        <v>41160</v>
      </c>
    </row>
    <row r="115" spans="1:22" x14ac:dyDescent="0.35">
      <c r="A115" s="19" t="str">
        <f t="shared" si="32"/>
        <v xml:space="preserve">  Potassium chloride</v>
      </c>
      <c r="B115" s="13">
        <f>'Prices &amp; assums'!D58</f>
        <v>392</v>
      </c>
      <c r="C115" s="2">
        <f t="shared" ref="C115:V115" si="38">$B115*C74</f>
        <v>94080</v>
      </c>
      <c r="D115" s="2">
        <f t="shared" si="38"/>
        <v>94080</v>
      </c>
      <c r="E115" s="2">
        <f t="shared" si="38"/>
        <v>94080</v>
      </c>
      <c r="F115" s="2">
        <f t="shared" si="38"/>
        <v>94080</v>
      </c>
      <c r="G115" s="2">
        <f t="shared" si="38"/>
        <v>94080</v>
      </c>
      <c r="H115" s="2">
        <f t="shared" si="38"/>
        <v>94080</v>
      </c>
      <c r="I115" s="2">
        <f t="shared" si="38"/>
        <v>94080</v>
      </c>
      <c r="J115" s="2">
        <f t="shared" si="38"/>
        <v>94080</v>
      </c>
      <c r="K115" s="2">
        <f t="shared" si="38"/>
        <v>94080</v>
      </c>
      <c r="L115" s="2">
        <f t="shared" si="38"/>
        <v>94080</v>
      </c>
      <c r="M115" s="2">
        <f t="shared" si="38"/>
        <v>94080</v>
      </c>
      <c r="N115" s="2">
        <f t="shared" si="38"/>
        <v>94080</v>
      </c>
      <c r="O115" s="2">
        <f t="shared" si="38"/>
        <v>94080</v>
      </c>
      <c r="P115" s="2">
        <f t="shared" si="38"/>
        <v>94080</v>
      </c>
      <c r="Q115" s="2">
        <f t="shared" si="38"/>
        <v>94080</v>
      </c>
      <c r="R115" s="2">
        <f t="shared" si="38"/>
        <v>94080</v>
      </c>
      <c r="S115" s="2">
        <f t="shared" si="38"/>
        <v>94080</v>
      </c>
      <c r="T115" s="2">
        <f t="shared" si="38"/>
        <v>94080</v>
      </c>
      <c r="U115" s="2">
        <f t="shared" si="38"/>
        <v>94080</v>
      </c>
      <c r="V115" s="2">
        <f t="shared" si="38"/>
        <v>94080</v>
      </c>
    </row>
    <row r="116" spans="1:22" x14ac:dyDescent="0.35">
      <c r="A116" s="19" t="str">
        <f t="shared" si="32"/>
        <v xml:space="preserve">  Herbicide</v>
      </c>
      <c r="B116" s="13">
        <f>'Prices &amp; assums'!D60</f>
        <v>2940</v>
      </c>
      <c r="C116" s="2">
        <f t="shared" ref="C116:V116" si="39">$B116*C75</f>
        <v>12705.882352941177</v>
      </c>
      <c r="D116" s="2">
        <f t="shared" si="39"/>
        <v>12705.882352941177</v>
      </c>
      <c r="E116" s="2">
        <f t="shared" si="39"/>
        <v>12705.882352941177</v>
      </c>
      <c r="F116" s="2">
        <f t="shared" si="39"/>
        <v>12705.882352941177</v>
      </c>
      <c r="G116" s="2">
        <f t="shared" si="39"/>
        <v>12705.882352941177</v>
      </c>
      <c r="H116" s="2">
        <f t="shared" si="39"/>
        <v>12705.882352941177</v>
      </c>
      <c r="I116" s="2">
        <f t="shared" si="39"/>
        <v>12705.882352941177</v>
      </c>
      <c r="J116" s="2">
        <f t="shared" si="39"/>
        <v>12705.882352941177</v>
      </c>
      <c r="K116" s="2">
        <f t="shared" si="39"/>
        <v>12705.882352941177</v>
      </c>
      <c r="L116" s="2">
        <f t="shared" si="39"/>
        <v>12705.882352941177</v>
      </c>
      <c r="M116" s="2">
        <f t="shared" si="39"/>
        <v>12705.882352941177</v>
      </c>
      <c r="N116" s="2">
        <f t="shared" si="39"/>
        <v>12705.882352941177</v>
      </c>
      <c r="O116" s="2">
        <f t="shared" si="39"/>
        <v>12705.882352941177</v>
      </c>
      <c r="P116" s="2">
        <f t="shared" si="39"/>
        <v>12705.882352941177</v>
      </c>
      <c r="Q116" s="2">
        <f t="shared" si="39"/>
        <v>12705.882352941177</v>
      </c>
      <c r="R116" s="2">
        <f t="shared" si="39"/>
        <v>12705.882352941177</v>
      </c>
      <c r="S116" s="2">
        <f t="shared" si="39"/>
        <v>12705.882352941177</v>
      </c>
      <c r="T116" s="2">
        <f t="shared" si="39"/>
        <v>12705.882352941177</v>
      </c>
      <c r="U116" s="2">
        <f t="shared" si="39"/>
        <v>12705.882352941177</v>
      </c>
      <c r="V116" s="2">
        <f t="shared" si="39"/>
        <v>12705.882352941177</v>
      </c>
    </row>
    <row r="117" spans="1:22" x14ac:dyDescent="0.35">
      <c r="A117" s="19" t="str">
        <f t="shared" si="32"/>
        <v xml:space="preserve">  Bags</v>
      </c>
      <c r="B117" s="13">
        <f>'Prices &amp; assums'!D50</f>
        <v>245.99999999999997</v>
      </c>
      <c r="C117" s="2">
        <f t="shared" ref="C117:V117" si="40">$B117*C76</f>
        <v>790.71428571428567</v>
      </c>
      <c r="D117" s="2">
        <f t="shared" si="40"/>
        <v>527.14285714285711</v>
      </c>
      <c r="E117" s="2">
        <f t="shared" si="40"/>
        <v>462.66449999999998</v>
      </c>
      <c r="F117" s="2">
        <f t="shared" si="40"/>
        <v>521.22128571428561</v>
      </c>
      <c r="G117" s="2">
        <f t="shared" si="40"/>
        <v>673.46892857142848</v>
      </c>
      <c r="H117" s="2">
        <f t="shared" si="40"/>
        <v>778.87114285714267</v>
      </c>
      <c r="I117" s="2">
        <f t="shared" si="40"/>
        <v>872.56199999999978</v>
      </c>
      <c r="J117" s="2">
        <f t="shared" si="40"/>
        <v>872.56199999999978</v>
      </c>
      <c r="K117" s="2">
        <f t="shared" si="40"/>
        <v>872.56199999999978</v>
      </c>
      <c r="L117" s="2">
        <f t="shared" si="40"/>
        <v>872.56199999999978</v>
      </c>
      <c r="M117" s="2">
        <f t="shared" si="40"/>
        <v>872.56199999999978</v>
      </c>
      <c r="N117" s="2">
        <f t="shared" si="40"/>
        <v>872.56199999999978</v>
      </c>
      <c r="O117" s="2">
        <f t="shared" si="40"/>
        <v>872.56199999999978</v>
      </c>
      <c r="P117" s="2">
        <f t="shared" si="40"/>
        <v>872.56199999999978</v>
      </c>
      <c r="Q117" s="2">
        <f t="shared" si="40"/>
        <v>872.56199999999978</v>
      </c>
      <c r="R117" s="2">
        <f t="shared" si="40"/>
        <v>872.56199999999978</v>
      </c>
      <c r="S117" s="2">
        <f t="shared" si="40"/>
        <v>872.56199999999978</v>
      </c>
      <c r="T117" s="2">
        <f t="shared" si="40"/>
        <v>872.56199999999978</v>
      </c>
      <c r="U117" s="2">
        <f t="shared" si="40"/>
        <v>872.56199999999978</v>
      </c>
      <c r="V117" s="2">
        <f t="shared" si="40"/>
        <v>872.56199999999978</v>
      </c>
    </row>
    <row r="118" spans="1:22" x14ac:dyDescent="0.35">
      <c r="A118" s="19"/>
      <c r="B118" s="8"/>
    </row>
    <row r="119" spans="1:22" x14ac:dyDescent="0.35">
      <c r="A119" s="19" t="str">
        <f>A78</f>
        <v>Production</v>
      </c>
      <c r="B119" s="8"/>
    </row>
    <row r="120" spans="1:22" x14ac:dyDescent="0.35">
      <c r="A120" s="19" t="str">
        <f>A79</f>
        <v xml:space="preserve">  Old coffee plants</v>
      </c>
      <c r="B120" s="13">
        <f>'Prices &amp; assums'!D96</f>
        <v>700</v>
      </c>
      <c r="C120" s="2">
        <f t="shared" ref="C120:V120" si="41">$B120*C79</f>
        <v>157500</v>
      </c>
      <c r="D120" s="2">
        <f t="shared" si="41"/>
        <v>105000</v>
      </c>
      <c r="E120" s="2">
        <f t="shared" si="41"/>
        <v>52500</v>
      </c>
      <c r="F120" s="2">
        <f t="shared" si="41"/>
        <v>52500</v>
      </c>
      <c r="G120" s="2">
        <f t="shared" si="41"/>
        <v>52500</v>
      </c>
      <c r="H120" s="2">
        <f t="shared" si="41"/>
        <v>52500</v>
      </c>
      <c r="I120" s="2">
        <f t="shared" si="41"/>
        <v>52500</v>
      </c>
      <c r="J120" s="2">
        <f t="shared" si="41"/>
        <v>52500</v>
      </c>
      <c r="K120" s="2">
        <f t="shared" si="41"/>
        <v>52500</v>
      </c>
      <c r="L120" s="2">
        <f t="shared" si="41"/>
        <v>52500</v>
      </c>
      <c r="M120" s="2">
        <f t="shared" si="41"/>
        <v>52500</v>
      </c>
      <c r="N120" s="2">
        <f t="shared" si="41"/>
        <v>52500</v>
      </c>
      <c r="O120" s="2">
        <f t="shared" si="41"/>
        <v>52500</v>
      </c>
      <c r="P120" s="2">
        <f t="shared" si="41"/>
        <v>52500</v>
      </c>
      <c r="Q120" s="2">
        <f t="shared" si="41"/>
        <v>52500</v>
      </c>
      <c r="R120" s="2">
        <f t="shared" si="41"/>
        <v>52500</v>
      </c>
      <c r="S120" s="2">
        <f t="shared" si="41"/>
        <v>52500</v>
      </c>
      <c r="T120" s="2">
        <f t="shared" si="41"/>
        <v>52500</v>
      </c>
      <c r="U120" s="2">
        <f t="shared" si="41"/>
        <v>52500</v>
      </c>
      <c r="V120" s="2">
        <f t="shared" si="41"/>
        <v>52500</v>
      </c>
    </row>
    <row r="121" spans="1:22" x14ac:dyDescent="0.35">
      <c r="A121" s="19" t="str">
        <f>A80</f>
        <v xml:space="preserve">  Coffee production of plants replanted f1st year</v>
      </c>
      <c r="B121" s="13">
        <f>B120</f>
        <v>700</v>
      </c>
      <c r="C121" s="2">
        <f t="shared" ref="C121:V121" si="42">$B121*C80</f>
        <v>0</v>
      </c>
      <c r="D121" s="2">
        <f t="shared" si="42"/>
        <v>0</v>
      </c>
      <c r="E121" s="2">
        <f t="shared" si="42"/>
        <v>39656.75</v>
      </c>
      <c r="F121" s="2">
        <f t="shared" si="42"/>
        <v>51320.5</v>
      </c>
      <c r="G121" s="2">
        <f t="shared" si="42"/>
        <v>81646.249999999985</v>
      </c>
      <c r="H121" s="2">
        <f t="shared" si="42"/>
        <v>102641</v>
      </c>
      <c r="I121" s="2">
        <f t="shared" si="42"/>
        <v>121303</v>
      </c>
      <c r="J121" s="2">
        <f t="shared" si="42"/>
        <v>121303</v>
      </c>
      <c r="K121" s="2">
        <f t="shared" si="42"/>
        <v>121303</v>
      </c>
      <c r="L121" s="2">
        <f t="shared" si="42"/>
        <v>121303</v>
      </c>
      <c r="M121" s="2">
        <f t="shared" si="42"/>
        <v>121303</v>
      </c>
      <c r="N121" s="2">
        <f t="shared" si="42"/>
        <v>121303</v>
      </c>
      <c r="O121" s="2">
        <f t="shared" si="42"/>
        <v>121303</v>
      </c>
      <c r="P121" s="2">
        <f t="shared" si="42"/>
        <v>121303</v>
      </c>
      <c r="Q121" s="2">
        <f t="shared" si="42"/>
        <v>121303</v>
      </c>
      <c r="R121" s="2">
        <f t="shared" si="42"/>
        <v>121303</v>
      </c>
      <c r="S121" s="2">
        <f t="shared" si="42"/>
        <v>121303</v>
      </c>
      <c r="T121" s="2">
        <f t="shared" si="42"/>
        <v>121303</v>
      </c>
      <c r="U121" s="2">
        <f t="shared" si="42"/>
        <v>121303</v>
      </c>
      <c r="V121" s="2">
        <f t="shared" si="42"/>
        <v>121303</v>
      </c>
    </row>
    <row r="122" spans="1:22" x14ac:dyDescent="0.35">
      <c r="A122" s="19" t="str">
        <f>A81</f>
        <v xml:space="preserve">  Coffee production of plants replanted 2nd  year</v>
      </c>
      <c r="B122" s="13">
        <f>B121</f>
        <v>700</v>
      </c>
      <c r="C122" s="2">
        <f t="shared" ref="C122:V122" si="43">$B122*C81</f>
        <v>0</v>
      </c>
      <c r="D122" s="2">
        <f t="shared" si="43"/>
        <v>0</v>
      </c>
      <c r="E122" s="2">
        <f t="shared" si="43"/>
        <v>0</v>
      </c>
      <c r="F122" s="2">
        <f t="shared" si="43"/>
        <v>39656.75</v>
      </c>
      <c r="G122" s="2">
        <f t="shared" si="43"/>
        <v>51320.5</v>
      </c>
      <c r="H122" s="2">
        <f t="shared" si="43"/>
        <v>81646.249999999985</v>
      </c>
      <c r="I122" s="2">
        <f t="shared" si="43"/>
        <v>102641</v>
      </c>
      <c r="J122" s="2">
        <f t="shared" si="43"/>
        <v>121303</v>
      </c>
      <c r="K122" s="2">
        <f t="shared" si="43"/>
        <v>121303</v>
      </c>
      <c r="L122" s="2">
        <f t="shared" si="43"/>
        <v>121303</v>
      </c>
      <c r="M122" s="2">
        <f t="shared" si="43"/>
        <v>121303</v>
      </c>
      <c r="N122" s="2">
        <f t="shared" si="43"/>
        <v>121303</v>
      </c>
      <c r="O122" s="2">
        <f t="shared" si="43"/>
        <v>121303</v>
      </c>
      <c r="P122" s="2">
        <f t="shared" si="43"/>
        <v>121303</v>
      </c>
      <c r="Q122" s="2">
        <f t="shared" si="43"/>
        <v>121303</v>
      </c>
      <c r="R122" s="2">
        <f t="shared" si="43"/>
        <v>121303</v>
      </c>
      <c r="S122" s="2">
        <f t="shared" si="43"/>
        <v>121303</v>
      </c>
      <c r="T122" s="2">
        <f t="shared" si="43"/>
        <v>121303</v>
      </c>
      <c r="U122" s="2">
        <f t="shared" si="43"/>
        <v>121303</v>
      </c>
      <c r="V122" s="2">
        <f t="shared" si="43"/>
        <v>121303</v>
      </c>
    </row>
    <row r="123" spans="1:22" x14ac:dyDescent="0.35">
      <c r="A123" s="19"/>
      <c r="B123" s="13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x14ac:dyDescent="0.35">
      <c r="A124" s="40" t="str">
        <f>A83</f>
        <v xml:space="preserve">  Plantain</v>
      </c>
      <c r="B124" s="22">
        <f>'Prices &amp; assums'!D107</f>
        <v>800</v>
      </c>
      <c r="C124" s="14">
        <f t="shared" ref="C124:V124" si="44">$B124*C83</f>
        <v>0</v>
      </c>
      <c r="D124" s="14">
        <f t="shared" si="44"/>
        <v>480000</v>
      </c>
      <c r="E124" s="14">
        <f t="shared" si="44"/>
        <v>480000</v>
      </c>
      <c r="F124" s="14">
        <f t="shared" si="44"/>
        <v>480000</v>
      </c>
      <c r="G124" s="14">
        <f t="shared" si="44"/>
        <v>480000</v>
      </c>
      <c r="H124" s="14">
        <f t="shared" si="44"/>
        <v>480000</v>
      </c>
      <c r="I124" s="14">
        <f t="shared" si="44"/>
        <v>480000</v>
      </c>
      <c r="J124" s="14">
        <f t="shared" si="44"/>
        <v>480000</v>
      </c>
      <c r="K124" s="14">
        <f t="shared" si="44"/>
        <v>480000</v>
      </c>
      <c r="L124" s="14">
        <f t="shared" si="44"/>
        <v>480000</v>
      </c>
      <c r="M124" s="14">
        <f t="shared" si="44"/>
        <v>480000</v>
      </c>
      <c r="N124" s="14">
        <f t="shared" si="44"/>
        <v>480000</v>
      </c>
      <c r="O124" s="14">
        <f t="shared" si="44"/>
        <v>480000</v>
      </c>
      <c r="P124" s="14">
        <f t="shared" si="44"/>
        <v>480000</v>
      </c>
      <c r="Q124" s="14">
        <f t="shared" si="44"/>
        <v>480000</v>
      </c>
      <c r="R124" s="14">
        <f t="shared" si="44"/>
        <v>480000</v>
      </c>
      <c r="S124" s="14">
        <f t="shared" si="44"/>
        <v>480000</v>
      </c>
      <c r="T124" s="14">
        <f t="shared" si="44"/>
        <v>480000</v>
      </c>
      <c r="U124" s="14">
        <f t="shared" si="44"/>
        <v>480000</v>
      </c>
      <c r="V124" s="14">
        <f t="shared" si="44"/>
        <v>480000</v>
      </c>
    </row>
    <row r="125" spans="1:22" x14ac:dyDescent="0.35">
      <c r="A125" s="19" t="s">
        <v>156</v>
      </c>
      <c r="C125" s="55"/>
      <c r="D125" s="55"/>
      <c r="E125" s="55"/>
    </row>
    <row r="126" spans="1:22" x14ac:dyDescent="0.35">
      <c r="A126" s="19" t="s">
        <v>157</v>
      </c>
      <c r="C126" s="2">
        <f>SUM(C88:C107)+SUM(C110:C117)</f>
        <v>974760.08163865551</v>
      </c>
      <c r="D126" s="2">
        <f t="shared" ref="D126:V126" si="45">SUM(D88:D107)+SUM(D110:D117)</f>
        <v>1171889.010210084</v>
      </c>
      <c r="E126" s="2">
        <f t="shared" si="45"/>
        <v>1115218.4266029412</v>
      </c>
      <c r="F126" s="2">
        <f t="shared" si="45"/>
        <v>714314.47213865549</v>
      </c>
      <c r="G126" s="2">
        <f t="shared" si="45"/>
        <v>712552.6875315127</v>
      </c>
      <c r="H126" s="2">
        <f t="shared" si="45"/>
        <v>721052.99049579829</v>
      </c>
      <c r="I126" s="2">
        <f t="shared" si="45"/>
        <v>728608.81535294116</v>
      </c>
      <c r="J126" s="2">
        <f t="shared" si="45"/>
        <v>728608.81535294116</v>
      </c>
      <c r="K126" s="2">
        <f t="shared" si="45"/>
        <v>728608.81535294116</v>
      </c>
      <c r="L126" s="2">
        <f t="shared" si="45"/>
        <v>728608.81535294116</v>
      </c>
      <c r="M126" s="2">
        <f t="shared" si="45"/>
        <v>728608.81535294116</v>
      </c>
      <c r="N126" s="2">
        <f t="shared" si="45"/>
        <v>728608.81535294116</v>
      </c>
      <c r="O126" s="2">
        <f t="shared" si="45"/>
        <v>728608.81535294116</v>
      </c>
      <c r="P126" s="2">
        <f t="shared" si="45"/>
        <v>728608.81535294116</v>
      </c>
      <c r="Q126" s="2">
        <f t="shared" si="45"/>
        <v>728608.81535294116</v>
      </c>
      <c r="R126" s="2">
        <f t="shared" si="45"/>
        <v>728608.81535294116</v>
      </c>
      <c r="S126" s="2">
        <f t="shared" si="45"/>
        <v>728608.81535294116</v>
      </c>
      <c r="T126" s="2">
        <f t="shared" si="45"/>
        <v>728608.81535294116</v>
      </c>
      <c r="U126" s="2">
        <f t="shared" si="45"/>
        <v>728608.81535294116</v>
      </c>
      <c r="V126" s="2">
        <f t="shared" si="45"/>
        <v>728608.81535294116</v>
      </c>
    </row>
    <row r="127" spans="1:22" x14ac:dyDescent="0.35">
      <c r="A127" s="19" t="s">
        <v>210</v>
      </c>
      <c r="C127" s="2">
        <f>C126-C88-C89-C93/3-C94-C95/3-C96-C97/3-C98/2-C99-C100-C101-C102/2-C106/2</f>
        <v>805077.32163865562</v>
      </c>
      <c r="D127" s="2">
        <f t="shared" ref="D127:V127" si="46">D126-D88-D89-D93/3-D94-D95/3-D96-D97/3-D98/2-D99-D100-D101-D102/2-D106/2</f>
        <v>959891.25021008402</v>
      </c>
      <c r="E127" s="2">
        <f t="shared" si="46"/>
        <v>934571.75260294124</v>
      </c>
      <c r="F127" s="2">
        <f t="shared" si="46"/>
        <v>555508.1881386555</v>
      </c>
      <c r="G127" s="2">
        <f t="shared" si="46"/>
        <v>554371.41753151268</v>
      </c>
      <c r="H127" s="2">
        <f t="shared" si="46"/>
        <v>560064.42249579832</v>
      </c>
      <c r="I127" s="2">
        <f t="shared" si="46"/>
        <v>565124.87135294115</v>
      </c>
      <c r="J127" s="2">
        <f t="shared" si="46"/>
        <v>565124.87135294115</v>
      </c>
      <c r="K127" s="2">
        <f t="shared" si="46"/>
        <v>565124.87135294115</v>
      </c>
      <c r="L127" s="2">
        <f t="shared" si="46"/>
        <v>565124.87135294115</v>
      </c>
      <c r="M127" s="2">
        <f t="shared" si="46"/>
        <v>565124.87135294115</v>
      </c>
      <c r="N127" s="2">
        <f t="shared" si="46"/>
        <v>565124.87135294115</v>
      </c>
      <c r="O127" s="2">
        <f t="shared" si="46"/>
        <v>565124.87135294115</v>
      </c>
      <c r="P127" s="2">
        <f t="shared" si="46"/>
        <v>565124.87135294115</v>
      </c>
      <c r="Q127" s="2">
        <f t="shared" si="46"/>
        <v>565124.87135294115</v>
      </c>
      <c r="R127" s="2">
        <f t="shared" si="46"/>
        <v>565124.87135294115</v>
      </c>
      <c r="S127" s="2">
        <f t="shared" si="46"/>
        <v>565124.87135294115</v>
      </c>
      <c r="T127" s="2">
        <f t="shared" si="46"/>
        <v>565124.87135294115</v>
      </c>
      <c r="U127" s="2">
        <f t="shared" si="46"/>
        <v>565124.87135294115</v>
      </c>
      <c r="V127" s="2">
        <f t="shared" si="46"/>
        <v>565124.87135294115</v>
      </c>
    </row>
    <row r="128" spans="1:22" x14ac:dyDescent="0.35">
      <c r="A128" s="19" t="s">
        <v>159</v>
      </c>
      <c r="C128" s="2">
        <f>C92+C110+C111+C112</f>
        <v>485847.5</v>
      </c>
      <c r="D128" s="2">
        <f>D92+D110+D111+D112</f>
        <v>485847.5</v>
      </c>
      <c r="E128" s="2">
        <f>E92+E110+E111+E112</f>
        <v>485847.5</v>
      </c>
      <c r="F128" s="2">
        <f t="shared" ref="F128:V128" si="47">F92+F110+F112</f>
        <v>0</v>
      </c>
      <c r="G128" s="2">
        <f t="shared" si="47"/>
        <v>0</v>
      </c>
      <c r="H128" s="2">
        <f t="shared" si="47"/>
        <v>0</v>
      </c>
      <c r="I128" s="2">
        <f t="shared" si="47"/>
        <v>0</v>
      </c>
      <c r="J128" s="2">
        <f t="shared" si="47"/>
        <v>0</v>
      </c>
      <c r="K128" s="2">
        <f t="shared" si="47"/>
        <v>0</v>
      </c>
      <c r="L128" s="2">
        <f t="shared" si="47"/>
        <v>0</v>
      </c>
      <c r="M128" s="2">
        <f t="shared" si="47"/>
        <v>0</v>
      </c>
      <c r="N128" s="2">
        <f t="shared" si="47"/>
        <v>0</v>
      </c>
      <c r="O128" s="2">
        <f t="shared" si="47"/>
        <v>0</v>
      </c>
      <c r="P128" s="2">
        <f t="shared" si="47"/>
        <v>0</v>
      </c>
      <c r="Q128" s="2">
        <f t="shared" si="47"/>
        <v>0</v>
      </c>
      <c r="R128" s="2">
        <f t="shared" si="47"/>
        <v>0</v>
      </c>
      <c r="S128" s="2">
        <f t="shared" si="47"/>
        <v>0</v>
      </c>
      <c r="T128" s="2">
        <f t="shared" si="47"/>
        <v>0</v>
      </c>
      <c r="U128" s="2">
        <f t="shared" si="47"/>
        <v>0</v>
      </c>
      <c r="V128" s="2">
        <f t="shared" si="47"/>
        <v>0</v>
      </c>
    </row>
    <row r="129" spans="1:22" x14ac:dyDescent="0.35">
      <c r="A129" s="19" t="s">
        <v>160</v>
      </c>
      <c r="C129" s="2">
        <f>C126-C128</f>
        <v>488912.58163865551</v>
      </c>
      <c r="D129" s="2">
        <f t="shared" ref="D129:V129" si="48">D126-D128</f>
        <v>686041.51021008403</v>
      </c>
      <c r="E129" s="2">
        <f t="shared" si="48"/>
        <v>629370.92660294124</v>
      </c>
      <c r="F129" s="2">
        <f t="shared" si="48"/>
        <v>714314.47213865549</v>
      </c>
      <c r="G129" s="2">
        <f t="shared" si="48"/>
        <v>712552.6875315127</v>
      </c>
      <c r="H129" s="2">
        <f t="shared" si="48"/>
        <v>721052.99049579829</v>
      </c>
      <c r="I129" s="2">
        <f t="shared" si="48"/>
        <v>728608.81535294116</v>
      </c>
      <c r="J129" s="2">
        <f t="shared" si="48"/>
        <v>728608.81535294116</v>
      </c>
      <c r="K129" s="2">
        <f t="shared" si="48"/>
        <v>728608.81535294116</v>
      </c>
      <c r="L129" s="2">
        <f t="shared" si="48"/>
        <v>728608.81535294116</v>
      </c>
      <c r="M129" s="2">
        <f t="shared" si="48"/>
        <v>728608.81535294116</v>
      </c>
      <c r="N129" s="2">
        <f t="shared" si="48"/>
        <v>728608.81535294116</v>
      </c>
      <c r="O129" s="2">
        <f t="shared" si="48"/>
        <v>728608.81535294116</v>
      </c>
      <c r="P129" s="2">
        <f t="shared" si="48"/>
        <v>728608.81535294116</v>
      </c>
      <c r="Q129" s="2">
        <f t="shared" si="48"/>
        <v>728608.81535294116</v>
      </c>
      <c r="R129" s="2">
        <f t="shared" si="48"/>
        <v>728608.81535294116</v>
      </c>
      <c r="S129" s="2">
        <f t="shared" si="48"/>
        <v>728608.81535294116</v>
      </c>
      <c r="T129" s="2">
        <f t="shared" si="48"/>
        <v>728608.81535294116</v>
      </c>
      <c r="U129" s="2">
        <f t="shared" si="48"/>
        <v>728608.81535294116</v>
      </c>
      <c r="V129" s="2">
        <f t="shared" si="48"/>
        <v>728608.81535294116</v>
      </c>
    </row>
    <row r="130" spans="1:22" x14ac:dyDescent="0.35">
      <c r="A130" s="19" t="s">
        <v>65</v>
      </c>
      <c r="C130" s="2">
        <f>SUM(C120:C124)</f>
        <v>157500</v>
      </c>
      <c r="D130" s="2">
        <f t="shared" ref="D130:V130" si="49">SUM(D120:D124)</f>
        <v>585000</v>
      </c>
      <c r="E130" s="2">
        <f t="shared" si="49"/>
        <v>572156.75</v>
      </c>
      <c r="F130" s="2">
        <f t="shared" si="49"/>
        <v>623477.25</v>
      </c>
      <c r="G130" s="2">
        <f t="shared" si="49"/>
        <v>665466.75</v>
      </c>
      <c r="H130" s="2">
        <f t="shared" si="49"/>
        <v>716787.25</v>
      </c>
      <c r="I130" s="2">
        <f t="shared" si="49"/>
        <v>756444</v>
      </c>
      <c r="J130" s="2">
        <f t="shared" si="49"/>
        <v>775106</v>
      </c>
      <c r="K130" s="2">
        <f t="shared" si="49"/>
        <v>775106</v>
      </c>
      <c r="L130" s="2">
        <f t="shared" si="49"/>
        <v>775106</v>
      </c>
      <c r="M130" s="2">
        <f t="shared" si="49"/>
        <v>775106</v>
      </c>
      <c r="N130" s="2">
        <f t="shared" si="49"/>
        <v>775106</v>
      </c>
      <c r="O130" s="2">
        <f t="shared" si="49"/>
        <v>775106</v>
      </c>
      <c r="P130" s="2">
        <f t="shared" si="49"/>
        <v>775106</v>
      </c>
      <c r="Q130" s="2">
        <f t="shared" si="49"/>
        <v>775106</v>
      </c>
      <c r="R130" s="2">
        <f t="shared" si="49"/>
        <v>775106</v>
      </c>
      <c r="S130" s="2">
        <f t="shared" si="49"/>
        <v>775106</v>
      </c>
      <c r="T130" s="2">
        <f t="shared" si="49"/>
        <v>775106</v>
      </c>
      <c r="U130" s="2">
        <f t="shared" si="49"/>
        <v>775106</v>
      </c>
      <c r="V130" s="2">
        <f t="shared" si="49"/>
        <v>775106</v>
      </c>
    </row>
    <row r="131" spans="1:22" x14ac:dyDescent="0.35">
      <c r="A131" s="45" t="s">
        <v>154</v>
      </c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x14ac:dyDescent="0.35">
      <c r="A132" t="s">
        <v>151</v>
      </c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x14ac:dyDescent="0.35">
      <c r="A133" t="s">
        <v>152</v>
      </c>
      <c r="C133" s="2">
        <f>C130-C126</f>
        <v>-817260.08163865551</v>
      </c>
      <c r="D133" s="2">
        <f t="shared" ref="D133:V133" si="50">D130-D126</f>
        <v>-586889.01021008403</v>
      </c>
      <c r="E133" s="2">
        <f t="shared" si="50"/>
        <v>-543061.67660294124</v>
      </c>
      <c r="F133" s="2">
        <f t="shared" si="50"/>
        <v>-90837.222138655488</v>
      </c>
      <c r="G133" s="2">
        <f t="shared" si="50"/>
        <v>-47085.937531512696</v>
      </c>
      <c r="H133" s="2">
        <f t="shared" si="50"/>
        <v>-4265.7404957982944</v>
      </c>
      <c r="I133" s="2">
        <f t="shared" si="50"/>
        <v>27835.184647058835</v>
      </c>
      <c r="J133" s="2">
        <f t="shared" si="50"/>
        <v>46497.184647058835</v>
      </c>
      <c r="K133" s="2">
        <f t="shared" si="50"/>
        <v>46497.184647058835</v>
      </c>
      <c r="L133" s="2">
        <f t="shared" si="50"/>
        <v>46497.184647058835</v>
      </c>
      <c r="M133" s="2">
        <f t="shared" si="50"/>
        <v>46497.184647058835</v>
      </c>
      <c r="N133" s="2">
        <f t="shared" si="50"/>
        <v>46497.184647058835</v>
      </c>
      <c r="O133" s="2">
        <f t="shared" si="50"/>
        <v>46497.184647058835</v>
      </c>
      <c r="P133" s="2">
        <f t="shared" si="50"/>
        <v>46497.184647058835</v>
      </c>
      <c r="Q133" s="2">
        <f t="shared" si="50"/>
        <v>46497.184647058835</v>
      </c>
      <c r="R133" s="2">
        <f t="shared" si="50"/>
        <v>46497.184647058835</v>
      </c>
      <c r="S133" s="2">
        <f t="shared" si="50"/>
        <v>46497.184647058835</v>
      </c>
      <c r="T133" s="2">
        <f t="shared" si="50"/>
        <v>46497.184647058835</v>
      </c>
      <c r="U133" s="2">
        <f t="shared" si="50"/>
        <v>46497.184647058835</v>
      </c>
      <c r="V133" s="2">
        <f t="shared" si="50"/>
        <v>46497.184647058835</v>
      </c>
    </row>
    <row r="134" spans="1:22" x14ac:dyDescent="0.35">
      <c r="A134" t="s">
        <v>153</v>
      </c>
      <c r="C134" s="2">
        <f t="shared" ref="C134:V134" si="51">C130-C127</f>
        <v>-647577.32163865562</v>
      </c>
      <c r="D134" s="2">
        <f t="shared" si="51"/>
        <v>-374891.25021008402</v>
      </c>
      <c r="E134" s="2">
        <f t="shared" si="51"/>
        <v>-362415.00260294124</v>
      </c>
      <c r="F134" s="2">
        <f t="shared" si="51"/>
        <v>67969.061861344497</v>
      </c>
      <c r="G134" s="2">
        <f>G130-G127</f>
        <v>111095.33246848732</v>
      </c>
      <c r="H134" s="2">
        <f t="shared" si="51"/>
        <v>156722.82750420168</v>
      </c>
      <c r="I134" s="2">
        <f t="shared" si="51"/>
        <v>191319.12864705885</v>
      </c>
      <c r="J134" s="2">
        <f t="shared" si="51"/>
        <v>209981.12864705885</v>
      </c>
      <c r="K134" s="2">
        <f t="shared" si="51"/>
        <v>209981.12864705885</v>
      </c>
      <c r="L134" s="2">
        <f t="shared" si="51"/>
        <v>209981.12864705885</v>
      </c>
      <c r="M134" s="2">
        <f t="shared" si="51"/>
        <v>209981.12864705885</v>
      </c>
      <c r="N134" s="2">
        <f t="shared" si="51"/>
        <v>209981.12864705885</v>
      </c>
      <c r="O134" s="2">
        <f t="shared" si="51"/>
        <v>209981.12864705885</v>
      </c>
      <c r="P134" s="2">
        <f t="shared" si="51"/>
        <v>209981.12864705885</v>
      </c>
      <c r="Q134" s="2">
        <f t="shared" si="51"/>
        <v>209981.12864705885</v>
      </c>
      <c r="R134" s="2">
        <f t="shared" si="51"/>
        <v>209981.12864705885</v>
      </c>
      <c r="S134" s="2">
        <f t="shared" si="51"/>
        <v>209981.12864705885</v>
      </c>
      <c r="T134" s="2">
        <f t="shared" si="51"/>
        <v>209981.12864705885</v>
      </c>
      <c r="U134" s="2">
        <f t="shared" si="51"/>
        <v>209981.12864705885</v>
      </c>
      <c r="V134" s="2">
        <f t="shared" si="51"/>
        <v>209981.12864705885</v>
      </c>
    </row>
    <row r="135" spans="1:22" x14ac:dyDescent="0.35">
      <c r="A135" t="s">
        <v>215</v>
      </c>
      <c r="C135" s="2">
        <f>C130-C126+C128</f>
        <v>-331412.58163865551</v>
      </c>
      <c r="D135" s="2">
        <f t="shared" ref="D135:V135" si="52">D130-D126+D128</f>
        <v>-101041.51021008403</v>
      </c>
      <c r="E135" s="2">
        <f t="shared" si="52"/>
        <v>-57214.176602941239</v>
      </c>
      <c r="F135" s="2">
        <f t="shared" si="52"/>
        <v>-90837.222138655488</v>
      </c>
      <c r="G135" s="2">
        <f t="shared" si="52"/>
        <v>-47085.937531512696</v>
      </c>
      <c r="H135" s="2">
        <f t="shared" si="52"/>
        <v>-4265.7404957982944</v>
      </c>
      <c r="I135" s="2">
        <f t="shared" si="52"/>
        <v>27835.184647058835</v>
      </c>
      <c r="J135" s="2">
        <f t="shared" si="52"/>
        <v>46497.184647058835</v>
      </c>
      <c r="K135" s="2">
        <f t="shared" si="52"/>
        <v>46497.184647058835</v>
      </c>
      <c r="L135" s="2">
        <f t="shared" si="52"/>
        <v>46497.184647058835</v>
      </c>
      <c r="M135" s="2">
        <f t="shared" si="52"/>
        <v>46497.184647058835</v>
      </c>
      <c r="N135" s="2">
        <f t="shared" si="52"/>
        <v>46497.184647058835</v>
      </c>
      <c r="O135" s="2">
        <f t="shared" si="52"/>
        <v>46497.184647058835</v>
      </c>
      <c r="P135" s="2">
        <f t="shared" si="52"/>
        <v>46497.184647058835</v>
      </c>
      <c r="Q135" s="2">
        <f t="shared" si="52"/>
        <v>46497.184647058835</v>
      </c>
      <c r="R135" s="2">
        <f t="shared" si="52"/>
        <v>46497.184647058835</v>
      </c>
      <c r="S135" s="2">
        <f t="shared" si="52"/>
        <v>46497.184647058835</v>
      </c>
      <c r="T135" s="2">
        <f t="shared" si="52"/>
        <v>46497.184647058835</v>
      </c>
      <c r="U135" s="2">
        <f t="shared" si="52"/>
        <v>46497.184647058835</v>
      </c>
      <c r="V135" s="2">
        <f t="shared" si="52"/>
        <v>46497.184647058835</v>
      </c>
    </row>
    <row r="136" spans="1:22" x14ac:dyDescent="0.35">
      <c r="A136" t="s">
        <v>213</v>
      </c>
      <c r="C136" s="2">
        <f>C130-C127+C128</f>
        <v>-161729.82163865562</v>
      </c>
      <c r="D136" s="2">
        <f t="shared" ref="D136:V136" si="53">D130-D127+D128</f>
        <v>110956.24978991598</v>
      </c>
      <c r="E136" s="2">
        <f>E130-E127+E128</f>
        <v>123432.49739705876</v>
      </c>
      <c r="F136" s="2">
        <f t="shared" si="53"/>
        <v>67969.061861344497</v>
      </c>
      <c r="G136" s="2">
        <f t="shared" si="53"/>
        <v>111095.33246848732</v>
      </c>
      <c r="H136" s="2">
        <f t="shared" si="53"/>
        <v>156722.82750420168</v>
      </c>
      <c r="I136" s="2">
        <f t="shared" si="53"/>
        <v>191319.12864705885</v>
      </c>
      <c r="J136" s="2">
        <f t="shared" si="53"/>
        <v>209981.12864705885</v>
      </c>
      <c r="K136" s="2">
        <f t="shared" si="53"/>
        <v>209981.12864705885</v>
      </c>
      <c r="L136" s="2">
        <f t="shared" si="53"/>
        <v>209981.12864705885</v>
      </c>
      <c r="M136" s="2">
        <f t="shared" si="53"/>
        <v>209981.12864705885</v>
      </c>
      <c r="N136" s="2">
        <f t="shared" si="53"/>
        <v>209981.12864705885</v>
      </c>
      <c r="O136" s="2">
        <f t="shared" si="53"/>
        <v>209981.12864705885</v>
      </c>
      <c r="P136" s="2">
        <f t="shared" si="53"/>
        <v>209981.12864705885</v>
      </c>
      <c r="Q136" s="2">
        <f t="shared" si="53"/>
        <v>209981.12864705885</v>
      </c>
      <c r="R136" s="2">
        <f t="shared" si="53"/>
        <v>209981.12864705885</v>
      </c>
      <c r="S136" s="2">
        <f t="shared" si="53"/>
        <v>209981.12864705885</v>
      </c>
      <c r="T136" s="2">
        <f t="shared" si="53"/>
        <v>209981.12864705885</v>
      </c>
      <c r="U136" s="2">
        <f t="shared" si="53"/>
        <v>209981.12864705885</v>
      </c>
      <c r="V136" s="2">
        <f t="shared" si="53"/>
        <v>209981.12864705885</v>
      </c>
    </row>
    <row r="137" spans="1:22" x14ac:dyDescent="0.35">
      <c r="A137" s="37" t="s">
        <v>145</v>
      </c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x14ac:dyDescent="0.35">
      <c r="A138" t="s">
        <v>146</v>
      </c>
      <c r="C138" s="2">
        <f>C133-C$38</f>
        <v>-872035.79592436983</v>
      </c>
      <c r="D138" s="2">
        <f t="shared" ref="D138:V138" si="54">D133-D$38</f>
        <v>-641664.72449579835</v>
      </c>
      <c r="E138" s="2">
        <f t="shared" si="54"/>
        <v>-597837.39088865556</v>
      </c>
      <c r="F138" s="2">
        <f t="shared" si="54"/>
        <v>-145612.93642436978</v>
      </c>
      <c r="G138" s="2">
        <f t="shared" si="54"/>
        <v>-101861.65181722699</v>
      </c>
      <c r="H138" s="2">
        <f t="shared" si="54"/>
        <v>-59041.454781512584</v>
      </c>
      <c r="I138" s="2">
        <f t="shared" si="54"/>
        <v>-26940.529638655455</v>
      </c>
      <c r="J138" s="2">
        <f t="shared" si="54"/>
        <v>-8278.5296386554546</v>
      </c>
      <c r="K138" s="2">
        <f t="shared" si="54"/>
        <v>-8278.5296386554546</v>
      </c>
      <c r="L138" s="2">
        <f t="shared" si="54"/>
        <v>-8278.5296386554546</v>
      </c>
      <c r="M138" s="2">
        <f t="shared" si="54"/>
        <v>-8278.5296386554546</v>
      </c>
      <c r="N138" s="2">
        <f t="shared" si="54"/>
        <v>-8278.5296386554546</v>
      </c>
      <c r="O138" s="2">
        <f t="shared" si="54"/>
        <v>-8278.5296386554546</v>
      </c>
      <c r="P138" s="2">
        <f t="shared" si="54"/>
        <v>-8278.5296386554546</v>
      </c>
      <c r="Q138" s="2">
        <f t="shared" si="54"/>
        <v>-8278.5296386554546</v>
      </c>
      <c r="R138" s="2">
        <f t="shared" si="54"/>
        <v>-8278.5296386554546</v>
      </c>
      <c r="S138" s="2">
        <f t="shared" si="54"/>
        <v>-8278.5296386554546</v>
      </c>
      <c r="T138" s="2">
        <f t="shared" si="54"/>
        <v>-8278.5296386554546</v>
      </c>
      <c r="U138" s="2">
        <f t="shared" si="54"/>
        <v>-8278.5296386554546</v>
      </c>
      <c r="V138" s="2">
        <f t="shared" si="54"/>
        <v>-8278.5296386554546</v>
      </c>
    </row>
    <row r="139" spans="1:22" x14ac:dyDescent="0.35">
      <c r="A139" t="s">
        <v>214</v>
      </c>
      <c r="B139" s="23"/>
      <c r="C139" s="2">
        <f>C134-C$39</f>
        <v>-753833.03592436993</v>
      </c>
      <c r="D139" s="2">
        <f t="shared" ref="D139:V139" si="55">D134-D$39</f>
        <v>-481146.96449579834</v>
      </c>
      <c r="E139" s="2">
        <f t="shared" si="55"/>
        <v>-468670.71688865556</v>
      </c>
      <c r="F139" s="2">
        <f t="shared" si="55"/>
        <v>-38286.652424369793</v>
      </c>
      <c r="G139" s="2">
        <f t="shared" si="55"/>
        <v>4839.6181827730325</v>
      </c>
      <c r="H139" s="2">
        <f t="shared" si="55"/>
        <v>50467.113218487386</v>
      </c>
      <c r="I139" s="2">
        <f t="shared" si="55"/>
        <v>85063.414361344563</v>
      </c>
      <c r="J139" s="2">
        <f t="shared" si="55"/>
        <v>103725.41436134456</v>
      </c>
      <c r="K139" s="2">
        <f t="shared" si="55"/>
        <v>103725.41436134456</v>
      </c>
      <c r="L139" s="2">
        <f t="shared" si="55"/>
        <v>103725.41436134456</v>
      </c>
      <c r="M139" s="2">
        <f t="shared" si="55"/>
        <v>103725.41436134456</v>
      </c>
      <c r="N139" s="2">
        <f t="shared" si="55"/>
        <v>103725.41436134456</v>
      </c>
      <c r="O139" s="2">
        <f t="shared" si="55"/>
        <v>103725.41436134456</v>
      </c>
      <c r="P139" s="2">
        <f t="shared" si="55"/>
        <v>103725.41436134456</v>
      </c>
      <c r="Q139" s="2">
        <f t="shared" si="55"/>
        <v>103725.41436134456</v>
      </c>
      <c r="R139" s="2">
        <f t="shared" si="55"/>
        <v>103725.41436134456</v>
      </c>
      <c r="S139" s="2">
        <f t="shared" si="55"/>
        <v>103725.41436134456</v>
      </c>
      <c r="T139" s="2">
        <f t="shared" si="55"/>
        <v>103725.41436134456</v>
      </c>
      <c r="U139" s="2">
        <f t="shared" si="55"/>
        <v>103725.41436134456</v>
      </c>
      <c r="V139" s="2">
        <f t="shared" si="55"/>
        <v>103725.41436134456</v>
      </c>
    </row>
    <row r="140" spans="1:22" hidden="1" x14ac:dyDescent="0.35">
      <c r="A140" s="37" t="s">
        <v>150</v>
      </c>
      <c r="B140" s="23"/>
    </row>
    <row r="141" spans="1:22" hidden="1" x14ac:dyDescent="0.35">
      <c r="A141" t="s">
        <v>146</v>
      </c>
      <c r="C141" s="2">
        <f>C135-C$38</f>
        <v>-386188.29592436983</v>
      </c>
      <c r="D141" s="2">
        <f t="shared" ref="D141:V141" si="56">D135-D$38</f>
        <v>-155817.22449579832</v>
      </c>
      <c r="E141" s="2">
        <f t="shared" si="56"/>
        <v>-111989.89088865553</v>
      </c>
      <c r="F141" s="2">
        <f t="shared" si="56"/>
        <v>-145612.93642436978</v>
      </c>
      <c r="G141" s="2">
        <f t="shared" si="56"/>
        <v>-101861.65181722699</v>
      </c>
      <c r="H141" s="2">
        <f t="shared" si="56"/>
        <v>-59041.454781512584</v>
      </c>
      <c r="I141" s="2">
        <f t="shared" si="56"/>
        <v>-26940.529638655455</v>
      </c>
      <c r="J141" s="2">
        <f t="shared" si="56"/>
        <v>-8278.5296386554546</v>
      </c>
      <c r="K141" s="2">
        <f t="shared" si="56"/>
        <v>-8278.5296386554546</v>
      </c>
      <c r="L141" s="2">
        <f t="shared" si="56"/>
        <v>-8278.5296386554546</v>
      </c>
      <c r="M141" s="2">
        <f t="shared" si="56"/>
        <v>-8278.5296386554546</v>
      </c>
      <c r="N141" s="2">
        <f t="shared" si="56"/>
        <v>-8278.5296386554546</v>
      </c>
      <c r="O141" s="2">
        <f t="shared" si="56"/>
        <v>-8278.5296386554546</v>
      </c>
      <c r="P141" s="2">
        <f t="shared" si="56"/>
        <v>-8278.5296386554546</v>
      </c>
      <c r="Q141" s="2">
        <f t="shared" si="56"/>
        <v>-8278.5296386554546</v>
      </c>
      <c r="R141" s="2">
        <f t="shared" si="56"/>
        <v>-8278.5296386554546</v>
      </c>
      <c r="S141" s="2">
        <f t="shared" si="56"/>
        <v>-8278.5296386554546</v>
      </c>
      <c r="T141" s="2">
        <f t="shared" si="56"/>
        <v>-8278.5296386554546</v>
      </c>
      <c r="U141" s="2">
        <f t="shared" si="56"/>
        <v>-8278.5296386554546</v>
      </c>
      <c r="V141" s="2">
        <f t="shared" si="56"/>
        <v>-8278.5296386554546</v>
      </c>
    </row>
    <row r="142" spans="1:22" hidden="1" x14ac:dyDescent="0.35">
      <c r="A142" t="s">
        <v>214</v>
      </c>
      <c r="B142" s="23"/>
      <c r="C142" s="2">
        <f>C136-C$39</f>
        <v>-267985.53592436993</v>
      </c>
      <c r="D142" s="2">
        <f t="shared" ref="D142:V142" si="57">D136-D$39</f>
        <v>4700.535504201689</v>
      </c>
      <c r="E142" s="2">
        <f t="shared" si="57"/>
        <v>17176.78311134447</v>
      </c>
      <c r="F142" s="2">
        <f t="shared" si="57"/>
        <v>-38286.652424369793</v>
      </c>
      <c r="G142" s="2">
        <f t="shared" si="57"/>
        <v>4839.6181827730325</v>
      </c>
      <c r="H142" s="2">
        <f t="shared" si="57"/>
        <v>50467.113218487386</v>
      </c>
      <c r="I142" s="2">
        <f t="shared" si="57"/>
        <v>85063.414361344563</v>
      </c>
      <c r="J142" s="2">
        <f t="shared" si="57"/>
        <v>103725.41436134456</v>
      </c>
      <c r="K142" s="2">
        <f t="shared" si="57"/>
        <v>103725.41436134456</v>
      </c>
      <c r="L142" s="2">
        <f t="shared" si="57"/>
        <v>103725.41436134456</v>
      </c>
      <c r="M142" s="2">
        <f t="shared" si="57"/>
        <v>103725.41436134456</v>
      </c>
      <c r="N142" s="2">
        <f t="shared" si="57"/>
        <v>103725.41436134456</v>
      </c>
      <c r="O142" s="2">
        <f t="shared" si="57"/>
        <v>103725.41436134456</v>
      </c>
      <c r="P142" s="2">
        <f t="shared" si="57"/>
        <v>103725.41436134456</v>
      </c>
      <c r="Q142" s="2">
        <f t="shared" si="57"/>
        <v>103725.41436134456</v>
      </c>
      <c r="R142" s="2">
        <f t="shared" si="57"/>
        <v>103725.41436134456</v>
      </c>
      <c r="S142" s="2">
        <f t="shared" si="57"/>
        <v>103725.41436134456</v>
      </c>
      <c r="T142" s="2">
        <f t="shared" si="57"/>
        <v>103725.41436134456</v>
      </c>
      <c r="U142" s="2">
        <f t="shared" si="57"/>
        <v>103725.41436134456</v>
      </c>
      <c r="V142" s="2">
        <f t="shared" si="57"/>
        <v>103725.41436134456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76"/>
  <sheetViews>
    <sheetView tabSelected="1" topLeftCell="A118" workbookViewId="0">
      <selection activeCell="C52" sqref="C52"/>
    </sheetView>
  </sheetViews>
  <sheetFormatPr defaultRowHeight="14.5" x14ac:dyDescent="0.35"/>
  <cols>
    <col min="1" max="1" width="37.54296875" customWidth="1"/>
    <col min="2" max="2" width="11.1796875" customWidth="1"/>
    <col min="3" max="3" width="11.81640625" bestFit="1" customWidth="1"/>
    <col min="6" max="6" width="10.1796875" bestFit="1" customWidth="1"/>
  </cols>
  <sheetData>
    <row r="1" spans="1:22" x14ac:dyDescent="0.35">
      <c r="A1" s="1" t="s">
        <v>71</v>
      </c>
    </row>
    <row r="3" spans="1:22" x14ac:dyDescent="0.35">
      <c r="A3" s="46" t="s">
        <v>467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</row>
    <row r="4" spans="1:22" s="44" customFormat="1" x14ac:dyDescent="0.35">
      <c r="A4" s="75"/>
    </row>
    <row r="5" spans="1:22" x14ac:dyDescent="0.35">
      <c r="A5" s="68" t="s">
        <v>398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</row>
    <row r="6" spans="1:22" x14ac:dyDescent="0.35">
      <c r="A6" s="9" t="s">
        <v>7</v>
      </c>
      <c r="B6" s="10" t="s">
        <v>11</v>
      </c>
      <c r="C6" s="11" t="s">
        <v>399</v>
      </c>
      <c r="D6" s="11" t="s">
        <v>400</v>
      </c>
      <c r="E6" s="11" t="s">
        <v>401</v>
      </c>
      <c r="F6" s="11" t="s">
        <v>402</v>
      </c>
      <c r="G6" s="11" t="s">
        <v>403</v>
      </c>
      <c r="H6" s="11" t="s">
        <v>404</v>
      </c>
      <c r="I6" s="11" t="s">
        <v>405</v>
      </c>
      <c r="J6" s="11" t="s">
        <v>406</v>
      </c>
      <c r="K6" s="11" t="s">
        <v>407</v>
      </c>
      <c r="L6" s="11" t="s">
        <v>408</v>
      </c>
      <c r="M6" s="11" t="s">
        <v>409</v>
      </c>
      <c r="N6" s="11" t="s">
        <v>410</v>
      </c>
      <c r="O6" s="11" t="s">
        <v>411</v>
      </c>
      <c r="P6" s="11" t="s">
        <v>412</v>
      </c>
      <c r="Q6" s="11" t="s">
        <v>413</v>
      </c>
      <c r="R6" s="11" t="s">
        <v>414</v>
      </c>
      <c r="S6" s="11" t="s">
        <v>415</v>
      </c>
      <c r="T6" s="11" t="s">
        <v>416</v>
      </c>
      <c r="U6" s="11" t="s">
        <v>417</v>
      </c>
      <c r="V6" s="11" t="s">
        <v>418</v>
      </c>
    </row>
    <row r="7" spans="1:22" x14ac:dyDescent="0.35">
      <c r="A7" s="18" t="s">
        <v>2</v>
      </c>
      <c r="B7" s="8"/>
    </row>
    <row r="8" spans="1:22" x14ac:dyDescent="0.35">
      <c r="A8" s="6" t="s">
        <v>8</v>
      </c>
      <c r="B8" s="8" t="s">
        <v>1</v>
      </c>
      <c r="C8" s="4">
        <v>2</v>
      </c>
      <c r="D8" s="4">
        <f>C8</f>
        <v>2</v>
      </c>
      <c r="E8" s="4">
        <f t="shared" ref="E8:V8" si="0">D8</f>
        <v>2</v>
      </c>
      <c r="F8" s="4">
        <f t="shared" si="0"/>
        <v>2</v>
      </c>
      <c r="G8" s="4">
        <f t="shared" si="0"/>
        <v>2</v>
      </c>
      <c r="H8" s="4">
        <f t="shared" si="0"/>
        <v>2</v>
      </c>
      <c r="I8" s="4">
        <f t="shared" si="0"/>
        <v>2</v>
      </c>
      <c r="J8" s="4">
        <f t="shared" si="0"/>
        <v>2</v>
      </c>
      <c r="K8" s="4">
        <f t="shared" si="0"/>
        <v>2</v>
      </c>
      <c r="L8" s="4">
        <f t="shared" si="0"/>
        <v>2</v>
      </c>
      <c r="M8" s="4">
        <f t="shared" si="0"/>
        <v>2</v>
      </c>
      <c r="N8" s="4">
        <f t="shared" si="0"/>
        <v>2</v>
      </c>
      <c r="O8" s="4">
        <f t="shared" si="0"/>
        <v>2</v>
      </c>
      <c r="P8" s="4">
        <f t="shared" si="0"/>
        <v>2</v>
      </c>
      <c r="Q8" s="4">
        <f t="shared" si="0"/>
        <v>2</v>
      </c>
      <c r="R8" s="4">
        <f t="shared" si="0"/>
        <v>2</v>
      </c>
      <c r="S8" s="4">
        <f t="shared" si="0"/>
        <v>2</v>
      </c>
      <c r="T8" s="4">
        <f t="shared" si="0"/>
        <v>2</v>
      </c>
      <c r="U8" s="4">
        <f t="shared" si="0"/>
        <v>2</v>
      </c>
      <c r="V8" s="4">
        <f t="shared" si="0"/>
        <v>2</v>
      </c>
    </row>
    <row r="9" spans="1:22" x14ac:dyDescent="0.35">
      <c r="A9" s="6" t="s">
        <v>9</v>
      </c>
      <c r="B9" s="8" t="s">
        <v>10</v>
      </c>
      <c r="C9" s="5">
        <f>C17</f>
        <v>240</v>
      </c>
      <c r="D9" s="5">
        <f>C9</f>
        <v>240</v>
      </c>
      <c r="E9" s="5">
        <f t="shared" ref="E9:V9" si="1">D9</f>
        <v>240</v>
      </c>
      <c r="F9" s="5">
        <f t="shared" si="1"/>
        <v>240</v>
      </c>
      <c r="G9" s="5">
        <f t="shared" si="1"/>
        <v>240</v>
      </c>
      <c r="H9" s="5">
        <f t="shared" si="1"/>
        <v>240</v>
      </c>
      <c r="I9" s="5">
        <f t="shared" si="1"/>
        <v>240</v>
      </c>
      <c r="J9" s="5">
        <f t="shared" si="1"/>
        <v>240</v>
      </c>
      <c r="K9" s="5">
        <f t="shared" si="1"/>
        <v>240</v>
      </c>
      <c r="L9" s="5">
        <f t="shared" si="1"/>
        <v>240</v>
      </c>
      <c r="M9" s="5">
        <f t="shared" si="1"/>
        <v>240</v>
      </c>
      <c r="N9" s="5">
        <f t="shared" si="1"/>
        <v>240</v>
      </c>
      <c r="O9" s="5">
        <f t="shared" si="1"/>
        <v>240</v>
      </c>
      <c r="P9" s="5">
        <f t="shared" si="1"/>
        <v>240</v>
      </c>
      <c r="Q9" s="5">
        <f t="shared" si="1"/>
        <v>240</v>
      </c>
      <c r="R9" s="5">
        <f t="shared" si="1"/>
        <v>240</v>
      </c>
      <c r="S9" s="5">
        <f t="shared" si="1"/>
        <v>240</v>
      </c>
      <c r="T9" s="5">
        <f t="shared" si="1"/>
        <v>240</v>
      </c>
      <c r="U9" s="5">
        <f t="shared" si="1"/>
        <v>240</v>
      </c>
      <c r="V9" s="5">
        <f t="shared" si="1"/>
        <v>240</v>
      </c>
    </row>
    <row r="10" spans="1:22" x14ac:dyDescent="0.35">
      <c r="A10" s="6" t="s">
        <v>216</v>
      </c>
      <c r="B10" s="8" t="s">
        <v>10</v>
      </c>
      <c r="C10">
        <f>C17</f>
        <v>240</v>
      </c>
      <c r="D10">
        <f t="shared" ref="D10:V10" si="2">D17</f>
        <v>240</v>
      </c>
      <c r="E10">
        <f t="shared" si="2"/>
        <v>240</v>
      </c>
      <c r="F10">
        <f t="shared" si="2"/>
        <v>240</v>
      </c>
      <c r="G10">
        <f t="shared" si="2"/>
        <v>240</v>
      </c>
      <c r="H10">
        <f t="shared" si="2"/>
        <v>240</v>
      </c>
      <c r="I10">
        <f t="shared" si="2"/>
        <v>240</v>
      </c>
      <c r="J10">
        <f t="shared" si="2"/>
        <v>240</v>
      </c>
      <c r="K10">
        <f t="shared" si="2"/>
        <v>240</v>
      </c>
      <c r="L10">
        <f t="shared" si="2"/>
        <v>240</v>
      </c>
      <c r="M10">
        <f t="shared" si="2"/>
        <v>240</v>
      </c>
      <c r="N10">
        <f t="shared" si="2"/>
        <v>240</v>
      </c>
      <c r="O10">
        <f t="shared" si="2"/>
        <v>240</v>
      </c>
      <c r="P10">
        <f t="shared" si="2"/>
        <v>240</v>
      </c>
      <c r="Q10">
        <f t="shared" si="2"/>
        <v>240</v>
      </c>
      <c r="R10">
        <f t="shared" si="2"/>
        <v>240</v>
      </c>
      <c r="S10">
        <f t="shared" si="2"/>
        <v>240</v>
      </c>
      <c r="T10">
        <f t="shared" si="2"/>
        <v>240</v>
      </c>
      <c r="U10">
        <f t="shared" si="2"/>
        <v>240</v>
      </c>
      <c r="V10">
        <f t="shared" si="2"/>
        <v>240</v>
      </c>
    </row>
    <row r="11" spans="1:22" x14ac:dyDescent="0.35">
      <c r="A11" s="6" t="s">
        <v>76</v>
      </c>
      <c r="B11" s="8" t="s">
        <v>10</v>
      </c>
      <c r="C11">
        <f>C17</f>
        <v>240</v>
      </c>
      <c r="D11">
        <f t="shared" ref="D11:V11" si="3">D17</f>
        <v>240</v>
      </c>
      <c r="E11">
        <f t="shared" si="3"/>
        <v>240</v>
      </c>
      <c r="F11">
        <f t="shared" si="3"/>
        <v>240</v>
      </c>
      <c r="G11">
        <f t="shared" si="3"/>
        <v>240</v>
      </c>
      <c r="H11">
        <f t="shared" si="3"/>
        <v>240</v>
      </c>
      <c r="I11">
        <f t="shared" si="3"/>
        <v>240</v>
      </c>
      <c r="J11">
        <f t="shared" si="3"/>
        <v>240</v>
      </c>
      <c r="K11">
        <f t="shared" si="3"/>
        <v>240</v>
      </c>
      <c r="L11">
        <f t="shared" si="3"/>
        <v>240</v>
      </c>
      <c r="M11">
        <f t="shared" si="3"/>
        <v>240</v>
      </c>
      <c r="N11">
        <f t="shared" si="3"/>
        <v>240</v>
      </c>
      <c r="O11">
        <f t="shared" si="3"/>
        <v>240</v>
      </c>
      <c r="P11">
        <f t="shared" si="3"/>
        <v>240</v>
      </c>
      <c r="Q11">
        <f t="shared" si="3"/>
        <v>240</v>
      </c>
      <c r="R11">
        <f t="shared" si="3"/>
        <v>240</v>
      </c>
      <c r="S11">
        <f t="shared" si="3"/>
        <v>240</v>
      </c>
      <c r="T11">
        <f t="shared" si="3"/>
        <v>240</v>
      </c>
      <c r="U11">
        <f t="shared" si="3"/>
        <v>240</v>
      </c>
      <c r="V11">
        <f t="shared" si="3"/>
        <v>240</v>
      </c>
    </row>
    <row r="12" spans="1:22" x14ac:dyDescent="0.35">
      <c r="A12" s="6"/>
      <c r="B12" s="8"/>
    </row>
    <row r="13" spans="1:22" x14ac:dyDescent="0.35">
      <c r="A13" s="7" t="s">
        <v>16</v>
      </c>
      <c r="B13" s="8"/>
    </row>
    <row r="14" spans="1:22" x14ac:dyDescent="0.35">
      <c r="A14" s="7" t="s">
        <v>17</v>
      </c>
      <c r="B14" s="8" t="s">
        <v>11</v>
      </c>
      <c r="C14" s="5">
        <f>C17/70</f>
        <v>3.4285714285714284</v>
      </c>
      <c r="D14" s="5">
        <f t="shared" ref="D14:V14" si="4">D17/70</f>
        <v>3.4285714285714284</v>
      </c>
      <c r="E14" s="5">
        <f t="shared" si="4"/>
        <v>3.4285714285714284</v>
      </c>
      <c r="F14" s="5">
        <f t="shared" si="4"/>
        <v>3.4285714285714284</v>
      </c>
      <c r="G14" s="5">
        <f t="shared" si="4"/>
        <v>3.4285714285714284</v>
      </c>
      <c r="H14" s="5">
        <f t="shared" si="4"/>
        <v>3.4285714285714284</v>
      </c>
      <c r="I14" s="5">
        <f t="shared" si="4"/>
        <v>3.4285714285714284</v>
      </c>
      <c r="J14" s="5">
        <f t="shared" si="4"/>
        <v>3.4285714285714284</v>
      </c>
      <c r="K14" s="5">
        <f t="shared" si="4"/>
        <v>3.4285714285714284</v>
      </c>
      <c r="L14" s="5">
        <f t="shared" si="4"/>
        <v>3.4285714285714284</v>
      </c>
      <c r="M14" s="5">
        <f t="shared" si="4"/>
        <v>3.4285714285714284</v>
      </c>
      <c r="N14" s="5">
        <f t="shared" si="4"/>
        <v>3.4285714285714284</v>
      </c>
      <c r="O14" s="5">
        <f t="shared" si="4"/>
        <v>3.4285714285714284</v>
      </c>
      <c r="P14" s="5">
        <f t="shared" si="4"/>
        <v>3.4285714285714284</v>
      </c>
      <c r="Q14" s="5">
        <f t="shared" si="4"/>
        <v>3.4285714285714284</v>
      </c>
      <c r="R14" s="5">
        <f t="shared" si="4"/>
        <v>3.4285714285714284</v>
      </c>
      <c r="S14" s="5">
        <f t="shared" si="4"/>
        <v>3.4285714285714284</v>
      </c>
      <c r="T14" s="5">
        <f t="shared" si="4"/>
        <v>3.4285714285714284</v>
      </c>
      <c r="U14" s="5">
        <f t="shared" si="4"/>
        <v>3.4285714285714284</v>
      </c>
      <c r="V14" s="5">
        <f t="shared" si="4"/>
        <v>3.4285714285714284</v>
      </c>
    </row>
    <row r="15" spans="1:22" x14ac:dyDescent="0.35">
      <c r="A15" s="6"/>
      <c r="B15" s="8"/>
    </row>
    <row r="16" spans="1:22" x14ac:dyDescent="0.35">
      <c r="A16" s="6" t="s">
        <v>6</v>
      </c>
      <c r="B16" s="8"/>
    </row>
    <row r="17" spans="1:22" x14ac:dyDescent="0.35">
      <c r="A17" s="12" t="s">
        <v>72</v>
      </c>
      <c r="B17" s="10" t="s">
        <v>10</v>
      </c>
      <c r="C17" s="11">
        <v>240</v>
      </c>
      <c r="D17" s="11">
        <f t="shared" ref="D17:L17" si="5">C17</f>
        <v>240</v>
      </c>
      <c r="E17" s="11">
        <f t="shared" si="5"/>
        <v>240</v>
      </c>
      <c r="F17" s="11">
        <f t="shared" si="5"/>
        <v>240</v>
      </c>
      <c r="G17" s="11">
        <f t="shared" si="5"/>
        <v>240</v>
      </c>
      <c r="H17" s="11">
        <f t="shared" si="5"/>
        <v>240</v>
      </c>
      <c r="I17" s="11">
        <f t="shared" si="5"/>
        <v>240</v>
      </c>
      <c r="J17" s="11">
        <f t="shared" si="5"/>
        <v>240</v>
      </c>
      <c r="K17" s="11">
        <f t="shared" si="5"/>
        <v>240</v>
      </c>
      <c r="L17" s="11">
        <f t="shared" si="5"/>
        <v>240</v>
      </c>
      <c r="M17" s="11">
        <f t="shared" ref="M17:V17" si="6">L17</f>
        <v>240</v>
      </c>
      <c r="N17" s="11">
        <f t="shared" si="6"/>
        <v>240</v>
      </c>
      <c r="O17" s="11">
        <f t="shared" si="6"/>
        <v>240</v>
      </c>
      <c r="P17" s="11">
        <f t="shared" si="6"/>
        <v>240</v>
      </c>
      <c r="Q17" s="11">
        <f t="shared" si="6"/>
        <v>240</v>
      </c>
      <c r="R17" s="11">
        <f t="shared" si="6"/>
        <v>240</v>
      </c>
      <c r="S17" s="11">
        <f t="shared" si="6"/>
        <v>240</v>
      </c>
      <c r="T17" s="11">
        <f t="shared" si="6"/>
        <v>240</v>
      </c>
      <c r="U17" s="11">
        <f t="shared" si="6"/>
        <v>240</v>
      </c>
      <c r="V17" s="11">
        <f t="shared" si="6"/>
        <v>240</v>
      </c>
    </row>
    <row r="18" spans="1:22" x14ac:dyDescent="0.35">
      <c r="A18" s="3"/>
    </row>
    <row r="19" spans="1:22" x14ac:dyDescent="0.35">
      <c r="A19" s="68" t="s">
        <v>304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</row>
    <row r="20" spans="1:22" x14ac:dyDescent="0.35">
      <c r="A20" s="12" t="s">
        <v>302</v>
      </c>
      <c r="B20" s="10" t="s">
        <v>12</v>
      </c>
      <c r="C20" s="11" t="s">
        <v>399</v>
      </c>
      <c r="D20" s="11" t="s">
        <v>400</v>
      </c>
      <c r="E20" s="11" t="s">
        <v>401</v>
      </c>
      <c r="F20" s="11" t="s">
        <v>402</v>
      </c>
      <c r="G20" s="11" t="s">
        <v>403</v>
      </c>
      <c r="H20" s="11" t="s">
        <v>404</v>
      </c>
      <c r="I20" s="11" t="s">
        <v>405</v>
      </c>
      <c r="J20" s="11" t="s">
        <v>406</v>
      </c>
      <c r="K20" s="11" t="s">
        <v>407</v>
      </c>
      <c r="L20" s="11" t="s">
        <v>408</v>
      </c>
      <c r="M20" s="11" t="s">
        <v>409</v>
      </c>
      <c r="N20" s="11" t="s">
        <v>410</v>
      </c>
      <c r="O20" s="11" t="s">
        <v>411</v>
      </c>
      <c r="P20" s="11" t="s">
        <v>412</v>
      </c>
      <c r="Q20" s="11" t="s">
        <v>413</v>
      </c>
      <c r="R20" s="11" t="s">
        <v>414</v>
      </c>
      <c r="S20" s="11" t="s">
        <v>415</v>
      </c>
      <c r="T20" s="11" t="s">
        <v>416</v>
      </c>
      <c r="U20" s="11" t="s">
        <v>417</v>
      </c>
      <c r="V20" s="11" t="s">
        <v>418</v>
      </c>
    </row>
    <row r="21" spans="1:22" x14ac:dyDescent="0.35">
      <c r="A21" s="17" t="str">
        <f>A7</f>
        <v>Agricultural operations</v>
      </c>
      <c r="B21" s="8"/>
    </row>
    <row r="22" spans="1:22" x14ac:dyDescent="0.35">
      <c r="A22" s="6" t="str">
        <f>A8</f>
        <v xml:space="preserve">  Weeding</v>
      </c>
      <c r="B22" s="13">
        <f>'Prices &amp; assums'!C5</f>
        <v>25000</v>
      </c>
      <c r="C22" s="2">
        <f t="shared" ref="C22:V22" si="7">$B22*C8</f>
        <v>50000</v>
      </c>
      <c r="D22" s="2">
        <f t="shared" si="7"/>
        <v>50000</v>
      </c>
      <c r="E22" s="2">
        <f t="shared" si="7"/>
        <v>50000</v>
      </c>
      <c r="F22" s="2">
        <f t="shared" si="7"/>
        <v>50000</v>
      </c>
      <c r="G22" s="2">
        <f t="shared" si="7"/>
        <v>50000</v>
      </c>
      <c r="H22" s="2">
        <f t="shared" si="7"/>
        <v>50000</v>
      </c>
      <c r="I22" s="2">
        <f t="shared" si="7"/>
        <v>50000</v>
      </c>
      <c r="J22" s="2">
        <f t="shared" si="7"/>
        <v>50000</v>
      </c>
      <c r="K22" s="2">
        <f t="shared" si="7"/>
        <v>50000</v>
      </c>
      <c r="L22" s="2">
        <f t="shared" si="7"/>
        <v>50000</v>
      </c>
      <c r="M22" s="2">
        <f t="shared" si="7"/>
        <v>50000</v>
      </c>
      <c r="N22" s="2">
        <f t="shared" si="7"/>
        <v>50000</v>
      </c>
      <c r="O22" s="2">
        <f t="shared" si="7"/>
        <v>50000</v>
      </c>
      <c r="P22" s="2">
        <f t="shared" si="7"/>
        <v>50000</v>
      </c>
      <c r="Q22" s="2">
        <f t="shared" si="7"/>
        <v>50000</v>
      </c>
      <c r="R22" s="2">
        <f t="shared" si="7"/>
        <v>50000</v>
      </c>
      <c r="S22" s="2">
        <f t="shared" si="7"/>
        <v>50000</v>
      </c>
      <c r="T22" s="2">
        <f t="shared" si="7"/>
        <v>50000</v>
      </c>
      <c r="U22" s="2">
        <f t="shared" si="7"/>
        <v>50000</v>
      </c>
      <c r="V22" s="2">
        <f t="shared" si="7"/>
        <v>50000</v>
      </c>
    </row>
    <row r="23" spans="1:22" x14ac:dyDescent="0.35">
      <c r="A23" s="6" t="str">
        <f>A9</f>
        <v xml:space="preserve">  Harvest</v>
      </c>
      <c r="B23" s="13">
        <f>'Prices &amp; assums'!C16</f>
        <v>31.200000000000003</v>
      </c>
      <c r="C23" s="2">
        <f t="shared" ref="C23:V23" si="8">$B23*C9</f>
        <v>7488.0000000000009</v>
      </c>
      <c r="D23" s="2">
        <f t="shared" si="8"/>
        <v>7488.0000000000009</v>
      </c>
      <c r="E23" s="2">
        <f t="shared" si="8"/>
        <v>7488.0000000000009</v>
      </c>
      <c r="F23" s="2">
        <f t="shared" si="8"/>
        <v>7488.0000000000009</v>
      </c>
      <c r="G23" s="2">
        <f t="shared" si="8"/>
        <v>7488.0000000000009</v>
      </c>
      <c r="H23" s="2">
        <f t="shared" si="8"/>
        <v>7488.0000000000009</v>
      </c>
      <c r="I23" s="2">
        <f t="shared" si="8"/>
        <v>7488.0000000000009</v>
      </c>
      <c r="J23" s="2">
        <f t="shared" si="8"/>
        <v>7488.0000000000009</v>
      </c>
      <c r="K23" s="2">
        <f t="shared" si="8"/>
        <v>7488.0000000000009</v>
      </c>
      <c r="L23" s="2">
        <f t="shared" si="8"/>
        <v>7488.0000000000009</v>
      </c>
      <c r="M23" s="2">
        <f t="shared" si="8"/>
        <v>7488.0000000000009</v>
      </c>
      <c r="N23" s="2">
        <f t="shared" si="8"/>
        <v>7488.0000000000009</v>
      </c>
      <c r="O23" s="2">
        <f t="shared" si="8"/>
        <v>7488.0000000000009</v>
      </c>
      <c r="P23" s="2">
        <f t="shared" si="8"/>
        <v>7488.0000000000009</v>
      </c>
      <c r="Q23" s="2">
        <f t="shared" si="8"/>
        <v>7488.0000000000009</v>
      </c>
      <c r="R23" s="2">
        <f t="shared" si="8"/>
        <v>7488.0000000000009</v>
      </c>
      <c r="S23" s="2">
        <f t="shared" si="8"/>
        <v>7488.0000000000009</v>
      </c>
      <c r="T23" s="2">
        <f t="shared" si="8"/>
        <v>7488.0000000000009</v>
      </c>
      <c r="U23" s="2">
        <f t="shared" si="8"/>
        <v>7488.0000000000009</v>
      </c>
      <c r="V23" s="2">
        <f t="shared" si="8"/>
        <v>7488.0000000000009</v>
      </c>
    </row>
    <row r="24" spans="1:22" x14ac:dyDescent="0.35">
      <c r="A24" s="6" t="str">
        <f>A10</f>
        <v xml:space="preserve">  Post-harvest operations</v>
      </c>
      <c r="B24" s="13">
        <f>'Prices &amp; assums'!C17</f>
        <v>46.800000000000004</v>
      </c>
      <c r="C24" s="2">
        <f t="shared" ref="C24:V24" si="9">$B24*C10</f>
        <v>11232.000000000002</v>
      </c>
      <c r="D24" s="2">
        <f t="shared" si="9"/>
        <v>11232.000000000002</v>
      </c>
      <c r="E24" s="2">
        <f t="shared" si="9"/>
        <v>11232.000000000002</v>
      </c>
      <c r="F24" s="2">
        <f t="shared" si="9"/>
        <v>11232.000000000002</v>
      </c>
      <c r="G24" s="2">
        <f t="shared" si="9"/>
        <v>11232.000000000002</v>
      </c>
      <c r="H24" s="2">
        <f t="shared" si="9"/>
        <v>11232.000000000002</v>
      </c>
      <c r="I24" s="2">
        <f t="shared" si="9"/>
        <v>11232.000000000002</v>
      </c>
      <c r="J24" s="2">
        <f t="shared" si="9"/>
        <v>11232.000000000002</v>
      </c>
      <c r="K24" s="2">
        <f t="shared" si="9"/>
        <v>11232.000000000002</v>
      </c>
      <c r="L24" s="2">
        <f t="shared" si="9"/>
        <v>11232.000000000002</v>
      </c>
      <c r="M24" s="2">
        <f t="shared" si="9"/>
        <v>11232.000000000002</v>
      </c>
      <c r="N24" s="2">
        <f t="shared" si="9"/>
        <v>11232.000000000002</v>
      </c>
      <c r="O24" s="2">
        <f t="shared" si="9"/>
        <v>11232.000000000002</v>
      </c>
      <c r="P24" s="2">
        <f t="shared" si="9"/>
        <v>11232.000000000002</v>
      </c>
      <c r="Q24" s="2">
        <f t="shared" si="9"/>
        <v>11232.000000000002</v>
      </c>
      <c r="R24" s="2">
        <f t="shared" si="9"/>
        <v>11232.000000000002</v>
      </c>
      <c r="S24" s="2">
        <f t="shared" si="9"/>
        <v>11232.000000000002</v>
      </c>
      <c r="T24" s="2">
        <f t="shared" si="9"/>
        <v>11232.000000000002</v>
      </c>
      <c r="U24" s="2">
        <f t="shared" si="9"/>
        <v>11232.000000000002</v>
      </c>
      <c r="V24" s="2">
        <f t="shared" si="9"/>
        <v>11232.000000000002</v>
      </c>
    </row>
    <row r="25" spans="1:22" x14ac:dyDescent="0.35">
      <c r="A25" s="6" t="str">
        <f>A11</f>
        <v xml:space="preserve">  Transport</v>
      </c>
      <c r="B25" s="13">
        <f>'Prices &amp; assums'!C26/1000</f>
        <v>10</v>
      </c>
      <c r="C25" s="2">
        <f t="shared" ref="C25:V25" si="10">$B25*C11</f>
        <v>2400</v>
      </c>
      <c r="D25" s="2">
        <f t="shared" si="10"/>
        <v>2400</v>
      </c>
      <c r="E25" s="2">
        <f t="shared" si="10"/>
        <v>2400</v>
      </c>
      <c r="F25" s="2">
        <f t="shared" si="10"/>
        <v>2400</v>
      </c>
      <c r="G25" s="2">
        <f t="shared" si="10"/>
        <v>2400</v>
      </c>
      <c r="H25" s="2">
        <f t="shared" si="10"/>
        <v>2400</v>
      </c>
      <c r="I25" s="2">
        <f t="shared" si="10"/>
        <v>2400</v>
      </c>
      <c r="J25" s="2">
        <f t="shared" si="10"/>
        <v>2400</v>
      </c>
      <c r="K25" s="2">
        <f t="shared" si="10"/>
        <v>2400</v>
      </c>
      <c r="L25" s="2">
        <f t="shared" si="10"/>
        <v>2400</v>
      </c>
      <c r="M25" s="2">
        <f t="shared" si="10"/>
        <v>2400</v>
      </c>
      <c r="N25" s="2">
        <f t="shared" si="10"/>
        <v>2400</v>
      </c>
      <c r="O25" s="2">
        <f t="shared" si="10"/>
        <v>2400</v>
      </c>
      <c r="P25" s="2">
        <f t="shared" si="10"/>
        <v>2400</v>
      </c>
      <c r="Q25" s="2">
        <f t="shared" si="10"/>
        <v>2400</v>
      </c>
      <c r="R25" s="2">
        <f t="shared" si="10"/>
        <v>2400</v>
      </c>
      <c r="S25" s="2">
        <f t="shared" si="10"/>
        <v>2400</v>
      </c>
      <c r="T25" s="2">
        <f t="shared" si="10"/>
        <v>2400</v>
      </c>
      <c r="U25" s="2">
        <f t="shared" si="10"/>
        <v>2400</v>
      </c>
      <c r="V25" s="2">
        <f t="shared" si="10"/>
        <v>2400</v>
      </c>
    </row>
    <row r="26" spans="1:22" x14ac:dyDescent="0.35">
      <c r="A26" s="6"/>
      <c r="B26" s="13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x14ac:dyDescent="0.35">
      <c r="A27" s="6" t="str">
        <f>A13</f>
        <v>Inputs</v>
      </c>
      <c r="B27" s="1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x14ac:dyDescent="0.35">
      <c r="A28" s="6" t="str">
        <f>A14</f>
        <v xml:space="preserve">  Bags</v>
      </c>
      <c r="B28" s="13">
        <f>'Prices &amp; assums'!C50</f>
        <v>300</v>
      </c>
      <c r="C28" s="2">
        <f t="shared" ref="C28:V28" si="11">$B28*C14</f>
        <v>1028.5714285714284</v>
      </c>
      <c r="D28" s="2">
        <f t="shared" si="11"/>
        <v>1028.5714285714284</v>
      </c>
      <c r="E28" s="2">
        <f t="shared" si="11"/>
        <v>1028.5714285714284</v>
      </c>
      <c r="F28" s="2">
        <f t="shared" si="11"/>
        <v>1028.5714285714284</v>
      </c>
      <c r="G28" s="2">
        <f t="shared" si="11"/>
        <v>1028.5714285714284</v>
      </c>
      <c r="H28" s="2">
        <f t="shared" si="11"/>
        <v>1028.5714285714284</v>
      </c>
      <c r="I28" s="2">
        <f t="shared" si="11"/>
        <v>1028.5714285714284</v>
      </c>
      <c r="J28" s="2">
        <f t="shared" si="11"/>
        <v>1028.5714285714284</v>
      </c>
      <c r="K28" s="2">
        <f t="shared" si="11"/>
        <v>1028.5714285714284</v>
      </c>
      <c r="L28" s="2">
        <f t="shared" si="11"/>
        <v>1028.5714285714284</v>
      </c>
      <c r="M28" s="2">
        <f t="shared" si="11"/>
        <v>1028.5714285714284</v>
      </c>
      <c r="N28" s="2">
        <f t="shared" si="11"/>
        <v>1028.5714285714284</v>
      </c>
      <c r="O28" s="2">
        <f t="shared" si="11"/>
        <v>1028.5714285714284</v>
      </c>
      <c r="P28" s="2">
        <f t="shared" si="11"/>
        <v>1028.5714285714284</v>
      </c>
      <c r="Q28" s="2">
        <f t="shared" si="11"/>
        <v>1028.5714285714284</v>
      </c>
      <c r="R28" s="2">
        <f t="shared" si="11"/>
        <v>1028.5714285714284</v>
      </c>
      <c r="S28" s="2">
        <f t="shared" si="11"/>
        <v>1028.5714285714284</v>
      </c>
      <c r="T28" s="2">
        <f t="shared" si="11"/>
        <v>1028.5714285714284</v>
      </c>
      <c r="U28" s="2">
        <f t="shared" si="11"/>
        <v>1028.5714285714284</v>
      </c>
      <c r="V28" s="2">
        <f t="shared" si="11"/>
        <v>1028.5714285714284</v>
      </c>
    </row>
    <row r="29" spans="1:22" x14ac:dyDescent="0.35">
      <c r="A29" s="6"/>
      <c r="B29" s="1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x14ac:dyDescent="0.35">
      <c r="A30" s="6" t="str">
        <f>A16</f>
        <v>Production</v>
      </c>
      <c r="B30" s="8"/>
    </row>
    <row r="31" spans="1:22" x14ac:dyDescent="0.35">
      <c r="A31" s="12" t="str">
        <f>A17</f>
        <v xml:space="preserve">  cocoa</v>
      </c>
      <c r="B31" s="10">
        <f>'Prices &amp; assums'!C94</f>
        <v>825</v>
      </c>
      <c r="C31" s="14">
        <f>$B31*C17</f>
        <v>198000</v>
      </c>
      <c r="D31" s="14">
        <f t="shared" ref="D31:V31" si="12">$B31*D17</f>
        <v>198000</v>
      </c>
      <c r="E31" s="14">
        <f t="shared" si="12"/>
        <v>198000</v>
      </c>
      <c r="F31" s="14">
        <f t="shared" si="12"/>
        <v>198000</v>
      </c>
      <c r="G31" s="14">
        <f t="shared" si="12"/>
        <v>198000</v>
      </c>
      <c r="H31" s="14">
        <f t="shared" si="12"/>
        <v>198000</v>
      </c>
      <c r="I31" s="14">
        <f t="shared" si="12"/>
        <v>198000</v>
      </c>
      <c r="J31" s="14">
        <f t="shared" si="12"/>
        <v>198000</v>
      </c>
      <c r="K31" s="14">
        <f t="shared" si="12"/>
        <v>198000</v>
      </c>
      <c r="L31" s="14">
        <f t="shared" si="12"/>
        <v>198000</v>
      </c>
      <c r="M31" s="14">
        <f t="shared" si="12"/>
        <v>198000</v>
      </c>
      <c r="N31" s="14">
        <f t="shared" si="12"/>
        <v>198000</v>
      </c>
      <c r="O31" s="14">
        <f t="shared" si="12"/>
        <v>198000</v>
      </c>
      <c r="P31" s="14">
        <f t="shared" si="12"/>
        <v>198000</v>
      </c>
      <c r="Q31" s="14">
        <f t="shared" si="12"/>
        <v>198000</v>
      </c>
      <c r="R31" s="14">
        <f t="shared" si="12"/>
        <v>198000</v>
      </c>
      <c r="S31" s="14">
        <f t="shared" si="12"/>
        <v>198000</v>
      </c>
      <c r="T31" s="14">
        <f t="shared" si="12"/>
        <v>198000</v>
      </c>
      <c r="U31" s="14">
        <f t="shared" si="12"/>
        <v>198000</v>
      </c>
      <c r="V31" s="14">
        <f t="shared" si="12"/>
        <v>198000</v>
      </c>
    </row>
    <row r="32" spans="1:22" x14ac:dyDescent="0.35">
      <c r="A32" s="6" t="s">
        <v>21</v>
      </c>
      <c r="B32" s="8"/>
      <c r="C32" s="2">
        <f t="shared" ref="C32:V32" si="13">SUM(C22:C28)</f>
        <v>72148.571428571435</v>
      </c>
      <c r="D32" s="2">
        <f t="shared" si="13"/>
        <v>72148.571428571435</v>
      </c>
      <c r="E32" s="2">
        <f t="shared" si="13"/>
        <v>72148.571428571435</v>
      </c>
      <c r="F32" s="2">
        <f t="shared" si="13"/>
        <v>72148.571428571435</v>
      </c>
      <c r="G32" s="2">
        <f t="shared" si="13"/>
        <v>72148.571428571435</v>
      </c>
      <c r="H32" s="2">
        <f t="shared" si="13"/>
        <v>72148.571428571435</v>
      </c>
      <c r="I32" s="2">
        <f t="shared" si="13"/>
        <v>72148.571428571435</v>
      </c>
      <c r="J32" s="2">
        <f t="shared" si="13"/>
        <v>72148.571428571435</v>
      </c>
      <c r="K32" s="2">
        <f t="shared" si="13"/>
        <v>72148.571428571435</v>
      </c>
      <c r="L32" s="2">
        <f t="shared" si="13"/>
        <v>72148.571428571435</v>
      </c>
      <c r="M32" s="2">
        <f t="shared" si="13"/>
        <v>72148.571428571435</v>
      </c>
      <c r="N32" s="2">
        <f t="shared" si="13"/>
        <v>72148.571428571435</v>
      </c>
      <c r="O32" s="2">
        <f t="shared" si="13"/>
        <v>72148.571428571435</v>
      </c>
      <c r="P32" s="2">
        <f t="shared" si="13"/>
        <v>72148.571428571435</v>
      </c>
      <c r="Q32" s="2">
        <f t="shared" si="13"/>
        <v>72148.571428571435</v>
      </c>
      <c r="R32" s="2">
        <f t="shared" si="13"/>
        <v>72148.571428571435</v>
      </c>
      <c r="S32" s="2">
        <f t="shared" si="13"/>
        <v>72148.571428571435</v>
      </c>
      <c r="T32" s="2">
        <f t="shared" si="13"/>
        <v>72148.571428571435</v>
      </c>
      <c r="U32" s="2">
        <f t="shared" si="13"/>
        <v>72148.571428571435</v>
      </c>
      <c r="V32" s="2">
        <f t="shared" si="13"/>
        <v>72148.571428571435</v>
      </c>
    </row>
    <row r="33" spans="1:22" x14ac:dyDescent="0.35">
      <c r="A33" s="6" t="s">
        <v>217</v>
      </c>
      <c r="B33" s="8"/>
      <c r="C33" s="2">
        <f t="shared" ref="C33:V33" si="14">C32-C22/3-C24-C23/2</f>
        <v>40505.904761904763</v>
      </c>
      <c r="D33" s="2">
        <f t="shared" si="14"/>
        <v>40505.904761904763</v>
      </c>
      <c r="E33" s="2">
        <f t="shared" si="14"/>
        <v>40505.904761904763</v>
      </c>
      <c r="F33" s="2">
        <f t="shared" si="14"/>
        <v>40505.904761904763</v>
      </c>
      <c r="G33" s="2">
        <f t="shared" si="14"/>
        <v>40505.904761904763</v>
      </c>
      <c r="H33" s="2">
        <f t="shared" si="14"/>
        <v>40505.904761904763</v>
      </c>
      <c r="I33" s="2">
        <f t="shared" si="14"/>
        <v>40505.904761904763</v>
      </c>
      <c r="J33" s="2">
        <f t="shared" si="14"/>
        <v>40505.904761904763</v>
      </c>
      <c r="K33" s="2">
        <f t="shared" si="14"/>
        <v>40505.904761904763</v>
      </c>
      <c r="L33" s="2">
        <f t="shared" si="14"/>
        <v>40505.904761904763</v>
      </c>
      <c r="M33" s="2">
        <f t="shared" si="14"/>
        <v>40505.904761904763</v>
      </c>
      <c r="N33" s="2">
        <f t="shared" si="14"/>
        <v>40505.904761904763</v>
      </c>
      <c r="O33" s="2">
        <f t="shared" si="14"/>
        <v>40505.904761904763</v>
      </c>
      <c r="P33" s="2">
        <f t="shared" si="14"/>
        <v>40505.904761904763</v>
      </c>
      <c r="Q33" s="2">
        <f t="shared" si="14"/>
        <v>40505.904761904763</v>
      </c>
      <c r="R33" s="2">
        <f t="shared" si="14"/>
        <v>40505.904761904763</v>
      </c>
      <c r="S33" s="2">
        <f t="shared" si="14"/>
        <v>40505.904761904763</v>
      </c>
      <c r="T33" s="2">
        <f t="shared" si="14"/>
        <v>40505.904761904763</v>
      </c>
      <c r="U33" s="2">
        <f t="shared" si="14"/>
        <v>40505.904761904763</v>
      </c>
      <c r="V33" s="2">
        <f t="shared" si="14"/>
        <v>40505.904761904763</v>
      </c>
    </row>
    <row r="34" spans="1:22" x14ac:dyDescent="0.35">
      <c r="A34" s="8" t="s">
        <v>65</v>
      </c>
      <c r="B34" s="8"/>
      <c r="C34" s="2">
        <f t="shared" ref="C34:V34" si="15">C31</f>
        <v>198000</v>
      </c>
      <c r="D34" s="2">
        <f t="shared" si="15"/>
        <v>198000</v>
      </c>
      <c r="E34" s="2">
        <f t="shared" si="15"/>
        <v>198000</v>
      </c>
      <c r="F34" s="2">
        <f t="shared" si="15"/>
        <v>198000</v>
      </c>
      <c r="G34" s="2">
        <f t="shared" si="15"/>
        <v>198000</v>
      </c>
      <c r="H34" s="2">
        <f t="shared" si="15"/>
        <v>198000</v>
      </c>
      <c r="I34" s="2">
        <f t="shared" si="15"/>
        <v>198000</v>
      </c>
      <c r="J34" s="2">
        <f t="shared" si="15"/>
        <v>198000</v>
      </c>
      <c r="K34" s="2">
        <f t="shared" si="15"/>
        <v>198000</v>
      </c>
      <c r="L34" s="2">
        <f t="shared" si="15"/>
        <v>198000</v>
      </c>
      <c r="M34" s="2">
        <f t="shared" si="15"/>
        <v>198000</v>
      </c>
      <c r="N34" s="2">
        <f t="shared" si="15"/>
        <v>198000</v>
      </c>
      <c r="O34" s="2">
        <f t="shared" si="15"/>
        <v>198000</v>
      </c>
      <c r="P34" s="2">
        <f t="shared" si="15"/>
        <v>198000</v>
      </c>
      <c r="Q34" s="2">
        <f t="shared" si="15"/>
        <v>198000</v>
      </c>
      <c r="R34" s="2">
        <f t="shared" si="15"/>
        <v>198000</v>
      </c>
      <c r="S34" s="2">
        <f t="shared" si="15"/>
        <v>198000</v>
      </c>
      <c r="T34" s="2">
        <f t="shared" si="15"/>
        <v>198000</v>
      </c>
      <c r="U34" s="2">
        <f t="shared" si="15"/>
        <v>198000</v>
      </c>
      <c r="V34" s="2">
        <f t="shared" si="15"/>
        <v>198000</v>
      </c>
    </row>
    <row r="35" spans="1:22" x14ac:dyDescent="0.35">
      <c r="A35" s="45" t="s">
        <v>154</v>
      </c>
      <c r="B35" s="8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x14ac:dyDescent="0.35">
      <c r="A36" s="8" t="s">
        <v>80</v>
      </c>
      <c r="B36" s="8"/>
      <c r="C36" s="2">
        <f>C34-C32</f>
        <v>125851.42857142857</v>
      </c>
      <c r="D36" s="2">
        <f t="shared" ref="D36:V36" si="16">D34-D32</f>
        <v>125851.42857142857</v>
      </c>
      <c r="E36" s="2">
        <f t="shared" si="16"/>
        <v>125851.42857142857</v>
      </c>
      <c r="F36" s="2">
        <f t="shared" si="16"/>
        <v>125851.42857142857</v>
      </c>
      <c r="G36" s="2">
        <f t="shared" si="16"/>
        <v>125851.42857142857</v>
      </c>
      <c r="H36" s="2">
        <f t="shared" si="16"/>
        <v>125851.42857142857</v>
      </c>
      <c r="I36" s="2">
        <f t="shared" si="16"/>
        <v>125851.42857142857</v>
      </c>
      <c r="J36" s="2">
        <f t="shared" si="16"/>
        <v>125851.42857142857</v>
      </c>
      <c r="K36" s="2">
        <f t="shared" si="16"/>
        <v>125851.42857142857</v>
      </c>
      <c r="L36" s="2">
        <f t="shared" si="16"/>
        <v>125851.42857142857</v>
      </c>
      <c r="M36" s="2">
        <f t="shared" si="16"/>
        <v>125851.42857142857</v>
      </c>
      <c r="N36" s="2">
        <f t="shared" si="16"/>
        <v>125851.42857142857</v>
      </c>
      <c r="O36" s="2">
        <f t="shared" si="16"/>
        <v>125851.42857142857</v>
      </c>
      <c r="P36" s="2">
        <f t="shared" si="16"/>
        <v>125851.42857142857</v>
      </c>
      <c r="Q36" s="2">
        <f t="shared" si="16"/>
        <v>125851.42857142857</v>
      </c>
      <c r="R36" s="2">
        <f t="shared" si="16"/>
        <v>125851.42857142857</v>
      </c>
      <c r="S36" s="2">
        <f t="shared" si="16"/>
        <v>125851.42857142857</v>
      </c>
      <c r="T36" s="2">
        <f t="shared" si="16"/>
        <v>125851.42857142857</v>
      </c>
      <c r="U36" s="2">
        <f t="shared" si="16"/>
        <v>125851.42857142857</v>
      </c>
      <c r="V36" s="2">
        <f t="shared" si="16"/>
        <v>125851.42857142857</v>
      </c>
    </row>
    <row r="37" spans="1:22" x14ac:dyDescent="0.35">
      <c r="A37" t="s">
        <v>81</v>
      </c>
      <c r="C37" s="2">
        <f>C34-C33</f>
        <v>157494.09523809524</v>
      </c>
      <c r="D37" s="2">
        <f t="shared" ref="D37:V37" si="17">D34-D33</f>
        <v>157494.09523809524</v>
      </c>
      <c r="E37" s="2">
        <f t="shared" si="17"/>
        <v>157494.09523809524</v>
      </c>
      <c r="F37" s="2">
        <f t="shared" si="17"/>
        <v>157494.09523809524</v>
      </c>
      <c r="G37" s="2">
        <f t="shared" si="17"/>
        <v>157494.09523809524</v>
      </c>
      <c r="H37" s="2">
        <f t="shared" si="17"/>
        <v>157494.09523809524</v>
      </c>
      <c r="I37" s="2">
        <f t="shared" si="17"/>
        <v>157494.09523809524</v>
      </c>
      <c r="J37" s="2">
        <f t="shared" si="17"/>
        <v>157494.09523809524</v>
      </c>
      <c r="K37" s="2">
        <f t="shared" si="17"/>
        <v>157494.09523809524</v>
      </c>
      <c r="L37" s="2">
        <f t="shared" si="17"/>
        <v>157494.09523809524</v>
      </c>
      <c r="M37" s="2">
        <f t="shared" si="17"/>
        <v>157494.09523809524</v>
      </c>
      <c r="N37" s="2">
        <f t="shared" si="17"/>
        <v>157494.09523809524</v>
      </c>
      <c r="O37" s="2">
        <f t="shared" si="17"/>
        <v>157494.09523809524</v>
      </c>
      <c r="P37" s="2">
        <f t="shared" si="17"/>
        <v>157494.09523809524</v>
      </c>
      <c r="Q37" s="2">
        <f t="shared" si="17"/>
        <v>157494.09523809524</v>
      </c>
      <c r="R37" s="2">
        <f t="shared" si="17"/>
        <v>157494.09523809524</v>
      </c>
      <c r="S37" s="2">
        <f t="shared" si="17"/>
        <v>157494.09523809524</v>
      </c>
      <c r="T37" s="2">
        <f t="shared" si="17"/>
        <v>157494.09523809524</v>
      </c>
      <c r="U37" s="2">
        <f t="shared" si="17"/>
        <v>157494.09523809524</v>
      </c>
      <c r="V37" s="2">
        <f t="shared" si="17"/>
        <v>157494.09523809524</v>
      </c>
    </row>
    <row r="38" spans="1:22" x14ac:dyDescent="0.35">
      <c r="A38" s="26"/>
    </row>
    <row r="39" spans="1:22" x14ac:dyDescent="0.35">
      <c r="A39" s="48" t="s">
        <v>480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</row>
    <row r="40" spans="1:22" s="44" customFormat="1" x14ac:dyDescent="0.35">
      <c r="A40" s="69"/>
    </row>
    <row r="41" spans="1:22" x14ac:dyDescent="0.35">
      <c r="A41" s="68" t="s">
        <v>398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</row>
    <row r="42" spans="1:22" x14ac:dyDescent="0.35">
      <c r="A42" s="9" t="s">
        <v>7</v>
      </c>
      <c r="B42" s="10" t="s">
        <v>11</v>
      </c>
      <c r="C42" s="11" t="s">
        <v>399</v>
      </c>
      <c r="D42" s="11" t="s">
        <v>400</v>
      </c>
      <c r="E42" s="11" t="s">
        <v>401</v>
      </c>
      <c r="F42" s="11" t="s">
        <v>402</v>
      </c>
      <c r="G42" s="11" t="s">
        <v>403</v>
      </c>
      <c r="H42" s="11" t="s">
        <v>404</v>
      </c>
      <c r="I42" s="11" t="s">
        <v>405</v>
      </c>
      <c r="J42" s="11" t="s">
        <v>406</v>
      </c>
      <c r="K42" s="11" t="s">
        <v>407</v>
      </c>
      <c r="L42" s="11" t="s">
        <v>408</v>
      </c>
      <c r="M42" s="11" t="s">
        <v>409</v>
      </c>
      <c r="N42" s="11" t="s">
        <v>410</v>
      </c>
      <c r="O42" s="11" t="s">
        <v>411</v>
      </c>
      <c r="P42" s="11" t="s">
        <v>412</v>
      </c>
      <c r="Q42" s="11" t="s">
        <v>413</v>
      </c>
      <c r="R42" s="11" t="s">
        <v>414</v>
      </c>
      <c r="S42" s="11" t="s">
        <v>415</v>
      </c>
      <c r="T42" s="11" t="s">
        <v>416</v>
      </c>
      <c r="U42" s="11" t="s">
        <v>417</v>
      </c>
      <c r="V42" s="11" t="s">
        <v>418</v>
      </c>
    </row>
    <row r="43" spans="1:22" x14ac:dyDescent="0.35">
      <c r="A43" s="18" t="s">
        <v>2</v>
      </c>
      <c r="B43" s="8"/>
    </row>
    <row r="44" spans="1:22" x14ac:dyDescent="0.35">
      <c r="A44" s="19" t="s">
        <v>33</v>
      </c>
      <c r="B44" s="8" t="s">
        <v>1</v>
      </c>
      <c r="C44">
        <v>1</v>
      </c>
    </row>
    <row r="45" spans="1:22" x14ac:dyDescent="0.35">
      <c r="A45" t="s">
        <v>35</v>
      </c>
      <c r="B45" s="8" t="s">
        <v>1</v>
      </c>
      <c r="C45">
        <v>0.25</v>
      </c>
      <c r="D45">
        <v>0.25</v>
      </c>
      <c r="E45">
        <v>0.25</v>
      </c>
    </row>
    <row r="46" spans="1:22" x14ac:dyDescent="0.35">
      <c r="A46" s="19" t="s">
        <v>70</v>
      </c>
      <c r="B46" s="8" t="s">
        <v>11</v>
      </c>
      <c r="C46">
        <f>C49</f>
        <v>423.25</v>
      </c>
      <c r="D46">
        <f>D49</f>
        <v>333.25</v>
      </c>
      <c r="E46">
        <f t="shared" ref="E46:E50" si="18">D46</f>
        <v>333.25</v>
      </c>
    </row>
    <row r="47" spans="1:22" x14ac:dyDescent="0.35">
      <c r="A47" s="19" t="s">
        <v>31</v>
      </c>
      <c r="B47" s="8" t="s">
        <v>1</v>
      </c>
      <c r="C47">
        <v>1</v>
      </c>
      <c r="D47">
        <v>1</v>
      </c>
      <c r="E47">
        <f t="shared" si="18"/>
        <v>1</v>
      </c>
    </row>
    <row r="48" spans="1:22" x14ac:dyDescent="0.35">
      <c r="A48" s="19" t="s">
        <v>49</v>
      </c>
      <c r="B48" s="8" t="s">
        <v>11</v>
      </c>
      <c r="C48">
        <f>SUM(C60:C63)</f>
        <v>423.25</v>
      </c>
      <c r="D48">
        <f>SUM(D60:D63)</f>
        <v>333.25</v>
      </c>
      <c r="E48">
        <f t="shared" si="18"/>
        <v>333.25</v>
      </c>
    </row>
    <row r="49" spans="1:22" x14ac:dyDescent="0.35">
      <c r="A49" s="19" t="s">
        <v>50</v>
      </c>
      <c r="B49" s="8" t="s">
        <v>11</v>
      </c>
      <c r="C49">
        <f>C48</f>
        <v>423.25</v>
      </c>
      <c r="D49">
        <f>D48</f>
        <v>333.25</v>
      </c>
      <c r="E49">
        <f t="shared" si="18"/>
        <v>333.25</v>
      </c>
    </row>
    <row r="50" spans="1:22" x14ac:dyDescent="0.35">
      <c r="A50" t="s">
        <v>218</v>
      </c>
      <c r="B50" s="8" t="s">
        <v>1</v>
      </c>
      <c r="D50">
        <v>3</v>
      </c>
      <c r="E50">
        <f t="shared" si="18"/>
        <v>3</v>
      </c>
      <c r="F50">
        <f t="shared" ref="F50:V50" si="19">E50</f>
        <v>3</v>
      </c>
      <c r="G50">
        <f t="shared" si="19"/>
        <v>3</v>
      </c>
      <c r="H50">
        <f t="shared" si="19"/>
        <v>3</v>
      </c>
      <c r="I50">
        <f t="shared" si="19"/>
        <v>3</v>
      </c>
      <c r="J50">
        <f t="shared" si="19"/>
        <v>3</v>
      </c>
      <c r="K50">
        <f t="shared" si="19"/>
        <v>3</v>
      </c>
      <c r="L50">
        <f t="shared" si="19"/>
        <v>3</v>
      </c>
      <c r="M50">
        <f t="shared" si="19"/>
        <v>3</v>
      </c>
      <c r="N50">
        <f t="shared" si="19"/>
        <v>3</v>
      </c>
      <c r="O50">
        <f t="shared" si="19"/>
        <v>3</v>
      </c>
      <c r="P50">
        <f t="shared" si="19"/>
        <v>3</v>
      </c>
      <c r="Q50">
        <f t="shared" si="19"/>
        <v>3</v>
      </c>
      <c r="R50">
        <f t="shared" si="19"/>
        <v>3</v>
      </c>
      <c r="S50">
        <f t="shared" si="19"/>
        <v>3</v>
      </c>
      <c r="T50">
        <f t="shared" si="19"/>
        <v>3</v>
      </c>
      <c r="U50">
        <f t="shared" si="19"/>
        <v>3</v>
      </c>
      <c r="V50">
        <f t="shared" si="19"/>
        <v>3</v>
      </c>
    </row>
    <row r="51" spans="1:22" x14ac:dyDescent="0.35">
      <c r="A51" t="s">
        <v>144</v>
      </c>
      <c r="B51" s="8" t="s">
        <v>1</v>
      </c>
      <c r="D51">
        <f>C49/1330</f>
        <v>0.31823308270676692</v>
      </c>
      <c r="E51">
        <f>D49/1330</f>
        <v>0.2505639097744361</v>
      </c>
      <c r="F51">
        <f>E49/1330</f>
        <v>0.2505639097744361</v>
      </c>
    </row>
    <row r="52" spans="1:22" x14ac:dyDescent="0.35">
      <c r="A52" t="s">
        <v>41</v>
      </c>
      <c r="B52" s="8" t="s">
        <v>42</v>
      </c>
      <c r="C52">
        <v>2</v>
      </c>
      <c r="D52">
        <v>2</v>
      </c>
      <c r="E52">
        <f>D52</f>
        <v>2</v>
      </c>
    </row>
    <row r="53" spans="1:22" x14ac:dyDescent="0.35">
      <c r="A53" t="s">
        <v>82</v>
      </c>
      <c r="B53" s="8" t="s">
        <v>42</v>
      </c>
      <c r="C53" s="21">
        <v>2</v>
      </c>
      <c r="D53" s="21">
        <v>2</v>
      </c>
      <c r="E53" s="21">
        <v>2</v>
      </c>
      <c r="F53" s="21">
        <v>2</v>
      </c>
      <c r="G53" s="21">
        <v>2</v>
      </c>
      <c r="H53" s="21">
        <v>2</v>
      </c>
      <c r="I53" s="21">
        <v>2</v>
      </c>
      <c r="J53" s="21">
        <v>2</v>
      </c>
      <c r="K53" s="21">
        <v>2</v>
      </c>
      <c r="L53" s="21">
        <v>2</v>
      </c>
      <c r="M53" s="21">
        <v>2</v>
      </c>
      <c r="N53" s="21">
        <v>2</v>
      </c>
      <c r="O53" s="21">
        <v>2</v>
      </c>
      <c r="P53" s="21">
        <v>2</v>
      </c>
      <c r="Q53" s="21">
        <v>2</v>
      </c>
      <c r="R53" s="21">
        <v>2</v>
      </c>
      <c r="S53" s="21">
        <v>2</v>
      </c>
      <c r="T53" s="21">
        <v>2</v>
      </c>
      <c r="U53" s="21">
        <v>2</v>
      </c>
      <c r="V53" s="21">
        <v>2</v>
      </c>
    </row>
    <row r="54" spans="1:22" x14ac:dyDescent="0.35">
      <c r="A54" t="s">
        <v>9</v>
      </c>
      <c r="B54" s="8" t="s">
        <v>10</v>
      </c>
      <c r="C54" s="5">
        <f t="shared" ref="C54:V54" si="20">SUM(C71:C73)</f>
        <v>180</v>
      </c>
      <c r="D54" s="5">
        <f t="shared" si="20"/>
        <v>120</v>
      </c>
      <c r="E54" s="5">
        <f t="shared" si="20"/>
        <v>60</v>
      </c>
      <c r="F54" s="5">
        <f t="shared" si="20"/>
        <v>110</v>
      </c>
      <c r="G54" s="5">
        <f t="shared" si="20"/>
        <v>170.2</v>
      </c>
      <c r="H54" s="5">
        <f t="shared" si="20"/>
        <v>190.60000000000002</v>
      </c>
      <c r="I54" s="5">
        <f t="shared" si="20"/>
        <v>211.00000000000003</v>
      </c>
      <c r="J54" s="5">
        <f t="shared" si="20"/>
        <v>231.40000000000003</v>
      </c>
      <c r="K54" s="5">
        <f t="shared" si="20"/>
        <v>251.8</v>
      </c>
      <c r="L54" s="5">
        <f t="shared" si="20"/>
        <v>272.20000000000005</v>
      </c>
      <c r="M54" s="5">
        <f t="shared" si="20"/>
        <v>292.60000000000002</v>
      </c>
      <c r="N54" s="5">
        <f t="shared" si="20"/>
        <v>313.00000000000006</v>
      </c>
      <c r="O54" s="5">
        <f t="shared" si="20"/>
        <v>333.40000000000003</v>
      </c>
      <c r="P54" s="5">
        <f t="shared" si="20"/>
        <v>353.8</v>
      </c>
      <c r="Q54" s="5">
        <f t="shared" si="20"/>
        <v>374.2</v>
      </c>
      <c r="R54" s="5">
        <f t="shared" si="20"/>
        <v>374.2</v>
      </c>
      <c r="S54" s="5">
        <f t="shared" si="20"/>
        <v>353.8</v>
      </c>
      <c r="T54" s="5">
        <f t="shared" si="20"/>
        <v>333.40000000000003</v>
      </c>
      <c r="U54" s="5">
        <f t="shared" si="20"/>
        <v>313.00000000000006</v>
      </c>
      <c r="V54" s="5">
        <f t="shared" si="20"/>
        <v>292.60000000000002</v>
      </c>
    </row>
    <row r="55" spans="1:22" x14ac:dyDescent="0.35">
      <c r="A55" t="s">
        <v>78</v>
      </c>
      <c r="B55" s="8" t="s">
        <v>10</v>
      </c>
      <c r="C55" s="5">
        <f>C54</f>
        <v>180</v>
      </c>
      <c r="D55" s="5">
        <f t="shared" ref="D55:V55" si="21">D54</f>
        <v>120</v>
      </c>
      <c r="E55" s="5">
        <f t="shared" si="21"/>
        <v>60</v>
      </c>
      <c r="F55" s="5">
        <f t="shared" si="21"/>
        <v>110</v>
      </c>
      <c r="G55" s="5">
        <f t="shared" si="21"/>
        <v>170.2</v>
      </c>
      <c r="H55" s="5">
        <f t="shared" si="21"/>
        <v>190.60000000000002</v>
      </c>
      <c r="I55" s="5">
        <f t="shared" si="21"/>
        <v>211.00000000000003</v>
      </c>
      <c r="J55" s="5">
        <f t="shared" si="21"/>
        <v>231.40000000000003</v>
      </c>
      <c r="K55" s="5">
        <f t="shared" si="21"/>
        <v>251.8</v>
      </c>
      <c r="L55" s="5">
        <f t="shared" si="21"/>
        <v>272.20000000000005</v>
      </c>
      <c r="M55" s="5">
        <f t="shared" si="21"/>
        <v>292.60000000000002</v>
      </c>
      <c r="N55" s="5">
        <f t="shared" si="21"/>
        <v>313.00000000000006</v>
      </c>
      <c r="O55" s="5">
        <f t="shared" si="21"/>
        <v>333.40000000000003</v>
      </c>
      <c r="P55" s="5">
        <f t="shared" si="21"/>
        <v>353.8</v>
      </c>
      <c r="Q55" s="5">
        <f t="shared" si="21"/>
        <v>374.2</v>
      </c>
      <c r="R55" s="5">
        <f t="shared" si="21"/>
        <v>374.2</v>
      </c>
      <c r="S55" s="5">
        <f t="shared" si="21"/>
        <v>353.8</v>
      </c>
      <c r="T55" s="5">
        <f t="shared" si="21"/>
        <v>333.40000000000003</v>
      </c>
      <c r="U55" s="5">
        <f t="shared" si="21"/>
        <v>313.00000000000006</v>
      </c>
      <c r="V55" s="5">
        <f t="shared" si="21"/>
        <v>292.60000000000002</v>
      </c>
    </row>
    <row r="56" spans="1:22" x14ac:dyDescent="0.35">
      <c r="A56" t="s">
        <v>75</v>
      </c>
      <c r="B56" s="8" t="s">
        <v>10</v>
      </c>
      <c r="C56" s="5">
        <f>C54</f>
        <v>180</v>
      </c>
      <c r="D56" s="5">
        <f t="shared" ref="D56:V56" si="22">D54</f>
        <v>120</v>
      </c>
      <c r="E56" s="5">
        <f t="shared" si="22"/>
        <v>60</v>
      </c>
      <c r="F56" s="5">
        <f t="shared" si="22"/>
        <v>110</v>
      </c>
      <c r="G56" s="5">
        <f t="shared" si="22"/>
        <v>170.2</v>
      </c>
      <c r="H56" s="5">
        <f t="shared" si="22"/>
        <v>190.60000000000002</v>
      </c>
      <c r="I56" s="5">
        <f t="shared" si="22"/>
        <v>211.00000000000003</v>
      </c>
      <c r="J56" s="5">
        <f t="shared" si="22"/>
        <v>231.40000000000003</v>
      </c>
      <c r="K56" s="5">
        <f t="shared" si="22"/>
        <v>251.8</v>
      </c>
      <c r="L56" s="5">
        <f t="shared" si="22"/>
        <v>272.20000000000005</v>
      </c>
      <c r="M56" s="5">
        <f t="shared" si="22"/>
        <v>292.60000000000002</v>
      </c>
      <c r="N56" s="5">
        <f t="shared" si="22"/>
        <v>313.00000000000006</v>
      </c>
      <c r="O56" s="5">
        <f t="shared" si="22"/>
        <v>333.40000000000003</v>
      </c>
      <c r="P56" s="5">
        <f t="shared" si="22"/>
        <v>353.8</v>
      </c>
      <c r="Q56" s="5">
        <f t="shared" si="22"/>
        <v>374.2</v>
      </c>
      <c r="R56" s="5">
        <f t="shared" si="22"/>
        <v>374.2</v>
      </c>
      <c r="S56" s="5">
        <f t="shared" si="22"/>
        <v>353.8</v>
      </c>
      <c r="T56" s="5">
        <f t="shared" si="22"/>
        <v>333.40000000000003</v>
      </c>
      <c r="U56" s="5">
        <f t="shared" si="22"/>
        <v>313.00000000000006</v>
      </c>
      <c r="V56" s="5">
        <f t="shared" si="22"/>
        <v>292.60000000000002</v>
      </c>
    </row>
    <row r="57" spans="1:22" x14ac:dyDescent="0.35">
      <c r="A57" t="s">
        <v>109</v>
      </c>
      <c r="B57" s="8" t="s">
        <v>61</v>
      </c>
      <c r="C57" s="5"/>
      <c r="D57" s="5"/>
      <c r="E57" s="5"/>
      <c r="F57" s="5"/>
      <c r="G57" s="5"/>
      <c r="H57" s="5"/>
      <c r="I57" s="5">
        <f>C61</f>
        <v>20</v>
      </c>
      <c r="J57" s="5"/>
      <c r="K57" s="5"/>
      <c r="L57" s="5"/>
      <c r="M57" s="5"/>
      <c r="N57" s="5"/>
      <c r="O57" s="5"/>
      <c r="P57" s="5">
        <f>C61</f>
        <v>20</v>
      </c>
      <c r="Q57" s="5"/>
      <c r="R57" s="5"/>
      <c r="S57" s="5"/>
      <c r="T57" s="5"/>
      <c r="U57" s="5"/>
      <c r="V57" s="5"/>
    </row>
    <row r="58" spans="1:22" x14ac:dyDescent="0.35">
      <c r="B58" s="8"/>
    </row>
    <row r="59" spans="1:22" x14ac:dyDescent="0.35">
      <c r="A59" t="s">
        <v>16</v>
      </c>
      <c r="B59" s="8"/>
    </row>
    <row r="60" spans="1:22" x14ac:dyDescent="0.35">
      <c r="A60" t="s">
        <v>73</v>
      </c>
      <c r="B60" s="8" t="s">
        <v>11</v>
      </c>
      <c r="C60">
        <f>1333/4</f>
        <v>333.25</v>
      </c>
      <c r="D60">
        <f>C60</f>
        <v>333.25</v>
      </c>
      <c r="E60">
        <f>D60</f>
        <v>333.25</v>
      </c>
    </row>
    <row r="61" spans="1:22" x14ac:dyDescent="0.35">
      <c r="A61" t="s">
        <v>60</v>
      </c>
      <c r="B61" s="8" t="s">
        <v>11</v>
      </c>
      <c r="C61">
        <v>20</v>
      </c>
    </row>
    <row r="62" spans="1:22" x14ac:dyDescent="0.35">
      <c r="A62" t="s">
        <v>47</v>
      </c>
      <c r="B62" s="8" t="s">
        <v>11</v>
      </c>
      <c r="C62">
        <v>35</v>
      </c>
    </row>
    <row r="63" spans="1:22" x14ac:dyDescent="0.35">
      <c r="A63" t="s">
        <v>48</v>
      </c>
      <c r="B63" s="8" t="s">
        <v>11</v>
      </c>
      <c r="C63">
        <v>35</v>
      </c>
    </row>
    <row r="64" spans="1:22" x14ac:dyDescent="0.35">
      <c r="A64" t="s">
        <v>219</v>
      </c>
      <c r="B64" s="8" t="s">
        <v>10</v>
      </c>
      <c r="C64">
        <f>200*C60/1000</f>
        <v>66.650000000000006</v>
      </c>
      <c r="D64">
        <f>200*D60/1000</f>
        <v>66.650000000000006</v>
      </c>
      <c r="E64">
        <f>D64</f>
        <v>66.650000000000006</v>
      </c>
    </row>
    <row r="65" spans="1:22" x14ac:dyDescent="0.35">
      <c r="A65" t="s">
        <v>220</v>
      </c>
      <c r="B65" s="8" t="s">
        <v>45</v>
      </c>
      <c r="C65">
        <v>4</v>
      </c>
      <c r="D65">
        <f>C65</f>
        <v>4</v>
      </c>
      <c r="E65">
        <f t="shared" ref="E65:V65" si="23">D65</f>
        <v>4</v>
      </c>
      <c r="F65">
        <f t="shared" si="23"/>
        <v>4</v>
      </c>
      <c r="G65">
        <f t="shared" si="23"/>
        <v>4</v>
      </c>
      <c r="H65">
        <f t="shared" si="23"/>
        <v>4</v>
      </c>
      <c r="I65">
        <f t="shared" si="23"/>
        <v>4</v>
      </c>
      <c r="J65">
        <f t="shared" si="23"/>
        <v>4</v>
      </c>
      <c r="K65">
        <f t="shared" si="23"/>
        <v>4</v>
      </c>
      <c r="L65">
        <f t="shared" si="23"/>
        <v>4</v>
      </c>
      <c r="M65">
        <f t="shared" si="23"/>
        <v>4</v>
      </c>
      <c r="N65">
        <f t="shared" si="23"/>
        <v>4</v>
      </c>
      <c r="O65">
        <f t="shared" si="23"/>
        <v>4</v>
      </c>
      <c r="P65">
        <f t="shared" si="23"/>
        <v>4</v>
      </c>
      <c r="Q65">
        <f t="shared" si="23"/>
        <v>4</v>
      </c>
      <c r="R65">
        <f t="shared" si="23"/>
        <v>4</v>
      </c>
      <c r="S65">
        <f t="shared" si="23"/>
        <v>4</v>
      </c>
      <c r="T65">
        <f t="shared" si="23"/>
        <v>4</v>
      </c>
      <c r="U65">
        <f t="shared" si="23"/>
        <v>4</v>
      </c>
      <c r="V65">
        <f t="shared" si="23"/>
        <v>4</v>
      </c>
    </row>
    <row r="66" spans="1:22" x14ac:dyDescent="0.35">
      <c r="B66" s="8"/>
    </row>
    <row r="67" spans="1:22" x14ac:dyDescent="0.35">
      <c r="A67" t="s">
        <v>30</v>
      </c>
      <c r="B67" s="8"/>
    </row>
    <row r="68" spans="1:22" x14ac:dyDescent="0.35">
      <c r="A68" t="s">
        <v>155</v>
      </c>
      <c r="B68" s="8" t="s">
        <v>1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</row>
    <row r="69" spans="1:22" x14ac:dyDescent="0.35">
      <c r="B69" s="8"/>
    </row>
    <row r="70" spans="1:22" x14ac:dyDescent="0.35">
      <c r="A70" t="s">
        <v>6</v>
      </c>
      <c r="B70" s="8"/>
    </row>
    <row r="71" spans="1:22" x14ac:dyDescent="0.35">
      <c r="A71" t="s">
        <v>74</v>
      </c>
      <c r="B71" s="8" t="s">
        <v>10</v>
      </c>
      <c r="C71">
        <f>C17*3/4</f>
        <v>180</v>
      </c>
      <c r="D71">
        <f>D17*2/4</f>
        <v>120</v>
      </c>
      <c r="E71">
        <f>E17*1/4</f>
        <v>60</v>
      </c>
      <c r="F71">
        <f t="shared" ref="F71:V71" si="24">E71</f>
        <v>60</v>
      </c>
      <c r="G71">
        <f t="shared" si="24"/>
        <v>60</v>
      </c>
      <c r="H71">
        <f t="shared" si="24"/>
        <v>60</v>
      </c>
      <c r="I71">
        <f t="shared" si="24"/>
        <v>60</v>
      </c>
      <c r="J71">
        <f t="shared" si="24"/>
        <v>60</v>
      </c>
      <c r="K71">
        <f t="shared" si="24"/>
        <v>60</v>
      </c>
      <c r="L71">
        <f t="shared" si="24"/>
        <v>60</v>
      </c>
      <c r="M71">
        <f t="shared" si="24"/>
        <v>60</v>
      </c>
      <c r="N71">
        <f t="shared" si="24"/>
        <v>60</v>
      </c>
      <c r="O71">
        <f t="shared" si="24"/>
        <v>60</v>
      </c>
      <c r="P71">
        <f t="shared" si="24"/>
        <v>60</v>
      </c>
      <c r="Q71">
        <f t="shared" si="24"/>
        <v>60</v>
      </c>
      <c r="R71">
        <f t="shared" si="24"/>
        <v>60</v>
      </c>
      <c r="S71">
        <f t="shared" si="24"/>
        <v>60</v>
      </c>
      <c r="T71">
        <f t="shared" si="24"/>
        <v>60</v>
      </c>
      <c r="U71">
        <f t="shared" si="24"/>
        <v>60</v>
      </c>
      <c r="V71">
        <f t="shared" si="24"/>
        <v>60</v>
      </c>
    </row>
    <row r="72" spans="1:22" x14ac:dyDescent="0.35">
      <c r="A72" t="s">
        <v>83</v>
      </c>
      <c r="B72" s="8" t="s">
        <v>10</v>
      </c>
      <c r="C72" s="2">
        <v>0</v>
      </c>
      <c r="D72" s="2">
        <v>0</v>
      </c>
      <c r="E72" s="2">
        <v>0</v>
      </c>
      <c r="F72" s="2">
        <f>200/4</f>
        <v>50</v>
      </c>
      <c r="G72" s="2">
        <f t="shared" ref="G72:Q72" si="25">F72+10.2</f>
        <v>60.2</v>
      </c>
      <c r="H72" s="2">
        <f t="shared" si="25"/>
        <v>70.400000000000006</v>
      </c>
      <c r="I72" s="2">
        <f t="shared" si="25"/>
        <v>80.600000000000009</v>
      </c>
      <c r="J72" s="2">
        <f t="shared" si="25"/>
        <v>90.800000000000011</v>
      </c>
      <c r="K72" s="2">
        <f t="shared" si="25"/>
        <v>101.00000000000001</v>
      </c>
      <c r="L72" s="2">
        <f t="shared" si="25"/>
        <v>111.20000000000002</v>
      </c>
      <c r="M72" s="2">
        <f t="shared" si="25"/>
        <v>121.40000000000002</v>
      </c>
      <c r="N72" s="2">
        <f t="shared" si="25"/>
        <v>131.60000000000002</v>
      </c>
      <c r="O72" s="2">
        <f t="shared" si="25"/>
        <v>141.80000000000001</v>
      </c>
      <c r="P72" s="2">
        <f t="shared" si="25"/>
        <v>152</v>
      </c>
      <c r="Q72" s="2">
        <f t="shared" si="25"/>
        <v>162.19999999999999</v>
      </c>
      <c r="R72" s="2">
        <f>Q72-10.2</f>
        <v>152</v>
      </c>
      <c r="S72" s="2">
        <f>R72-10.2</f>
        <v>141.80000000000001</v>
      </c>
      <c r="T72" s="2">
        <f>S72-10.2</f>
        <v>131.60000000000002</v>
      </c>
      <c r="U72" s="2">
        <f>T72-10.2</f>
        <v>121.40000000000002</v>
      </c>
      <c r="V72" s="2">
        <f>U72-10.2</f>
        <v>111.20000000000002</v>
      </c>
    </row>
    <row r="73" spans="1:22" x14ac:dyDescent="0.35">
      <c r="A73" t="s">
        <v>221</v>
      </c>
      <c r="B73" s="8" t="s">
        <v>10</v>
      </c>
      <c r="C73" s="2">
        <v>0</v>
      </c>
      <c r="D73" s="2">
        <v>0</v>
      </c>
      <c r="E73" s="2">
        <v>0</v>
      </c>
      <c r="F73" s="2">
        <v>0</v>
      </c>
      <c r="G73" s="2">
        <f>F72</f>
        <v>50</v>
      </c>
      <c r="H73" s="2">
        <f>G72</f>
        <v>60.2</v>
      </c>
      <c r="I73" s="2">
        <f t="shared" ref="I73:V73" si="26">H72</f>
        <v>70.400000000000006</v>
      </c>
      <c r="J73" s="2">
        <f t="shared" si="26"/>
        <v>80.600000000000009</v>
      </c>
      <c r="K73" s="2">
        <f t="shared" si="26"/>
        <v>90.800000000000011</v>
      </c>
      <c r="L73" s="2">
        <f t="shared" si="26"/>
        <v>101.00000000000001</v>
      </c>
      <c r="M73" s="2">
        <f t="shared" si="26"/>
        <v>111.20000000000002</v>
      </c>
      <c r="N73" s="2">
        <f t="shared" si="26"/>
        <v>121.40000000000002</v>
      </c>
      <c r="O73" s="2">
        <f t="shared" si="26"/>
        <v>131.60000000000002</v>
      </c>
      <c r="P73" s="2">
        <f t="shared" si="26"/>
        <v>141.80000000000001</v>
      </c>
      <c r="Q73" s="2">
        <f t="shared" si="26"/>
        <v>152</v>
      </c>
      <c r="R73" s="2">
        <f t="shared" si="26"/>
        <v>162.19999999999999</v>
      </c>
      <c r="S73" s="2">
        <f t="shared" si="26"/>
        <v>152</v>
      </c>
      <c r="T73" s="2">
        <f t="shared" si="26"/>
        <v>141.80000000000001</v>
      </c>
      <c r="U73" s="2">
        <f t="shared" si="26"/>
        <v>131.60000000000002</v>
      </c>
      <c r="V73" s="2">
        <f t="shared" si="26"/>
        <v>121.40000000000002</v>
      </c>
    </row>
    <row r="74" spans="1:22" x14ac:dyDescent="0.35">
      <c r="A74" t="s">
        <v>222</v>
      </c>
      <c r="B74" s="8" t="s">
        <v>10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f>F72</f>
        <v>50</v>
      </c>
      <c r="I74" s="2">
        <f t="shared" ref="I74:V74" si="27">G72</f>
        <v>60.2</v>
      </c>
      <c r="J74" s="2">
        <f t="shared" si="27"/>
        <v>70.400000000000006</v>
      </c>
      <c r="K74" s="2">
        <f t="shared" si="27"/>
        <v>80.600000000000009</v>
      </c>
      <c r="L74" s="2">
        <f t="shared" si="27"/>
        <v>90.800000000000011</v>
      </c>
      <c r="M74" s="2">
        <f t="shared" si="27"/>
        <v>101.00000000000001</v>
      </c>
      <c r="N74" s="2">
        <f t="shared" si="27"/>
        <v>111.20000000000002</v>
      </c>
      <c r="O74" s="2">
        <f t="shared" si="27"/>
        <v>121.40000000000002</v>
      </c>
      <c r="P74" s="2">
        <f t="shared" si="27"/>
        <v>131.60000000000002</v>
      </c>
      <c r="Q74" s="2">
        <f t="shared" si="27"/>
        <v>141.80000000000001</v>
      </c>
      <c r="R74" s="2">
        <f t="shared" si="27"/>
        <v>152</v>
      </c>
      <c r="S74" s="2">
        <f t="shared" si="27"/>
        <v>162.19999999999999</v>
      </c>
      <c r="T74" s="2">
        <f t="shared" si="27"/>
        <v>152</v>
      </c>
      <c r="U74" s="2">
        <f t="shared" si="27"/>
        <v>141.80000000000001</v>
      </c>
      <c r="V74" s="2">
        <f t="shared" si="27"/>
        <v>131.60000000000002</v>
      </c>
    </row>
    <row r="75" spans="1:22" x14ac:dyDescent="0.35">
      <c r="A75" t="s">
        <v>53</v>
      </c>
      <c r="B75" s="8" t="s">
        <v>10</v>
      </c>
      <c r="C75" s="2">
        <v>0</v>
      </c>
      <c r="D75" s="2">
        <f t="shared" ref="D75:I75" si="28">C75</f>
        <v>0</v>
      </c>
      <c r="E75" s="2">
        <f t="shared" si="28"/>
        <v>0</v>
      </c>
      <c r="F75" s="2">
        <f t="shared" si="28"/>
        <v>0</v>
      </c>
      <c r="G75" s="2">
        <f t="shared" si="28"/>
        <v>0</v>
      </c>
      <c r="H75" s="2">
        <f t="shared" si="28"/>
        <v>0</v>
      </c>
      <c r="I75" s="2">
        <f t="shared" si="28"/>
        <v>0</v>
      </c>
      <c r="J75" s="2">
        <f>0.572*$C62/2.5</f>
        <v>8.0079999999999991</v>
      </c>
      <c r="K75" s="2">
        <f>(0.572+0.176)*$C62/2.5</f>
        <v>10.472</v>
      </c>
      <c r="L75" s="2">
        <f>(0.572+0.176*2)*$C62/2.5</f>
        <v>12.935999999999998</v>
      </c>
      <c r="M75" s="2">
        <f>(0.572+0.176*3)*$C62/2.5</f>
        <v>15.4</v>
      </c>
      <c r="N75" s="2">
        <f>(0.572+0.176*4)*$C62/2.5</f>
        <v>17.863999999999997</v>
      </c>
      <c r="O75" s="2">
        <f>(0.572+0.176*5)*$C62/2.5</f>
        <v>20.327999999999999</v>
      </c>
      <c r="P75" s="2">
        <f>(0.572+0.176*6)*$C62/2.5</f>
        <v>22.792000000000002</v>
      </c>
      <c r="Q75" s="2">
        <f>(0.572+0.176*7)*$C62/2.5</f>
        <v>25.255999999999997</v>
      </c>
      <c r="R75" s="2">
        <f>Q75</f>
        <v>25.255999999999997</v>
      </c>
      <c r="S75" s="2">
        <f t="shared" ref="S75:V75" si="29">R75</f>
        <v>25.255999999999997</v>
      </c>
      <c r="T75" s="2">
        <f t="shared" si="29"/>
        <v>25.255999999999997</v>
      </c>
      <c r="U75" s="2">
        <f t="shared" si="29"/>
        <v>25.255999999999997</v>
      </c>
      <c r="V75" s="2">
        <f t="shared" si="29"/>
        <v>25.255999999999997</v>
      </c>
    </row>
    <row r="76" spans="1:22" x14ac:dyDescent="0.35">
      <c r="A76" t="s">
        <v>56</v>
      </c>
      <c r="B76" s="8" t="s">
        <v>57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f>0.05*C61</f>
        <v>1</v>
      </c>
      <c r="J76" s="2">
        <f t="shared" ref="J76:V76" si="30">C76</f>
        <v>0</v>
      </c>
      <c r="K76" s="2">
        <f t="shared" si="30"/>
        <v>0</v>
      </c>
      <c r="L76" s="2">
        <f t="shared" si="30"/>
        <v>0</v>
      </c>
      <c r="M76" s="2">
        <f t="shared" si="30"/>
        <v>0</v>
      </c>
      <c r="N76" s="2">
        <f t="shared" si="30"/>
        <v>0</v>
      </c>
      <c r="O76" s="2">
        <f t="shared" si="30"/>
        <v>0</v>
      </c>
      <c r="P76" s="2">
        <f t="shared" si="30"/>
        <v>1</v>
      </c>
      <c r="Q76" s="2">
        <f t="shared" si="30"/>
        <v>0</v>
      </c>
      <c r="R76" s="2">
        <f t="shared" si="30"/>
        <v>0</v>
      </c>
      <c r="S76" s="2">
        <f t="shared" si="30"/>
        <v>0</v>
      </c>
      <c r="T76" s="2">
        <f t="shared" si="30"/>
        <v>0</v>
      </c>
      <c r="U76" s="2">
        <f t="shared" si="30"/>
        <v>0</v>
      </c>
      <c r="V76" s="2">
        <f t="shared" si="30"/>
        <v>0</v>
      </c>
    </row>
    <row r="77" spans="1:22" x14ac:dyDescent="0.35">
      <c r="A77" s="11" t="s">
        <v>64</v>
      </c>
      <c r="B77" s="10" t="s">
        <v>61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>
        <f>C63</f>
        <v>35</v>
      </c>
    </row>
    <row r="78" spans="1:22" x14ac:dyDescent="0.35">
      <c r="A78" s="3"/>
      <c r="B78" s="3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</row>
    <row r="79" spans="1:22" x14ac:dyDescent="0.35">
      <c r="A79" s="68" t="s">
        <v>304</v>
      </c>
    </row>
    <row r="80" spans="1:22" x14ac:dyDescent="0.35">
      <c r="A80" s="12" t="s">
        <v>302</v>
      </c>
      <c r="B80" s="71" t="s">
        <v>12</v>
      </c>
      <c r="C80" s="70" t="s">
        <v>399</v>
      </c>
      <c r="D80" s="70" t="s">
        <v>400</v>
      </c>
      <c r="E80" s="70" t="s">
        <v>401</v>
      </c>
      <c r="F80" s="70" t="s">
        <v>402</v>
      </c>
      <c r="G80" s="70" t="s">
        <v>403</v>
      </c>
      <c r="H80" s="70" t="s">
        <v>404</v>
      </c>
      <c r="I80" s="70" t="s">
        <v>405</v>
      </c>
      <c r="J80" s="70" t="s">
        <v>406</v>
      </c>
      <c r="K80" s="70" t="s">
        <v>407</v>
      </c>
      <c r="L80" s="70" t="s">
        <v>408</v>
      </c>
      <c r="M80" s="70" t="s">
        <v>409</v>
      </c>
      <c r="N80" s="70" t="s">
        <v>410</v>
      </c>
      <c r="O80" s="70" t="s">
        <v>411</v>
      </c>
      <c r="P80" s="70" t="s">
        <v>412</v>
      </c>
      <c r="Q80" s="70" t="s">
        <v>413</v>
      </c>
      <c r="R80" s="70" t="s">
        <v>414</v>
      </c>
      <c r="S80" s="70" t="s">
        <v>415</v>
      </c>
      <c r="T80" s="70" t="s">
        <v>416</v>
      </c>
      <c r="U80" s="70" t="s">
        <v>417</v>
      </c>
      <c r="V80" s="70" t="s">
        <v>418</v>
      </c>
    </row>
    <row r="81" spans="1:45" x14ac:dyDescent="0.35">
      <c r="A81" s="6" t="str">
        <f>A21</f>
        <v>Agricultural operations</v>
      </c>
      <c r="B81" s="8"/>
    </row>
    <row r="82" spans="1:45" x14ac:dyDescent="0.35">
      <c r="A82" t="str">
        <f>A44</f>
        <v xml:space="preserve">  Undergrowth clearing</v>
      </c>
      <c r="B82" s="13">
        <f>'Prices &amp; assums'!C10</f>
        <v>30000</v>
      </c>
      <c r="C82" s="2">
        <f t="shared" ref="C82:V82" si="31">$B82*C44</f>
        <v>30000</v>
      </c>
      <c r="D82" s="2">
        <f t="shared" si="31"/>
        <v>0</v>
      </c>
      <c r="E82" s="2">
        <f t="shared" si="31"/>
        <v>0</v>
      </c>
      <c r="F82" s="2">
        <f t="shared" si="31"/>
        <v>0</v>
      </c>
      <c r="G82" s="2">
        <f t="shared" si="31"/>
        <v>0</v>
      </c>
      <c r="H82" s="2">
        <f t="shared" si="31"/>
        <v>0</v>
      </c>
      <c r="I82" s="2">
        <f t="shared" si="31"/>
        <v>0</v>
      </c>
      <c r="J82" s="2">
        <f t="shared" si="31"/>
        <v>0</v>
      </c>
      <c r="K82" s="2">
        <f t="shared" si="31"/>
        <v>0</v>
      </c>
      <c r="L82" s="2">
        <f t="shared" si="31"/>
        <v>0</v>
      </c>
      <c r="M82" s="2">
        <f t="shared" si="31"/>
        <v>0</v>
      </c>
      <c r="N82" s="2">
        <f t="shared" si="31"/>
        <v>0</v>
      </c>
      <c r="O82" s="2">
        <f t="shared" si="31"/>
        <v>0</v>
      </c>
      <c r="P82" s="2">
        <f t="shared" si="31"/>
        <v>0</v>
      </c>
      <c r="Q82" s="2">
        <f t="shared" si="31"/>
        <v>0</v>
      </c>
      <c r="R82" s="2">
        <f t="shared" si="31"/>
        <v>0</v>
      </c>
      <c r="S82" s="2">
        <f t="shared" si="31"/>
        <v>0</v>
      </c>
      <c r="T82" s="2">
        <f t="shared" si="31"/>
        <v>0</v>
      </c>
      <c r="U82" s="2">
        <f t="shared" si="31"/>
        <v>0</v>
      </c>
      <c r="V82" s="2">
        <f t="shared" si="31"/>
        <v>0</v>
      </c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</row>
    <row r="83" spans="1:45" x14ac:dyDescent="0.35">
      <c r="A83" t="str">
        <f>A45</f>
        <v xml:space="preserve">  Cutting old trees</v>
      </c>
      <c r="B83" s="13">
        <f>'Prices &amp; assums'!C11</f>
        <v>50000</v>
      </c>
      <c r="C83" s="2">
        <f t="shared" ref="C83:V83" si="32">$B83*C45</f>
        <v>12500</v>
      </c>
      <c r="D83" s="2">
        <f t="shared" si="32"/>
        <v>12500</v>
      </c>
      <c r="E83" s="2">
        <f t="shared" si="32"/>
        <v>12500</v>
      </c>
      <c r="F83" s="2">
        <f t="shared" si="32"/>
        <v>0</v>
      </c>
      <c r="G83" s="2">
        <f t="shared" si="32"/>
        <v>0</v>
      </c>
      <c r="H83" s="2">
        <f t="shared" si="32"/>
        <v>0</v>
      </c>
      <c r="I83" s="2">
        <f t="shared" si="32"/>
        <v>0</v>
      </c>
      <c r="J83" s="2">
        <f t="shared" si="32"/>
        <v>0</v>
      </c>
      <c r="K83" s="2">
        <f t="shared" si="32"/>
        <v>0</v>
      </c>
      <c r="L83" s="2">
        <f t="shared" si="32"/>
        <v>0</v>
      </c>
      <c r="M83" s="2">
        <f t="shared" si="32"/>
        <v>0</v>
      </c>
      <c r="N83" s="2">
        <f t="shared" si="32"/>
        <v>0</v>
      </c>
      <c r="O83" s="2">
        <f t="shared" si="32"/>
        <v>0</v>
      </c>
      <c r="P83" s="2">
        <f t="shared" si="32"/>
        <v>0</v>
      </c>
      <c r="Q83" s="2">
        <f t="shared" si="32"/>
        <v>0</v>
      </c>
      <c r="R83" s="2">
        <f t="shared" si="32"/>
        <v>0</v>
      </c>
      <c r="S83" s="2">
        <f t="shared" si="32"/>
        <v>0</v>
      </c>
      <c r="T83" s="2">
        <f t="shared" si="32"/>
        <v>0</v>
      </c>
      <c r="U83" s="2">
        <f t="shared" si="32"/>
        <v>0</v>
      </c>
      <c r="V83" s="2">
        <f t="shared" si="32"/>
        <v>0</v>
      </c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</row>
    <row r="84" spans="1:45" x14ac:dyDescent="0.35">
      <c r="A84" t="s">
        <v>70</v>
      </c>
      <c r="B84" s="13">
        <f>'Prices &amp; assums'!C27</f>
        <v>7</v>
      </c>
      <c r="C84" s="2">
        <f t="shared" ref="C84:V84" si="33">$B84*C46</f>
        <v>2962.75</v>
      </c>
      <c r="D84" s="2">
        <f t="shared" si="33"/>
        <v>2332.75</v>
      </c>
      <c r="E84" s="2">
        <f t="shared" si="33"/>
        <v>2332.75</v>
      </c>
      <c r="F84" s="2">
        <f t="shared" si="33"/>
        <v>0</v>
      </c>
      <c r="G84" s="2">
        <f t="shared" si="33"/>
        <v>0</v>
      </c>
      <c r="H84" s="2">
        <f t="shared" si="33"/>
        <v>0</v>
      </c>
      <c r="I84" s="2">
        <f t="shared" si="33"/>
        <v>0</v>
      </c>
      <c r="J84" s="2">
        <f t="shared" si="33"/>
        <v>0</v>
      </c>
      <c r="K84" s="2">
        <f t="shared" si="33"/>
        <v>0</v>
      </c>
      <c r="L84" s="2">
        <f t="shared" si="33"/>
        <v>0</v>
      </c>
      <c r="M84" s="2">
        <f t="shared" si="33"/>
        <v>0</v>
      </c>
      <c r="N84" s="2">
        <f t="shared" si="33"/>
        <v>0</v>
      </c>
      <c r="O84" s="2">
        <f t="shared" si="33"/>
        <v>0</v>
      </c>
      <c r="P84" s="2">
        <f t="shared" si="33"/>
        <v>0</v>
      </c>
      <c r="Q84" s="2">
        <f t="shared" si="33"/>
        <v>0</v>
      </c>
      <c r="R84" s="2">
        <f t="shared" si="33"/>
        <v>0</v>
      </c>
      <c r="S84" s="2">
        <f t="shared" si="33"/>
        <v>0</v>
      </c>
      <c r="T84" s="2">
        <f t="shared" si="33"/>
        <v>0</v>
      </c>
      <c r="U84" s="2">
        <f t="shared" si="33"/>
        <v>0</v>
      </c>
      <c r="V84" s="2">
        <f t="shared" si="33"/>
        <v>0</v>
      </c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</row>
    <row r="85" spans="1:45" x14ac:dyDescent="0.35">
      <c r="A85" s="26" t="str">
        <f t="shared" ref="A85:A95" si="34">A47</f>
        <v xml:space="preserve">  Marking out</v>
      </c>
      <c r="B85" s="29">
        <f>'Prices &amp; assums'!C7</f>
        <v>25000</v>
      </c>
      <c r="C85" s="30">
        <f t="shared" ref="C85:V85" si="35">$B85*C47</f>
        <v>25000</v>
      </c>
      <c r="D85" s="30">
        <f t="shared" si="35"/>
        <v>25000</v>
      </c>
      <c r="E85" s="30">
        <f t="shared" si="35"/>
        <v>25000</v>
      </c>
      <c r="F85" s="30">
        <f t="shared" si="35"/>
        <v>0</v>
      </c>
      <c r="G85" s="30">
        <f t="shared" si="35"/>
        <v>0</v>
      </c>
      <c r="H85" s="30">
        <f t="shared" si="35"/>
        <v>0</v>
      </c>
      <c r="I85" s="30">
        <f t="shared" si="35"/>
        <v>0</v>
      </c>
      <c r="J85" s="30">
        <f t="shared" si="35"/>
        <v>0</v>
      </c>
      <c r="K85" s="30">
        <f t="shared" si="35"/>
        <v>0</v>
      </c>
      <c r="L85" s="30">
        <f t="shared" si="35"/>
        <v>0</v>
      </c>
      <c r="M85" s="30">
        <f t="shared" si="35"/>
        <v>0</v>
      </c>
      <c r="N85" s="30">
        <f t="shared" si="35"/>
        <v>0</v>
      </c>
      <c r="O85" s="30">
        <f t="shared" si="35"/>
        <v>0</v>
      </c>
      <c r="P85" s="30">
        <f t="shared" si="35"/>
        <v>0</v>
      </c>
      <c r="Q85" s="30">
        <f t="shared" si="35"/>
        <v>0</v>
      </c>
      <c r="R85" s="30">
        <f t="shared" si="35"/>
        <v>0</v>
      </c>
      <c r="S85" s="30">
        <f t="shared" si="35"/>
        <v>0</v>
      </c>
      <c r="T85" s="30">
        <f t="shared" si="35"/>
        <v>0</v>
      </c>
      <c r="U85" s="30">
        <f t="shared" si="35"/>
        <v>0</v>
      </c>
      <c r="V85" s="30">
        <f t="shared" si="35"/>
        <v>0</v>
      </c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</row>
    <row r="86" spans="1:45" x14ac:dyDescent="0.35">
      <c r="A86" s="3" t="str">
        <f t="shared" si="34"/>
        <v xml:space="preserve">  Digging holes</v>
      </c>
      <c r="B86" s="13">
        <f>'Prices &amp; assums'!C8</f>
        <v>30</v>
      </c>
      <c r="C86" s="2">
        <f t="shared" ref="C86:V86" si="36">$B86*C48</f>
        <v>12697.5</v>
      </c>
      <c r="D86" s="2">
        <f t="shared" si="36"/>
        <v>9997.5</v>
      </c>
      <c r="E86" s="2">
        <f t="shared" si="36"/>
        <v>9997.5</v>
      </c>
      <c r="F86" s="2">
        <f t="shared" si="36"/>
        <v>0</v>
      </c>
      <c r="G86" s="2">
        <f t="shared" si="36"/>
        <v>0</v>
      </c>
      <c r="H86" s="2">
        <f t="shared" si="36"/>
        <v>0</v>
      </c>
      <c r="I86" s="2">
        <f t="shared" si="36"/>
        <v>0</v>
      </c>
      <c r="J86" s="2">
        <f t="shared" si="36"/>
        <v>0</v>
      </c>
      <c r="K86" s="2">
        <f t="shared" si="36"/>
        <v>0</v>
      </c>
      <c r="L86" s="2">
        <f t="shared" si="36"/>
        <v>0</v>
      </c>
      <c r="M86" s="2">
        <f t="shared" si="36"/>
        <v>0</v>
      </c>
      <c r="N86" s="2">
        <f t="shared" si="36"/>
        <v>0</v>
      </c>
      <c r="O86" s="2">
        <f t="shared" si="36"/>
        <v>0</v>
      </c>
      <c r="P86" s="2">
        <f t="shared" si="36"/>
        <v>0</v>
      </c>
      <c r="Q86" s="2">
        <f t="shared" si="36"/>
        <v>0</v>
      </c>
      <c r="R86" s="2">
        <f t="shared" si="36"/>
        <v>0</v>
      </c>
      <c r="S86" s="2">
        <f t="shared" si="36"/>
        <v>0</v>
      </c>
      <c r="T86" s="2">
        <f t="shared" si="36"/>
        <v>0</v>
      </c>
      <c r="U86" s="2">
        <f t="shared" si="36"/>
        <v>0</v>
      </c>
      <c r="V86" s="2">
        <f t="shared" si="36"/>
        <v>0</v>
      </c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</row>
    <row r="87" spans="1:45" x14ac:dyDescent="0.35">
      <c r="A87" s="3" t="str">
        <f t="shared" si="34"/>
        <v xml:space="preserve">  Planting seedlings</v>
      </c>
      <c r="B87" s="13">
        <f>'Prices &amp; assums'!C9</f>
        <v>30</v>
      </c>
      <c r="C87" s="2">
        <f t="shared" ref="C87:V87" si="37">$B87*C49</f>
        <v>12697.5</v>
      </c>
      <c r="D87" s="2">
        <f t="shared" si="37"/>
        <v>9997.5</v>
      </c>
      <c r="E87" s="2">
        <f t="shared" si="37"/>
        <v>9997.5</v>
      </c>
      <c r="F87" s="2">
        <f t="shared" si="37"/>
        <v>0</v>
      </c>
      <c r="G87" s="2">
        <f t="shared" si="37"/>
        <v>0</v>
      </c>
      <c r="H87" s="2">
        <f t="shared" si="37"/>
        <v>0</v>
      </c>
      <c r="I87" s="2">
        <f t="shared" si="37"/>
        <v>0</v>
      </c>
      <c r="J87" s="2">
        <f t="shared" si="37"/>
        <v>0</v>
      </c>
      <c r="K87" s="2">
        <f t="shared" si="37"/>
        <v>0</v>
      </c>
      <c r="L87" s="2">
        <f t="shared" si="37"/>
        <v>0</v>
      </c>
      <c r="M87" s="2">
        <f t="shared" si="37"/>
        <v>0</v>
      </c>
      <c r="N87" s="2">
        <f t="shared" si="37"/>
        <v>0</v>
      </c>
      <c r="O87" s="2">
        <f t="shared" si="37"/>
        <v>0</v>
      </c>
      <c r="P87" s="2">
        <f t="shared" si="37"/>
        <v>0</v>
      </c>
      <c r="Q87" s="2">
        <f t="shared" si="37"/>
        <v>0</v>
      </c>
      <c r="R87" s="2">
        <f t="shared" si="37"/>
        <v>0</v>
      </c>
      <c r="S87" s="2">
        <f t="shared" si="37"/>
        <v>0</v>
      </c>
      <c r="T87" s="2">
        <f t="shared" si="37"/>
        <v>0</v>
      </c>
      <c r="U87" s="2">
        <f t="shared" si="37"/>
        <v>0</v>
      </c>
      <c r="V87" s="2">
        <f t="shared" si="37"/>
        <v>0</v>
      </c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</row>
    <row r="88" spans="1:45" x14ac:dyDescent="0.35">
      <c r="A88" t="str">
        <f t="shared" si="34"/>
        <v xml:space="preserve">  Weeding other maintenance operations</v>
      </c>
      <c r="B88" s="13">
        <f>'Prices &amp; assums'!C5</f>
        <v>25000</v>
      </c>
      <c r="C88" s="2">
        <f t="shared" ref="C88:V88" si="38">$B88*C50</f>
        <v>0</v>
      </c>
      <c r="D88" s="2">
        <f t="shared" si="38"/>
        <v>75000</v>
      </c>
      <c r="E88" s="2">
        <f t="shared" si="38"/>
        <v>75000</v>
      </c>
      <c r="F88" s="2">
        <f t="shared" si="38"/>
        <v>75000</v>
      </c>
      <c r="G88" s="2">
        <f t="shared" si="38"/>
        <v>75000</v>
      </c>
      <c r="H88" s="2">
        <f t="shared" si="38"/>
        <v>75000</v>
      </c>
      <c r="I88" s="2">
        <f t="shared" si="38"/>
        <v>75000</v>
      </c>
      <c r="J88" s="2">
        <f t="shared" si="38"/>
        <v>75000</v>
      </c>
      <c r="K88" s="2">
        <f t="shared" si="38"/>
        <v>75000</v>
      </c>
      <c r="L88" s="2">
        <f t="shared" si="38"/>
        <v>75000</v>
      </c>
      <c r="M88" s="2">
        <f t="shared" si="38"/>
        <v>75000</v>
      </c>
      <c r="N88" s="2">
        <f t="shared" si="38"/>
        <v>75000</v>
      </c>
      <c r="O88" s="2">
        <f t="shared" si="38"/>
        <v>75000</v>
      </c>
      <c r="P88" s="2">
        <f t="shared" si="38"/>
        <v>75000</v>
      </c>
      <c r="Q88" s="2">
        <f t="shared" si="38"/>
        <v>75000</v>
      </c>
      <c r="R88" s="2">
        <f t="shared" si="38"/>
        <v>75000</v>
      </c>
      <c r="S88" s="2">
        <f t="shared" si="38"/>
        <v>75000</v>
      </c>
      <c r="T88" s="2">
        <f t="shared" si="38"/>
        <v>75000</v>
      </c>
      <c r="U88" s="2">
        <f t="shared" si="38"/>
        <v>75000</v>
      </c>
      <c r="V88" s="2">
        <f t="shared" si="38"/>
        <v>75000</v>
      </c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</row>
    <row r="89" spans="1:45" x14ac:dyDescent="0.35">
      <c r="A89" t="str">
        <f t="shared" si="34"/>
        <v xml:space="preserve">  Pruning new trees</v>
      </c>
      <c r="B89" s="13">
        <f>'Prices &amp; assums'!C13</f>
        <v>2000</v>
      </c>
      <c r="C89" s="2">
        <f t="shared" ref="C89:V89" si="39">$B89*C51</f>
        <v>0</v>
      </c>
      <c r="D89" s="2">
        <f t="shared" si="39"/>
        <v>636.46616541353387</v>
      </c>
      <c r="E89" s="2">
        <f t="shared" si="39"/>
        <v>501.1278195488722</v>
      </c>
      <c r="F89" s="2">
        <f t="shared" si="39"/>
        <v>501.1278195488722</v>
      </c>
      <c r="G89" s="2">
        <f t="shared" si="39"/>
        <v>0</v>
      </c>
      <c r="H89" s="2">
        <f t="shared" si="39"/>
        <v>0</v>
      </c>
      <c r="I89" s="2">
        <f t="shared" si="39"/>
        <v>0</v>
      </c>
      <c r="J89" s="2">
        <f t="shared" si="39"/>
        <v>0</v>
      </c>
      <c r="K89" s="2">
        <f t="shared" si="39"/>
        <v>0</v>
      </c>
      <c r="L89" s="2">
        <f t="shared" si="39"/>
        <v>0</v>
      </c>
      <c r="M89" s="2">
        <f t="shared" si="39"/>
        <v>0</v>
      </c>
      <c r="N89" s="2">
        <f t="shared" si="39"/>
        <v>0</v>
      </c>
      <c r="O89" s="2">
        <f t="shared" si="39"/>
        <v>0</v>
      </c>
      <c r="P89" s="2">
        <f t="shared" si="39"/>
        <v>0</v>
      </c>
      <c r="Q89" s="2">
        <f t="shared" si="39"/>
        <v>0</v>
      </c>
      <c r="R89" s="2">
        <f t="shared" si="39"/>
        <v>0</v>
      </c>
      <c r="S89" s="2">
        <f t="shared" si="39"/>
        <v>0</v>
      </c>
      <c r="T89" s="2">
        <f t="shared" si="39"/>
        <v>0</v>
      </c>
      <c r="U89" s="2">
        <f t="shared" si="39"/>
        <v>0</v>
      </c>
      <c r="V89" s="2">
        <f t="shared" si="39"/>
        <v>0</v>
      </c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</row>
    <row r="90" spans="1:45" x14ac:dyDescent="0.35">
      <c r="A90" t="str">
        <f t="shared" si="34"/>
        <v xml:space="preserve">  Fertilizer application</v>
      </c>
      <c r="B90" s="13">
        <f>'Prices &amp; assums'!C3</f>
        <v>2500</v>
      </c>
      <c r="C90" s="2">
        <f t="shared" ref="C90:V90" si="40">$B90*C52</f>
        <v>5000</v>
      </c>
      <c r="D90" s="2">
        <f t="shared" si="40"/>
        <v>5000</v>
      </c>
      <c r="E90" s="2">
        <f t="shared" si="40"/>
        <v>5000</v>
      </c>
      <c r="F90" s="2">
        <f t="shared" si="40"/>
        <v>0</v>
      </c>
      <c r="G90" s="2">
        <f t="shared" si="40"/>
        <v>0</v>
      </c>
      <c r="H90" s="2">
        <f t="shared" si="40"/>
        <v>0</v>
      </c>
      <c r="I90" s="2">
        <f t="shared" si="40"/>
        <v>0</v>
      </c>
      <c r="J90" s="2">
        <f t="shared" si="40"/>
        <v>0</v>
      </c>
      <c r="K90" s="2">
        <f t="shared" si="40"/>
        <v>0</v>
      </c>
      <c r="L90" s="2">
        <f t="shared" si="40"/>
        <v>0</v>
      </c>
      <c r="M90" s="2">
        <f t="shared" si="40"/>
        <v>0</v>
      </c>
      <c r="N90" s="2">
        <f t="shared" si="40"/>
        <v>0</v>
      </c>
      <c r="O90" s="2">
        <f t="shared" si="40"/>
        <v>0</v>
      </c>
      <c r="P90" s="2">
        <f t="shared" si="40"/>
        <v>0</v>
      </c>
      <c r="Q90" s="2">
        <f t="shared" si="40"/>
        <v>0</v>
      </c>
      <c r="R90" s="2">
        <f t="shared" si="40"/>
        <v>0</v>
      </c>
      <c r="S90" s="2">
        <f t="shared" si="40"/>
        <v>0</v>
      </c>
      <c r="T90" s="2">
        <f t="shared" si="40"/>
        <v>0</v>
      </c>
      <c r="U90" s="2">
        <f t="shared" si="40"/>
        <v>0</v>
      </c>
      <c r="V90" s="2">
        <f t="shared" si="40"/>
        <v>0</v>
      </c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</row>
    <row r="91" spans="1:45" x14ac:dyDescent="0.35">
      <c r="A91" t="str">
        <f t="shared" si="34"/>
        <v xml:space="preserve">  Plant protection chemicals application</v>
      </c>
      <c r="B91" s="13">
        <f>'Prices &amp; assums'!C4</f>
        <v>4000</v>
      </c>
      <c r="C91" s="2">
        <f t="shared" ref="C91:V91" si="41">$B91*C53</f>
        <v>8000</v>
      </c>
      <c r="D91" s="2">
        <f t="shared" si="41"/>
        <v>8000</v>
      </c>
      <c r="E91" s="2">
        <f t="shared" si="41"/>
        <v>8000</v>
      </c>
      <c r="F91" s="2">
        <f t="shared" si="41"/>
        <v>8000</v>
      </c>
      <c r="G91" s="2">
        <f t="shared" si="41"/>
        <v>8000</v>
      </c>
      <c r="H91" s="2">
        <f t="shared" si="41"/>
        <v>8000</v>
      </c>
      <c r="I91" s="2">
        <f t="shared" si="41"/>
        <v>8000</v>
      </c>
      <c r="J91" s="2">
        <f t="shared" si="41"/>
        <v>8000</v>
      </c>
      <c r="K91" s="2">
        <f t="shared" si="41"/>
        <v>8000</v>
      </c>
      <c r="L91" s="2">
        <f t="shared" si="41"/>
        <v>8000</v>
      </c>
      <c r="M91" s="2">
        <f t="shared" si="41"/>
        <v>8000</v>
      </c>
      <c r="N91" s="2">
        <f t="shared" si="41"/>
        <v>8000</v>
      </c>
      <c r="O91" s="2">
        <f t="shared" si="41"/>
        <v>8000</v>
      </c>
      <c r="P91" s="2">
        <f t="shared" si="41"/>
        <v>8000</v>
      </c>
      <c r="Q91" s="2">
        <f t="shared" si="41"/>
        <v>8000</v>
      </c>
      <c r="R91" s="2">
        <f t="shared" si="41"/>
        <v>8000</v>
      </c>
      <c r="S91" s="2">
        <f t="shared" si="41"/>
        <v>8000</v>
      </c>
      <c r="T91" s="2">
        <f t="shared" si="41"/>
        <v>8000</v>
      </c>
      <c r="U91" s="2">
        <f t="shared" si="41"/>
        <v>8000</v>
      </c>
      <c r="V91" s="2">
        <f t="shared" si="41"/>
        <v>8000</v>
      </c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</row>
    <row r="92" spans="1:45" x14ac:dyDescent="0.35">
      <c r="A92" t="str">
        <f t="shared" si="34"/>
        <v xml:space="preserve">  Harvest</v>
      </c>
      <c r="B92" s="13">
        <f>'Prices &amp; assums'!C16</f>
        <v>31.200000000000003</v>
      </c>
      <c r="C92" s="2">
        <f t="shared" ref="C92:V92" si="42">$B92*C54</f>
        <v>5616.0000000000009</v>
      </c>
      <c r="D92" s="2">
        <f t="shared" si="42"/>
        <v>3744.0000000000005</v>
      </c>
      <c r="E92" s="2">
        <f t="shared" si="42"/>
        <v>1872.0000000000002</v>
      </c>
      <c r="F92" s="2">
        <f t="shared" si="42"/>
        <v>3432.0000000000005</v>
      </c>
      <c r="G92" s="2">
        <f t="shared" si="42"/>
        <v>5310.24</v>
      </c>
      <c r="H92" s="2">
        <f t="shared" si="42"/>
        <v>5946.7200000000012</v>
      </c>
      <c r="I92" s="2">
        <f t="shared" si="42"/>
        <v>6583.2000000000016</v>
      </c>
      <c r="J92" s="2">
        <f t="shared" si="42"/>
        <v>7219.6800000000021</v>
      </c>
      <c r="K92" s="2">
        <f t="shared" si="42"/>
        <v>7856.1600000000008</v>
      </c>
      <c r="L92" s="2">
        <f t="shared" si="42"/>
        <v>8492.6400000000031</v>
      </c>
      <c r="M92" s="2">
        <f t="shared" si="42"/>
        <v>9129.1200000000008</v>
      </c>
      <c r="N92" s="2">
        <f t="shared" si="42"/>
        <v>9765.6000000000022</v>
      </c>
      <c r="O92" s="2">
        <f t="shared" si="42"/>
        <v>10402.080000000002</v>
      </c>
      <c r="P92" s="2">
        <f t="shared" si="42"/>
        <v>11038.560000000001</v>
      </c>
      <c r="Q92" s="2">
        <f t="shared" si="42"/>
        <v>11675.04</v>
      </c>
      <c r="R92" s="2">
        <f t="shared" si="42"/>
        <v>11675.04</v>
      </c>
      <c r="S92" s="2">
        <f t="shared" si="42"/>
        <v>11038.560000000001</v>
      </c>
      <c r="T92" s="2">
        <f t="shared" si="42"/>
        <v>10402.080000000002</v>
      </c>
      <c r="U92" s="2">
        <f t="shared" si="42"/>
        <v>9765.6000000000022</v>
      </c>
      <c r="V92" s="2">
        <f t="shared" si="42"/>
        <v>9129.1200000000008</v>
      </c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</row>
    <row r="93" spans="1:45" x14ac:dyDescent="0.35">
      <c r="A93" t="str">
        <f t="shared" si="34"/>
        <v xml:space="preserve">  Post-harvest processes</v>
      </c>
      <c r="B93" s="13">
        <f>'Prices &amp; assums'!C17</f>
        <v>46.800000000000004</v>
      </c>
      <c r="C93" s="2">
        <f t="shared" ref="C93:V93" si="43">$B93*C55</f>
        <v>8424</v>
      </c>
      <c r="D93" s="2">
        <f t="shared" si="43"/>
        <v>5616.0000000000009</v>
      </c>
      <c r="E93" s="2">
        <f t="shared" si="43"/>
        <v>2808.0000000000005</v>
      </c>
      <c r="F93" s="2">
        <f t="shared" si="43"/>
        <v>5148.0000000000009</v>
      </c>
      <c r="G93" s="2">
        <f t="shared" si="43"/>
        <v>7965.3600000000006</v>
      </c>
      <c r="H93" s="2">
        <f t="shared" si="43"/>
        <v>8920.0800000000017</v>
      </c>
      <c r="I93" s="2">
        <f t="shared" si="43"/>
        <v>9874.8000000000029</v>
      </c>
      <c r="J93" s="2">
        <f t="shared" si="43"/>
        <v>10829.520000000002</v>
      </c>
      <c r="K93" s="2">
        <f t="shared" si="43"/>
        <v>11784.240000000002</v>
      </c>
      <c r="L93" s="2">
        <f t="shared" si="43"/>
        <v>12738.960000000003</v>
      </c>
      <c r="M93" s="2">
        <f t="shared" si="43"/>
        <v>13693.680000000002</v>
      </c>
      <c r="N93" s="2">
        <f t="shared" si="43"/>
        <v>14648.400000000003</v>
      </c>
      <c r="O93" s="2">
        <f t="shared" si="43"/>
        <v>15603.120000000003</v>
      </c>
      <c r="P93" s="2">
        <f t="shared" si="43"/>
        <v>16557.840000000004</v>
      </c>
      <c r="Q93" s="2">
        <f t="shared" si="43"/>
        <v>17512.560000000001</v>
      </c>
      <c r="R93" s="2">
        <f t="shared" si="43"/>
        <v>17512.560000000001</v>
      </c>
      <c r="S93" s="2">
        <f t="shared" si="43"/>
        <v>16557.840000000004</v>
      </c>
      <c r="T93" s="2">
        <f t="shared" si="43"/>
        <v>15603.120000000003</v>
      </c>
      <c r="U93" s="2">
        <f t="shared" si="43"/>
        <v>14648.400000000003</v>
      </c>
      <c r="V93" s="2">
        <f t="shared" si="43"/>
        <v>13693.680000000002</v>
      </c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</row>
    <row r="94" spans="1:45" x14ac:dyDescent="0.35">
      <c r="A94" t="str">
        <f t="shared" si="34"/>
        <v xml:space="preserve">  Transport of beans</v>
      </c>
      <c r="B94" s="13">
        <f>'Prices &amp; assums'!C26/1000</f>
        <v>10</v>
      </c>
      <c r="C94" s="2">
        <f t="shared" ref="C94:V94" si="44">$B94*C56</f>
        <v>1800</v>
      </c>
      <c r="D94" s="2">
        <f t="shared" si="44"/>
        <v>1200</v>
      </c>
      <c r="E94" s="2">
        <f t="shared" si="44"/>
        <v>600</v>
      </c>
      <c r="F94" s="2">
        <f t="shared" si="44"/>
        <v>1100</v>
      </c>
      <c r="G94" s="2">
        <f t="shared" si="44"/>
        <v>1702</v>
      </c>
      <c r="H94" s="2">
        <f t="shared" si="44"/>
        <v>1906.0000000000002</v>
      </c>
      <c r="I94" s="2">
        <f t="shared" si="44"/>
        <v>2110.0000000000005</v>
      </c>
      <c r="J94" s="2">
        <f t="shared" si="44"/>
        <v>2314.0000000000005</v>
      </c>
      <c r="K94" s="2">
        <f t="shared" si="44"/>
        <v>2518</v>
      </c>
      <c r="L94" s="2">
        <f t="shared" si="44"/>
        <v>2722.0000000000005</v>
      </c>
      <c r="M94" s="2">
        <f t="shared" si="44"/>
        <v>2926</v>
      </c>
      <c r="N94" s="2">
        <f t="shared" si="44"/>
        <v>3130.0000000000005</v>
      </c>
      <c r="O94" s="2">
        <f t="shared" si="44"/>
        <v>3334.0000000000005</v>
      </c>
      <c r="P94" s="2">
        <f t="shared" si="44"/>
        <v>3538</v>
      </c>
      <c r="Q94" s="2">
        <f t="shared" si="44"/>
        <v>3742</v>
      </c>
      <c r="R94" s="2">
        <f t="shared" si="44"/>
        <v>3742</v>
      </c>
      <c r="S94" s="2">
        <f t="shared" si="44"/>
        <v>3538</v>
      </c>
      <c r="T94" s="2">
        <f t="shared" si="44"/>
        <v>3334.0000000000005</v>
      </c>
      <c r="U94" s="2">
        <f t="shared" si="44"/>
        <v>3130.0000000000005</v>
      </c>
      <c r="V94" s="2">
        <f t="shared" si="44"/>
        <v>2926</v>
      </c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</row>
    <row r="95" spans="1:45" x14ac:dyDescent="0.35">
      <c r="A95" t="str">
        <f t="shared" si="34"/>
        <v xml:space="preserve">  Firewood cut</v>
      </c>
      <c r="B95" s="13">
        <f>'Prices &amp; assums'!C20</f>
        <v>150</v>
      </c>
      <c r="C95" s="2">
        <f t="shared" ref="C95:V95" si="45">$B95*C57</f>
        <v>0</v>
      </c>
      <c r="D95" s="2">
        <f t="shared" si="45"/>
        <v>0</v>
      </c>
      <c r="E95" s="2">
        <f t="shared" si="45"/>
        <v>0</v>
      </c>
      <c r="F95" s="2">
        <f t="shared" si="45"/>
        <v>0</v>
      </c>
      <c r="G95" s="2">
        <f t="shared" si="45"/>
        <v>0</v>
      </c>
      <c r="H95" s="2">
        <f t="shared" si="45"/>
        <v>0</v>
      </c>
      <c r="I95" s="2">
        <f t="shared" si="45"/>
        <v>3000</v>
      </c>
      <c r="J95" s="2">
        <f t="shared" si="45"/>
        <v>0</v>
      </c>
      <c r="K95" s="2">
        <f t="shared" si="45"/>
        <v>0</v>
      </c>
      <c r="L95" s="2">
        <f t="shared" si="45"/>
        <v>0</v>
      </c>
      <c r="M95" s="2">
        <f t="shared" si="45"/>
        <v>0</v>
      </c>
      <c r="N95" s="2">
        <f t="shared" si="45"/>
        <v>0</v>
      </c>
      <c r="O95" s="2">
        <f t="shared" si="45"/>
        <v>0</v>
      </c>
      <c r="P95" s="2">
        <f t="shared" si="45"/>
        <v>3000</v>
      </c>
      <c r="Q95" s="2">
        <f t="shared" si="45"/>
        <v>0</v>
      </c>
      <c r="R95" s="2">
        <f t="shared" si="45"/>
        <v>0</v>
      </c>
      <c r="S95" s="2">
        <f t="shared" si="45"/>
        <v>0</v>
      </c>
      <c r="T95" s="2">
        <f t="shared" si="45"/>
        <v>0</v>
      </c>
      <c r="U95" s="2">
        <f t="shared" si="45"/>
        <v>0</v>
      </c>
      <c r="V95" s="2">
        <f t="shared" si="45"/>
        <v>0</v>
      </c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</row>
    <row r="96" spans="1:45" x14ac:dyDescent="0.35">
      <c r="B96" s="13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</row>
    <row r="97" spans="1:45" x14ac:dyDescent="0.35">
      <c r="A97" t="str">
        <f>A59</f>
        <v>Inputs</v>
      </c>
      <c r="B97" s="13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</row>
    <row r="98" spans="1:45" x14ac:dyDescent="0.35">
      <c r="A98" s="44" t="str">
        <f>A60</f>
        <v xml:space="preserve">  cocoa seedlings</v>
      </c>
      <c r="B98" s="29">
        <f>'Prices &amp; assums'!C81</f>
        <v>150</v>
      </c>
      <c r="C98" s="30">
        <f t="shared" ref="C98:V98" si="46">$B98*C60</f>
        <v>49987.5</v>
      </c>
      <c r="D98" s="30">
        <f t="shared" si="46"/>
        <v>49987.5</v>
      </c>
      <c r="E98" s="30">
        <f t="shared" si="46"/>
        <v>49987.5</v>
      </c>
      <c r="F98" s="30">
        <f t="shared" si="46"/>
        <v>0</v>
      </c>
      <c r="G98" s="30">
        <f t="shared" si="46"/>
        <v>0</v>
      </c>
      <c r="H98" s="30">
        <f t="shared" si="46"/>
        <v>0</v>
      </c>
      <c r="I98" s="30">
        <f t="shared" si="46"/>
        <v>0</v>
      </c>
      <c r="J98" s="30">
        <f t="shared" si="46"/>
        <v>0</v>
      </c>
      <c r="K98" s="30">
        <f t="shared" si="46"/>
        <v>0</v>
      </c>
      <c r="L98" s="30">
        <f t="shared" si="46"/>
        <v>0</v>
      </c>
      <c r="M98" s="30">
        <f t="shared" si="46"/>
        <v>0</v>
      </c>
      <c r="N98" s="30">
        <f t="shared" si="46"/>
        <v>0</v>
      </c>
      <c r="O98" s="30">
        <f t="shared" si="46"/>
        <v>0</v>
      </c>
      <c r="P98" s="30">
        <f t="shared" si="46"/>
        <v>0</v>
      </c>
      <c r="Q98" s="30">
        <f t="shared" si="46"/>
        <v>0</v>
      </c>
      <c r="R98" s="30">
        <f t="shared" si="46"/>
        <v>0</v>
      </c>
      <c r="S98" s="30">
        <f t="shared" si="46"/>
        <v>0</v>
      </c>
      <c r="T98" s="30">
        <f t="shared" si="46"/>
        <v>0</v>
      </c>
      <c r="U98" s="30">
        <f t="shared" si="46"/>
        <v>0</v>
      </c>
      <c r="V98" s="30">
        <f t="shared" si="46"/>
        <v>0</v>
      </c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</row>
    <row r="99" spans="1:45" x14ac:dyDescent="0.35">
      <c r="A99" s="44" t="s">
        <v>55</v>
      </c>
      <c r="B99" s="29">
        <f>'Prices &amp; assums'!C82</f>
        <v>200</v>
      </c>
      <c r="C99" s="30">
        <f t="shared" ref="C99:V99" si="47">$B99*C61</f>
        <v>4000</v>
      </c>
      <c r="D99" s="30">
        <f t="shared" si="47"/>
        <v>0</v>
      </c>
      <c r="E99" s="30">
        <f t="shared" si="47"/>
        <v>0</v>
      </c>
      <c r="F99" s="30">
        <f t="shared" si="47"/>
        <v>0</v>
      </c>
      <c r="G99" s="30">
        <f t="shared" si="47"/>
        <v>0</v>
      </c>
      <c r="H99" s="30">
        <f t="shared" si="47"/>
        <v>0</v>
      </c>
      <c r="I99" s="30">
        <f t="shared" si="47"/>
        <v>0</v>
      </c>
      <c r="J99" s="30">
        <f t="shared" si="47"/>
        <v>0</v>
      </c>
      <c r="K99" s="30">
        <f t="shared" si="47"/>
        <v>0</v>
      </c>
      <c r="L99" s="30">
        <f t="shared" si="47"/>
        <v>0</v>
      </c>
      <c r="M99" s="30">
        <f t="shared" si="47"/>
        <v>0</v>
      </c>
      <c r="N99" s="30">
        <f t="shared" si="47"/>
        <v>0</v>
      </c>
      <c r="O99" s="30">
        <f t="shared" si="47"/>
        <v>0</v>
      </c>
      <c r="P99" s="30">
        <f t="shared" si="47"/>
        <v>0</v>
      </c>
      <c r="Q99" s="30">
        <f t="shared" si="47"/>
        <v>0</v>
      </c>
      <c r="R99" s="30">
        <f t="shared" si="47"/>
        <v>0</v>
      </c>
      <c r="S99" s="30">
        <f t="shared" si="47"/>
        <v>0</v>
      </c>
      <c r="T99" s="30">
        <f t="shared" si="47"/>
        <v>0</v>
      </c>
      <c r="U99" s="30">
        <f t="shared" si="47"/>
        <v>0</v>
      </c>
      <c r="V99" s="30">
        <f t="shared" si="47"/>
        <v>0</v>
      </c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</row>
    <row r="100" spans="1:45" x14ac:dyDescent="0.35">
      <c r="A100" s="44" t="str">
        <f>A62</f>
        <v xml:space="preserve">  Akpi seedling</v>
      </c>
      <c r="B100" s="29">
        <f>'Prices &amp; assums'!C80</f>
        <v>1000</v>
      </c>
      <c r="C100" s="30">
        <f t="shared" ref="C100:V100" si="48">$B100*C62</f>
        <v>35000</v>
      </c>
      <c r="D100" s="30">
        <f t="shared" si="48"/>
        <v>0</v>
      </c>
      <c r="E100" s="30">
        <f t="shared" si="48"/>
        <v>0</v>
      </c>
      <c r="F100" s="30">
        <f t="shared" si="48"/>
        <v>0</v>
      </c>
      <c r="G100" s="30">
        <f t="shared" si="48"/>
        <v>0</v>
      </c>
      <c r="H100" s="30">
        <f t="shared" si="48"/>
        <v>0</v>
      </c>
      <c r="I100" s="30">
        <f t="shared" si="48"/>
        <v>0</v>
      </c>
      <c r="J100" s="30">
        <f t="shared" si="48"/>
        <v>0</v>
      </c>
      <c r="K100" s="30">
        <f t="shared" si="48"/>
        <v>0</v>
      </c>
      <c r="L100" s="30">
        <f t="shared" si="48"/>
        <v>0</v>
      </c>
      <c r="M100" s="30">
        <f t="shared" si="48"/>
        <v>0</v>
      </c>
      <c r="N100" s="30">
        <f t="shared" si="48"/>
        <v>0</v>
      </c>
      <c r="O100" s="30">
        <f t="shared" si="48"/>
        <v>0</v>
      </c>
      <c r="P100" s="30">
        <f t="shared" si="48"/>
        <v>0</v>
      </c>
      <c r="Q100" s="30">
        <f t="shared" si="48"/>
        <v>0</v>
      </c>
      <c r="R100" s="30">
        <f t="shared" si="48"/>
        <v>0</v>
      </c>
      <c r="S100" s="30">
        <f t="shared" si="48"/>
        <v>0</v>
      </c>
      <c r="T100" s="30">
        <f t="shared" si="48"/>
        <v>0</v>
      </c>
      <c r="U100" s="30">
        <f t="shared" si="48"/>
        <v>0</v>
      </c>
      <c r="V100" s="30">
        <f t="shared" si="48"/>
        <v>0</v>
      </c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</row>
    <row r="101" spans="1:45" x14ac:dyDescent="0.35">
      <c r="A101" s="44" t="str">
        <f>A63</f>
        <v xml:space="preserve">  Teck seedling</v>
      </c>
      <c r="B101" s="29">
        <f>'Prices &amp; assums'!C83</f>
        <v>200</v>
      </c>
      <c r="C101" s="30">
        <f t="shared" ref="C101:V101" si="49">$B101*C63</f>
        <v>7000</v>
      </c>
      <c r="D101" s="30">
        <f t="shared" si="49"/>
        <v>0</v>
      </c>
      <c r="E101" s="30">
        <f t="shared" si="49"/>
        <v>0</v>
      </c>
      <c r="F101" s="30">
        <f t="shared" si="49"/>
        <v>0</v>
      </c>
      <c r="G101" s="30">
        <f t="shared" si="49"/>
        <v>0</v>
      </c>
      <c r="H101" s="30">
        <f t="shared" si="49"/>
        <v>0</v>
      </c>
      <c r="I101" s="30">
        <f t="shared" si="49"/>
        <v>0</v>
      </c>
      <c r="J101" s="30">
        <f t="shared" si="49"/>
        <v>0</v>
      </c>
      <c r="K101" s="30">
        <f t="shared" si="49"/>
        <v>0</v>
      </c>
      <c r="L101" s="30">
        <f t="shared" si="49"/>
        <v>0</v>
      </c>
      <c r="M101" s="30">
        <f t="shared" si="49"/>
        <v>0</v>
      </c>
      <c r="N101" s="30">
        <f t="shared" si="49"/>
        <v>0</v>
      </c>
      <c r="O101" s="30">
        <f t="shared" si="49"/>
        <v>0</v>
      </c>
      <c r="P101" s="30">
        <f t="shared" si="49"/>
        <v>0</v>
      </c>
      <c r="Q101" s="30">
        <f t="shared" si="49"/>
        <v>0</v>
      </c>
      <c r="R101" s="30">
        <f t="shared" si="49"/>
        <v>0</v>
      </c>
      <c r="S101" s="30">
        <f t="shared" si="49"/>
        <v>0</v>
      </c>
      <c r="T101" s="30">
        <f t="shared" si="49"/>
        <v>0</v>
      </c>
      <c r="U101" s="30">
        <f t="shared" si="49"/>
        <v>0</v>
      </c>
      <c r="V101" s="30">
        <f t="shared" si="49"/>
        <v>0</v>
      </c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</row>
    <row r="102" spans="1:45" x14ac:dyDescent="0.35">
      <c r="A102" s="44" t="str">
        <f>A64</f>
        <v xml:space="preserve">  Triple phosphate</v>
      </c>
      <c r="B102" s="29">
        <f>'Prices &amp; assums'!C57</f>
        <v>500</v>
      </c>
      <c r="C102" s="30">
        <f t="shared" ref="C102:V102" si="50">$B102*C64</f>
        <v>33325</v>
      </c>
      <c r="D102" s="30">
        <f t="shared" si="50"/>
        <v>33325</v>
      </c>
      <c r="E102" s="30">
        <f t="shared" si="50"/>
        <v>33325</v>
      </c>
      <c r="F102" s="30">
        <f t="shared" si="50"/>
        <v>0</v>
      </c>
      <c r="G102" s="30">
        <f t="shared" si="50"/>
        <v>0</v>
      </c>
      <c r="H102" s="30">
        <f t="shared" si="50"/>
        <v>0</v>
      </c>
      <c r="I102" s="30">
        <f t="shared" si="50"/>
        <v>0</v>
      </c>
      <c r="J102" s="30">
        <f t="shared" si="50"/>
        <v>0</v>
      </c>
      <c r="K102" s="30">
        <f t="shared" si="50"/>
        <v>0</v>
      </c>
      <c r="L102" s="30">
        <f t="shared" si="50"/>
        <v>0</v>
      </c>
      <c r="M102" s="30">
        <f t="shared" si="50"/>
        <v>0</v>
      </c>
      <c r="N102" s="30">
        <f t="shared" si="50"/>
        <v>0</v>
      </c>
      <c r="O102" s="30">
        <f t="shared" si="50"/>
        <v>0</v>
      </c>
      <c r="P102" s="30">
        <f t="shared" si="50"/>
        <v>0</v>
      </c>
      <c r="Q102" s="30">
        <f t="shared" si="50"/>
        <v>0</v>
      </c>
      <c r="R102" s="30">
        <f t="shared" si="50"/>
        <v>0</v>
      </c>
      <c r="S102" s="30">
        <f t="shared" si="50"/>
        <v>0</v>
      </c>
      <c r="T102" s="30">
        <f t="shared" si="50"/>
        <v>0</v>
      </c>
      <c r="U102" s="30">
        <f t="shared" si="50"/>
        <v>0</v>
      </c>
      <c r="V102" s="30">
        <f t="shared" si="50"/>
        <v>0</v>
      </c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</row>
    <row r="103" spans="1:45" x14ac:dyDescent="0.35">
      <c r="A103" t="str">
        <f>A65</f>
        <v xml:space="preserve">  Plant protection chemicals</v>
      </c>
      <c r="B103" s="13">
        <f>'Prices &amp; assums'!C48</f>
        <v>3500</v>
      </c>
      <c r="C103" s="2">
        <f t="shared" ref="C103:V103" si="51">$B103*C65</f>
        <v>14000</v>
      </c>
      <c r="D103" s="2">
        <f t="shared" si="51"/>
        <v>14000</v>
      </c>
      <c r="E103" s="2">
        <f t="shared" si="51"/>
        <v>14000</v>
      </c>
      <c r="F103" s="2">
        <f t="shared" si="51"/>
        <v>14000</v>
      </c>
      <c r="G103" s="2">
        <f t="shared" si="51"/>
        <v>14000</v>
      </c>
      <c r="H103" s="2">
        <f t="shared" si="51"/>
        <v>14000</v>
      </c>
      <c r="I103" s="2">
        <f t="shared" si="51"/>
        <v>14000</v>
      </c>
      <c r="J103" s="2">
        <f t="shared" si="51"/>
        <v>14000</v>
      </c>
      <c r="K103" s="2">
        <f t="shared" si="51"/>
        <v>14000</v>
      </c>
      <c r="L103" s="2">
        <f t="shared" si="51"/>
        <v>14000</v>
      </c>
      <c r="M103" s="2">
        <f t="shared" si="51"/>
        <v>14000</v>
      </c>
      <c r="N103" s="2">
        <f t="shared" si="51"/>
        <v>14000</v>
      </c>
      <c r="O103" s="2">
        <f t="shared" si="51"/>
        <v>14000</v>
      </c>
      <c r="P103" s="2">
        <f t="shared" si="51"/>
        <v>14000</v>
      </c>
      <c r="Q103" s="2">
        <f t="shared" si="51"/>
        <v>14000</v>
      </c>
      <c r="R103" s="2">
        <f t="shared" si="51"/>
        <v>14000</v>
      </c>
      <c r="S103" s="2">
        <f t="shared" si="51"/>
        <v>14000</v>
      </c>
      <c r="T103" s="2">
        <f t="shared" si="51"/>
        <v>14000</v>
      </c>
      <c r="U103" s="2">
        <f t="shared" si="51"/>
        <v>14000</v>
      </c>
      <c r="V103" s="2">
        <f t="shared" si="51"/>
        <v>14000</v>
      </c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</row>
    <row r="104" spans="1:45" x14ac:dyDescent="0.35">
      <c r="B104" s="13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</row>
    <row r="105" spans="1:45" x14ac:dyDescent="0.35">
      <c r="A105" t="s">
        <v>30</v>
      </c>
      <c r="B105" s="13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</row>
    <row r="106" spans="1:45" x14ac:dyDescent="0.35">
      <c r="A106" t="s">
        <v>155</v>
      </c>
      <c r="B106" s="13">
        <f>'Prices &amp; assums'!C90</f>
        <v>9135.8530805687205</v>
      </c>
      <c r="C106" s="2">
        <f t="shared" ref="C106:V106" si="52">$B106*C68</f>
        <v>0</v>
      </c>
      <c r="D106" s="2">
        <f t="shared" si="52"/>
        <v>0</v>
      </c>
      <c r="E106" s="2">
        <f t="shared" si="52"/>
        <v>0</v>
      </c>
      <c r="F106" s="2">
        <f t="shared" si="52"/>
        <v>0</v>
      </c>
      <c r="G106" s="2">
        <f t="shared" si="52"/>
        <v>0</v>
      </c>
      <c r="H106" s="2">
        <f t="shared" si="52"/>
        <v>0</v>
      </c>
      <c r="I106" s="2">
        <f t="shared" si="52"/>
        <v>0</v>
      </c>
      <c r="J106" s="2">
        <f t="shared" si="52"/>
        <v>0</v>
      </c>
      <c r="K106" s="2">
        <f t="shared" si="52"/>
        <v>0</v>
      </c>
      <c r="L106" s="2">
        <f t="shared" si="52"/>
        <v>0</v>
      </c>
      <c r="M106" s="2">
        <f t="shared" si="52"/>
        <v>0</v>
      </c>
      <c r="N106" s="2">
        <f t="shared" si="52"/>
        <v>0</v>
      </c>
      <c r="O106" s="2">
        <f t="shared" si="52"/>
        <v>0</v>
      </c>
      <c r="P106" s="2">
        <f t="shared" si="52"/>
        <v>0</v>
      </c>
      <c r="Q106" s="2">
        <f t="shared" si="52"/>
        <v>0</v>
      </c>
      <c r="R106" s="2">
        <f t="shared" si="52"/>
        <v>0</v>
      </c>
      <c r="S106" s="2">
        <f t="shared" si="52"/>
        <v>0</v>
      </c>
      <c r="T106" s="2">
        <f t="shared" si="52"/>
        <v>0</v>
      </c>
      <c r="U106" s="2">
        <f t="shared" si="52"/>
        <v>0</v>
      </c>
      <c r="V106" s="2">
        <f t="shared" si="52"/>
        <v>0</v>
      </c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</row>
    <row r="107" spans="1:45" x14ac:dyDescent="0.35">
      <c r="B107" s="13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</row>
    <row r="108" spans="1:45" x14ac:dyDescent="0.35">
      <c r="A108" t="s">
        <v>6</v>
      </c>
      <c r="B108" s="13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</row>
    <row r="109" spans="1:45" x14ac:dyDescent="0.35">
      <c r="A109" t="s">
        <v>72</v>
      </c>
      <c r="B109" s="13">
        <f>'Prices &amp; assums'!C94</f>
        <v>825</v>
      </c>
      <c r="C109" s="2">
        <f t="shared" ref="C109:V109" si="53">$B109*SUM(C71:C74)</f>
        <v>148500</v>
      </c>
      <c r="D109" s="2">
        <f t="shared" si="53"/>
        <v>99000</v>
      </c>
      <c r="E109" s="2">
        <f t="shared" si="53"/>
        <v>49500</v>
      </c>
      <c r="F109" s="2">
        <f t="shared" si="53"/>
        <v>90750</v>
      </c>
      <c r="G109" s="2">
        <f t="shared" si="53"/>
        <v>140415</v>
      </c>
      <c r="H109" s="2">
        <f t="shared" si="53"/>
        <v>198495.00000000003</v>
      </c>
      <c r="I109" s="2">
        <f t="shared" si="53"/>
        <v>223740.00000000003</v>
      </c>
      <c r="J109" s="2">
        <f t="shared" si="53"/>
        <v>248985.00000000006</v>
      </c>
      <c r="K109" s="2">
        <f t="shared" si="53"/>
        <v>274230</v>
      </c>
      <c r="L109" s="2">
        <f t="shared" si="53"/>
        <v>299475.00000000006</v>
      </c>
      <c r="M109" s="2">
        <f t="shared" si="53"/>
        <v>324720</v>
      </c>
      <c r="N109" s="2">
        <f t="shared" si="53"/>
        <v>349965.00000000006</v>
      </c>
      <c r="O109" s="2">
        <f t="shared" si="53"/>
        <v>375210.00000000006</v>
      </c>
      <c r="P109" s="2">
        <f t="shared" si="53"/>
        <v>400455</v>
      </c>
      <c r="Q109" s="2">
        <f t="shared" si="53"/>
        <v>425700</v>
      </c>
      <c r="R109" s="2">
        <f t="shared" si="53"/>
        <v>434115.00000000006</v>
      </c>
      <c r="S109" s="2">
        <f t="shared" si="53"/>
        <v>425700</v>
      </c>
      <c r="T109" s="2">
        <f t="shared" si="53"/>
        <v>400455</v>
      </c>
      <c r="U109" s="2">
        <f t="shared" si="53"/>
        <v>375210.00000000006</v>
      </c>
      <c r="V109" s="2">
        <f t="shared" si="53"/>
        <v>349965.00000000006</v>
      </c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</row>
    <row r="110" spans="1:45" x14ac:dyDescent="0.35">
      <c r="A110" t="s">
        <v>53</v>
      </c>
      <c r="B110" s="13">
        <f>'Prices &amp; assums'!C97</f>
        <v>2666.6666666666665</v>
      </c>
      <c r="C110" s="2">
        <f t="shared" ref="C110:V110" si="54">$B110*C75</f>
        <v>0</v>
      </c>
      <c r="D110" s="2">
        <f t="shared" si="54"/>
        <v>0</v>
      </c>
      <c r="E110" s="2">
        <f t="shared" si="54"/>
        <v>0</v>
      </c>
      <c r="F110" s="2">
        <f t="shared" si="54"/>
        <v>0</v>
      </c>
      <c r="G110" s="2">
        <f t="shared" si="54"/>
        <v>0</v>
      </c>
      <c r="H110" s="2">
        <f t="shared" si="54"/>
        <v>0</v>
      </c>
      <c r="I110" s="2">
        <f t="shared" si="54"/>
        <v>0</v>
      </c>
      <c r="J110" s="2">
        <f t="shared" si="54"/>
        <v>21354.666666666664</v>
      </c>
      <c r="K110" s="2">
        <f t="shared" si="54"/>
        <v>27925.333333333332</v>
      </c>
      <c r="L110" s="2">
        <f t="shared" si="54"/>
        <v>34495.999999999993</v>
      </c>
      <c r="M110" s="2">
        <f t="shared" si="54"/>
        <v>41066.666666666664</v>
      </c>
      <c r="N110" s="2">
        <f t="shared" si="54"/>
        <v>47637.333333333321</v>
      </c>
      <c r="O110" s="2">
        <f t="shared" si="54"/>
        <v>54207.999999999993</v>
      </c>
      <c r="P110" s="2">
        <f t="shared" si="54"/>
        <v>60778.666666666664</v>
      </c>
      <c r="Q110" s="2">
        <f t="shared" si="54"/>
        <v>67349.333333333314</v>
      </c>
      <c r="R110" s="2">
        <f t="shared" si="54"/>
        <v>67349.333333333314</v>
      </c>
      <c r="S110" s="2">
        <f t="shared" si="54"/>
        <v>67349.333333333314</v>
      </c>
      <c r="T110" s="2">
        <f t="shared" si="54"/>
        <v>67349.333333333314</v>
      </c>
      <c r="U110" s="2">
        <f t="shared" si="54"/>
        <v>67349.333333333314</v>
      </c>
      <c r="V110" s="2">
        <f t="shared" si="54"/>
        <v>67349.333333333314</v>
      </c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</row>
    <row r="111" spans="1:45" x14ac:dyDescent="0.35">
      <c r="A111" t="s">
        <v>56</v>
      </c>
      <c r="B111" s="13">
        <f>'Prices &amp; assums'!C99</f>
        <v>2800</v>
      </c>
      <c r="C111" s="2">
        <f t="shared" ref="C111:V111" si="55">$B111*C76</f>
        <v>0</v>
      </c>
      <c r="D111" s="2">
        <f t="shared" si="55"/>
        <v>0</v>
      </c>
      <c r="E111" s="2">
        <f t="shared" si="55"/>
        <v>0</v>
      </c>
      <c r="F111" s="2">
        <f t="shared" si="55"/>
        <v>0</v>
      </c>
      <c r="G111" s="2">
        <f t="shared" si="55"/>
        <v>0</v>
      </c>
      <c r="H111" s="2">
        <f t="shared" si="55"/>
        <v>0</v>
      </c>
      <c r="I111" s="2">
        <f t="shared" si="55"/>
        <v>2800</v>
      </c>
      <c r="J111" s="2">
        <f t="shared" si="55"/>
        <v>0</v>
      </c>
      <c r="K111" s="2">
        <f t="shared" si="55"/>
        <v>0</v>
      </c>
      <c r="L111" s="2">
        <f t="shared" si="55"/>
        <v>0</v>
      </c>
      <c r="M111" s="2">
        <f t="shared" si="55"/>
        <v>0</v>
      </c>
      <c r="N111" s="2">
        <f t="shared" si="55"/>
        <v>0</v>
      </c>
      <c r="O111" s="2">
        <f t="shared" si="55"/>
        <v>0</v>
      </c>
      <c r="P111" s="2">
        <f t="shared" si="55"/>
        <v>2800</v>
      </c>
      <c r="Q111" s="2">
        <f t="shared" si="55"/>
        <v>0</v>
      </c>
      <c r="R111" s="2">
        <f t="shared" si="55"/>
        <v>0</v>
      </c>
      <c r="S111" s="2">
        <f t="shared" si="55"/>
        <v>0</v>
      </c>
      <c r="T111" s="2">
        <f t="shared" si="55"/>
        <v>0</v>
      </c>
      <c r="U111" s="2">
        <f t="shared" si="55"/>
        <v>0</v>
      </c>
      <c r="V111" s="2">
        <f t="shared" si="55"/>
        <v>0</v>
      </c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</row>
    <row r="112" spans="1:45" x14ac:dyDescent="0.35">
      <c r="A112" s="11" t="s">
        <v>64</v>
      </c>
      <c r="B112" s="22">
        <f>'Prices &amp; assums'!C103*0.8</f>
        <v>19200</v>
      </c>
      <c r="C112" s="14">
        <f t="shared" ref="C112:V112" si="56">$B112*C77</f>
        <v>0</v>
      </c>
      <c r="D112" s="14">
        <f t="shared" si="56"/>
        <v>0</v>
      </c>
      <c r="E112" s="14">
        <f t="shared" si="56"/>
        <v>0</v>
      </c>
      <c r="F112" s="14">
        <f t="shared" si="56"/>
        <v>0</v>
      </c>
      <c r="G112" s="14">
        <f t="shared" si="56"/>
        <v>0</v>
      </c>
      <c r="H112" s="14">
        <f t="shared" si="56"/>
        <v>0</v>
      </c>
      <c r="I112" s="14">
        <f t="shared" si="56"/>
        <v>0</v>
      </c>
      <c r="J112" s="14">
        <f t="shared" si="56"/>
        <v>0</v>
      </c>
      <c r="K112" s="14">
        <f t="shared" si="56"/>
        <v>0</v>
      </c>
      <c r="L112" s="14">
        <f t="shared" si="56"/>
        <v>0</v>
      </c>
      <c r="M112" s="14">
        <f t="shared" si="56"/>
        <v>0</v>
      </c>
      <c r="N112" s="14">
        <f t="shared" si="56"/>
        <v>0</v>
      </c>
      <c r="O112" s="14">
        <f t="shared" si="56"/>
        <v>0</v>
      </c>
      <c r="P112" s="14">
        <f t="shared" si="56"/>
        <v>0</v>
      </c>
      <c r="Q112" s="14">
        <f t="shared" si="56"/>
        <v>0</v>
      </c>
      <c r="R112" s="14">
        <f t="shared" si="56"/>
        <v>0</v>
      </c>
      <c r="S112" s="14">
        <f t="shared" si="56"/>
        <v>0</v>
      </c>
      <c r="T112" s="14">
        <f t="shared" si="56"/>
        <v>0</v>
      </c>
      <c r="U112" s="14">
        <f t="shared" si="56"/>
        <v>0</v>
      </c>
      <c r="V112" s="14">
        <f t="shared" si="56"/>
        <v>672000</v>
      </c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</row>
    <row r="113" spans="1:22" x14ac:dyDescent="0.35">
      <c r="A113" t="s">
        <v>156</v>
      </c>
      <c r="C113" s="5"/>
      <c r="D113" s="5"/>
      <c r="E113" s="5"/>
    </row>
    <row r="114" spans="1:22" x14ac:dyDescent="0.35">
      <c r="A114" t="s">
        <v>157</v>
      </c>
      <c r="C114" s="2">
        <f t="shared" ref="C114:V114" si="57">SUM(C82:C95)+SUM(C98:C103)+C106</f>
        <v>268010.25</v>
      </c>
      <c r="D114" s="2">
        <f>SUM(D82:D95)+SUM(D98:D103)+D106</f>
        <v>256336.71616541353</v>
      </c>
      <c r="E114" s="2">
        <f t="shared" si="57"/>
        <v>250921.37781954888</v>
      </c>
      <c r="F114" s="2">
        <f t="shared" si="57"/>
        <v>107181.12781954887</v>
      </c>
      <c r="G114" s="2">
        <f t="shared" si="57"/>
        <v>111977.60000000001</v>
      </c>
      <c r="H114" s="2">
        <f t="shared" si="57"/>
        <v>113772.8</v>
      </c>
      <c r="I114" s="2">
        <f t="shared" si="57"/>
        <v>118568</v>
      </c>
      <c r="J114" s="2">
        <f t="shared" si="57"/>
        <v>117363.20000000001</v>
      </c>
      <c r="K114" s="2">
        <f t="shared" si="57"/>
        <v>119158.40000000001</v>
      </c>
      <c r="L114" s="2">
        <f t="shared" si="57"/>
        <v>120953.60000000001</v>
      </c>
      <c r="M114" s="2">
        <f t="shared" si="57"/>
        <v>122748.8</v>
      </c>
      <c r="N114" s="2">
        <f t="shared" si="57"/>
        <v>124544.00000000001</v>
      </c>
      <c r="O114" s="2">
        <f t="shared" si="57"/>
        <v>126339.20000000001</v>
      </c>
      <c r="P114" s="2">
        <f t="shared" si="57"/>
        <v>131134.39999999999</v>
      </c>
      <c r="Q114" s="2">
        <f t="shared" si="57"/>
        <v>129929.60000000001</v>
      </c>
      <c r="R114" s="2">
        <f t="shared" si="57"/>
        <v>129929.60000000001</v>
      </c>
      <c r="S114" s="2">
        <f t="shared" si="57"/>
        <v>128134.39999999999</v>
      </c>
      <c r="T114" s="2">
        <f t="shared" si="57"/>
        <v>126339.20000000001</v>
      </c>
      <c r="U114" s="2">
        <f t="shared" si="57"/>
        <v>124544.00000000001</v>
      </c>
      <c r="V114" s="2">
        <f t="shared" si="57"/>
        <v>122748.8</v>
      </c>
    </row>
    <row r="115" spans="1:22" x14ac:dyDescent="0.35">
      <c r="A115" t="s">
        <v>158</v>
      </c>
      <c r="C115" s="2">
        <f t="shared" ref="C115:V115" si="58">C114-C82-C83-C86/3-C87-C88/3-C90-C92/2-C93-C95</f>
        <v>192348.25</v>
      </c>
      <c r="D115" s="2">
        <f t="shared" si="58"/>
        <v>193018.71616541353</v>
      </c>
      <c r="E115" s="2">
        <f t="shared" si="58"/>
        <v>191347.37781954888</v>
      </c>
      <c r="F115" s="2">
        <f t="shared" si="58"/>
        <v>75317.12781954887</v>
      </c>
      <c r="G115" s="2">
        <f t="shared" si="58"/>
        <v>76357.12000000001</v>
      </c>
      <c r="H115" s="2">
        <f t="shared" si="58"/>
        <v>76879.360000000001</v>
      </c>
      <c r="I115" s="2">
        <f t="shared" si="58"/>
        <v>77401.599999999991</v>
      </c>
      <c r="J115" s="2">
        <f t="shared" si="58"/>
        <v>77923.840000000011</v>
      </c>
      <c r="K115" s="2">
        <f t="shared" si="58"/>
        <v>78446.080000000002</v>
      </c>
      <c r="L115" s="2">
        <f t="shared" si="58"/>
        <v>78968.319999999992</v>
      </c>
      <c r="M115" s="2">
        <f t="shared" si="58"/>
        <v>79490.559999999998</v>
      </c>
      <c r="N115" s="2">
        <f t="shared" si="58"/>
        <v>80012.800000000003</v>
      </c>
      <c r="O115" s="2">
        <f t="shared" si="58"/>
        <v>80535.040000000008</v>
      </c>
      <c r="P115" s="2">
        <f t="shared" si="58"/>
        <v>81057.279999999999</v>
      </c>
      <c r="Q115" s="2">
        <f t="shared" si="58"/>
        <v>81579.520000000004</v>
      </c>
      <c r="R115" s="2">
        <f t="shared" si="58"/>
        <v>81579.520000000004</v>
      </c>
      <c r="S115" s="2">
        <f t="shared" si="58"/>
        <v>81057.279999999999</v>
      </c>
      <c r="T115" s="2">
        <f t="shared" si="58"/>
        <v>80535.040000000008</v>
      </c>
      <c r="U115" s="2">
        <f t="shared" si="58"/>
        <v>80012.800000000003</v>
      </c>
      <c r="V115" s="2">
        <f t="shared" si="58"/>
        <v>79490.559999999998</v>
      </c>
    </row>
    <row r="116" spans="1:22" x14ac:dyDescent="0.35">
      <c r="A116" t="s">
        <v>159</v>
      </c>
      <c r="C116" s="2">
        <f t="shared" ref="C116:V116" si="59">C85+C98+C99+C100+C101+C102</f>
        <v>154312.5</v>
      </c>
      <c r="D116" s="2">
        <f t="shared" si="59"/>
        <v>108312.5</v>
      </c>
      <c r="E116" s="2">
        <f t="shared" si="59"/>
        <v>108312.5</v>
      </c>
      <c r="F116" s="2">
        <f t="shared" si="59"/>
        <v>0</v>
      </c>
      <c r="G116" s="2">
        <f t="shared" si="59"/>
        <v>0</v>
      </c>
      <c r="H116" s="2">
        <f t="shared" si="59"/>
        <v>0</v>
      </c>
      <c r="I116" s="2">
        <f t="shared" si="59"/>
        <v>0</v>
      </c>
      <c r="J116" s="2">
        <f t="shared" si="59"/>
        <v>0</v>
      </c>
      <c r="K116" s="2">
        <f t="shared" si="59"/>
        <v>0</v>
      </c>
      <c r="L116" s="2">
        <f t="shared" si="59"/>
        <v>0</v>
      </c>
      <c r="M116" s="2">
        <f t="shared" si="59"/>
        <v>0</v>
      </c>
      <c r="N116" s="2">
        <f t="shared" si="59"/>
        <v>0</v>
      </c>
      <c r="O116" s="2">
        <f t="shared" si="59"/>
        <v>0</v>
      </c>
      <c r="P116" s="2">
        <f t="shared" si="59"/>
        <v>0</v>
      </c>
      <c r="Q116" s="2">
        <f t="shared" si="59"/>
        <v>0</v>
      </c>
      <c r="R116" s="2">
        <f t="shared" si="59"/>
        <v>0</v>
      </c>
      <c r="S116" s="2">
        <f t="shared" si="59"/>
        <v>0</v>
      </c>
      <c r="T116" s="2">
        <f t="shared" si="59"/>
        <v>0</v>
      </c>
      <c r="U116" s="2">
        <f t="shared" si="59"/>
        <v>0</v>
      </c>
      <c r="V116" s="2">
        <f t="shared" si="59"/>
        <v>0</v>
      </c>
    </row>
    <row r="117" spans="1:22" x14ac:dyDescent="0.35">
      <c r="A117" s="44" t="s">
        <v>160</v>
      </c>
      <c r="B117" s="44"/>
      <c r="C117" s="30">
        <f>C114-C116</f>
        <v>113697.75</v>
      </c>
      <c r="D117" s="30">
        <f t="shared" ref="D117:V117" si="60">D114-D116</f>
        <v>148024.21616541353</v>
      </c>
      <c r="E117" s="30">
        <f t="shared" si="60"/>
        <v>142608.87781954888</v>
      </c>
      <c r="F117" s="30">
        <f t="shared" si="60"/>
        <v>107181.12781954887</v>
      </c>
      <c r="G117" s="30">
        <f t="shared" si="60"/>
        <v>111977.60000000001</v>
      </c>
      <c r="H117" s="30">
        <f t="shared" si="60"/>
        <v>113772.8</v>
      </c>
      <c r="I117" s="30">
        <f t="shared" si="60"/>
        <v>118568</v>
      </c>
      <c r="J117" s="30">
        <f t="shared" si="60"/>
        <v>117363.20000000001</v>
      </c>
      <c r="K117" s="30">
        <f t="shared" si="60"/>
        <v>119158.40000000001</v>
      </c>
      <c r="L117" s="30">
        <f t="shared" si="60"/>
        <v>120953.60000000001</v>
      </c>
      <c r="M117" s="30">
        <f t="shared" si="60"/>
        <v>122748.8</v>
      </c>
      <c r="N117" s="30">
        <f t="shared" si="60"/>
        <v>124544.00000000001</v>
      </c>
      <c r="O117" s="30">
        <f t="shared" si="60"/>
        <v>126339.20000000001</v>
      </c>
      <c r="P117" s="30">
        <f t="shared" si="60"/>
        <v>131134.39999999999</v>
      </c>
      <c r="Q117" s="30">
        <f t="shared" si="60"/>
        <v>129929.60000000001</v>
      </c>
      <c r="R117" s="30">
        <f t="shared" si="60"/>
        <v>129929.60000000001</v>
      </c>
      <c r="S117" s="30">
        <f t="shared" si="60"/>
        <v>128134.39999999999</v>
      </c>
      <c r="T117" s="30">
        <f t="shared" si="60"/>
        <v>126339.20000000001</v>
      </c>
      <c r="U117" s="30">
        <f t="shared" si="60"/>
        <v>124544.00000000001</v>
      </c>
      <c r="V117" s="30">
        <f t="shared" si="60"/>
        <v>122748.8</v>
      </c>
    </row>
    <row r="118" spans="1:22" x14ac:dyDescent="0.35">
      <c r="A118" t="s">
        <v>79</v>
      </c>
      <c r="C118" s="2">
        <f t="shared" ref="C118:V118" si="61">SUM(C109:C112)</f>
        <v>148500</v>
      </c>
      <c r="D118" s="2">
        <f t="shared" si="61"/>
        <v>99000</v>
      </c>
      <c r="E118" s="2">
        <f t="shared" si="61"/>
        <v>49500</v>
      </c>
      <c r="F118" s="2">
        <f t="shared" si="61"/>
        <v>90750</v>
      </c>
      <c r="G118" s="2">
        <f t="shared" si="61"/>
        <v>140415</v>
      </c>
      <c r="H118" s="2">
        <f t="shared" si="61"/>
        <v>198495.00000000003</v>
      </c>
      <c r="I118" s="2">
        <f t="shared" si="61"/>
        <v>226540.00000000003</v>
      </c>
      <c r="J118" s="2">
        <f t="shared" si="61"/>
        <v>270339.66666666674</v>
      </c>
      <c r="K118" s="2">
        <f t="shared" si="61"/>
        <v>302155.33333333331</v>
      </c>
      <c r="L118" s="2">
        <f t="shared" si="61"/>
        <v>333971.00000000006</v>
      </c>
      <c r="M118" s="2">
        <f t="shared" si="61"/>
        <v>365786.66666666669</v>
      </c>
      <c r="N118" s="2">
        <f t="shared" si="61"/>
        <v>397602.33333333337</v>
      </c>
      <c r="O118" s="2">
        <f t="shared" si="61"/>
        <v>429418.00000000006</v>
      </c>
      <c r="P118" s="2">
        <f t="shared" si="61"/>
        <v>464033.66666666669</v>
      </c>
      <c r="Q118" s="2">
        <f t="shared" si="61"/>
        <v>493049.33333333331</v>
      </c>
      <c r="R118" s="2">
        <f t="shared" si="61"/>
        <v>501464.33333333337</v>
      </c>
      <c r="S118" s="2">
        <f t="shared" si="61"/>
        <v>493049.33333333331</v>
      </c>
      <c r="T118" s="2">
        <f t="shared" si="61"/>
        <v>467804.33333333331</v>
      </c>
      <c r="U118" s="2">
        <f t="shared" si="61"/>
        <v>442559.33333333337</v>
      </c>
      <c r="V118" s="2">
        <f t="shared" si="61"/>
        <v>1089314.3333333335</v>
      </c>
    </row>
    <row r="119" spans="1:22" x14ac:dyDescent="0.35">
      <c r="A119" s="45" t="s">
        <v>154</v>
      </c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x14ac:dyDescent="0.35">
      <c r="A120" t="s">
        <v>151</v>
      </c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x14ac:dyDescent="0.35">
      <c r="A121" t="s">
        <v>152</v>
      </c>
      <c r="C121" s="2">
        <f t="shared" ref="C121:V121" si="62">C118-C114</f>
        <v>-119510.25</v>
      </c>
      <c r="D121" s="2">
        <f t="shared" si="62"/>
        <v>-157336.71616541353</v>
      </c>
      <c r="E121" s="2">
        <f t="shared" si="62"/>
        <v>-201421.37781954888</v>
      </c>
      <c r="F121" s="2">
        <f t="shared" si="62"/>
        <v>-16431.12781954887</v>
      </c>
      <c r="G121" s="2">
        <f t="shared" si="62"/>
        <v>28437.399999999994</v>
      </c>
      <c r="H121" s="2">
        <f t="shared" si="62"/>
        <v>84722.200000000026</v>
      </c>
      <c r="I121" s="2">
        <f t="shared" si="62"/>
        <v>107972.00000000003</v>
      </c>
      <c r="J121" s="2">
        <f t="shared" si="62"/>
        <v>152976.46666666673</v>
      </c>
      <c r="K121" s="2">
        <f t="shared" si="62"/>
        <v>182996.93333333329</v>
      </c>
      <c r="L121" s="2">
        <f t="shared" si="62"/>
        <v>213017.40000000005</v>
      </c>
      <c r="M121" s="2">
        <f t="shared" si="62"/>
        <v>243037.8666666667</v>
      </c>
      <c r="N121" s="2">
        <f t="shared" si="62"/>
        <v>273058.33333333337</v>
      </c>
      <c r="O121" s="2">
        <f t="shared" si="62"/>
        <v>303078.80000000005</v>
      </c>
      <c r="P121" s="2">
        <f t="shared" si="62"/>
        <v>332899.26666666672</v>
      </c>
      <c r="Q121" s="2">
        <f t="shared" si="62"/>
        <v>363119.73333333328</v>
      </c>
      <c r="R121" s="2">
        <f t="shared" si="62"/>
        <v>371534.7333333334</v>
      </c>
      <c r="S121" s="2">
        <f t="shared" si="62"/>
        <v>364914.93333333335</v>
      </c>
      <c r="T121" s="2">
        <f t="shared" si="62"/>
        <v>341465.1333333333</v>
      </c>
      <c r="U121" s="2">
        <f t="shared" si="62"/>
        <v>318015.33333333337</v>
      </c>
      <c r="V121" s="2">
        <f t="shared" si="62"/>
        <v>966565.53333333344</v>
      </c>
    </row>
    <row r="122" spans="1:22" x14ac:dyDescent="0.35">
      <c r="A122" t="s">
        <v>153</v>
      </c>
      <c r="C122" s="2">
        <f t="shared" ref="C122:V122" si="63">C118-C115</f>
        <v>-43848.25</v>
      </c>
      <c r="D122" s="2">
        <f t="shared" si="63"/>
        <v>-94018.716165413527</v>
      </c>
      <c r="E122" s="2">
        <f t="shared" si="63"/>
        <v>-141847.37781954888</v>
      </c>
      <c r="F122" s="2">
        <f t="shared" si="63"/>
        <v>15432.87218045113</v>
      </c>
      <c r="G122" s="2">
        <f t="shared" si="63"/>
        <v>64057.87999999999</v>
      </c>
      <c r="H122" s="2">
        <f t="shared" si="63"/>
        <v>121615.64000000003</v>
      </c>
      <c r="I122" s="2">
        <f t="shared" si="63"/>
        <v>149138.40000000002</v>
      </c>
      <c r="J122" s="2">
        <f t="shared" si="63"/>
        <v>192415.82666666672</v>
      </c>
      <c r="K122" s="2">
        <f t="shared" si="63"/>
        <v>223709.2533333333</v>
      </c>
      <c r="L122" s="2">
        <f t="shared" si="63"/>
        <v>255002.68000000005</v>
      </c>
      <c r="M122" s="2">
        <f t="shared" si="63"/>
        <v>286296.10666666669</v>
      </c>
      <c r="N122" s="2">
        <f t="shared" si="63"/>
        <v>317589.53333333338</v>
      </c>
      <c r="O122" s="2">
        <f t="shared" si="63"/>
        <v>348882.96000000008</v>
      </c>
      <c r="P122" s="2">
        <f t="shared" si="63"/>
        <v>382976.38666666672</v>
      </c>
      <c r="Q122" s="2">
        <f t="shared" si="63"/>
        <v>411469.8133333333</v>
      </c>
      <c r="R122" s="2">
        <f t="shared" si="63"/>
        <v>419884.81333333335</v>
      </c>
      <c r="S122" s="2">
        <f t="shared" si="63"/>
        <v>411992.05333333334</v>
      </c>
      <c r="T122" s="2">
        <f t="shared" si="63"/>
        <v>387269.29333333333</v>
      </c>
      <c r="U122" s="2">
        <f t="shared" si="63"/>
        <v>362546.53333333338</v>
      </c>
      <c r="V122" s="2">
        <f t="shared" si="63"/>
        <v>1009823.7733333334</v>
      </c>
    </row>
    <row r="123" spans="1:22" x14ac:dyDescent="0.35">
      <c r="A123" t="s">
        <v>215</v>
      </c>
      <c r="C123" s="2">
        <f>C118-C114+C116</f>
        <v>34802.25</v>
      </c>
      <c r="D123" s="2">
        <f t="shared" ref="D123:V123" si="64">D118-D114+D116</f>
        <v>-49024.216165413527</v>
      </c>
      <c r="E123" s="2">
        <f t="shared" si="64"/>
        <v>-93108.877819548885</v>
      </c>
      <c r="F123" s="2">
        <f t="shared" si="64"/>
        <v>-16431.12781954887</v>
      </c>
      <c r="G123" s="2">
        <f t="shared" si="64"/>
        <v>28437.399999999994</v>
      </c>
      <c r="H123" s="2">
        <f t="shared" si="64"/>
        <v>84722.200000000026</v>
      </c>
      <c r="I123" s="2">
        <f t="shared" si="64"/>
        <v>107972.00000000003</v>
      </c>
      <c r="J123" s="2">
        <f t="shared" si="64"/>
        <v>152976.46666666673</v>
      </c>
      <c r="K123" s="2">
        <f t="shared" si="64"/>
        <v>182996.93333333329</v>
      </c>
      <c r="L123" s="2">
        <f t="shared" si="64"/>
        <v>213017.40000000005</v>
      </c>
      <c r="M123" s="2">
        <f t="shared" si="64"/>
        <v>243037.8666666667</v>
      </c>
      <c r="N123" s="2">
        <f t="shared" si="64"/>
        <v>273058.33333333337</v>
      </c>
      <c r="O123" s="2">
        <f t="shared" si="64"/>
        <v>303078.80000000005</v>
      </c>
      <c r="P123" s="2">
        <f t="shared" si="64"/>
        <v>332899.26666666672</v>
      </c>
      <c r="Q123" s="2">
        <f t="shared" si="64"/>
        <v>363119.73333333328</v>
      </c>
      <c r="R123" s="2">
        <f t="shared" si="64"/>
        <v>371534.7333333334</v>
      </c>
      <c r="S123" s="2">
        <f t="shared" si="64"/>
        <v>364914.93333333335</v>
      </c>
      <c r="T123" s="2">
        <f t="shared" si="64"/>
        <v>341465.1333333333</v>
      </c>
      <c r="U123" s="2">
        <f t="shared" si="64"/>
        <v>318015.33333333337</v>
      </c>
      <c r="V123" s="2">
        <f t="shared" si="64"/>
        <v>966565.53333333344</v>
      </c>
    </row>
    <row r="124" spans="1:22" x14ac:dyDescent="0.35">
      <c r="A124" t="s">
        <v>213</v>
      </c>
      <c r="C124" s="2">
        <f t="shared" ref="C124:V124" si="65">C118-C115+C116</f>
        <v>110464.25</v>
      </c>
      <c r="D124" s="2">
        <f t="shared" si="65"/>
        <v>14293.783834586473</v>
      </c>
      <c r="E124" s="2">
        <f t="shared" si="65"/>
        <v>-33534.877819548885</v>
      </c>
      <c r="F124" s="2">
        <f t="shared" si="65"/>
        <v>15432.87218045113</v>
      </c>
      <c r="G124" s="2">
        <f t="shared" si="65"/>
        <v>64057.87999999999</v>
      </c>
      <c r="H124" s="2">
        <f t="shared" si="65"/>
        <v>121615.64000000003</v>
      </c>
      <c r="I124" s="2">
        <f t="shared" si="65"/>
        <v>149138.40000000002</v>
      </c>
      <c r="J124" s="2">
        <f t="shared" si="65"/>
        <v>192415.82666666672</v>
      </c>
      <c r="K124" s="2">
        <f t="shared" si="65"/>
        <v>223709.2533333333</v>
      </c>
      <c r="L124" s="2">
        <f t="shared" si="65"/>
        <v>255002.68000000005</v>
      </c>
      <c r="M124" s="2">
        <f t="shared" si="65"/>
        <v>286296.10666666669</v>
      </c>
      <c r="N124" s="2">
        <f t="shared" si="65"/>
        <v>317589.53333333338</v>
      </c>
      <c r="O124" s="2">
        <f t="shared" si="65"/>
        <v>348882.96000000008</v>
      </c>
      <c r="P124" s="2">
        <f t="shared" si="65"/>
        <v>382976.38666666672</v>
      </c>
      <c r="Q124" s="2">
        <f t="shared" si="65"/>
        <v>411469.8133333333</v>
      </c>
      <c r="R124" s="2">
        <f t="shared" si="65"/>
        <v>419884.81333333335</v>
      </c>
      <c r="S124" s="2">
        <f t="shared" si="65"/>
        <v>411992.05333333334</v>
      </c>
      <c r="T124" s="2">
        <f t="shared" si="65"/>
        <v>387269.29333333333</v>
      </c>
      <c r="U124" s="2">
        <f t="shared" si="65"/>
        <v>362546.53333333338</v>
      </c>
      <c r="V124" s="2">
        <f t="shared" si="65"/>
        <v>1009823.7733333334</v>
      </c>
    </row>
    <row r="125" spans="1:22" x14ac:dyDescent="0.35">
      <c r="A125" s="37" t="s">
        <v>145</v>
      </c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x14ac:dyDescent="0.35">
      <c r="A126" t="s">
        <v>146</v>
      </c>
      <c r="C126" s="2">
        <f>C121-C$36</f>
        <v>-245361.67857142858</v>
      </c>
      <c r="D126" s="2">
        <f t="shared" ref="D126:V126" si="66">D121-D$36</f>
        <v>-283188.14473684208</v>
      </c>
      <c r="E126" s="2">
        <f t="shared" si="66"/>
        <v>-327272.80639097746</v>
      </c>
      <c r="F126" s="2">
        <f t="shared" si="66"/>
        <v>-142282.55639097744</v>
      </c>
      <c r="G126" s="2">
        <f t="shared" si="66"/>
        <v>-97414.028571428571</v>
      </c>
      <c r="H126" s="2">
        <f t="shared" si="66"/>
        <v>-41129.228571428539</v>
      </c>
      <c r="I126" s="2">
        <f t="shared" si="66"/>
        <v>-17879.428571428536</v>
      </c>
      <c r="J126" s="2">
        <f t="shared" si="66"/>
        <v>27125.038095238167</v>
      </c>
      <c r="K126" s="2">
        <f t="shared" si="66"/>
        <v>57145.504761904725</v>
      </c>
      <c r="L126" s="2">
        <f t="shared" si="66"/>
        <v>87165.971428571487</v>
      </c>
      <c r="M126" s="2">
        <f t="shared" si="66"/>
        <v>117186.43809523813</v>
      </c>
      <c r="N126" s="2">
        <f t="shared" si="66"/>
        <v>147206.90476190479</v>
      </c>
      <c r="O126" s="2">
        <f t="shared" si="66"/>
        <v>177227.37142857147</v>
      </c>
      <c r="P126" s="2">
        <f t="shared" si="66"/>
        <v>207047.83809523814</v>
      </c>
      <c r="Q126" s="2">
        <f t="shared" si="66"/>
        <v>237268.3047619047</v>
      </c>
      <c r="R126" s="2">
        <f t="shared" si="66"/>
        <v>245683.30476190482</v>
      </c>
      <c r="S126" s="2">
        <f t="shared" si="66"/>
        <v>239063.50476190477</v>
      </c>
      <c r="T126" s="2">
        <f t="shared" si="66"/>
        <v>215613.70476190472</v>
      </c>
      <c r="U126" s="2">
        <f t="shared" si="66"/>
        <v>192163.90476190479</v>
      </c>
      <c r="V126" s="2">
        <f t="shared" si="66"/>
        <v>840714.10476190492</v>
      </c>
    </row>
    <row r="127" spans="1:22" hidden="1" x14ac:dyDescent="0.35">
      <c r="A127" t="s">
        <v>147</v>
      </c>
      <c r="B127" s="24">
        <f>NPV(disc_rate_fin,C126:V126)</f>
        <v>-359727.04076141946</v>
      </c>
    </row>
    <row r="128" spans="1:22" hidden="1" x14ac:dyDescent="0.35">
      <c r="A128" t="s">
        <v>148</v>
      </c>
      <c r="B128" s="21">
        <f>B127/usd</f>
        <v>-609.70684874816857</v>
      </c>
    </row>
    <row r="129" spans="1:22" hidden="1" x14ac:dyDescent="0.35">
      <c r="A129" t="s">
        <v>149</v>
      </c>
      <c r="B129" s="23">
        <f>IRR(C126:V126)</f>
        <v>6.8681058554764141E-2</v>
      </c>
      <c r="C129" s="122"/>
    </row>
    <row r="130" spans="1:22" hidden="1" x14ac:dyDescent="0.35">
      <c r="A130" t="s">
        <v>353</v>
      </c>
      <c r="B130" s="24" t="e">
        <f t="array" ref="B130">MATCH(TRUE,#REF!&gt;0,0)</f>
        <v>#REF!</v>
      </c>
      <c r="C130" s="122"/>
    </row>
    <row r="131" spans="1:22" hidden="1" x14ac:dyDescent="0.35">
      <c r="A131" t="s">
        <v>354</v>
      </c>
      <c r="B131" s="24" t="e">
        <f t="array" ref="B131">MATCH(TRUE,#REF!&gt;0,0)</f>
        <v>#REF!</v>
      </c>
      <c r="C131" s="122"/>
    </row>
    <row r="132" spans="1:22" x14ac:dyDescent="0.35">
      <c r="A132" t="s">
        <v>214</v>
      </c>
      <c r="B132" s="23"/>
      <c r="C132" s="2">
        <f t="shared" ref="C132:V132" si="67">C122-C$37</f>
        <v>-201342.34523809524</v>
      </c>
      <c r="D132" s="2">
        <f t="shared" si="67"/>
        <v>-251512.81140350876</v>
      </c>
      <c r="E132" s="2">
        <f t="shared" si="67"/>
        <v>-299341.47305764409</v>
      </c>
      <c r="F132" s="2">
        <f t="shared" si="67"/>
        <v>-142061.22305764409</v>
      </c>
      <c r="G132" s="2">
        <f t="shared" si="67"/>
        <v>-93436.215238095247</v>
      </c>
      <c r="H132" s="2">
        <f t="shared" si="67"/>
        <v>-35878.455238095208</v>
      </c>
      <c r="I132" s="2">
        <f t="shared" si="67"/>
        <v>-8355.6952380952134</v>
      </c>
      <c r="J132" s="2">
        <f t="shared" si="67"/>
        <v>34921.731428571482</v>
      </c>
      <c r="K132" s="2">
        <f t="shared" si="67"/>
        <v>66215.158095238061</v>
      </c>
      <c r="L132" s="2">
        <f t="shared" si="67"/>
        <v>97508.584761904815</v>
      </c>
      <c r="M132" s="2">
        <f t="shared" si="67"/>
        <v>128802.01142857145</v>
      </c>
      <c r="N132" s="2">
        <f t="shared" si="67"/>
        <v>160095.43809523815</v>
      </c>
      <c r="O132" s="2">
        <f t="shared" si="67"/>
        <v>191388.86476190484</v>
      </c>
      <c r="P132" s="2">
        <f t="shared" si="67"/>
        <v>225482.29142857148</v>
      </c>
      <c r="Q132" s="2">
        <f t="shared" si="67"/>
        <v>253975.71809523806</v>
      </c>
      <c r="R132" s="2">
        <f t="shared" si="67"/>
        <v>262390.71809523809</v>
      </c>
      <c r="S132" s="2">
        <f t="shared" si="67"/>
        <v>254497.95809523811</v>
      </c>
      <c r="T132" s="2">
        <f t="shared" si="67"/>
        <v>229775.1980952381</v>
      </c>
      <c r="U132" s="2">
        <f t="shared" si="67"/>
        <v>205052.43809523815</v>
      </c>
      <c r="V132" s="2">
        <f t="shared" si="67"/>
        <v>852329.67809523817</v>
      </c>
    </row>
    <row r="133" spans="1:22" x14ac:dyDescent="0.35">
      <c r="A133" t="s">
        <v>147</v>
      </c>
      <c r="B133" s="24">
        <f>NPV(disc_rate_fin,C132:V132)</f>
        <v>-226826.0348973397</v>
      </c>
    </row>
    <row r="134" spans="1:22" x14ac:dyDescent="0.35">
      <c r="A134" t="s">
        <v>148</v>
      </c>
      <c r="B134" s="21">
        <f>B133/usd</f>
        <v>-384.45090660566052</v>
      </c>
    </row>
    <row r="135" spans="1:22" x14ac:dyDescent="0.35">
      <c r="A135" t="s">
        <v>149</v>
      </c>
      <c r="B135" s="23">
        <f>IRR(C132:V132)</f>
        <v>8.4123584920814176E-2</v>
      </c>
    </row>
    <row r="136" spans="1:22" x14ac:dyDescent="0.35">
      <c r="A136" s="37" t="s">
        <v>150</v>
      </c>
      <c r="B136" s="23"/>
    </row>
    <row r="137" spans="1:22" x14ac:dyDescent="0.35">
      <c r="A137" t="s">
        <v>146</v>
      </c>
      <c r="C137" s="2">
        <f t="shared" ref="C137:V137" si="68">C123-C$36</f>
        <v>-91049.178571428565</v>
      </c>
      <c r="D137" s="2">
        <f t="shared" si="68"/>
        <v>-174875.64473684208</v>
      </c>
      <c r="E137" s="2">
        <f t="shared" si="68"/>
        <v>-218960.30639097746</v>
      </c>
      <c r="F137" s="2">
        <f t="shared" si="68"/>
        <v>-142282.55639097744</v>
      </c>
      <c r="G137" s="2">
        <f t="shared" si="68"/>
        <v>-97414.028571428571</v>
      </c>
      <c r="H137" s="2">
        <f t="shared" si="68"/>
        <v>-41129.228571428539</v>
      </c>
      <c r="I137" s="2">
        <f t="shared" si="68"/>
        <v>-17879.428571428536</v>
      </c>
      <c r="J137" s="2">
        <f t="shared" si="68"/>
        <v>27125.038095238167</v>
      </c>
      <c r="K137" s="2">
        <f t="shared" si="68"/>
        <v>57145.504761904725</v>
      </c>
      <c r="L137" s="2">
        <f t="shared" si="68"/>
        <v>87165.971428571487</v>
      </c>
      <c r="M137" s="2">
        <f t="shared" si="68"/>
        <v>117186.43809523813</v>
      </c>
      <c r="N137" s="2">
        <f t="shared" si="68"/>
        <v>147206.90476190479</v>
      </c>
      <c r="O137" s="2">
        <f t="shared" si="68"/>
        <v>177227.37142857147</v>
      </c>
      <c r="P137" s="2">
        <f t="shared" si="68"/>
        <v>207047.83809523814</v>
      </c>
      <c r="Q137" s="2">
        <f t="shared" si="68"/>
        <v>237268.3047619047</v>
      </c>
      <c r="R137" s="2">
        <f t="shared" si="68"/>
        <v>245683.30476190482</v>
      </c>
      <c r="S137" s="2">
        <f t="shared" si="68"/>
        <v>239063.50476190477</v>
      </c>
      <c r="T137" s="2">
        <f t="shared" si="68"/>
        <v>215613.70476190472</v>
      </c>
      <c r="U137" s="2">
        <f t="shared" si="68"/>
        <v>192163.90476190479</v>
      </c>
      <c r="V137" s="2">
        <f t="shared" si="68"/>
        <v>840714.10476190492</v>
      </c>
    </row>
    <row r="138" spans="1:22" hidden="1" x14ac:dyDescent="0.35">
      <c r="A138" t="s">
        <v>147</v>
      </c>
      <c r="B138" s="24">
        <f>NPV(disc_rate_fin,C137:V137)</f>
        <v>-56071.473100391529</v>
      </c>
    </row>
    <row r="139" spans="1:22" hidden="1" x14ac:dyDescent="0.35">
      <c r="A139" t="s">
        <v>148</v>
      </c>
      <c r="B139" s="21">
        <f>B138/usd</f>
        <v>-95.036395085409367</v>
      </c>
    </row>
    <row r="140" spans="1:22" hidden="1" x14ac:dyDescent="0.35">
      <c r="A140" t="s">
        <v>149</v>
      </c>
      <c r="B140" s="23">
        <f>IRR(C137:V137)</f>
        <v>0.10531150880005624</v>
      </c>
    </row>
    <row r="141" spans="1:22" hidden="1" x14ac:dyDescent="0.35">
      <c r="A141" t="s">
        <v>353</v>
      </c>
      <c r="B141" s="24" t="e">
        <f t="array" ref="B141">MATCH(TRUE,#REF!&gt;0,0)</f>
        <v>#REF!</v>
      </c>
    </row>
    <row r="142" spans="1:22" hidden="1" x14ac:dyDescent="0.35">
      <c r="A142" t="s">
        <v>354</v>
      </c>
      <c r="B142" s="24" t="e">
        <f t="array" ref="B142">MATCH(TRUE,#REF!&gt;0,0)</f>
        <v>#REF!</v>
      </c>
    </row>
    <row r="143" spans="1:22" x14ac:dyDescent="0.35">
      <c r="A143" t="s">
        <v>214</v>
      </c>
      <c r="B143" s="23"/>
      <c r="C143" s="2">
        <f t="shared" ref="C143:V143" si="69">C124-C$37</f>
        <v>-47029.845238095237</v>
      </c>
      <c r="D143" s="2">
        <f t="shared" si="69"/>
        <v>-143200.31140350876</v>
      </c>
      <c r="E143" s="2">
        <f t="shared" si="69"/>
        <v>-191028.97305764412</v>
      </c>
      <c r="F143" s="2">
        <f t="shared" si="69"/>
        <v>-142061.22305764409</v>
      </c>
      <c r="G143" s="2">
        <f t="shared" si="69"/>
        <v>-93436.215238095247</v>
      </c>
      <c r="H143" s="2">
        <f t="shared" si="69"/>
        <v>-35878.455238095208</v>
      </c>
      <c r="I143" s="2">
        <f t="shared" si="69"/>
        <v>-8355.6952380952134</v>
      </c>
      <c r="J143" s="2">
        <f t="shared" si="69"/>
        <v>34921.731428571482</v>
      </c>
      <c r="K143" s="2">
        <f t="shared" si="69"/>
        <v>66215.158095238061</v>
      </c>
      <c r="L143" s="2">
        <f t="shared" si="69"/>
        <v>97508.584761904815</v>
      </c>
      <c r="M143" s="2">
        <f t="shared" si="69"/>
        <v>128802.01142857145</v>
      </c>
      <c r="N143" s="2">
        <f t="shared" si="69"/>
        <v>160095.43809523815</v>
      </c>
      <c r="O143" s="2">
        <f t="shared" si="69"/>
        <v>191388.86476190484</v>
      </c>
      <c r="P143" s="2">
        <f t="shared" si="69"/>
        <v>225482.29142857148</v>
      </c>
      <c r="Q143" s="2">
        <f t="shared" si="69"/>
        <v>253975.71809523806</v>
      </c>
      <c r="R143" s="2">
        <f t="shared" si="69"/>
        <v>262390.71809523809</v>
      </c>
      <c r="S143" s="2">
        <f t="shared" si="69"/>
        <v>254497.95809523811</v>
      </c>
      <c r="T143" s="2">
        <f t="shared" si="69"/>
        <v>229775.1980952381</v>
      </c>
      <c r="U143" s="2">
        <f t="shared" si="69"/>
        <v>205052.43809523815</v>
      </c>
      <c r="V143" s="2">
        <f t="shared" si="69"/>
        <v>852329.67809523817</v>
      </c>
    </row>
    <row r="144" spans="1:22" x14ac:dyDescent="0.35">
      <c r="A144" t="s">
        <v>147</v>
      </c>
      <c r="B144" s="24">
        <f>NPV(disc_rate_fin,C143:V143)</f>
        <v>76829.532763687734</v>
      </c>
    </row>
    <row r="145" spans="1:22" x14ac:dyDescent="0.35">
      <c r="A145" t="s">
        <v>148</v>
      </c>
      <c r="B145" s="21">
        <f>B144/usd</f>
        <v>130.21954705709786</v>
      </c>
    </row>
    <row r="146" spans="1:22" x14ac:dyDescent="0.35">
      <c r="A146" t="s">
        <v>149</v>
      </c>
      <c r="B146" s="23">
        <f>IRR(C143:V143)</f>
        <v>0.12969062867286119</v>
      </c>
      <c r="E146" s="2"/>
    </row>
    <row r="147" spans="1:22" hidden="1" x14ac:dyDescent="0.35">
      <c r="A147" t="s">
        <v>353</v>
      </c>
      <c r="B147" s="24" t="e">
        <f t="array" ref="B147">MATCH(TRUE,#REF!&gt;0,0)</f>
        <v>#REF!</v>
      </c>
    </row>
    <row r="148" spans="1:22" hidden="1" x14ac:dyDescent="0.35">
      <c r="A148" t="s">
        <v>354</v>
      </c>
      <c r="B148" s="24" t="e">
        <f t="array" ref="B148">MATCH(TRUE,#REF!&gt;0,0)</f>
        <v>#REF!</v>
      </c>
    </row>
    <row r="149" spans="1:22" x14ac:dyDescent="0.35">
      <c r="B149" s="24"/>
    </row>
    <row r="150" spans="1:22" x14ac:dyDescent="0.35">
      <c r="B150" s="24"/>
    </row>
    <row r="151" spans="1:22" x14ac:dyDescent="0.35">
      <c r="A151" s="1" t="s">
        <v>475</v>
      </c>
    </row>
    <row r="152" spans="1:22" x14ac:dyDescent="0.35">
      <c r="A152" t="s">
        <v>386</v>
      </c>
      <c r="B152" s="66">
        <v>0.26</v>
      </c>
      <c r="C152" s="2">
        <f t="shared" ref="C152:V152" si="70">SUM(C109:C112)*(1-$B152)-(C115-C116)</f>
        <v>71854.25</v>
      </c>
      <c r="D152" s="2">
        <f t="shared" si="70"/>
        <v>-11446.216165413527</v>
      </c>
      <c r="E152" s="2">
        <f t="shared" si="70"/>
        <v>-46404.877819548885</v>
      </c>
      <c r="F152" s="2">
        <f t="shared" si="70"/>
        <v>-8162.1278195488703</v>
      </c>
      <c r="G152" s="2">
        <f t="shared" si="70"/>
        <v>27549.979999999996</v>
      </c>
      <c r="H152" s="2">
        <f t="shared" si="70"/>
        <v>70006.940000000017</v>
      </c>
      <c r="I152" s="2">
        <f t="shared" si="70"/>
        <v>90238.000000000015</v>
      </c>
      <c r="J152" s="2">
        <f t="shared" si="70"/>
        <v>122127.51333333338</v>
      </c>
      <c r="K152" s="2">
        <f t="shared" si="70"/>
        <v>145148.86666666664</v>
      </c>
      <c r="L152" s="2">
        <f t="shared" si="70"/>
        <v>168170.22000000003</v>
      </c>
      <c r="M152" s="2">
        <f t="shared" si="70"/>
        <v>191191.57333333336</v>
      </c>
      <c r="N152" s="2">
        <f t="shared" si="70"/>
        <v>214212.9266666667</v>
      </c>
      <c r="O152" s="2">
        <f t="shared" si="70"/>
        <v>237234.28000000006</v>
      </c>
      <c r="P152" s="2">
        <f t="shared" si="70"/>
        <v>262327.6333333333</v>
      </c>
      <c r="Q152" s="2">
        <f t="shared" si="70"/>
        <v>283276.98666666663</v>
      </c>
      <c r="R152" s="2">
        <f t="shared" si="70"/>
        <v>289504.08666666667</v>
      </c>
      <c r="S152" s="2">
        <f t="shared" si="70"/>
        <v>283799.22666666668</v>
      </c>
      <c r="T152" s="2">
        <f t="shared" si="70"/>
        <v>265640.16666666663</v>
      </c>
      <c r="U152" s="2">
        <f t="shared" si="70"/>
        <v>247481.10666666669</v>
      </c>
      <c r="V152" s="2">
        <f t="shared" si="70"/>
        <v>726602.04666666687</v>
      </c>
    </row>
    <row r="153" spans="1:22" x14ac:dyDescent="0.35">
      <c r="A153" t="s">
        <v>383</v>
      </c>
      <c r="C153" s="2">
        <f t="shared" ref="C153:V153" si="71">C34*(1-$B152)-(C33)</f>
        <v>106014.09523809524</v>
      </c>
      <c r="D153" s="2">
        <f t="shared" si="71"/>
        <v>106014.09523809524</v>
      </c>
      <c r="E153" s="2">
        <f t="shared" si="71"/>
        <v>106014.09523809524</v>
      </c>
      <c r="F153" s="2">
        <f t="shared" si="71"/>
        <v>106014.09523809524</v>
      </c>
      <c r="G153" s="2">
        <f t="shared" si="71"/>
        <v>106014.09523809524</v>
      </c>
      <c r="H153" s="2">
        <f t="shared" si="71"/>
        <v>106014.09523809524</v>
      </c>
      <c r="I153" s="2">
        <f t="shared" si="71"/>
        <v>106014.09523809524</v>
      </c>
      <c r="J153" s="2">
        <f t="shared" si="71"/>
        <v>106014.09523809524</v>
      </c>
      <c r="K153" s="2">
        <f t="shared" si="71"/>
        <v>106014.09523809524</v>
      </c>
      <c r="L153" s="2">
        <f t="shared" si="71"/>
        <v>106014.09523809524</v>
      </c>
      <c r="M153" s="2">
        <f t="shared" si="71"/>
        <v>106014.09523809524</v>
      </c>
      <c r="N153" s="2">
        <f t="shared" si="71"/>
        <v>106014.09523809524</v>
      </c>
      <c r="O153" s="2">
        <f t="shared" si="71"/>
        <v>106014.09523809524</v>
      </c>
      <c r="P153" s="2">
        <f t="shared" si="71"/>
        <v>106014.09523809524</v>
      </c>
      <c r="Q153" s="2">
        <f t="shared" si="71"/>
        <v>106014.09523809524</v>
      </c>
      <c r="R153" s="2">
        <f t="shared" si="71"/>
        <v>106014.09523809524</v>
      </c>
      <c r="S153" s="2">
        <f t="shared" si="71"/>
        <v>106014.09523809524</v>
      </c>
      <c r="T153" s="2">
        <f t="shared" si="71"/>
        <v>106014.09523809524</v>
      </c>
      <c r="U153" s="2">
        <f t="shared" si="71"/>
        <v>106014.09523809524</v>
      </c>
      <c r="V153" s="2">
        <f t="shared" si="71"/>
        <v>106014.09523809524</v>
      </c>
    </row>
    <row r="154" spans="1:22" x14ac:dyDescent="0.35">
      <c r="A154" t="s">
        <v>384</v>
      </c>
      <c r="C154" s="2">
        <f>C152-C153</f>
        <v>-34159.845238095237</v>
      </c>
      <c r="D154" s="2">
        <f t="shared" ref="D154" si="72">D152-D153</f>
        <v>-117460.31140350876</v>
      </c>
      <c r="E154" s="2">
        <f t="shared" ref="E154" si="73">E152-E153</f>
        <v>-152418.97305764412</v>
      </c>
      <c r="F154" s="2">
        <f t="shared" ref="F154" si="74">F152-F153</f>
        <v>-114176.22305764411</v>
      </c>
      <c r="G154" s="2">
        <f t="shared" ref="G154" si="75">G152-G153</f>
        <v>-78464.115238095241</v>
      </c>
      <c r="H154" s="2">
        <f t="shared" ref="H154" si="76">H152-H153</f>
        <v>-36007.15523809522</v>
      </c>
      <c r="I154" s="2">
        <f t="shared" ref="I154" si="77">I152-I153</f>
        <v>-15776.095238095222</v>
      </c>
      <c r="J154" s="2">
        <f t="shared" ref="J154" si="78">J152-J153</f>
        <v>16113.418095238143</v>
      </c>
      <c r="K154" s="2">
        <f t="shared" ref="K154" si="79">K152-K153</f>
        <v>39134.771428571403</v>
      </c>
      <c r="L154" s="2">
        <f t="shared" ref="L154" si="80">L152-L153</f>
        <v>62156.124761904794</v>
      </c>
      <c r="M154" s="2">
        <f t="shared" ref="M154" si="81">M152-M153</f>
        <v>85177.478095238126</v>
      </c>
      <c r="N154" s="2">
        <f t="shared" ref="N154" si="82">N152-N153</f>
        <v>108198.83142857146</v>
      </c>
      <c r="O154" s="2">
        <f t="shared" ref="O154" si="83">O152-O153</f>
        <v>131220.18476190482</v>
      </c>
      <c r="P154" s="2">
        <f t="shared" ref="P154" si="84">P152-P153</f>
        <v>156313.53809523807</v>
      </c>
      <c r="Q154" s="2">
        <f t="shared" ref="Q154" si="85">Q152-Q153</f>
        <v>177262.8914285714</v>
      </c>
      <c r="R154" s="2">
        <f t="shared" ref="R154" si="86">R152-R153</f>
        <v>183489.99142857143</v>
      </c>
      <c r="S154" s="2">
        <f t="shared" ref="S154" si="87">S152-S153</f>
        <v>177785.13142857145</v>
      </c>
      <c r="T154" s="2">
        <f t="shared" ref="T154" si="88">T152-T153</f>
        <v>159626.07142857139</v>
      </c>
      <c r="U154" s="2">
        <f t="shared" ref="U154" si="89">U152-U153</f>
        <v>141467.01142857145</v>
      </c>
      <c r="V154" s="2">
        <f t="shared" ref="V154" si="90">V152-V153</f>
        <v>620587.9514285716</v>
      </c>
    </row>
    <row r="155" spans="1:22" x14ac:dyDescent="0.35">
      <c r="A155" t="s">
        <v>125</v>
      </c>
      <c r="B155" s="24">
        <f>NPV(disc_rate_fin,C154:V154)</f>
        <v>-11794.308693934665</v>
      </c>
    </row>
    <row r="156" spans="1:22" x14ac:dyDescent="0.35">
      <c r="A156" t="s">
        <v>387</v>
      </c>
      <c r="B156" s="66">
        <v>0.3</v>
      </c>
      <c r="C156" s="2">
        <f t="shared" ref="C156:V156" si="91">SUM(C109:C112)-(C115-C116)*(1+$B156)</f>
        <v>99053.524999999994</v>
      </c>
      <c r="D156" s="2">
        <f t="shared" si="91"/>
        <v>-11118.081015037591</v>
      </c>
      <c r="E156" s="2">
        <f t="shared" si="91"/>
        <v>-58445.341165413556</v>
      </c>
      <c r="F156" s="2">
        <f t="shared" si="91"/>
        <v>-7162.26616541353</v>
      </c>
      <c r="G156" s="2">
        <f t="shared" si="91"/>
        <v>41150.743999999977</v>
      </c>
      <c r="H156" s="2">
        <f t="shared" si="91"/>
        <v>98551.832000000024</v>
      </c>
      <c r="I156" s="2">
        <f t="shared" si="91"/>
        <v>125917.92000000004</v>
      </c>
      <c r="J156" s="2">
        <f t="shared" si="91"/>
        <v>169038.67466666672</v>
      </c>
      <c r="K156" s="2">
        <f t="shared" si="91"/>
        <v>200175.4293333333</v>
      </c>
      <c r="L156" s="2">
        <f t="shared" si="91"/>
        <v>231312.18400000007</v>
      </c>
      <c r="M156" s="2">
        <f t="shared" si="91"/>
        <v>262448.93866666668</v>
      </c>
      <c r="N156" s="2">
        <f t="shared" si="91"/>
        <v>293585.69333333336</v>
      </c>
      <c r="O156" s="2">
        <f t="shared" si="91"/>
        <v>324722.44800000003</v>
      </c>
      <c r="P156" s="2">
        <f t="shared" si="91"/>
        <v>358659.20266666671</v>
      </c>
      <c r="Q156" s="2">
        <f t="shared" si="91"/>
        <v>386995.95733333332</v>
      </c>
      <c r="R156" s="2">
        <f t="shared" si="91"/>
        <v>395410.95733333338</v>
      </c>
      <c r="S156" s="2">
        <f t="shared" si="91"/>
        <v>387674.86933333334</v>
      </c>
      <c r="T156" s="2">
        <f t="shared" si="91"/>
        <v>363108.78133333329</v>
      </c>
      <c r="U156" s="2">
        <f t="shared" si="91"/>
        <v>338542.69333333336</v>
      </c>
      <c r="V156" s="2">
        <f t="shared" si="91"/>
        <v>985976.60533333349</v>
      </c>
    </row>
    <row r="157" spans="1:22" x14ac:dyDescent="0.35">
      <c r="A157" t="s">
        <v>385</v>
      </c>
      <c r="C157" s="2">
        <f t="shared" ref="C157:V157" si="92">C34-(C33)*(1+$B156)</f>
        <v>145342.3238095238</v>
      </c>
      <c r="D157" s="2">
        <f t="shared" si="92"/>
        <v>145342.3238095238</v>
      </c>
      <c r="E157" s="2">
        <f t="shared" si="92"/>
        <v>145342.3238095238</v>
      </c>
      <c r="F157" s="2">
        <f t="shared" si="92"/>
        <v>145342.3238095238</v>
      </c>
      <c r="G157" s="2">
        <f t="shared" si="92"/>
        <v>145342.3238095238</v>
      </c>
      <c r="H157" s="2">
        <f t="shared" si="92"/>
        <v>145342.3238095238</v>
      </c>
      <c r="I157" s="2">
        <f t="shared" si="92"/>
        <v>145342.3238095238</v>
      </c>
      <c r="J157" s="2">
        <f t="shared" si="92"/>
        <v>145342.3238095238</v>
      </c>
      <c r="K157" s="2">
        <f t="shared" si="92"/>
        <v>145342.3238095238</v>
      </c>
      <c r="L157" s="2">
        <f t="shared" si="92"/>
        <v>145342.3238095238</v>
      </c>
      <c r="M157" s="2">
        <f t="shared" si="92"/>
        <v>145342.3238095238</v>
      </c>
      <c r="N157" s="2">
        <f t="shared" si="92"/>
        <v>145342.3238095238</v>
      </c>
      <c r="O157" s="2">
        <f t="shared" si="92"/>
        <v>145342.3238095238</v>
      </c>
      <c r="P157" s="2">
        <f t="shared" si="92"/>
        <v>145342.3238095238</v>
      </c>
      <c r="Q157" s="2">
        <f t="shared" si="92"/>
        <v>145342.3238095238</v>
      </c>
      <c r="R157" s="2">
        <f t="shared" si="92"/>
        <v>145342.3238095238</v>
      </c>
      <c r="S157" s="2">
        <f t="shared" si="92"/>
        <v>145342.3238095238</v>
      </c>
      <c r="T157" s="2">
        <f t="shared" si="92"/>
        <v>145342.3238095238</v>
      </c>
      <c r="U157" s="2">
        <f t="shared" si="92"/>
        <v>145342.3238095238</v>
      </c>
      <c r="V157" s="2">
        <f t="shared" si="92"/>
        <v>145342.3238095238</v>
      </c>
    </row>
    <row r="158" spans="1:22" x14ac:dyDescent="0.35">
      <c r="A158" t="s">
        <v>384</v>
      </c>
      <c r="C158" s="2">
        <f>C156-C157</f>
        <v>-46288.798809523811</v>
      </c>
      <c r="D158" s="2">
        <f t="shared" ref="D158" si="93">D156-D157</f>
        <v>-156460.40482456138</v>
      </c>
      <c r="E158" s="2">
        <f t="shared" ref="E158" si="94">E156-E157</f>
        <v>-203787.66497493736</v>
      </c>
      <c r="F158" s="2">
        <f t="shared" ref="F158" si="95">F156-F157</f>
        <v>-152504.58997493732</v>
      </c>
      <c r="G158" s="2">
        <f t="shared" ref="G158" si="96">G156-G157</f>
        <v>-104191.57980952383</v>
      </c>
      <c r="H158" s="2">
        <f t="shared" ref="H158" si="97">H156-H157</f>
        <v>-46790.491809523781</v>
      </c>
      <c r="I158" s="2">
        <f t="shared" ref="I158" si="98">I156-I157</f>
        <v>-19424.403809523763</v>
      </c>
      <c r="J158" s="2">
        <f t="shared" ref="J158" si="99">J156-J157</f>
        <v>23696.350857142912</v>
      </c>
      <c r="K158" s="2">
        <f t="shared" ref="K158" si="100">K156-K157</f>
        <v>54833.1055238095</v>
      </c>
      <c r="L158" s="2">
        <f t="shared" ref="L158" si="101">L156-L157</f>
        <v>85969.860190476262</v>
      </c>
      <c r="M158" s="2">
        <f t="shared" ref="M158" si="102">M156-M157</f>
        <v>117106.61485714288</v>
      </c>
      <c r="N158" s="2">
        <f t="shared" ref="N158" si="103">N156-N157</f>
        <v>148243.36952380955</v>
      </c>
      <c r="O158" s="2">
        <f t="shared" ref="O158" si="104">O156-O157</f>
        <v>179380.12419047623</v>
      </c>
      <c r="P158" s="2">
        <f t="shared" ref="P158" si="105">P156-P157</f>
        <v>213316.8788571429</v>
      </c>
      <c r="Q158" s="2">
        <f t="shared" ref="Q158" si="106">Q156-Q157</f>
        <v>241653.63352380952</v>
      </c>
      <c r="R158" s="2">
        <f t="shared" ref="R158" si="107">R156-R157</f>
        <v>250068.63352380958</v>
      </c>
      <c r="S158" s="2">
        <f t="shared" ref="S158" si="108">S156-S157</f>
        <v>242332.54552380953</v>
      </c>
      <c r="T158" s="2">
        <f t="shared" ref="T158" si="109">T156-T157</f>
        <v>217766.45752380948</v>
      </c>
      <c r="U158" s="2">
        <f t="shared" ref="U158" si="110">U156-U157</f>
        <v>193200.36952380955</v>
      </c>
      <c r="V158" s="2">
        <f t="shared" ref="V158" si="111">V156-V157</f>
        <v>840634.28152380965</v>
      </c>
    </row>
    <row r="159" spans="1:22" x14ac:dyDescent="0.35">
      <c r="A159" t="s">
        <v>125</v>
      </c>
      <c r="B159" s="24">
        <f>NPV(disc_rate_fin,C158:V158)</f>
        <v>-2379.8860121548523</v>
      </c>
    </row>
    <row r="160" spans="1:22" x14ac:dyDescent="0.35">
      <c r="B160" s="24"/>
    </row>
    <row r="161" spans="1:22" x14ac:dyDescent="0.35">
      <c r="B161" s="24"/>
    </row>
    <row r="162" spans="1:22" x14ac:dyDescent="0.35">
      <c r="A162" s="48" t="s">
        <v>468</v>
      </c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</row>
    <row r="164" spans="1:22" x14ac:dyDescent="0.35">
      <c r="A164" s="68" t="s">
        <v>398</v>
      </c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</row>
    <row r="165" spans="1:22" x14ac:dyDescent="0.35">
      <c r="A165" s="9" t="s">
        <v>7</v>
      </c>
      <c r="B165" s="10" t="s">
        <v>11</v>
      </c>
      <c r="C165" s="11" t="s">
        <v>399</v>
      </c>
      <c r="D165" s="11" t="s">
        <v>400</v>
      </c>
      <c r="E165" s="11" t="s">
        <v>401</v>
      </c>
      <c r="F165" s="11" t="s">
        <v>402</v>
      </c>
      <c r="G165" s="11" t="s">
        <v>403</v>
      </c>
      <c r="H165" s="11" t="s">
        <v>404</v>
      </c>
      <c r="I165" s="11" t="s">
        <v>405</v>
      </c>
      <c r="J165" s="11" t="s">
        <v>406</v>
      </c>
      <c r="K165" s="11" t="s">
        <v>407</v>
      </c>
      <c r="L165" s="11" t="s">
        <v>408</v>
      </c>
      <c r="M165" s="11" t="s">
        <v>409</v>
      </c>
      <c r="N165" s="11" t="s">
        <v>410</v>
      </c>
      <c r="O165" s="11" t="s">
        <v>411</v>
      </c>
      <c r="P165" s="11" t="s">
        <v>412</v>
      </c>
      <c r="Q165" s="11" t="s">
        <v>413</v>
      </c>
      <c r="R165" s="11" t="s">
        <v>414</v>
      </c>
      <c r="S165" s="11" t="s">
        <v>415</v>
      </c>
      <c r="T165" s="11" t="s">
        <v>416</v>
      </c>
      <c r="U165" s="11" t="s">
        <v>417</v>
      </c>
      <c r="V165" s="11" t="s">
        <v>418</v>
      </c>
    </row>
    <row r="166" spans="1:22" x14ac:dyDescent="0.35">
      <c r="A166" s="25" t="s">
        <v>2</v>
      </c>
      <c r="B166" s="15"/>
    </row>
    <row r="167" spans="1:22" x14ac:dyDescent="0.35">
      <c r="A167" s="6" t="str">
        <f t="shared" ref="A167:V167" si="112">A44</f>
        <v xml:space="preserve">  Undergrowth clearing</v>
      </c>
      <c r="B167" s="8" t="str">
        <f t="shared" si="112"/>
        <v>ls</v>
      </c>
      <c r="C167">
        <f t="shared" si="112"/>
        <v>1</v>
      </c>
      <c r="D167">
        <f t="shared" si="112"/>
        <v>0</v>
      </c>
      <c r="E167">
        <f t="shared" si="112"/>
        <v>0</v>
      </c>
      <c r="F167">
        <f t="shared" si="112"/>
        <v>0</v>
      </c>
      <c r="G167">
        <f t="shared" si="112"/>
        <v>0</v>
      </c>
      <c r="H167">
        <f t="shared" si="112"/>
        <v>0</v>
      </c>
      <c r="I167">
        <f t="shared" si="112"/>
        <v>0</v>
      </c>
      <c r="J167">
        <f t="shared" si="112"/>
        <v>0</v>
      </c>
      <c r="K167">
        <f t="shared" si="112"/>
        <v>0</v>
      </c>
      <c r="L167">
        <f t="shared" si="112"/>
        <v>0</v>
      </c>
      <c r="M167">
        <f t="shared" si="112"/>
        <v>0</v>
      </c>
      <c r="N167">
        <f t="shared" si="112"/>
        <v>0</v>
      </c>
      <c r="O167">
        <f t="shared" si="112"/>
        <v>0</v>
      </c>
      <c r="P167">
        <f t="shared" si="112"/>
        <v>0</v>
      </c>
      <c r="Q167">
        <f t="shared" si="112"/>
        <v>0</v>
      </c>
      <c r="R167">
        <f t="shared" si="112"/>
        <v>0</v>
      </c>
      <c r="S167">
        <f t="shared" si="112"/>
        <v>0</v>
      </c>
      <c r="T167">
        <f t="shared" si="112"/>
        <v>0</v>
      </c>
      <c r="U167">
        <f t="shared" si="112"/>
        <v>0</v>
      </c>
      <c r="V167">
        <f t="shared" si="112"/>
        <v>0</v>
      </c>
    </row>
    <row r="168" spans="1:22" x14ac:dyDescent="0.35">
      <c r="A168" s="6" t="str">
        <f t="shared" ref="A168:V168" si="113">A45</f>
        <v xml:space="preserve">  Cutting old trees</v>
      </c>
      <c r="B168" s="8" t="str">
        <f t="shared" si="113"/>
        <v>ls</v>
      </c>
      <c r="C168">
        <f t="shared" si="113"/>
        <v>0.25</v>
      </c>
      <c r="D168">
        <f t="shared" si="113"/>
        <v>0.25</v>
      </c>
      <c r="E168">
        <f t="shared" si="113"/>
        <v>0.25</v>
      </c>
      <c r="F168">
        <f t="shared" si="113"/>
        <v>0</v>
      </c>
      <c r="G168">
        <f t="shared" si="113"/>
        <v>0</v>
      </c>
      <c r="H168">
        <f t="shared" si="113"/>
        <v>0</v>
      </c>
      <c r="I168">
        <f t="shared" si="113"/>
        <v>0</v>
      </c>
      <c r="J168">
        <f t="shared" si="113"/>
        <v>0</v>
      </c>
      <c r="K168">
        <f t="shared" si="113"/>
        <v>0</v>
      </c>
      <c r="L168">
        <f t="shared" si="113"/>
        <v>0</v>
      </c>
      <c r="M168">
        <f t="shared" si="113"/>
        <v>0</v>
      </c>
      <c r="N168">
        <f t="shared" si="113"/>
        <v>0</v>
      </c>
      <c r="O168">
        <f t="shared" si="113"/>
        <v>0</v>
      </c>
      <c r="P168">
        <f t="shared" si="113"/>
        <v>0</v>
      </c>
      <c r="Q168">
        <f t="shared" si="113"/>
        <v>0</v>
      </c>
      <c r="R168">
        <f t="shared" si="113"/>
        <v>0</v>
      </c>
      <c r="S168">
        <f t="shared" si="113"/>
        <v>0</v>
      </c>
      <c r="T168">
        <f t="shared" si="113"/>
        <v>0</v>
      </c>
      <c r="U168">
        <f t="shared" si="113"/>
        <v>0</v>
      </c>
      <c r="V168">
        <f t="shared" si="113"/>
        <v>0</v>
      </c>
    </row>
    <row r="169" spans="1:22" x14ac:dyDescent="0.35">
      <c r="A169" s="6" t="s">
        <v>70</v>
      </c>
      <c r="B169" s="8" t="s">
        <v>11</v>
      </c>
      <c r="C169">
        <f>C172</f>
        <v>423.25</v>
      </c>
      <c r="D169">
        <f>D172</f>
        <v>333.25</v>
      </c>
      <c r="E169">
        <f>D169</f>
        <v>333.25</v>
      </c>
    </row>
    <row r="170" spans="1:22" x14ac:dyDescent="0.35">
      <c r="A170" s="6" t="str">
        <f t="shared" ref="A170:V170" si="114">A47</f>
        <v xml:space="preserve">  Marking out</v>
      </c>
      <c r="B170" s="8" t="str">
        <f t="shared" si="114"/>
        <v>ls</v>
      </c>
      <c r="C170">
        <f t="shared" si="114"/>
        <v>1</v>
      </c>
      <c r="D170">
        <f t="shared" si="114"/>
        <v>1</v>
      </c>
      <c r="E170">
        <f t="shared" si="114"/>
        <v>1</v>
      </c>
      <c r="F170">
        <f t="shared" si="114"/>
        <v>0</v>
      </c>
      <c r="G170">
        <f t="shared" si="114"/>
        <v>0</v>
      </c>
      <c r="H170">
        <f t="shared" si="114"/>
        <v>0</v>
      </c>
      <c r="I170">
        <f t="shared" si="114"/>
        <v>0</v>
      </c>
      <c r="J170">
        <f t="shared" si="114"/>
        <v>0</v>
      </c>
      <c r="K170">
        <f t="shared" si="114"/>
        <v>0</v>
      </c>
      <c r="L170">
        <f t="shared" si="114"/>
        <v>0</v>
      </c>
      <c r="M170">
        <f t="shared" si="114"/>
        <v>0</v>
      </c>
      <c r="N170">
        <f t="shared" si="114"/>
        <v>0</v>
      </c>
      <c r="O170">
        <f t="shared" si="114"/>
        <v>0</v>
      </c>
      <c r="P170">
        <f t="shared" si="114"/>
        <v>0</v>
      </c>
      <c r="Q170">
        <f t="shared" si="114"/>
        <v>0</v>
      </c>
      <c r="R170">
        <f t="shared" si="114"/>
        <v>0</v>
      </c>
      <c r="S170">
        <f t="shared" si="114"/>
        <v>0</v>
      </c>
      <c r="T170">
        <f t="shared" si="114"/>
        <v>0</v>
      </c>
      <c r="U170">
        <f t="shared" si="114"/>
        <v>0</v>
      </c>
      <c r="V170">
        <f t="shared" si="114"/>
        <v>0</v>
      </c>
    </row>
    <row r="171" spans="1:22" x14ac:dyDescent="0.35">
      <c r="A171" s="6" t="str">
        <f t="shared" ref="A171:V171" si="115">A48</f>
        <v xml:space="preserve">  Digging holes</v>
      </c>
      <c r="B171" s="8" t="str">
        <f t="shared" si="115"/>
        <v>Unit</v>
      </c>
      <c r="C171">
        <f t="shared" si="115"/>
        <v>423.25</v>
      </c>
      <c r="D171">
        <f t="shared" si="115"/>
        <v>333.25</v>
      </c>
      <c r="E171">
        <f t="shared" si="115"/>
        <v>333.25</v>
      </c>
      <c r="F171">
        <f t="shared" si="115"/>
        <v>0</v>
      </c>
      <c r="G171">
        <f t="shared" si="115"/>
        <v>0</v>
      </c>
      <c r="H171">
        <f t="shared" si="115"/>
        <v>0</v>
      </c>
      <c r="I171">
        <f t="shared" si="115"/>
        <v>0</v>
      </c>
      <c r="J171">
        <f t="shared" si="115"/>
        <v>0</v>
      </c>
      <c r="K171">
        <f t="shared" si="115"/>
        <v>0</v>
      </c>
      <c r="L171">
        <f t="shared" si="115"/>
        <v>0</v>
      </c>
      <c r="M171">
        <f t="shared" si="115"/>
        <v>0</v>
      </c>
      <c r="N171">
        <f t="shared" si="115"/>
        <v>0</v>
      </c>
      <c r="O171">
        <f t="shared" si="115"/>
        <v>0</v>
      </c>
      <c r="P171">
        <f t="shared" si="115"/>
        <v>0</v>
      </c>
      <c r="Q171">
        <f t="shared" si="115"/>
        <v>0</v>
      </c>
      <c r="R171">
        <f t="shared" si="115"/>
        <v>0</v>
      </c>
      <c r="S171">
        <f t="shared" si="115"/>
        <v>0</v>
      </c>
      <c r="T171">
        <f t="shared" si="115"/>
        <v>0</v>
      </c>
      <c r="U171">
        <f t="shared" si="115"/>
        <v>0</v>
      </c>
      <c r="V171">
        <f t="shared" si="115"/>
        <v>0</v>
      </c>
    </row>
    <row r="172" spans="1:22" x14ac:dyDescent="0.35">
      <c r="A172" s="6" t="str">
        <f t="shared" ref="A172:V172" si="116">A49</f>
        <v xml:space="preserve">  Planting seedlings</v>
      </c>
      <c r="B172" s="8" t="str">
        <f t="shared" si="116"/>
        <v>Unit</v>
      </c>
      <c r="C172">
        <f t="shared" si="116"/>
        <v>423.25</v>
      </c>
      <c r="D172">
        <f t="shared" si="116"/>
        <v>333.25</v>
      </c>
      <c r="E172">
        <f t="shared" si="116"/>
        <v>333.25</v>
      </c>
      <c r="F172">
        <f t="shared" si="116"/>
        <v>0</v>
      </c>
      <c r="G172">
        <f t="shared" si="116"/>
        <v>0</v>
      </c>
      <c r="H172">
        <f t="shared" si="116"/>
        <v>0</v>
      </c>
      <c r="I172">
        <f t="shared" si="116"/>
        <v>0</v>
      </c>
      <c r="J172">
        <f t="shared" si="116"/>
        <v>0</v>
      </c>
      <c r="K172">
        <f t="shared" si="116"/>
        <v>0</v>
      </c>
      <c r="L172">
        <f t="shared" si="116"/>
        <v>0</v>
      </c>
      <c r="M172">
        <f t="shared" si="116"/>
        <v>0</v>
      </c>
      <c r="N172">
        <f t="shared" si="116"/>
        <v>0</v>
      </c>
      <c r="O172">
        <f t="shared" si="116"/>
        <v>0</v>
      </c>
      <c r="P172">
        <f t="shared" si="116"/>
        <v>0</v>
      </c>
      <c r="Q172">
        <f t="shared" si="116"/>
        <v>0</v>
      </c>
      <c r="R172">
        <f t="shared" si="116"/>
        <v>0</v>
      </c>
      <c r="S172">
        <f t="shared" si="116"/>
        <v>0</v>
      </c>
      <c r="T172">
        <f t="shared" si="116"/>
        <v>0</v>
      </c>
      <c r="U172">
        <f t="shared" si="116"/>
        <v>0</v>
      </c>
      <c r="V172">
        <f t="shared" si="116"/>
        <v>0</v>
      </c>
    </row>
    <row r="173" spans="1:22" x14ac:dyDescent="0.35">
      <c r="A173" s="6" t="str">
        <f t="shared" ref="A173:V173" si="117">A50</f>
        <v xml:space="preserve">  Weeding other maintenance operations</v>
      </c>
      <c r="B173" s="8" t="str">
        <f t="shared" si="117"/>
        <v>ls</v>
      </c>
      <c r="C173">
        <f t="shared" si="117"/>
        <v>0</v>
      </c>
      <c r="D173">
        <f t="shared" si="117"/>
        <v>3</v>
      </c>
      <c r="E173">
        <f t="shared" si="117"/>
        <v>3</v>
      </c>
      <c r="F173">
        <f t="shared" si="117"/>
        <v>3</v>
      </c>
      <c r="G173">
        <f t="shared" si="117"/>
        <v>3</v>
      </c>
      <c r="H173">
        <f t="shared" si="117"/>
        <v>3</v>
      </c>
      <c r="I173">
        <f t="shared" si="117"/>
        <v>3</v>
      </c>
      <c r="J173">
        <f t="shared" si="117"/>
        <v>3</v>
      </c>
      <c r="K173">
        <f t="shared" si="117"/>
        <v>3</v>
      </c>
      <c r="L173">
        <f t="shared" si="117"/>
        <v>3</v>
      </c>
      <c r="M173">
        <f t="shared" si="117"/>
        <v>3</v>
      </c>
      <c r="N173">
        <f t="shared" si="117"/>
        <v>3</v>
      </c>
      <c r="O173">
        <f t="shared" si="117"/>
        <v>3</v>
      </c>
      <c r="P173">
        <f t="shared" si="117"/>
        <v>3</v>
      </c>
      <c r="Q173">
        <f t="shared" si="117"/>
        <v>3</v>
      </c>
      <c r="R173">
        <f t="shared" si="117"/>
        <v>3</v>
      </c>
      <c r="S173">
        <f t="shared" si="117"/>
        <v>3</v>
      </c>
      <c r="T173">
        <f t="shared" si="117"/>
        <v>3</v>
      </c>
      <c r="U173">
        <f t="shared" si="117"/>
        <v>3</v>
      </c>
      <c r="V173">
        <f t="shared" si="117"/>
        <v>3</v>
      </c>
    </row>
    <row r="174" spans="1:22" x14ac:dyDescent="0.35">
      <c r="A174" s="6" t="s">
        <v>144</v>
      </c>
      <c r="B174" s="8" t="s">
        <v>42</v>
      </c>
      <c r="C174">
        <f t="shared" ref="C174:V174" si="118">C51</f>
        <v>0</v>
      </c>
      <c r="D174">
        <f t="shared" si="118"/>
        <v>0.31823308270676692</v>
      </c>
      <c r="E174">
        <f t="shared" si="118"/>
        <v>0.2505639097744361</v>
      </c>
      <c r="F174">
        <f t="shared" si="118"/>
        <v>0.2505639097744361</v>
      </c>
      <c r="G174">
        <f t="shared" si="118"/>
        <v>0</v>
      </c>
      <c r="H174">
        <f t="shared" si="118"/>
        <v>0</v>
      </c>
      <c r="I174">
        <f t="shared" si="118"/>
        <v>0</v>
      </c>
      <c r="J174">
        <f t="shared" si="118"/>
        <v>0</v>
      </c>
      <c r="K174">
        <f t="shared" si="118"/>
        <v>0</v>
      </c>
      <c r="L174">
        <f t="shared" si="118"/>
        <v>0</v>
      </c>
      <c r="M174">
        <f t="shared" si="118"/>
        <v>0</v>
      </c>
      <c r="N174">
        <f t="shared" si="118"/>
        <v>0</v>
      </c>
      <c r="O174">
        <f t="shared" si="118"/>
        <v>0</v>
      </c>
      <c r="P174">
        <f t="shared" si="118"/>
        <v>0</v>
      </c>
      <c r="Q174">
        <f t="shared" si="118"/>
        <v>0</v>
      </c>
      <c r="R174">
        <f t="shared" si="118"/>
        <v>0</v>
      </c>
      <c r="S174">
        <f t="shared" si="118"/>
        <v>0</v>
      </c>
      <c r="T174">
        <f t="shared" si="118"/>
        <v>0</v>
      </c>
      <c r="U174">
        <f t="shared" si="118"/>
        <v>0</v>
      </c>
      <c r="V174">
        <f t="shared" si="118"/>
        <v>0</v>
      </c>
    </row>
    <row r="175" spans="1:22" x14ac:dyDescent="0.35">
      <c r="A175" s="6" t="str">
        <f t="shared" ref="A175:B180" si="119">A52</f>
        <v xml:space="preserve">  Fertilizer application</v>
      </c>
      <c r="B175" s="8" t="str">
        <f t="shared" si="119"/>
        <v>m/d</v>
      </c>
      <c r="C175">
        <v>0</v>
      </c>
      <c r="D175">
        <v>0</v>
      </c>
      <c r="E175">
        <f t="shared" ref="E175:V175" si="120">E52</f>
        <v>2</v>
      </c>
      <c r="F175">
        <f t="shared" si="120"/>
        <v>0</v>
      </c>
      <c r="G175">
        <f t="shared" si="120"/>
        <v>0</v>
      </c>
      <c r="H175">
        <f t="shared" si="120"/>
        <v>0</v>
      </c>
      <c r="I175">
        <f t="shared" si="120"/>
        <v>0</v>
      </c>
      <c r="J175">
        <f t="shared" si="120"/>
        <v>0</v>
      </c>
      <c r="K175">
        <f t="shared" si="120"/>
        <v>0</v>
      </c>
      <c r="L175">
        <f t="shared" si="120"/>
        <v>0</v>
      </c>
      <c r="M175">
        <f t="shared" si="120"/>
        <v>0</v>
      </c>
      <c r="N175">
        <f t="shared" si="120"/>
        <v>0</v>
      </c>
      <c r="O175">
        <f t="shared" si="120"/>
        <v>0</v>
      </c>
      <c r="P175">
        <f t="shared" si="120"/>
        <v>0</v>
      </c>
      <c r="Q175">
        <f t="shared" si="120"/>
        <v>0</v>
      </c>
      <c r="R175">
        <f t="shared" si="120"/>
        <v>0</v>
      </c>
      <c r="S175">
        <f t="shared" si="120"/>
        <v>0</v>
      </c>
      <c r="T175">
        <f t="shared" si="120"/>
        <v>0</v>
      </c>
      <c r="U175">
        <f t="shared" si="120"/>
        <v>0</v>
      </c>
      <c r="V175">
        <f t="shared" si="120"/>
        <v>0</v>
      </c>
    </row>
    <row r="176" spans="1:22" x14ac:dyDescent="0.35">
      <c r="A176" s="6" t="str">
        <f t="shared" si="119"/>
        <v xml:space="preserve">  Plant protection chemicals application</v>
      </c>
      <c r="B176" s="8" t="str">
        <f t="shared" si="119"/>
        <v>m/d</v>
      </c>
      <c r="C176">
        <v>0</v>
      </c>
      <c r="D176">
        <f>C176</f>
        <v>0</v>
      </c>
      <c r="E176">
        <f t="shared" ref="E176:V176" si="121">D176</f>
        <v>0</v>
      </c>
      <c r="F176">
        <f t="shared" si="121"/>
        <v>0</v>
      </c>
      <c r="G176">
        <f t="shared" si="121"/>
        <v>0</v>
      </c>
      <c r="H176">
        <f t="shared" si="121"/>
        <v>0</v>
      </c>
      <c r="I176">
        <f t="shared" si="121"/>
        <v>0</v>
      </c>
      <c r="J176">
        <f t="shared" si="121"/>
        <v>0</v>
      </c>
      <c r="K176">
        <f t="shared" si="121"/>
        <v>0</v>
      </c>
      <c r="L176">
        <f t="shared" si="121"/>
        <v>0</v>
      </c>
      <c r="M176">
        <f t="shared" si="121"/>
        <v>0</v>
      </c>
      <c r="N176">
        <f t="shared" si="121"/>
        <v>0</v>
      </c>
      <c r="O176">
        <f t="shared" si="121"/>
        <v>0</v>
      </c>
      <c r="P176">
        <f t="shared" si="121"/>
        <v>0</v>
      </c>
      <c r="Q176">
        <f t="shared" si="121"/>
        <v>0</v>
      </c>
      <c r="R176">
        <f t="shared" si="121"/>
        <v>0</v>
      </c>
      <c r="S176">
        <f t="shared" si="121"/>
        <v>0</v>
      </c>
      <c r="T176">
        <f t="shared" si="121"/>
        <v>0</v>
      </c>
      <c r="U176">
        <f t="shared" si="121"/>
        <v>0</v>
      </c>
      <c r="V176">
        <f t="shared" si="121"/>
        <v>0</v>
      </c>
    </row>
    <row r="177" spans="1:22" x14ac:dyDescent="0.35">
      <c r="A177" s="6" t="str">
        <f t="shared" si="119"/>
        <v xml:space="preserve">  Harvest</v>
      </c>
      <c r="B177" s="8" t="str">
        <f t="shared" si="119"/>
        <v>Kg</v>
      </c>
      <c r="C177" s="5">
        <f>SUM(C194:C196)</f>
        <v>135</v>
      </c>
      <c r="D177" s="5">
        <f t="shared" ref="D177:V177" si="122">SUM(D194:D196)</f>
        <v>90</v>
      </c>
      <c r="E177" s="5">
        <f t="shared" si="122"/>
        <v>45</v>
      </c>
      <c r="F177" s="5">
        <f t="shared" si="122"/>
        <v>82.5</v>
      </c>
      <c r="G177" s="5">
        <f t="shared" si="122"/>
        <v>127.65</v>
      </c>
      <c r="H177" s="5">
        <f t="shared" si="122"/>
        <v>142.95000000000002</v>
      </c>
      <c r="I177" s="5">
        <f t="shared" si="122"/>
        <v>158.25</v>
      </c>
      <c r="J177" s="5">
        <f t="shared" si="122"/>
        <v>173.55</v>
      </c>
      <c r="K177" s="5">
        <f t="shared" si="122"/>
        <v>188.85000000000002</v>
      </c>
      <c r="L177" s="5">
        <f t="shared" si="122"/>
        <v>204.15000000000003</v>
      </c>
      <c r="M177" s="5">
        <f t="shared" si="122"/>
        <v>219.45000000000002</v>
      </c>
      <c r="N177" s="5">
        <f t="shared" si="122"/>
        <v>234.75000000000003</v>
      </c>
      <c r="O177" s="5">
        <f t="shared" si="122"/>
        <v>250.05000000000004</v>
      </c>
      <c r="P177" s="5">
        <f t="shared" si="122"/>
        <v>265.35000000000002</v>
      </c>
      <c r="Q177" s="5">
        <f t="shared" si="122"/>
        <v>280.64999999999998</v>
      </c>
      <c r="R177" s="5">
        <f t="shared" si="122"/>
        <v>280.64999999999998</v>
      </c>
      <c r="S177" s="5">
        <f t="shared" si="122"/>
        <v>265.35000000000002</v>
      </c>
      <c r="T177" s="5">
        <f t="shared" si="122"/>
        <v>250.05</v>
      </c>
      <c r="U177" s="5">
        <f t="shared" si="122"/>
        <v>234.75000000000003</v>
      </c>
      <c r="V177" s="5">
        <f t="shared" si="122"/>
        <v>219.45000000000002</v>
      </c>
    </row>
    <row r="178" spans="1:22" x14ac:dyDescent="0.35">
      <c r="A178" s="6" t="str">
        <f t="shared" si="119"/>
        <v xml:space="preserve">  Post-harvest processes</v>
      </c>
      <c r="B178" s="8" t="str">
        <f t="shared" si="119"/>
        <v>Kg</v>
      </c>
      <c r="C178" s="5">
        <f>C177</f>
        <v>135</v>
      </c>
      <c r="D178" s="5">
        <f t="shared" ref="D178:V178" si="123">D177</f>
        <v>90</v>
      </c>
      <c r="E178" s="5">
        <f t="shared" si="123"/>
        <v>45</v>
      </c>
      <c r="F178" s="5">
        <f t="shared" si="123"/>
        <v>82.5</v>
      </c>
      <c r="G178" s="5">
        <f t="shared" si="123"/>
        <v>127.65</v>
      </c>
      <c r="H178" s="5">
        <f t="shared" si="123"/>
        <v>142.95000000000002</v>
      </c>
      <c r="I178" s="5">
        <f t="shared" si="123"/>
        <v>158.25</v>
      </c>
      <c r="J178" s="5">
        <f t="shared" si="123"/>
        <v>173.55</v>
      </c>
      <c r="K178" s="5">
        <f t="shared" si="123"/>
        <v>188.85000000000002</v>
      </c>
      <c r="L178" s="5">
        <f t="shared" si="123"/>
        <v>204.15000000000003</v>
      </c>
      <c r="M178" s="5">
        <f t="shared" si="123"/>
        <v>219.45000000000002</v>
      </c>
      <c r="N178" s="5">
        <f t="shared" si="123"/>
        <v>234.75000000000003</v>
      </c>
      <c r="O178" s="5">
        <f t="shared" si="123"/>
        <v>250.05000000000004</v>
      </c>
      <c r="P178" s="5">
        <f t="shared" si="123"/>
        <v>265.35000000000002</v>
      </c>
      <c r="Q178" s="5">
        <f t="shared" si="123"/>
        <v>280.64999999999998</v>
      </c>
      <c r="R178" s="5">
        <f t="shared" si="123"/>
        <v>280.64999999999998</v>
      </c>
      <c r="S178" s="5">
        <f t="shared" si="123"/>
        <v>265.35000000000002</v>
      </c>
      <c r="T178" s="5">
        <f t="shared" si="123"/>
        <v>250.05</v>
      </c>
      <c r="U178" s="5">
        <f t="shared" si="123"/>
        <v>234.75000000000003</v>
      </c>
      <c r="V178" s="5">
        <f t="shared" si="123"/>
        <v>219.45000000000002</v>
      </c>
    </row>
    <row r="179" spans="1:22" x14ac:dyDescent="0.35">
      <c r="A179" s="6" t="str">
        <f t="shared" si="119"/>
        <v xml:space="preserve">  Transport of beans</v>
      </c>
      <c r="B179" s="8" t="str">
        <f t="shared" si="119"/>
        <v>Kg</v>
      </c>
      <c r="C179" s="5">
        <f>C177</f>
        <v>135</v>
      </c>
      <c r="D179" s="5">
        <f t="shared" ref="D179:V179" si="124">D177</f>
        <v>90</v>
      </c>
      <c r="E179" s="5">
        <f t="shared" si="124"/>
        <v>45</v>
      </c>
      <c r="F179" s="5">
        <f t="shared" si="124"/>
        <v>82.5</v>
      </c>
      <c r="G179" s="5">
        <f t="shared" si="124"/>
        <v>127.65</v>
      </c>
      <c r="H179" s="5">
        <f t="shared" si="124"/>
        <v>142.95000000000002</v>
      </c>
      <c r="I179" s="5">
        <f t="shared" si="124"/>
        <v>158.25</v>
      </c>
      <c r="J179" s="5">
        <f t="shared" si="124"/>
        <v>173.55</v>
      </c>
      <c r="K179" s="5">
        <f t="shared" si="124"/>
        <v>188.85000000000002</v>
      </c>
      <c r="L179" s="5">
        <f t="shared" si="124"/>
        <v>204.15000000000003</v>
      </c>
      <c r="M179" s="5">
        <f t="shared" si="124"/>
        <v>219.45000000000002</v>
      </c>
      <c r="N179" s="5">
        <f t="shared" si="124"/>
        <v>234.75000000000003</v>
      </c>
      <c r="O179" s="5">
        <f t="shared" si="124"/>
        <v>250.05000000000004</v>
      </c>
      <c r="P179" s="5">
        <f t="shared" si="124"/>
        <v>265.35000000000002</v>
      </c>
      <c r="Q179" s="5">
        <f t="shared" si="124"/>
        <v>280.64999999999998</v>
      </c>
      <c r="R179" s="5">
        <f t="shared" si="124"/>
        <v>280.64999999999998</v>
      </c>
      <c r="S179" s="5">
        <f t="shared" si="124"/>
        <v>265.35000000000002</v>
      </c>
      <c r="T179" s="5">
        <f t="shared" si="124"/>
        <v>250.05</v>
      </c>
      <c r="U179" s="5">
        <f t="shared" si="124"/>
        <v>234.75000000000003</v>
      </c>
      <c r="V179" s="5">
        <f t="shared" si="124"/>
        <v>219.45000000000002</v>
      </c>
    </row>
    <row r="180" spans="1:22" x14ac:dyDescent="0.35">
      <c r="A180" s="6" t="str">
        <f t="shared" si="119"/>
        <v xml:space="preserve">  Firewood cut</v>
      </c>
      <c r="B180" s="8" t="str">
        <f t="shared" si="119"/>
        <v>Tree</v>
      </c>
      <c r="C180">
        <f t="shared" ref="C180:V180" si="125">C57</f>
        <v>0</v>
      </c>
      <c r="D180">
        <f t="shared" si="125"/>
        <v>0</v>
      </c>
      <c r="E180">
        <f t="shared" si="125"/>
        <v>0</v>
      </c>
      <c r="F180">
        <f t="shared" si="125"/>
        <v>0</v>
      </c>
      <c r="G180">
        <f t="shared" si="125"/>
        <v>0</v>
      </c>
      <c r="H180">
        <f t="shared" si="125"/>
        <v>0</v>
      </c>
      <c r="I180">
        <f t="shared" si="125"/>
        <v>20</v>
      </c>
      <c r="J180">
        <f t="shared" si="125"/>
        <v>0</v>
      </c>
      <c r="K180">
        <f t="shared" si="125"/>
        <v>0</v>
      </c>
      <c r="L180">
        <f t="shared" si="125"/>
        <v>0</v>
      </c>
      <c r="M180">
        <f t="shared" si="125"/>
        <v>0</v>
      </c>
      <c r="N180">
        <f t="shared" si="125"/>
        <v>0</v>
      </c>
      <c r="O180">
        <f t="shared" si="125"/>
        <v>0</v>
      </c>
      <c r="P180">
        <f t="shared" si="125"/>
        <v>20</v>
      </c>
      <c r="Q180">
        <f t="shared" si="125"/>
        <v>0</v>
      </c>
      <c r="R180">
        <f t="shared" si="125"/>
        <v>0</v>
      </c>
      <c r="S180">
        <f t="shared" si="125"/>
        <v>0</v>
      </c>
      <c r="T180">
        <f t="shared" si="125"/>
        <v>0</v>
      </c>
      <c r="U180">
        <f t="shared" si="125"/>
        <v>0</v>
      </c>
      <c r="V180">
        <f t="shared" si="125"/>
        <v>0</v>
      </c>
    </row>
    <row r="181" spans="1:22" x14ac:dyDescent="0.35">
      <c r="A181" s="6"/>
      <c r="B181" s="8"/>
    </row>
    <row r="182" spans="1:22" x14ac:dyDescent="0.35">
      <c r="A182" s="6" t="str">
        <f t="shared" ref="A182:A188" si="126">A59</f>
        <v>Inputs</v>
      </c>
      <c r="B182" s="8"/>
    </row>
    <row r="183" spans="1:22" x14ac:dyDescent="0.35">
      <c r="A183" s="6" t="str">
        <f t="shared" si="126"/>
        <v xml:space="preserve">  cocoa seedlings</v>
      </c>
      <c r="B183" s="8" t="str">
        <f t="shared" ref="B183:V183" si="127">B60</f>
        <v>Unit</v>
      </c>
      <c r="C183">
        <f t="shared" si="127"/>
        <v>333.25</v>
      </c>
      <c r="D183">
        <f t="shared" si="127"/>
        <v>333.25</v>
      </c>
      <c r="E183">
        <f t="shared" si="127"/>
        <v>333.25</v>
      </c>
      <c r="F183">
        <f t="shared" si="127"/>
        <v>0</v>
      </c>
      <c r="G183">
        <f t="shared" si="127"/>
        <v>0</v>
      </c>
      <c r="H183">
        <f t="shared" si="127"/>
        <v>0</v>
      </c>
      <c r="I183">
        <f t="shared" si="127"/>
        <v>0</v>
      </c>
      <c r="J183">
        <f t="shared" si="127"/>
        <v>0</v>
      </c>
      <c r="K183">
        <f t="shared" si="127"/>
        <v>0</v>
      </c>
      <c r="L183">
        <f t="shared" si="127"/>
        <v>0</v>
      </c>
      <c r="M183">
        <f t="shared" si="127"/>
        <v>0</v>
      </c>
      <c r="N183">
        <f t="shared" si="127"/>
        <v>0</v>
      </c>
      <c r="O183">
        <f t="shared" si="127"/>
        <v>0</v>
      </c>
      <c r="P183">
        <f t="shared" si="127"/>
        <v>0</v>
      </c>
      <c r="Q183">
        <f t="shared" si="127"/>
        <v>0</v>
      </c>
      <c r="R183">
        <f t="shared" si="127"/>
        <v>0</v>
      </c>
      <c r="S183">
        <f t="shared" si="127"/>
        <v>0</v>
      </c>
      <c r="T183">
        <f t="shared" si="127"/>
        <v>0</v>
      </c>
      <c r="U183">
        <f t="shared" si="127"/>
        <v>0</v>
      </c>
      <c r="V183">
        <f t="shared" si="127"/>
        <v>0</v>
      </c>
    </row>
    <row r="184" spans="1:22" x14ac:dyDescent="0.35">
      <c r="A184" s="6" t="str">
        <f t="shared" si="126"/>
        <v xml:space="preserve">  Acacia seedling</v>
      </c>
      <c r="B184" s="8" t="str">
        <f t="shared" ref="B184:V184" si="128">B61</f>
        <v>Unit</v>
      </c>
      <c r="C184">
        <f t="shared" si="128"/>
        <v>20</v>
      </c>
      <c r="D184">
        <f t="shared" si="128"/>
        <v>0</v>
      </c>
      <c r="E184">
        <f t="shared" si="128"/>
        <v>0</v>
      </c>
      <c r="F184">
        <f t="shared" si="128"/>
        <v>0</v>
      </c>
      <c r="G184">
        <f t="shared" si="128"/>
        <v>0</v>
      </c>
      <c r="H184">
        <f t="shared" si="128"/>
        <v>0</v>
      </c>
      <c r="I184">
        <f t="shared" si="128"/>
        <v>0</v>
      </c>
      <c r="J184">
        <f t="shared" si="128"/>
        <v>0</v>
      </c>
      <c r="K184">
        <f t="shared" si="128"/>
        <v>0</v>
      </c>
      <c r="L184">
        <f t="shared" si="128"/>
        <v>0</v>
      </c>
      <c r="M184">
        <f t="shared" si="128"/>
        <v>0</v>
      </c>
      <c r="N184">
        <f t="shared" si="128"/>
        <v>0</v>
      </c>
      <c r="O184">
        <f t="shared" si="128"/>
        <v>0</v>
      </c>
      <c r="P184">
        <f t="shared" si="128"/>
        <v>0</v>
      </c>
      <c r="Q184">
        <f t="shared" si="128"/>
        <v>0</v>
      </c>
      <c r="R184">
        <f t="shared" si="128"/>
        <v>0</v>
      </c>
      <c r="S184">
        <f t="shared" si="128"/>
        <v>0</v>
      </c>
      <c r="T184">
        <f t="shared" si="128"/>
        <v>0</v>
      </c>
      <c r="U184">
        <f t="shared" si="128"/>
        <v>0</v>
      </c>
      <c r="V184">
        <f t="shared" si="128"/>
        <v>0</v>
      </c>
    </row>
    <row r="185" spans="1:22" x14ac:dyDescent="0.35">
      <c r="A185" s="6" t="str">
        <f t="shared" si="126"/>
        <v xml:space="preserve">  Akpi seedling</v>
      </c>
      <c r="B185" s="8" t="str">
        <f t="shared" ref="B185:V185" si="129">B62</f>
        <v>Unit</v>
      </c>
      <c r="C185">
        <f t="shared" si="129"/>
        <v>35</v>
      </c>
      <c r="D185">
        <f t="shared" si="129"/>
        <v>0</v>
      </c>
      <c r="E185">
        <f t="shared" si="129"/>
        <v>0</v>
      </c>
      <c r="F185">
        <f t="shared" si="129"/>
        <v>0</v>
      </c>
      <c r="G185">
        <f t="shared" si="129"/>
        <v>0</v>
      </c>
      <c r="H185">
        <f t="shared" si="129"/>
        <v>0</v>
      </c>
      <c r="I185">
        <f t="shared" si="129"/>
        <v>0</v>
      </c>
      <c r="J185">
        <f t="shared" si="129"/>
        <v>0</v>
      </c>
      <c r="K185">
        <f t="shared" si="129"/>
        <v>0</v>
      </c>
      <c r="L185">
        <f t="shared" si="129"/>
        <v>0</v>
      </c>
      <c r="M185">
        <f t="shared" si="129"/>
        <v>0</v>
      </c>
      <c r="N185">
        <f t="shared" si="129"/>
        <v>0</v>
      </c>
      <c r="O185">
        <f t="shared" si="129"/>
        <v>0</v>
      </c>
      <c r="P185">
        <f t="shared" si="129"/>
        <v>0</v>
      </c>
      <c r="Q185">
        <f t="shared" si="129"/>
        <v>0</v>
      </c>
      <c r="R185">
        <f t="shared" si="129"/>
        <v>0</v>
      </c>
      <c r="S185">
        <f t="shared" si="129"/>
        <v>0</v>
      </c>
      <c r="T185">
        <f t="shared" si="129"/>
        <v>0</v>
      </c>
      <c r="U185">
        <f t="shared" si="129"/>
        <v>0</v>
      </c>
      <c r="V185">
        <f t="shared" si="129"/>
        <v>0</v>
      </c>
    </row>
    <row r="186" spans="1:22" x14ac:dyDescent="0.35">
      <c r="A186" s="6" t="str">
        <f t="shared" si="126"/>
        <v xml:space="preserve">  Teck seedling</v>
      </c>
      <c r="B186" s="8" t="str">
        <f t="shared" ref="B186:V186" si="130">B63</f>
        <v>Unit</v>
      </c>
      <c r="C186">
        <f t="shared" si="130"/>
        <v>35</v>
      </c>
      <c r="D186">
        <f t="shared" si="130"/>
        <v>0</v>
      </c>
      <c r="E186">
        <f t="shared" si="130"/>
        <v>0</v>
      </c>
      <c r="F186">
        <f t="shared" si="130"/>
        <v>0</v>
      </c>
      <c r="G186">
        <f t="shared" si="130"/>
        <v>0</v>
      </c>
      <c r="H186">
        <f t="shared" si="130"/>
        <v>0</v>
      </c>
      <c r="I186">
        <f t="shared" si="130"/>
        <v>0</v>
      </c>
      <c r="J186">
        <f t="shared" si="130"/>
        <v>0</v>
      </c>
      <c r="K186">
        <f t="shared" si="130"/>
        <v>0</v>
      </c>
      <c r="L186">
        <f t="shared" si="130"/>
        <v>0</v>
      </c>
      <c r="M186">
        <f t="shared" si="130"/>
        <v>0</v>
      </c>
      <c r="N186">
        <f t="shared" si="130"/>
        <v>0</v>
      </c>
      <c r="O186">
        <f t="shared" si="130"/>
        <v>0</v>
      </c>
      <c r="P186">
        <f t="shared" si="130"/>
        <v>0</v>
      </c>
      <c r="Q186">
        <f t="shared" si="130"/>
        <v>0</v>
      </c>
      <c r="R186">
        <f t="shared" si="130"/>
        <v>0</v>
      </c>
      <c r="S186">
        <f t="shared" si="130"/>
        <v>0</v>
      </c>
      <c r="T186">
        <f t="shared" si="130"/>
        <v>0</v>
      </c>
      <c r="U186">
        <f t="shared" si="130"/>
        <v>0</v>
      </c>
      <c r="V186">
        <f t="shared" si="130"/>
        <v>0</v>
      </c>
    </row>
    <row r="187" spans="1:22" x14ac:dyDescent="0.35">
      <c r="A187" s="6" t="str">
        <f t="shared" si="126"/>
        <v xml:space="preserve">  Triple phosphate</v>
      </c>
      <c r="B187" s="8" t="str">
        <f>B64</f>
        <v>Kg</v>
      </c>
      <c r="C187">
        <v>0</v>
      </c>
      <c r="D187">
        <v>0</v>
      </c>
      <c r="E187">
        <v>0</v>
      </c>
      <c r="F187">
        <f t="shared" ref="F187:V187" si="131">F64</f>
        <v>0</v>
      </c>
      <c r="G187">
        <f t="shared" si="131"/>
        <v>0</v>
      </c>
      <c r="H187">
        <f t="shared" si="131"/>
        <v>0</v>
      </c>
      <c r="I187">
        <f t="shared" si="131"/>
        <v>0</v>
      </c>
      <c r="J187">
        <f t="shared" si="131"/>
        <v>0</v>
      </c>
      <c r="K187">
        <f t="shared" si="131"/>
        <v>0</v>
      </c>
      <c r="L187">
        <f t="shared" si="131"/>
        <v>0</v>
      </c>
      <c r="M187">
        <f t="shared" si="131"/>
        <v>0</v>
      </c>
      <c r="N187">
        <f t="shared" si="131"/>
        <v>0</v>
      </c>
      <c r="O187">
        <f t="shared" si="131"/>
        <v>0</v>
      </c>
      <c r="P187">
        <f t="shared" si="131"/>
        <v>0</v>
      </c>
      <c r="Q187">
        <f t="shared" si="131"/>
        <v>0</v>
      </c>
      <c r="R187">
        <f t="shared" si="131"/>
        <v>0</v>
      </c>
      <c r="S187">
        <f t="shared" si="131"/>
        <v>0</v>
      </c>
      <c r="T187">
        <f t="shared" si="131"/>
        <v>0</v>
      </c>
      <c r="U187">
        <f t="shared" si="131"/>
        <v>0</v>
      </c>
      <c r="V187">
        <f t="shared" si="131"/>
        <v>0</v>
      </c>
    </row>
    <row r="188" spans="1:22" x14ac:dyDescent="0.35">
      <c r="A188" s="6" t="str">
        <f t="shared" si="126"/>
        <v xml:space="preserve">  Plant protection chemicals</v>
      </c>
      <c r="B188" s="8" t="str">
        <f>B65</f>
        <v>Lt</v>
      </c>
      <c r="C188">
        <v>0</v>
      </c>
      <c r="D188">
        <f>C188</f>
        <v>0</v>
      </c>
      <c r="E188">
        <f t="shared" ref="E188:V188" si="132">D188</f>
        <v>0</v>
      </c>
      <c r="F188">
        <f t="shared" si="132"/>
        <v>0</v>
      </c>
      <c r="G188">
        <f t="shared" si="132"/>
        <v>0</v>
      </c>
      <c r="H188">
        <f t="shared" si="132"/>
        <v>0</v>
      </c>
      <c r="I188">
        <f t="shared" si="132"/>
        <v>0</v>
      </c>
      <c r="J188">
        <f t="shared" si="132"/>
        <v>0</v>
      </c>
      <c r="K188">
        <f t="shared" si="132"/>
        <v>0</v>
      </c>
      <c r="L188">
        <f t="shared" si="132"/>
        <v>0</v>
      </c>
      <c r="M188">
        <f t="shared" si="132"/>
        <v>0</v>
      </c>
      <c r="N188">
        <f t="shared" si="132"/>
        <v>0</v>
      </c>
      <c r="O188">
        <f t="shared" si="132"/>
        <v>0</v>
      </c>
      <c r="P188">
        <f t="shared" si="132"/>
        <v>0</v>
      </c>
      <c r="Q188">
        <f t="shared" si="132"/>
        <v>0</v>
      </c>
      <c r="R188">
        <f t="shared" si="132"/>
        <v>0</v>
      </c>
      <c r="S188">
        <f t="shared" si="132"/>
        <v>0</v>
      </c>
      <c r="T188">
        <f t="shared" si="132"/>
        <v>0</v>
      </c>
      <c r="U188">
        <f t="shared" si="132"/>
        <v>0</v>
      </c>
      <c r="V188">
        <f t="shared" si="132"/>
        <v>0</v>
      </c>
    </row>
    <row r="189" spans="1:22" x14ac:dyDescent="0.35">
      <c r="A189" s="6"/>
      <c r="B189" s="8"/>
    </row>
    <row r="190" spans="1:22" x14ac:dyDescent="0.35">
      <c r="A190" s="6" t="s">
        <v>30</v>
      </c>
      <c r="B190" s="8"/>
    </row>
    <row r="191" spans="1:22" x14ac:dyDescent="0.35">
      <c r="A191" s="6" t="s">
        <v>155</v>
      </c>
      <c r="B191" s="8" t="s">
        <v>1</v>
      </c>
      <c r="C191">
        <v>1</v>
      </c>
      <c r="D191">
        <f>C191</f>
        <v>1</v>
      </c>
      <c r="E191">
        <f t="shared" ref="E191:V191" si="133">D191</f>
        <v>1</v>
      </c>
      <c r="F191">
        <f t="shared" si="133"/>
        <v>1</v>
      </c>
      <c r="G191">
        <f t="shared" si="133"/>
        <v>1</v>
      </c>
      <c r="H191">
        <f t="shared" si="133"/>
        <v>1</v>
      </c>
      <c r="I191">
        <f t="shared" si="133"/>
        <v>1</v>
      </c>
      <c r="J191">
        <f t="shared" si="133"/>
        <v>1</v>
      </c>
      <c r="K191">
        <f t="shared" si="133"/>
        <v>1</v>
      </c>
      <c r="L191">
        <f t="shared" si="133"/>
        <v>1</v>
      </c>
      <c r="M191">
        <f t="shared" si="133"/>
        <v>1</v>
      </c>
      <c r="N191">
        <f t="shared" si="133"/>
        <v>1</v>
      </c>
      <c r="O191">
        <f t="shared" si="133"/>
        <v>1</v>
      </c>
      <c r="P191">
        <f t="shared" si="133"/>
        <v>1</v>
      </c>
      <c r="Q191">
        <f t="shared" si="133"/>
        <v>1</v>
      </c>
      <c r="R191">
        <f t="shared" si="133"/>
        <v>1</v>
      </c>
      <c r="S191">
        <f t="shared" si="133"/>
        <v>1</v>
      </c>
      <c r="T191">
        <f t="shared" si="133"/>
        <v>1</v>
      </c>
      <c r="U191">
        <f t="shared" si="133"/>
        <v>1</v>
      </c>
      <c r="V191">
        <f t="shared" si="133"/>
        <v>1</v>
      </c>
    </row>
    <row r="192" spans="1:22" x14ac:dyDescent="0.35">
      <c r="A192" s="6"/>
      <c r="B192" s="8"/>
    </row>
    <row r="193" spans="1:22" x14ac:dyDescent="0.35">
      <c r="A193" s="6" t="str">
        <f t="shared" ref="A193:A200" si="134">A70</f>
        <v>Production</v>
      </c>
      <c r="B193" s="8"/>
    </row>
    <row r="194" spans="1:22" x14ac:dyDescent="0.35">
      <c r="A194" s="6" t="str">
        <f t="shared" si="134"/>
        <v xml:space="preserve">  cocoa - old plants</v>
      </c>
      <c r="B194" s="8" t="str">
        <f t="shared" ref="B194:B200" si="135">B71</f>
        <v>Kg</v>
      </c>
      <c r="C194">
        <f t="shared" ref="C194:V194" si="136">C71*0.75</f>
        <v>135</v>
      </c>
      <c r="D194">
        <f t="shared" si="136"/>
        <v>90</v>
      </c>
      <c r="E194">
        <f t="shared" si="136"/>
        <v>45</v>
      </c>
      <c r="F194">
        <f t="shared" si="136"/>
        <v>45</v>
      </c>
      <c r="G194">
        <f t="shared" si="136"/>
        <v>45</v>
      </c>
      <c r="H194">
        <f t="shared" si="136"/>
        <v>45</v>
      </c>
      <c r="I194">
        <f t="shared" si="136"/>
        <v>45</v>
      </c>
      <c r="J194">
        <f t="shared" si="136"/>
        <v>45</v>
      </c>
      <c r="K194">
        <f t="shared" si="136"/>
        <v>45</v>
      </c>
      <c r="L194">
        <f t="shared" si="136"/>
        <v>45</v>
      </c>
      <c r="M194">
        <f t="shared" si="136"/>
        <v>45</v>
      </c>
      <c r="N194">
        <f t="shared" si="136"/>
        <v>45</v>
      </c>
      <c r="O194">
        <f t="shared" si="136"/>
        <v>45</v>
      </c>
      <c r="P194">
        <f t="shared" si="136"/>
        <v>45</v>
      </c>
      <c r="Q194">
        <f t="shared" si="136"/>
        <v>45</v>
      </c>
      <c r="R194">
        <f t="shared" si="136"/>
        <v>45</v>
      </c>
      <c r="S194">
        <f t="shared" si="136"/>
        <v>45</v>
      </c>
      <c r="T194">
        <f t="shared" si="136"/>
        <v>45</v>
      </c>
      <c r="U194">
        <f t="shared" si="136"/>
        <v>45</v>
      </c>
      <c r="V194">
        <f t="shared" si="136"/>
        <v>45</v>
      </c>
    </row>
    <row r="195" spans="1:22" x14ac:dyDescent="0.35">
      <c r="A195" s="6" t="str">
        <f t="shared" si="134"/>
        <v xml:space="preserve">  cocoa production of plants replanted f1st year</v>
      </c>
      <c r="B195" s="8" t="str">
        <f t="shared" si="135"/>
        <v>Kg</v>
      </c>
      <c r="C195">
        <f t="shared" ref="C195:V195" si="137">C72*0.75</f>
        <v>0</v>
      </c>
      <c r="D195">
        <f t="shared" si="137"/>
        <v>0</v>
      </c>
      <c r="E195">
        <f t="shared" si="137"/>
        <v>0</v>
      </c>
      <c r="F195">
        <f t="shared" si="137"/>
        <v>37.5</v>
      </c>
      <c r="G195">
        <f t="shared" si="137"/>
        <v>45.150000000000006</v>
      </c>
      <c r="H195">
        <f t="shared" si="137"/>
        <v>52.800000000000004</v>
      </c>
      <c r="I195">
        <f t="shared" si="137"/>
        <v>60.45</v>
      </c>
      <c r="J195">
        <f t="shared" si="137"/>
        <v>68.100000000000009</v>
      </c>
      <c r="K195">
        <f t="shared" si="137"/>
        <v>75.750000000000014</v>
      </c>
      <c r="L195">
        <f t="shared" si="137"/>
        <v>83.4</v>
      </c>
      <c r="M195">
        <f t="shared" si="137"/>
        <v>91.050000000000011</v>
      </c>
      <c r="N195">
        <f t="shared" si="137"/>
        <v>98.700000000000017</v>
      </c>
      <c r="O195">
        <f t="shared" si="137"/>
        <v>106.35000000000001</v>
      </c>
      <c r="P195">
        <f t="shared" si="137"/>
        <v>114</v>
      </c>
      <c r="Q195">
        <f t="shared" si="137"/>
        <v>121.64999999999999</v>
      </c>
      <c r="R195">
        <f t="shared" si="137"/>
        <v>114</v>
      </c>
      <c r="S195">
        <f t="shared" si="137"/>
        <v>106.35000000000001</v>
      </c>
      <c r="T195">
        <f t="shared" si="137"/>
        <v>98.700000000000017</v>
      </c>
      <c r="U195">
        <f t="shared" si="137"/>
        <v>91.050000000000011</v>
      </c>
      <c r="V195">
        <f t="shared" si="137"/>
        <v>83.4</v>
      </c>
    </row>
    <row r="196" spans="1:22" x14ac:dyDescent="0.35">
      <c r="A196" s="6" t="str">
        <f t="shared" si="134"/>
        <v xml:space="preserve">  cocoa production of plants replanted 2nd year </v>
      </c>
      <c r="B196" s="8" t="str">
        <f t="shared" si="135"/>
        <v>Kg</v>
      </c>
      <c r="C196">
        <f t="shared" ref="C196:V196" si="138">C73*0.75</f>
        <v>0</v>
      </c>
      <c r="D196">
        <f t="shared" si="138"/>
        <v>0</v>
      </c>
      <c r="E196">
        <f t="shared" si="138"/>
        <v>0</v>
      </c>
      <c r="F196">
        <f t="shared" si="138"/>
        <v>0</v>
      </c>
      <c r="G196">
        <f t="shared" si="138"/>
        <v>37.5</v>
      </c>
      <c r="H196">
        <f t="shared" si="138"/>
        <v>45.150000000000006</v>
      </c>
      <c r="I196">
        <f t="shared" si="138"/>
        <v>52.800000000000004</v>
      </c>
      <c r="J196">
        <f t="shared" si="138"/>
        <v>60.45</v>
      </c>
      <c r="K196">
        <f t="shared" si="138"/>
        <v>68.100000000000009</v>
      </c>
      <c r="L196">
        <f t="shared" si="138"/>
        <v>75.750000000000014</v>
      </c>
      <c r="M196">
        <f t="shared" si="138"/>
        <v>83.4</v>
      </c>
      <c r="N196">
        <f t="shared" si="138"/>
        <v>91.050000000000011</v>
      </c>
      <c r="O196">
        <f t="shared" si="138"/>
        <v>98.700000000000017</v>
      </c>
      <c r="P196">
        <f t="shared" si="138"/>
        <v>106.35000000000001</v>
      </c>
      <c r="Q196">
        <f t="shared" si="138"/>
        <v>114</v>
      </c>
      <c r="R196">
        <f t="shared" si="138"/>
        <v>121.64999999999999</v>
      </c>
      <c r="S196">
        <f t="shared" si="138"/>
        <v>114</v>
      </c>
      <c r="T196">
        <f t="shared" si="138"/>
        <v>106.35000000000001</v>
      </c>
      <c r="U196">
        <f t="shared" si="138"/>
        <v>98.700000000000017</v>
      </c>
      <c r="V196">
        <f t="shared" si="138"/>
        <v>91.050000000000011</v>
      </c>
    </row>
    <row r="197" spans="1:22" x14ac:dyDescent="0.35">
      <c r="A197" s="6" t="str">
        <f t="shared" si="134"/>
        <v xml:space="preserve">  cocoa production of plants replanted 3rd year </v>
      </c>
      <c r="B197" s="8" t="str">
        <f t="shared" si="135"/>
        <v>Kg</v>
      </c>
      <c r="C197">
        <f t="shared" ref="C197:V197" si="139">C74*0.75</f>
        <v>0</v>
      </c>
      <c r="D197">
        <f t="shared" si="139"/>
        <v>0</v>
      </c>
      <c r="E197">
        <f t="shared" si="139"/>
        <v>0</v>
      </c>
      <c r="F197">
        <f t="shared" si="139"/>
        <v>0</v>
      </c>
      <c r="G197">
        <f t="shared" si="139"/>
        <v>0</v>
      </c>
      <c r="H197">
        <f t="shared" si="139"/>
        <v>37.5</v>
      </c>
      <c r="I197">
        <f t="shared" si="139"/>
        <v>45.150000000000006</v>
      </c>
      <c r="J197">
        <f t="shared" si="139"/>
        <v>52.800000000000004</v>
      </c>
      <c r="K197">
        <f t="shared" si="139"/>
        <v>60.45</v>
      </c>
      <c r="L197">
        <f t="shared" si="139"/>
        <v>68.100000000000009</v>
      </c>
      <c r="M197">
        <f t="shared" si="139"/>
        <v>75.750000000000014</v>
      </c>
      <c r="N197">
        <f t="shared" si="139"/>
        <v>83.4</v>
      </c>
      <c r="O197">
        <f t="shared" si="139"/>
        <v>91.050000000000011</v>
      </c>
      <c r="P197">
        <f t="shared" si="139"/>
        <v>98.700000000000017</v>
      </c>
      <c r="Q197">
        <f t="shared" si="139"/>
        <v>106.35000000000001</v>
      </c>
      <c r="R197">
        <f t="shared" si="139"/>
        <v>114</v>
      </c>
      <c r="S197">
        <f t="shared" si="139"/>
        <v>121.64999999999999</v>
      </c>
      <c r="T197">
        <f t="shared" si="139"/>
        <v>114</v>
      </c>
      <c r="U197">
        <f t="shared" si="139"/>
        <v>106.35000000000001</v>
      </c>
      <c r="V197">
        <f t="shared" si="139"/>
        <v>98.700000000000017</v>
      </c>
    </row>
    <row r="198" spans="1:22" x14ac:dyDescent="0.35">
      <c r="A198" s="6" t="str">
        <f t="shared" si="134"/>
        <v xml:space="preserve">  Akpi</v>
      </c>
      <c r="B198" s="8" t="str">
        <f t="shared" si="135"/>
        <v>Kg</v>
      </c>
      <c r="C198" s="2">
        <f t="shared" ref="C198:V198" si="140">C75</f>
        <v>0</v>
      </c>
      <c r="D198" s="2">
        <f t="shared" si="140"/>
        <v>0</v>
      </c>
      <c r="E198" s="2">
        <f t="shared" si="140"/>
        <v>0</v>
      </c>
      <c r="F198" s="2">
        <f t="shared" si="140"/>
        <v>0</v>
      </c>
      <c r="G198" s="2">
        <f t="shared" si="140"/>
        <v>0</v>
      </c>
      <c r="H198" s="2">
        <f t="shared" si="140"/>
        <v>0</v>
      </c>
      <c r="I198" s="2">
        <f t="shared" si="140"/>
        <v>0</v>
      </c>
      <c r="J198" s="2">
        <f t="shared" si="140"/>
        <v>8.0079999999999991</v>
      </c>
      <c r="K198" s="2">
        <f t="shared" si="140"/>
        <v>10.472</v>
      </c>
      <c r="L198" s="2">
        <f t="shared" si="140"/>
        <v>12.935999999999998</v>
      </c>
      <c r="M198" s="2">
        <f t="shared" si="140"/>
        <v>15.4</v>
      </c>
      <c r="N198" s="2">
        <f t="shared" si="140"/>
        <v>17.863999999999997</v>
      </c>
      <c r="O198" s="2">
        <f t="shared" si="140"/>
        <v>20.327999999999999</v>
      </c>
      <c r="P198" s="2">
        <f t="shared" si="140"/>
        <v>22.792000000000002</v>
      </c>
      <c r="Q198" s="2">
        <f t="shared" si="140"/>
        <v>25.255999999999997</v>
      </c>
      <c r="R198" s="2">
        <f t="shared" si="140"/>
        <v>25.255999999999997</v>
      </c>
      <c r="S198" s="2">
        <f t="shared" si="140"/>
        <v>25.255999999999997</v>
      </c>
      <c r="T198" s="2">
        <f t="shared" si="140"/>
        <v>25.255999999999997</v>
      </c>
      <c r="U198" s="2">
        <f t="shared" si="140"/>
        <v>25.255999999999997</v>
      </c>
      <c r="V198" s="2">
        <f t="shared" si="140"/>
        <v>25.255999999999997</v>
      </c>
    </row>
    <row r="199" spans="1:22" x14ac:dyDescent="0.35">
      <c r="A199" s="6" t="str">
        <f t="shared" si="134"/>
        <v xml:space="preserve">  Firewood</v>
      </c>
      <c r="B199" s="8" t="str">
        <f t="shared" si="135"/>
        <v>Stacked cubic meter</v>
      </c>
      <c r="C199" s="2">
        <f t="shared" ref="C199:V199" si="141">C76</f>
        <v>0</v>
      </c>
      <c r="D199">
        <f t="shared" si="141"/>
        <v>0</v>
      </c>
      <c r="E199">
        <f t="shared" si="141"/>
        <v>0</v>
      </c>
      <c r="F199">
        <f t="shared" si="141"/>
        <v>0</v>
      </c>
      <c r="G199">
        <f t="shared" si="141"/>
        <v>0</v>
      </c>
      <c r="H199">
        <f t="shared" si="141"/>
        <v>0</v>
      </c>
      <c r="I199">
        <f t="shared" si="141"/>
        <v>1</v>
      </c>
      <c r="J199">
        <f t="shared" si="141"/>
        <v>0</v>
      </c>
      <c r="K199">
        <f t="shared" si="141"/>
        <v>0</v>
      </c>
      <c r="L199">
        <f t="shared" si="141"/>
        <v>0</v>
      </c>
      <c r="M199">
        <f t="shared" si="141"/>
        <v>0</v>
      </c>
      <c r="N199">
        <f t="shared" si="141"/>
        <v>0</v>
      </c>
      <c r="O199">
        <f t="shared" si="141"/>
        <v>0</v>
      </c>
      <c r="P199">
        <f t="shared" si="141"/>
        <v>1</v>
      </c>
      <c r="Q199">
        <f t="shared" si="141"/>
        <v>0</v>
      </c>
      <c r="R199">
        <f t="shared" si="141"/>
        <v>0</v>
      </c>
      <c r="S199">
        <f t="shared" si="141"/>
        <v>0</v>
      </c>
      <c r="T199">
        <f t="shared" si="141"/>
        <v>0</v>
      </c>
      <c r="U199">
        <f t="shared" si="141"/>
        <v>0</v>
      </c>
      <c r="V199">
        <f t="shared" si="141"/>
        <v>0</v>
      </c>
    </row>
    <row r="200" spans="1:22" x14ac:dyDescent="0.35">
      <c r="A200" s="12" t="str">
        <f t="shared" si="134"/>
        <v xml:space="preserve">  Timber</v>
      </c>
      <c r="B200" s="10" t="str">
        <f t="shared" si="135"/>
        <v>Tree</v>
      </c>
      <c r="C200" s="11">
        <f t="shared" ref="C200:V200" si="142">C77</f>
        <v>0</v>
      </c>
      <c r="D200" s="11">
        <f t="shared" si="142"/>
        <v>0</v>
      </c>
      <c r="E200" s="11">
        <f t="shared" si="142"/>
        <v>0</v>
      </c>
      <c r="F200" s="11">
        <f t="shared" si="142"/>
        <v>0</v>
      </c>
      <c r="G200" s="11">
        <f t="shared" si="142"/>
        <v>0</v>
      </c>
      <c r="H200" s="11">
        <f t="shared" si="142"/>
        <v>0</v>
      </c>
      <c r="I200" s="11">
        <f t="shared" si="142"/>
        <v>0</v>
      </c>
      <c r="J200" s="11">
        <f t="shared" si="142"/>
        <v>0</v>
      </c>
      <c r="K200" s="11">
        <f t="shared" si="142"/>
        <v>0</v>
      </c>
      <c r="L200" s="11">
        <f t="shared" si="142"/>
        <v>0</v>
      </c>
      <c r="M200" s="11">
        <f t="shared" si="142"/>
        <v>0</v>
      </c>
      <c r="N200" s="11">
        <f t="shared" si="142"/>
        <v>0</v>
      </c>
      <c r="O200" s="11">
        <f t="shared" si="142"/>
        <v>0</v>
      </c>
      <c r="P200" s="11">
        <f t="shared" si="142"/>
        <v>0</v>
      </c>
      <c r="Q200" s="11">
        <f t="shared" si="142"/>
        <v>0</v>
      </c>
      <c r="R200" s="11">
        <f t="shared" si="142"/>
        <v>0</v>
      </c>
      <c r="S200" s="11">
        <f t="shared" si="142"/>
        <v>0</v>
      </c>
      <c r="T200" s="11">
        <f t="shared" si="142"/>
        <v>0</v>
      </c>
      <c r="U200" s="11">
        <f t="shared" si="142"/>
        <v>0</v>
      </c>
      <c r="V200" s="11">
        <f t="shared" si="142"/>
        <v>35</v>
      </c>
    </row>
    <row r="202" spans="1:22" x14ac:dyDescent="0.35">
      <c r="A202" s="68" t="s">
        <v>304</v>
      </c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</row>
    <row r="203" spans="1:22" x14ac:dyDescent="0.35">
      <c r="A203" s="12" t="s">
        <v>302</v>
      </c>
      <c r="B203" s="10" t="str">
        <f t="shared" ref="B203:V203" si="143">B80</f>
        <v>Price</v>
      </c>
      <c r="C203" s="11" t="str">
        <f t="shared" si="143"/>
        <v>Yr. 1</v>
      </c>
      <c r="D203" s="11" t="str">
        <f t="shared" si="143"/>
        <v>Yr. 2</v>
      </c>
      <c r="E203" s="11" t="str">
        <f t="shared" si="143"/>
        <v>Yr. 3</v>
      </c>
      <c r="F203" s="11" t="str">
        <f t="shared" si="143"/>
        <v>Yr. 4</v>
      </c>
      <c r="G203" s="11" t="str">
        <f t="shared" si="143"/>
        <v>Yr. 5</v>
      </c>
      <c r="H203" s="11" t="str">
        <f t="shared" si="143"/>
        <v>Yr. 6</v>
      </c>
      <c r="I203" s="11" t="str">
        <f t="shared" si="143"/>
        <v>Yr. 7</v>
      </c>
      <c r="J203" s="11" t="str">
        <f t="shared" si="143"/>
        <v>Yr. 8</v>
      </c>
      <c r="K203" s="11" t="str">
        <f t="shared" si="143"/>
        <v>Yr. 9</v>
      </c>
      <c r="L203" s="11" t="str">
        <f t="shared" si="143"/>
        <v>Yr. 10</v>
      </c>
      <c r="M203" s="11" t="str">
        <f t="shared" si="143"/>
        <v>Yr. 11</v>
      </c>
      <c r="N203" s="11" t="str">
        <f t="shared" si="143"/>
        <v>Yr. 12</v>
      </c>
      <c r="O203" s="11" t="str">
        <f t="shared" si="143"/>
        <v>Yr. 13</v>
      </c>
      <c r="P203" s="11" t="str">
        <f t="shared" si="143"/>
        <v>Yr. 14</v>
      </c>
      <c r="Q203" s="11" t="str">
        <f t="shared" si="143"/>
        <v>Yr. 15</v>
      </c>
      <c r="R203" s="11" t="str">
        <f t="shared" si="143"/>
        <v>Yr. 16</v>
      </c>
      <c r="S203" s="11" t="str">
        <f t="shared" si="143"/>
        <v>Yr. 17</v>
      </c>
      <c r="T203" s="11" t="str">
        <f t="shared" si="143"/>
        <v>Yr. 18</v>
      </c>
      <c r="U203" s="11" t="str">
        <f t="shared" si="143"/>
        <v>Yr. 19</v>
      </c>
      <c r="V203" s="11" t="str">
        <f t="shared" si="143"/>
        <v>Yr. 20</v>
      </c>
    </row>
    <row r="204" spans="1:22" x14ac:dyDescent="0.35">
      <c r="A204" s="6" t="str">
        <f>A166</f>
        <v>Agricultural operations</v>
      </c>
      <c r="B204" s="8"/>
    </row>
    <row r="205" spans="1:22" x14ac:dyDescent="0.35">
      <c r="A205" s="6" t="str">
        <f>A167</f>
        <v xml:space="preserve">  Undergrowth clearing</v>
      </c>
      <c r="B205" s="13">
        <f>B82</f>
        <v>30000</v>
      </c>
      <c r="C205" s="2">
        <f t="shared" ref="C205:V205" si="144">$B205*C167</f>
        <v>30000</v>
      </c>
      <c r="D205" s="2">
        <f t="shared" si="144"/>
        <v>0</v>
      </c>
      <c r="E205" s="2">
        <f t="shared" si="144"/>
        <v>0</v>
      </c>
      <c r="F205" s="2">
        <f t="shared" si="144"/>
        <v>0</v>
      </c>
      <c r="G205" s="2">
        <f t="shared" si="144"/>
        <v>0</v>
      </c>
      <c r="H205" s="2">
        <f t="shared" si="144"/>
        <v>0</v>
      </c>
      <c r="I205" s="2">
        <f t="shared" si="144"/>
        <v>0</v>
      </c>
      <c r="J205" s="2">
        <f t="shared" si="144"/>
        <v>0</v>
      </c>
      <c r="K205" s="2">
        <f t="shared" si="144"/>
        <v>0</v>
      </c>
      <c r="L205" s="2">
        <f t="shared" si="144"/>
        <v>0</v>
      </c>
      <c r="M205" s="2">
        <f t="shared" si="144"/>
        <v>0</v>
      </c>
      <c r="N205" s="2">
        <f t="shared" si="144"/>
        <v>0</v>
      </c>
      <c r="O205" s="2">
        <f t="shared" si="144"/>
        <v>0</v>
      </c>
      <c r="P205" s="2">
        <f t="shared" si="144"/>
        <v>0</v>
      </c>
      <c r="Q205" s="2">
        <f t="shared" si="144"/>
        <v>0</v>
      </c>
      <c r="R205" s="2">
        <f t="shared" si="144"/>
        <v>0</v>
      </c>
      <c r="S205" s="2">
        <f t="shared" si="144"/>
        <v>0</v>
      </c>
      <c r="T205" s="2">
        <f t="shared" si="144"/>
        <v>0</v>
      </c>
      <c r="U205" s="2">
        <f t="shared" si="144"/>
        <v>0</v>
      </c>
      <c r="V205" s="2">
        <f t="shared" si="144"/>
        <v>0</v>
      </c>
    </row>
    <row r="206" spans="1:22" x14ac:dyDescent="0.35">
      <c r="A206" s="6" t="str">
        <f>A168</f>
        <v xml:space="preserve">  Cutting old trees</v>
      </c>
      <c r="B206" s="13">
        <f>B83</f>
        <v>50000</v>
      </c>
      <c r="C206" s="2">
        <f t="shared" ref="C206:V206" si="145">$B206*C168</f>
        <v>12500</v>
      </c>
      <c r="D206" s="2">
        <f t="shared" si="145"/>
        <v>12500</v>
      </c>
      <c r="E206" s="2">
        <f t="shared" si="145"/>
        <v>12500</v>
      </c>
      <c r="F206" s="2">
        <f t="shared" si="145"/>
        <v>0</v>
      </c>
      <c r="G206" s="2">
        <f t="shared" si="145"/>
        <v>0</v>
      </c>
      <c r="H206" s="2">
        <f t="shared" si="145"/>
        <v>0</v>
      </c>
      <c r="I206" s="2">
        <f t="shared" si="145"/>
        <v>0</v>
      </c>
      <c r="J206" s="2">
        <f t="shared" si="145"/>
        <v>0</v>
      </c>
      <c r="K206" s="2">
        <f t="shared" si="145"/>
        <v>0</v>
      </c>
      <c r="L206" s="2">
        <f t="shared" si="145"/>
        <v>0</v>
      </c>
      <c r="M206" s="2">
        <f t="shared" si="145"/>
        <v>0</v>
      </c>
      <c r="N206" s="2">
        <f t="shared" si="145"/>
        <v>0</v>
      </c>
      <c r="O206" s="2">
        <f t="shared" si="145"/>
        <v>0</v>
      </c>
      <c r="P206" s="2">
        <f t="shared" si="145"/>
        <v>0</v>
      </c>
      <c r="Q206" s="2">
        <f t="shared" si="145"/>
        <v>0</v>
      </c>
      <c r="R206" s="2">
        <f t="shared" si="145"/>
        <v>0</v>
      </c>
      <c r="S206" s="2">
        <f t="shared" si="145"/>
        <v>0</v>
      </c>
      <c r="T206" s="2">
        <f t="shared" si="145"/>
        <v>0</v>
      </c>
      <c r="U206" s="2">
        <f t="shared" si="145"/>
        <v>0</v>
      </c>
      <c r="V206" s="2">
        <f t="shared" si="145"/>
        <v>0</v>
      </c>
    </row>
    <row r="207" spans="1:22" x14ac:dyDescent="0.35">
      <c r="A207" s="6" t="s">
        <v>70</v>
      </c>
      <c r="B207" s="13">
        <f>'Prices &amp; assums'!C27</f>
        <v>7</v>
      </c>
      <c r="C207" s="2">
        <f t="shared" ref="C207:V207" si="146">$B207*C169</f>
        <v>2962.75</v>
      </c>
      <c r="D207" s="2">
        <f t="shared" si="146"/>
        <v>2332.75</v>
      </c>
      <c r="E207" s="2">
        <f t="shared" si="146"/>
        <v>2332.75</v>
      </c>
      <c r="F207" s="2">
        <f t="shared" si="146"/>
        <v>0</v>
      </c>
      <c r="G207" s="2">
        <f t="shared" si="146"/>
        <v>0</v>
      </c>
      <c r="H207" s="2">
        <f t="shared" si="146"/>
        <v>0</v>
      </c>
      <c r="I207" s="2">
        <f t="shared" si="146"/>
        <v>0</v>
      </c>
      <c r="J207" s="2">
        <f t="shared" si="146"/>
        <v>0</v>
      </c>
      <c r="K207" s="2">
        <f t="shared" si="146"/>
        <v>0</v>
      </c>
      <c r="L207" s="2">
        <f t="shared" si="146"/>
        <v>0</v>
      </c>
      <c r="M207" s="2">
        <f t="shared" si="146"/>
        <v>0</v>
      </c>
      <c r="N207" s="2">
        <f t="shared" si="146"/>
        <v>0</v>
      </c>
      <c r="O207" s="2">
        <f t="shared" si="146"/>
        <v>0</v>
      </c>
      <c r="P207" s="2">
        <f t="shared" si="146"/>
        <v>0</v>
      </c>
      <c r="Q207" s="2">
        <f t="shared" si="146"/>
        <v>0</v>
      </c>
      <c r="R207" s="2">
        <f t="shared" si="146"/>
        <v>0</v>
      </c>
      <c r="S207" s="2">
        <f t="shared" si="146"/>
        <v>0</v>
      </c>
      <c r="T207" s="2">
        <f t="shared" si="146"/>
        <v>0</v>
      </c>
      <c r="U207" s="2">
        <f t="shared" si="146"/>
        <v>0</v>
      </c>
      <c r="V207" s="2">
        <f t="shared" si="146"/>
        <v>0</v>
      </c>
    </row>
    <row r="208" spans="1:22" x14ac:dyDescent="0.35">
      <c r="A208" s="6" t="str">
        <f>A170</f>
        <v xml:space="preserve">  Marking out</v>
      </c>
      <c r="B208" s="13">
        <f>B85</f>
        <v>25000</v>
      </c>
      <c r="C208" s="2">
        <f t="shared" ref="C208:V208" si="147">$B208*C170</f>
        <v>25000</v>
      </c>
      <c r="D208" s="2">
        <f t="shared" si="147"/>
        <v>25000</v>
      </c>
      <c r="E208" s="2">
        <f t="shared" si="147"/>
        <v>25000</v>
      </c>
      <c r="F208" s="2">
        <f t="shared" si="147"/>
        <v>0</v>
      </c>
      <c r="G208" s="2">
        <f t="shared" si="147"/>
        <v>0</v>
      </c>
      <c r="H208" s="2">
        <f t="shared" si="147"/>
        <v>0</v>
      </c>
      <c r="I208" s="2">
        <f t="shared" si="147"/>
        <v>0</v>
      </c>
      <c r="J208" s="2">
        <f t="shared" si="147"/>
        <v>0</v>
      </c>
      <c r="K208" s="2">
        <f t="shared" si="147"/>
        <v>0</v>
      </c>
      <c r="L208" s="2">
        <f t="shared" si="147"/>
        <v>0</v>
      </c>
      <c r="M208" s="2">
        <f t="shared" si="147"/>
        <v>0</v>
      </c>
      <c r="N208" s="2">
        <f t="shared" si="147"/>
        <v>0</v>
      </c>
      <c r="O208" s="2">
        <f t="shared" si="147"/>
        <v>0</v>
      </c>
      <c r="P208" s="2">
        <f t="shared" si="147"/>
        <v>0</v>
      </c>
      <c r="Q208" s="2">
        <f t="shared" si="147"/>
        <v>0</v>
      </c>
      <c r="R208" s="2">
        <f t="shared" si="147"/>
        <v>0</v>
      </c>
      <c r="S208" s="2">
        <f t="shared" si="147"/>
        <v>0</v>
      </c>
      <c r="T208" s="2">
        <f t="shared" si="147"/>
        <v>0</v>
      </c>
      <c r="U208" s="2">
        <f t="shared" si="147"/>
        <v>0</v>
      </c>
      <c r="V208" s="2">
        <f t="shared" si="147"/>
        <v>0</v>
      </c>
    </row>
    <row r="209" spans="1:22" x14ac:dyDescent="0.35">
      <c r="A209" s="6" t="str">
        <f>A171</f>
        <v xml:space="preserve">  Digging holes</v>
      </c>
      <c r="B209" s="13">
        <f>B86</f>
        <v>30</v>
      </c>
      <c r="C209" s="2">
        <f t="shared" ref="C209:V209" si="148">$B209*C171</f>
        <v>12697.5</v>
      </c>
      <c r="D209" s="2">
        <f t="shared" si="148"/>
        <v>9997.5</v>
      </c>
      <c r="E209" s="2">
        <f t="shared" si="148"/>
        <v>9997.5</v>
      </c>
      <c r="F209" s="2">
        <f t="shared" si="148"/>
        <v>0</v>
      </c>
      <c r="G209" s="2">
        <f t="shared" si="148"/>
        <v>0</v>
      </c>
      <c r="H209" s="2">
        <f t="shared" si="148"/>
        <v>0</v>
      </c>
      <c r="I209" s="2">
        <f t="shared" si="148"/>
        <v>0</v>
      </c>
      <c r="J209" s="2">
        <f t="shared" si="148"/>
        <v>0</v>
      </c>
      <c r="K209" s="2">
        <f t="shared" si="148"/>
        <v>0</v>
      </c>
      <c r="L209" s="2">
        <f t="shared" si="148"/>
        <v>0</v>
      </c>
      <c r="M209" s="2">
        <f t="shared" si="148"/>
        <v>0</v>
      </c>
      <c r="N209" s="2">
        <f t="shared" si="148"/>
        <v>0</v>
      </c>
      <c r="O209" s="2">
        <f t="shared" si="148"/>
        <v>0</v>
      </c>
      <c r="P209" s="2">
        <f t="shared" si="148"/>
        <v>0</v>
      </c>
      <c r="Q209" s="2">
        <f t="shared" si="148"/>
        <v>0</v>
      </c>
      <c r="R209" s="2">
        <f t="shared" si="148"/>
        <v>0</v>
      </c>
      <c r="S209" s="2">
        <f t="shared" si="148"/>
        <v>0</v>
      </c>
      <c r="T209" s="2">
        <f t="shared" si="148"/>
        <v>0</v>
      </c>
      <c r="U209" s="2">
        <f t="shared" si="148"/>
        <v>0</v>
      </c>
      <c r="V209" s="2">
        <f t="shared" si="148"/>
        <v>0</v>
      </c>
    </row>
    <row r="210" spans="1:22" x14ac:dyDescent="0.35">
      <c r="A210" s="6" t="str">
        <f>A172</f>
        <v xml:space="preserve">  Planting seedlings</v>
      </c>
      <c r="B210" s="13">
        <f>B87</f>
        <v>30</v>
      </c>
      <c r="C210" s="2">
        <f t="shared" ref="C210:V210" si="149">$B210*C172</f>
        <v>12697.5</v>
      </c>
      <c r="D210" s="2">
        <f t="shared" si="149"/>
        <v>9997.5</v>
      </c>
      <c r="E210" s="2">
        <f t="shared" si="149"/>
        <v>9997.5</v>
      </c>
      <c r="F210" s="2">
        <f t="shared" si="149"/>
        <v>0</v>
      </c>
      <c r="G210" s="2">
        <f t="shared" si="149"/>
        <v>0</v>
      </c>
      <c r="H210" s="2">
        <f t="shared" si="149"/>
        <v>0</v>
      </c>
      <c r="I210" s="2">
        <f t="shared" si="149"/>
        <v>0</v>
      </c>
      <c r="J210" s="2">
        <f t="shared" si="149"/>
        <v>0</v>
      </c>
      <c r="K210" s="2">
        <f t="shared" si="149"/>
        <v>0</v>
      </c>
      <c r="L210" s="2">
        <f t="shared" si="149"/>
        <v>0</v>
      </c>
      <c r="M210" s="2">
        <f t="shared" si="149"/>
        <v>0</v>
      </c>
      <c r="N210" s="2">
        <f t="shared" si="149"/>
        <v>0</v>
      </c>
      <c r="O210" s="2">
        <f t="shared" si="149"/>
        <v>0</v>
      </c>
      <c r="P210" s="2">
        <f t="shared" si="149"/>
        <v>0</v>
      </c>
      <c r="Q210" s="2">
        <f t="shared" si="149"/>
        <v>0</v>
      </c>
      <c r="R210" s="2">
        <f t="shared" si="149"/>
        <v>0</v>
      </c>
      <c r="S210" s="2">
        <f t="shared" si="149"/>
        <v>0</v>
      </c>
      <c r="T210" s="2">
        <f t="shared" si="149"/>
        <v>0</v>
      </c>
      <c r="U210" s="2">
        <f t="shared" si="149"/>
        <v>0</v>
      </c>
      <c r="V210" s="2">
        <f t="shared" si="149"/>
        <v>0</v>
      </c>
    </row>
    <row r="211" spans="1:22" x14ac:dyDescent="0.35">
      <c r="A211" s="6" t="str">
        <f>A173</f>
        <v xml:space="preserve">  Weeding other maintenance operations</v>
      </c>
      <c r="B211" s="13">
        <f>B88</f>
        <v>25000</v>
      </c>
      <c r="C211" s="2">
        <f t="shared" ref="C211:V211" si="150">$B211*C173</f>
        <v>0</v>
      </c>
      <c r="D211" s="2">
        <f t="shared" si="150"/>
        <v>75000</v>
      </c>
      <c r="E211" s="2">
        <f t="shared" si="150"/>
        <v>75000</v>
      </c>
      <c r="F211" s="2">
        <f t="shared" si="150"/>
        <v>75000</v>
      </c>
      <c r="G211" s="2">
        <f t="shared" si="150"/>
        <v>75000</v>
      </c>
      <c r="H211" s="2">
        <f t="shared" si="150"/>
        <v>75000</v>
      </c>
      <c r="I211" s="2">
        <f t="shared" si="150"/>
        <v>75000</v>
      </c>
      <c r="J211" s="2">
        <f t="shared" si="150"/>
        <v>75000</v>
      </c>
      <c r="K211" s="2">
        <f t="shared" si="150"/>
        <v>75000</v>
      </c>
      <c r="L211" s="2">
        <f t="shared" si="150"/>
        <v>75000</v>
      </c>
      <c r="M211" s="2">
        <f t="shared" si="150"/>
        <v>75000</v>
      </c>
      <c r="N211" s="2">
        <f t="shared" si="150"/>
        <v>75000</v>
      </c>
      <c r="O211" s="2">
        <f t="shared" si="150"/>
        <v>75000</v>
      </c>
      <c r="P211" s="2">
        <f t="shared" si="150"/>
        <v>75000</v>
      </c>
      <c r="Q211" s="2">
        <f t="shared" si="150"/>
        <v>75000</v>
      </c>
      <c r="R211" s="2">
        <f t="shared" si="150"/>
        <v>75000</v>
      </c>
      <c r="S211" s="2">
        <f t="shared" si="150"/>
        <v>75000</v>
      </c>
      <c r="T211" s="2">
        <f t="shared" si="150"/>
        <v>75000</v>
      </c>
      <c r="U211" s="2">
        <f t="shared" si="150"/>
        <v>75000</v>
      </c>
      <c r="V211" s="2">
        <f t="shared" si="150"/>
        <v>75000</v>
      </c>
    </row>
    <row r="212" spans="1:22" x14ac:dyDescent="0.35">
      <c r="A212" s="6" t="s">
        <v>144</v>
      </c>
      <c r="B212" s="13">
        <f>'Prices &amp; assums'!C13</f>
        <v>2000</v>
      </c>
      <c r="C212" s="2">
        <f t="shared" ref="C212:V212" si="151">$B212*C174</f>
        <v>0</v>
      </c>
      <c r="D212" s="2">
        <f t="shared" si="151"/>
        <v>636.46616541353387</v>
      </c>
      <c r="E212" s="2">
        <f t="shared" si="151"/>
        <v>501.1278195488722</v>
      </c>
      <c r="F212" s="2">
        <f t="shared" si="151"/>
        <v>501.1278195488722</v>
      </c>
      <c r="G212" s="2">
        <f t="shared" si="151"/>
        <v>0</v>
      </c>
      <c r="H212" s="2">
        <f t="shared" si="151"/>
        <v>0</v>
      </c>
      <c r="I212" s="2">
        <f t="shared" si="151"/>
        <v>0</v>
      </c>
      <c r="J212" s="2">
        <f t="shared" si="151"/>
        <v>0</v>
      </c>
      <c r="K212" s="2">
        <f t="shared" si="151"/>
        <v>0</v>
      </c>
      <c r="L212" s="2">
        <f t="shared" si="151"/>
        <v>0</v>
      </c>
      <c r="M212" s="2">
        <f t="shared" si="151"/>
        <v>0</v>
      </c>
      <c r="N212" s="2">
        <f t="shared" si="151"/>
        <v>0</v>
      </c>
      <c r="O212" s="2">
        <f t="shared" si="151"/>
        <v>0</v>
      </c>
      <c r="P212" s="2">
        <f t="shared" si="151"/>
        <v>0</v>
      </c>
      <c r="Q212" s="2">
        <f t="shared" si="151"/>
        <v>0</v>
      </c>
      <c r="R212" s="2">
        <f t="shared" si="151"/>
        <v>0</v>
      </c>
      <c r="S212" s="2">
        <f t="shared" si="151"/>
        <v>0</v>
      </c>
      <c r="T212" s="2">
        <f t="shared" si="151"/>
        <v>0</v>
      </c>
      <c r="U212" s="2">
        <f t="shared" si="151"/>
        <v>0</v>
      </c>
      <c r="V212" s="2">
        <f t="shared" si="151"/>
        <v>0</v>
      </c>
    </row>
    <row r="213" spans="1:22" x14ac:dyDescent="0.35">
      <c r="A213" s="6" t="str">
        <f t="shared" ref="A213:A218" si="152">A175</f>
        <v xml:space="preserve">  Fertilizer application</v>
      </c>
      <c r="B213" s="13">
        <f t="shared" ref="B213:B218" si="153">B90</f>
        <v>2500</v>
      </c>
      <c r="C213" s="2">
        <f t="shared" ref="C213:V213" si="154">$B213*C175</f>
        <v>0</v>
      </c>
      <c r="D213" s="2">
        <f t="shared" si="154"/>
        <v>0</v>
      </c>
      <c r="E213" s="2">
        <f t="shared" si="154"/>
        <v>5000</v>
      </c>
      <c r="F213" s="2">
        <f t="shared" si="154"/>
        <v>0</v>
      </c>
      <c r="G213" s="2">
        <f t="shared" si="154"/>
        <v>0</v>
      </c>
      <c r="H213" s="2">
        <f t="shared" si="154"/>
        <v>0</v>
      </c>
      <c r="I213" s="2">
        <f t="shared" si="154"/>
        <v>0</v>
      </c>
      <c r="J213" s="2">
        <f t="shared" si="154"/>
        <v>0</v>
      </c>
      <c r="K213" s="2">
        <f t="shared" si="154"/>
        <v>0</v>
      </c>
      <c r="L213" s="2">
        <f t="shared" si="154"/>
        <v>0</v>
      </c>
      <c r="M213" s="2">
        <f t="shared" si="154"/>
        <v>0</v>
      </c>
      <c r="N213" s="2">
        <f t="shared" si="154"/>
        <v>0</v>
      </c>
      <c r="O213" s="2">
        <f t="shared" si="154"/>
        <v>0</v>
      </c>
      <c r="P213" s="2">
        <f t="shared" si="154"/>
        <v>0</v>
      </c>
      <c r="Q213" s="2">
        <f t="shared" si="154"/>
        <v>0</v>
      </c>
      <c r="R213" s="2">
        <f t="shared" si="154"/>
        <v>0</v>
      </c>
      <c r="S213" s="2">
        <f t="shared" si="154"/>
        <v>0</v>
      </c>
      <c r="T213" s="2">
        <f t="shared" si="154"/>
        <v>0</v>
      </c>
      <c r="U213" s="2">
        <f t="shared" si="154"/>
        <v>0</v>
      </c>
      <c r="V213" s="2">
        <f t="shared" si="154"/>
        <v>0</v>
      </c>
    </row>
    <row r="214" spans="1:22" x14ac:dyDescent="0.35">
      <c r="A214" s="6" t="str">
        <f t="shared" si="152"/>
        <v xml:space="preserve">  Plant protection chemicals application</v>
      </c>
      <c r="B214" s="13">
        <f t="shared" si="153"/>
        <v>4000</v>
      </c>
      <c r="C214" s="2">
        <f t="shared" ref="C214:V214" si="155">$B214*C176</f>
        <v>0</v>
      </c>
      <c r="D214" s="2">
        <f t="shared" si="155"/>
        <v>0</v>
      </c>
      <c r="E214" s="2">
        <f t="shared" si="155"/>
        <v>0</v>
      </c>
      <c r="F214" s="2">
        <f t="shared" si="155"/>
        <v>0</v>
      </c>
      <c r="G214" s="2">
        <f t="shared" si="155"/>
        <v>0</v>
      </c>
      <c r="H214" s="2">
        <f t="shared" si="155"/>
        <v>0</v>
      </c>
      <c r="I214" s="2">
        <f t="shared" si="155"/>
        <v>0</v>
      </c>
      <c r="J214" s="2">
        <f t="shared" si="155"/>
        <v>0</v>
      </c>
      <c r="K214" s="2">
        <f t="shared" si="155"/>
        <v>0</v>
      </c>
      <c r="L214" s="2">
        <f t="shared" si="155"/>
        <v>0</v>
      </c>
      <c r="M214" s="2">
        <f t="shared" si="155"/>
        <v>0</v>
      </c>
      <c r="N214" s="2">
        <f t="shared" si="155"/>
        <v>0</v>
      </c>
      <c r="O214" s="2">
        <f t="shared" si="155"/>
        <v>0</v>
      </c>
      <c r="P214" s="2">
        <f t="shared" si="155"/>
        <v>0</v>
      </c>
      <c r="Q214" s="2">
        <f t="shared" si="155"/>
        <v>0</v>
      </c>
      <c r="R214" s="2">
        <f t="shared" si="155"/>
        <v>0</v>
      </c>
      <c r="S214" s="2">
        <f t="shared" si="155"/>
        <v>0</v>
      </c>
      <c r="T214" s="2">
        <f t="shared" si="155"/>
        <v>0</v>
      </c>
      <c r="U214" s="2">
        <f t="shared" si="155"/>
        <v>0</v>
      </c>
      <c r="V214" s="2">
        <f t="shared" si="155"/>
        <v>0</v>
      </c>
    </row>
    <row r="215" spans="1:22" x14ac:dyDescent="0.35">
      <c r="A215" s="6" t="str">
        <f t="shared" si="152"/>
        <v xml:space="preserve">  Harvest</v>
      </c>
      <c r="B215" s="13">
        <f t="shared" si="153"/>
        <v>31.200000000000003</v>
      </c>
      <c r="C215" s="2">
        <f t="shared" ref="C215:V215" si="156">$B215*C177</f>
        <v>4212</v>
      </c>
      <c r="D215" s="2">
        <f t="shared" si="156"/>
        <v>2808.0000000000005</v>
      </c>
      <c r="E215" s="2">
        <f t="shared" si="156"/>
        <v>1404.0000000000002</v>
      </c>
      <c r="F215" s="2">
        <f t="shared" si="156"/>
        <v>2574.0000000000005</v>
      </c>
      <c r="G215" s="2">
        <f t="shared" si="156"/>
        <v>3982.6800000000007</v>
      </c>
      <c r="H215" s="2">
        <f t="shared" si="156"/>
        <v>4460.0400000000009</v>
      </c>
      <c r="I215" s="2">
        <f t="shared" si="156"/>
        <v>4937.4000000000005</v>
      </c>
      <c r="J215" s="2">
        <f t="shared" si="156"/>
        <v>5414.7600000000011</v>
      </c>
      <c r="K215" s="2">
        <f t="shared" si="156"/>
        <v>5892.1200000000008</v>
      </c>
      <c r="L215" s="2">
        <f t="shared" si="156"/>
        <v>6369.4800000000014</v>
      </c>
      <c r="M215" s="2">
        <f t="shared" si="156"/>
        <v>6846.8400000000011</v>
      </c>
      <c r="N215" s="2">
        <f t="shared" si="156"/>
        <v>7324.2000000000016</v>
      </c>
      <c r="O215" s="2">
        <f t="shared" si="156"/>
        <v>7801.5600000000022</v>
      </c>
      <c r="P215" s="2">
        <f t="shared" si="156"/>
        <v>8278.9200000000019</v>
      </c>
      <c r="Q215" s="2">
        <f t="shared" si="156"/>
        <v>8756.2800000000007</v>
      </c>
      <c r="R215" s="2">
        <f t="shared" si="156"/>
        <v>8756.2800000000007</v>
      </c>
      <c r="S215" s="2">
        <f t="shared" si="156"/>
        <v>8278.9200000000019</v>
      </c>
      <c r="T215" s="2">
        <f t="shared" si="156"/>
        <v>7801.5600000000013</v>
      </c>
      <c r="U215" s="2">
        <f t="shared" si="156"/>
        <v>7324.2000000000016</v>
      </c>
      <c r="V215" s="2">
        <f t="shared" si="156"/>
        <v>6846.8400000000011</v>
      </c>
    </row>
    <row r="216" spans="1:22" x14ac:dyDescent="0.35">
      <c r="A216" s="6" t="str">
        <f t="shared" si="152"/>
        <v xml:space="preserve">  Post-harvest processes</v>
      </c>
      <c r="B216" s="13">
        <f t="shared" si="153"/>
        <v>46.800000000000004</v>
      </c>
      <c r="C216" s="2">
        <f t="shared" ref="C216:V216" si="157">$B216*C178</f>
        <v>6318.0000000000009</v>
      </c>
      <c r="D216" s="2">
        <f t="shared" si="157"/>
        <v>4212</v>
      </c>
      <c r="E216" s="2">
        <f t="shared" si="157"/>
        <v>2106</v>
      </c>
      <c r="F216" s="2">
        <f t="shared" si="157"/>
        <v>3861.0000000000005</v>
      </c>
      <c r="G216" s="2">
        <f t="shared" si="157"/>
        <v>5974.02</v>
      </c>
      <c r="H216" s="2">
        <f t="shared" si="157"/>
        <v>6690.0600000000013</v>
      </c>
      <c r="I216" s="2">
        <f t="shared" si="157"/>
        <v>7406.1</v>
      </c>
      <c r="J216" s="2">
        <f t="shared" si="157"/>
        <v>8122.1400000000012</v>
      </c>
      <c r="K216" s="2">
        <f t="shared" si="157"/>
        <v>8838.1800000000021</v>
      </c>
      <c r="L216" s="2">
        <f t="shared" si="157"/>
        <v>9554.220000000003</v>
      </c>
      <c r="M216" s="2">
        <f t="shared" si="157"/>
        <v>10270.260000000002</v>
      </c>
      <c r="N216" s="2">
        <f t="shared" si="157"/>
        <v>10986.300000000003</v>
      </c>
      <c r="O216" s="2">
        <f t="shared" si="157"/>
        <v>11702.340000000004</v>
      </c>
      <c r="P216" s="2">
        <f t="shared" si="157"/>
        <v>12418.380000000003</v>
      </c>
      <c r="Q216" s="2">
        <f t="shared" si="157"/>
        <v>13134.42</v>
      </c>
      <c r="R216" s="2">
        <f t="shared" si="157"/>
        <v>13134.42</v>
      </c>
      <c r="S216" s="2">
        <f t="shared" si="157"/>
        <v>12418.380000000003</v>
      </c>
      <c r="T216" s="2">
        <f t="shared" si="157"/>
        <v>11702.340000000002</v>
      </c>
      <c r="U216" s="2">
        <f t="shared" si="157"/>
        <v>10986.300000000003</v>
      </c>
      <c r="V216" s="2">
        <f t="shared" si="157"/>
        <v>10270.260000000002</v>
      </c>
    </row>
    <row r="217" spans="1:22" x14ac:dyDescent="0.35">
      <c r="A217" s="6" t="str">
        <f t="shared" si="152"/>
        <v xml:space="preserve">  Transport of beans</v>
      </c>
      <c r="B217" s="13">
        <f t="shared" si="153"/>
        <v>10</v>
      </c>
      <c r="C217" s="2">
        <f t="shared" ref="C217:V217" si="158">$B217*C179</f>
        <v>1350</v>
      </c>
      <c r="D217" s="2">
        <f t="shared" si="158"/>
        <v>900</v>
      </c>
      <c r="E217" s="2">
        <f t="shared" si="158"/>
        <v>450</v>
      </c>
      <c r="F217" s="2">
        <f t="shared" si="158"/>
        <v>825</v>
      </c>
      <c r="G217" s="2">
        <f t="shared" si="158"/>
        <v>1276.5</v>
      </c>
      <c r="H217" s="2">
        <f t="shared" si="158"/>
        <v>1429.5000000000002</v>
      </c>
      <c r="I217" s="2">
        <f t="shared" si="158"/>
        <v>1582.5</v>
      </c>
      <c r="J217" s="2">
        <f t="shared" si="158"/>
        <v>1735.5</v>
      </c>
      <c r="K217" s="2">
        <f t="shared" si="158"/>
        <v>1888.5000000000002</v>
      </c>
      <c r="L217" s="2">
        <f t="shared" si="158"/>
        <v>2041.5000000000005</v>
      </c>
      <c r="M217" s="2">
        <f t="shared" si="158"/>
        <v>2194.5</v>
      </c>
      <c r="N217" s="2">
        <f t="shared" si="158"/>
        <v>2347.5000000000005</v>
      </c>
      <c r="O217" s="2">
        <f t="shared" si="158"/>
        <v>2500.5000000000005</v>
      </c>
      <c r="P217" s="2">
        <f t="shared" si="158"/>
        <v>2653.5</v>
      </c>
      <c r="Q217" s="2">
        <f t="shared" si="158"/>
        <v>2806.5</v>
      </c>
      <c r="R217" s="2">
        <f t="shared" si="158"/>
        <v>2806.5</v>
      </c>
      <c r="S217" s="2">
        <f t="shared" si="158"/>
        <v>2653.5</v>
      </c>
      <c r="T217" s="2">
        <f t="shared" si="158"/>
        <v>2500.5</v>
      </c>
      <c r="U217" s="2">
        <f t="shared" si="158"/>
        <v>2347.5000000000005</v>
      </c>
      <c r="V217" s="2">
        <f t="shared" si="158"/>
        <v>2194.5</v>
      </c>
    </row>
    <row r="218" spans="1:22" x14ac:dyDescent="0.35">
      <c r="A218" s="6" t="str">
        <f t="shared" si="152"/>
        <v xml:space="preserve">  Firewood cut</v>
      </c>
      <c r="B218" s="13">
        <f t="shared" si="153"/>
        <v>150</v>
      </c>
      <c r="C218" s="2">
        <f t="shared" ref="C218:V218" si="159">$B218*C180</f>
        <v>0</v>
      </c>
      <c r="D218" s="2">
        <f t="shared" si="159"/>
        <v>0</v>
      </c>
      <c r="E218" s="2">
        <f t="shared" si="159"/>
        <v>0</v>
      </c>
      <c r="F218" s="2">
        <f t="shared" si="159"/>
        <v>0</v>
      </c>
      <c r="G218" s="2">
        <f t="shared" si="159"/>
        <v>0</v>
      </c>
      <c r="H218" s="2">
        <f t="shared" si="159"/>
        <v>0</v>
      </c>
      <c r="I218" s="2">
        <f t="shared" si="159"/>
        <v>3000</v>
      </c>
      <c r="J218" s="2">
        <f t="shared" si="159"/>
        <v>0</v>
      </c>
      <c r="K218" s="2">
        <f t="shared" si="159"/>
        <v>0</v>
      </c>
      <c r="L218" s="2">
        <f t="shared" si="159"/>
        <v>0</v>
      </c>
      <c r="M218" s="2">
        <f t="shared" si="159"/>
        <v>0</v>
      </c>
      <c r="N218" s="2">
        <f t="shared" si="159"/>
        <v>0</v>
      </c>
      <c r="O218" s="2">
        <f t="shared" si="159"/>
        <v>0</v>
      </c>
      <c r="P218" s="2">
        <f t="shared" si="159"/>
        <v>3000</v>
      </c>
      <c r="Q218" s="2">
        <f t="shared" si="159"/>
        <v>0</v>
      </c>
      <c r="R218" s="2">
        <f t="shared" si="159"/>
        <v>0</v>
      </c>
      <c r="S218" s="2">
        <f t="shared" si="159"/>
        <v>0</v>
      </c>
      <c r="T218" s="2">
        <f t="shared" si="159"/>
        <v>0</v>
      </c>
      <c r="U218" s="2">
        <f t="shared" si="159"/>
        <v>0</v>
      </c>
      <c r="V218" s="2">
        <f t="shared" si="159"/>
        <v>0</v>
      </c>
    </row>
    <row r="219" spans="1:22" x14ac:dyDescent="0.35">
      <c r="A219" s="6"/>
      <c r="B219" s="13"/>
    </row>
    <row r="220" spans="1:22" x14ac:dyDescent="0.35">
      <c r="A220" s="6" t="str">
        <f t="shared" ref="A220:A226" si="160">A182</f>
        <v>Inputs</v>
      </c>
      <c r="B220" s="13"/>
    </row>
    <row r="221" spans="1:22" x14ac:dyDescent="0.35">
      <c r="A221" s="7" t="str">
        <f t="shared" si="160"/>
        <v xml:space="preserve">  cocoa seedlings</v>
      </c>
      <c r="B221" s="29">
        <f t="shared" ref="B221:B226" si="161">B98</f>
        <v>150</v>
      </c>
      <c r="C221" s="30">
        <f>$B221*C183</f>
        <v>49987.5</v>
      </c>
      <c r="D221" s="30">
        <f t="shared" ref="D221:V221" si="162">$B221*D183</f>
        <v>49987.5</v>
      </c>
      <c r="E221" s="30">
        <f t="shared" si="162"/>
        <v>49987.5</v>
      </c>
      <c r="F221" s="30">
        <f t="shared" si="162"/>
        <v>0</v>
      </c>
      <c r="G221" s="30">
        <f t="shared" si="162"/>
        <v>0</v>
      </c>
      <c r="H221" s="30">
        <f t="shared" si="162"/>
        <v>0</v>
      </c>
      <c r="I221" s="30">
        <f t="shared" si="162"/>
        <v>0</v>
      </c>
      <c r="J221" s="30">
        <f t="shared" si="162"/>
        <v>0</v>
      </c>
      <c r="K221" s="30">
        <f t="shared" si="162"/>
        <v>0</v>
      </c>
      <c r="L221" s="30">
        <f t="shared" si="162"/>
        <v>0</v>
      </c>
      <c r="M221" s="30">
        <f t="shared" si="162"/>
        <v>0</v>
      </c>
      <c r="N221" s="30">
        <f t="shared" si="162"/>
        <v>0</v>
      </c>
      <c r="O221" s="30">
        <f t="shared" si="162"/>
        <v>0</v>
      </c>
      <c r="P221" s="30">
        <f t="shared" si="162"/>
        <v>0</v>
      </c>
      <c r="Q221" s="30">
        <f t="shared" si="162"/>
        <v>0</v>
      </c>
      <c r="R221" s="30">
        <f t="shared" si="162"/>
        <v>0</v>
      </c>
      <c r="S221" s="30">
        <f t="shared" si="162"/>
        <v>0</v>
      </c>
      <c r="T221" s="30">
        <f t="shared" si="162"/>
        <v>0</v>
      </c>
      <c r="U221" s="30">
        <f t="shared" si="162"/>
        <v>0</v>
      </c>
      <c r="V221" s="30">
        <f t="shared" si="162"/>
        <v>0</v>
      </c>
    </row>
    <row r="222" spans="1:22" x14ac:dyDescent="0.35">
      <c r="A222" s="7" t="str">
        <f t="shared" si="160"/>
        <v xml:space="preserve">  Acacia seedling</v>
      </c>
      <c r="B222" s="29">
        <f t="shared" si="161"/>
        <v>200</v>
      </c>
      <c r="C222" s="30">
        <f>$B222*C184</f>
        <v>4000</v>
      </c>
      <c r="D222" s="30">
        <f t="shared" ref="D222:V222" si="163">$B222*D184</f>
        <v>0</v>
      </c>
      <c r="E222" s="30">
        <f t="shared" si="163"/>
        <v>0</v>
      </c>
      <c r="F222" s="30">
        <f t="shared" si="163"/>
        <v>0</v>
      </c>
      <c r="G222" s="30">
        <f t="shared" si="163"/>
        <v>0</v>
      </c>
      <c r="H222" s="30">
        <f t="shared" si="163"/>
        <v>0</v>
      </c>
      <c r="I222" s="30">
        <f t="shared" si="163"/>
        <v>0</v>
      </c>
      <c r="J222" s="30">
        <f t="shared" si="163"/>
        <v>0</v>
      </c>
      <c r="K222" s="30">
        <f t="shared" si="163"/>
        <v>0</v>
      </c>
      <c r="L222" s="30">
        <f t="shared" si="163"/>
        <v>0</v>
      </c>
      <c r="M222" s="30">
        <f t="shared" si="163"/>
        <v>0</v>
      </c>
      <c r="N222" s="30">
        <f t="shared" si="163"/>
        <v>0</v>
      </c>
      <c r="O222" s="30">
        <f t="shared" si="163"/>
        <v>0</v>
      </c>
      <c r="P222" s="30">
        <f t="shared" si="163"/>
        <v>0</v>
      </c>
      <c r="Q222" s="30">
        <f t="shared" si="163"/>
        <v>0</v>
      </c>
      <c r="R222" s="30">
        <f t="shared" si="163"/>
        <v>0</v>
      </c>
      <c r="S222" s="30">
        <f t="shared" si="163"/>
        <v>0</v>
      </c>
      <c r="T222" s="30">
        <f t="shared" si="163"/>
        <v>0</v>
      </c>
      <c r="U222" s="30">
        <f t="shared" si="163"/>
        <v>0</v>
      </c>
      <c r="V222" s="30">
        <f t="shared" si="163"/>
        <v>0</v>
      </c>
    </row>
    <row r="223" spans="1:22" x14ac:dyDescent="0.35">
      <c r="A223" s="7" t="str">
        <f t="shared" si="160"/>
        <v xml:space="preserve">  Akpi seedling</v>
      </c>
      <c r="B223" s="29">
        <f t="shared" si="161"/>
        <v>1000</v>
      </c>
      <c r="C223" s="30">
        <f t="shared" ref="C223:V223" si="164">$B223*C185</f>
        <v>35000</v>
      </c>
      <c r="D223" s="30">
        <f t="shared" si="164"/>
        <v>0</v>
      </c>
      <c r="E223" s="30">
        <f t="shared" si="164"/>
        <v>0</v>
      </c>
      <c r="F223" s="30">
        <f t="shared" si="164"/>
        <v>0</v>
      </c>
      <c r="G223" s="30">
        <f t="shared" si="164"/>
        <v>0</v>
      </c>
      <c r="H223" s="30">
        <f t="shared" si="164"/>
        <v>0</v>
      </c>
      <c r="I223" s="30">
        <f t="shared" si="164"/>
        <v>0</v>
      </c>
      <c r="J223" s="30">
        <f t="shared" si="164"/>
        <v>0</v>
      </c>
      <c r="K223" s="30">
        <f t="shared" si="164"/>
        <v>0</v>
      </c>
      <c r="L223" s="30">
        <f t="shared" si="164"/>
        <v>0</v>
      </c>
      <c r="M223" s="30">
        <f t="shared" si="164"/>
        <v>0</v>
      </c>
      <c r="N223" s="30">
        <f t="shared" si="164"/>
        <v>0</v>
      </c>
      <c r="O223" s="30">
        <f t="shared" si="164"/>
        <v>0</v>
      </c>
      <c r="P223" s="30">
        <f t="shared" si="164"/>
        <v>0</v>
      </c>
      <c r="Q223" s="30">
        <f t="shared" si="164"/>
        <v>0</v>
      </c>
      <c r="R223" s="30">
        <f t="shared" si="164"/>
        <v>0</v>
      </c>
      <c r="S223" s="30">
        <f t="shared" si="164"/>
        <v>0</v>
      </c>
      <c r="T223" s="30">
        <f t="shared" si="164"/>
        <v>0</v>
      </c>
      <c r="U223" s="30">
        <f t="shared" si="164"/>
        <v>0</v>
      </c>
      <c r="V223" s="30">
        <f t="shared" si="164"/>
        <v>0</v>
      </c>
    </row>
    <row r="224" spans="1:22" x14ac:dyDescent="0.35">
      <c r="A224" s="7" t="str">
        <f t="shared" si="160"/>
        <v xml:space="preserve">  Teck seedling</v>
      </c>
      <c r="B224" s="29">
        <f t="shared" si="161"/>
        <v>200</v>
      </c>
      <c r="C224" s="30">
        <f t="shared" ref="C224:V224" si="165">$B224*C186</f>
        <v>7000</v>
      </c>
      <c r="D224" s="30">
        <f t="shared" si="165"/>
        <v>0</v>
      </c>
      <c r="E224" s="30">
        <f t="shared" si="165"/>
        <v>0</v>
      </c>
      <c r="F224" s="30">
        <f t="shared" si="165"/>
        <v>0</v>
      </c>
      <c r="G224" s="30">
        <f t="shared" si="165"/>
        <v>0</v>
      </c>
      <c r="H224" s="30">
        <f t="shared" si="165"/>
        <v>0</v>
      </c>
      <c r="I224" s="30">
        <f t="shared" si="165"/>
        <v>0</v>
      </c>
      <c r="J224" s="30">
        <f t="shared" si="165"/>
        <v>0</v>
      </c>
      <c r="K224" s="30">
        <f t="shared" si="165"/>
        <v>0</v>
      </c>
      <c r="L224" s="30">
        <f t="shared" si="165"/>
        <v>0</v>
      </c>
      <c r="M224" s="30">
        <f t="shared" si="165"/>
        <v>0</v>
      </c>
      <c r="N224" s="30">
        <f t="shared" si="165"/>
        <v>0</v>
      </c>
      <c r="O224" s="30">
        <f t="shared" si="165"/>
        <v>0</v>
      </c>
      <c r="P224" s="30">
        <f t="shared" si="165"/>
        <v>0</v>
      </c>
      <c r="Q224" s="30">
        <f t="shared" si="165"/>
        <v>0</v>
      </c>
      <c r="R224" s="30">
        <f t="shared" si="165"/>
        <v>0</v>
      </c>
      <c r="S224" s="30">
        <f t="shared" si="165"/>
        <v>0</v>
      </c>
      <c r="T224" s="30">
        <f t="shared" si="165"/>
        <v>0</v>
      </c>
      <c r="U224" s="30">
        <f t="shared" si="165"/>
        <v>0</v>
      </c>
      <c r="V224" s="30">
        <f t="shared" si="165"/>
        <v>0</v>
      </c>
    </row>
    <row r="225" spans="1:23" x14ac:dyDescent="0.35">
      <c r="A225" s="7" t="str">
        <f t="shared" si="160"/>
        <v xml:space="preserve">  Triple phosphate</v>
      </c>
      <c r="B225" s="29">
        <f t="shared" si="161"/>
        <v>500</v>
      </c>
      <c r="C225" s="30">
        <f t="shared" ref="C225:V225" si="166">$B225*C187</f>
        <v>0</v>
      </c>
      <c r="D225" s="30">
        <f t="shared" si="166"/>
        <v>0</v>
      </c>
      <c r="E225" s="30">
        <f>$B225*E187</f>
        <v>0</v>
      </c>
      <c r="F225" s="30">
        <f t="shared" si="166"/>
        <v>0</v>
      </c>
      <c r="G225" s="30">
        <f t="shared" si="166"/>
        <v>0</v>
      </c>
      <c r="H225" s="30">
        <f t="shared" si="166"/>
        <v>0</v>
      </c>
      <c r="I225" s="30">
        <f t="shared" si="166"/>
        <v>0</v>
      </c>
      <c r="J225" s="30">
        <f t="shared" si="166"/>
        <v>0</v>
      </c>
      <c r="K225" s="30">
        <f t="shared" si="166"/>
        <v>0</v>
      </c>
      <c r="L225" s="30">
        <f t="shared" si="166"/>
        <v>0</v>
      </c>
      <c r="M225" s="30">
        <f t="shared" si="166"/>
        <v>0</v>
      </c>
      <c r="N225" s="30">
        <f t="shared" si="166"/>
        <v>0</v>
      </c>
      <c r="O225" s="30">
        <f t="shared" si="166"/>
        <v>0</v>
      </c>
      <c r="P225" s="30">
        <f t="shared" si="166"/>
        <v>0</v>
      </c>
      <c r="Q225" s="30">
        <f t="shared" si="166"/>
        <v>0</v>
      </c>
      <c r="R225" s="30">
        <f t="shared" si="166"/>
        <v>0</v>
      </c>
      <c r="S225" s="30">
        <f t="shared" si="166"/>
        <v>0</v>
      </c>
      <c r="T225" s="30">
        <f t="shared" si="166"/>
        <v>0</v>
      </c>
      <c r="U225" s="30">
        <f t="shared" si="166"/>
        <v>0</v>
      </c>
      <c r="V225" s="30">
        <f t="shared" si="166"/>
        <v>0</v>
      </c>
    </row>
    <row r="226" spans="1:23" x14ac:dyDescent="0.35">
      <c r="A226" s="6" t="str">
        <f t="shared" si="160"/>
        <v xml:space="preserve">  Plant protection chemicals</v>
      </c>
      <c r="B226" s="13">
        <f t="shared" si="161"/>
        <v>3500</v>
      </c>
      <c r="C226" s="2">
        <f t="shared" ref="C226:V226" si="167">$B226*C188</f>
        <v>0</v>
      </c>
      <c r="D226" s="2">
        <f t="shared" si="167"/>
        <v>0</v>
      </c>
      <c r="E226" s="2">
        <f t="shared" si="167"/>
        <v>0</v>
      </c>
      <c r="F226" s="2">
        <f t="shared" si="167"/>
        <v>0</v>
      </c>
      <c r="G226" s="2">
        <f t="shared" si="167"/>
        <v>0</v>
      </c>
      <c r="H226" s="2">
        <f t="shared" si="167"/>
        <v>0</v>
      </c>
      <c r="I226" s="2">
        <f t="shared" si="167"/>
        <v>0</v>
      </c>
      <c r="J226" s="2">
        <f t="shared" si="167"/>
        <v>0</v>
      </c>
      <c r="K226" s="2">
        <f t="shared" si="167"/>
        <v>0</v>
      </c>
      <c r="L226" s="2">
        <f t="shared" si="167"/>
        <v>0</v>
      </c>
      <c r="M226" s="2">
        <f t="shared" si="167"/>
        <v>0</v>
      </c>
      <c r="N226" s="2">
        <f t="shared" si="167"/>
        <v>0</v>
      </c>
      <c r="O226" s="2">
        <f t="shared" si="167"/>
        <v>0</v>
      </c>
      <c r="P226" s="2">
        <f t="shared" si="167"/>
        <v>0</v>
      </c>
      <c r="Q226" s="2">
        <f t="shared" si="167"/>
        <v>0</v>
      </c>
      <c r="R226" s="2">
        <f t="shared" si="167"/>
        <v>0</v>
      </c>
      <c r="S226" s="2">
        <f t="shared" si="167"/>
        <v>0</v>
      </c>
      <c r="T226" s="2">
        <f t="shared" si="167"/>
        <v>0</v>
      </c>
      <c r="U226" s="2">
        <f t="shared" si="167"/>
        <v>0</v>
      </c>
      <c r="V226" s="2">
        <f t="shared" si="167"/>
        <v>0</v>
      </c>
    </row>
    <row r="227" spans="1:23" x14ac:dyDescent="0.35">
      <c r="A227" s="6"/>
      <c r="B227" s="13"/>
    </row>
    <row r="228" spans="1:23" x14ac:dyDescent="0.35">
      <c r="A228" s="6" t="str">
        <f>A190</f>
        <v>Other</v>
      </c>
      <c r="B228" s="13"/>
    </row>
    <row r="229" spans="1:23" x14ac:dyDescent="0.35">
      <c r="A229" s="7" t="str">
        <f>A191</f>
        <v xml:space="preserve">  Certification</v>
      </c>
      <c r="B229" s="29">
        <f>'Prices &amp; assums'!C90</f>
        <v>9135.8530805687205</v>
      </c>
      <c r="C229" s="30">
        <f t="shared" ref="C229:V229" si="168">$B229*C191</f>
        <v>9135.8530805687205</v>
      </c>
      <c r="D229" s="30">
        <f t="shared" si="168"/>
        <v>9135.8530805687205</v>
      </c>
      <c r="E229" s="30">
        <f t="shared" si="168"/>
        <v>9135.8530805687205</v>
      </c>
      <c r="F229" s="30">
        <f t="shared" si="168"/>
        <v>9135.8530805687205</v>
      </c>
      <c r="G229" s="30">
        <f t="shared" si="168"/>
        <v>9135.8530805687205</v>
      </c>
      <c r="H229" s="30">
        <f t="shared" si="168"/>
        <v>9135.8530805687205</v>
      </c>
      <c r="I229" s="30">
        <f t="shared" si="168"/>
        <v>9135.8530805687205</v>
      </c>
      <c r="J229" s="30">
        <f t="shared" si="168"/>
        <v>9135.8530805687205</v>
      </c>
      <c r="K229" s="30">
        <f t="shared" si="168"/>
        <v>9135.8530805687205</v>
      </c>
      <c r="L229" s="30">
        <f t="shared" si="168"/>
        <v>9135.8530805687205</v>
      </c>
      <c r="M229" s="30">
        <f t="shared" si="168"/>
        <v>9135.8530805687205</v>
      </c>
      <c r="N229" s="30">
        <f t="shared" si="168"/>
        <v>9135.8530805687205</v>
      </c>
      <c r="O229" s="30">
        <f t="shared" si="168"/>
        <v>9135.8530805687205</v>
      </c>
      <c r="P229" s="30">
        <f t="shared" si="168"/>
        <v>9135.8530805687205</v>
      </c>
      <c r="Q229" s="30">
        <f t="shared" si="168"/>
        <v>9135.8530805687205</v>
      </c>
      <c r="R229" s="30">
        <f t="shared" si="168"/>
        <v>9135.8530805687205</v>
      </c>
      <c r="S229" s="30">
        <f t="shared" si="168"/>
        <v>9135.8530805687205</v>
      </c>
      <c r="T229" s="30">
        <f t="shared" si="168"/>
        <v>9135.8530805687205</v>
      </c>
      <c r="U229" s="30">
        <f t="shared" si="168"/>
        <v>9135.8530805687205</v>
      </c>
      <c r="V229" s="30">
        <f t="shared" si="168"/>
        <v>9135.8530805687205</v>
      </c>
    </row>
    <row r="230" spans="1:23" x14ac:dyDescent="0.35">
      <c r="A230" s="6"/>
      <c r="B230" s="13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3" x14ac:dyDescent="0.35">
      <c r="A231" s="6" t="s">
        <v>6</v>
      </c>
      <c r="B231" s="13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3" x14ac:dyDescent="0.35">
      <c r="A232" s="7" t="str">
        <f>A109</f>
        <v xml:space="preserve">  cocoa</v>
      </c>
      <c r="B232" s="29">
        <f>'Prices &amp; assums'!C95</f>
        <v>1275</v>
      </c>
      <c r="C232" s="30">
        <f>$B232*SUM(C194:C197)</f>
        <v>172125</v>
      </c>
      <c r="D232" s="30">
        <f t="shared" ref="D232:V232" si="169">$B232*SUM(D194:D197)</f>
        <v>114750</v>
      </c>
      <c r="E232" s="30">
        <f t="shared" si="169"/>
        <v>57375</v>
      </c>
      <c r="F232" s="30">
        <f t="shared" si="169"/>
        <v>105187.5</v>
      </c>
      <c r="G232" s="30">
        <f t="shared" si="169"/>
        <v>162753.75</v>
      </c>
      <c r="H232" s="30">
        <f t="shared" si="169"/>
        <v>230073.75000000003</v>
      </c>
      <c r="I232" s="30">
        <f t="shared" si="169"/>
        <v>259335</v>
      </c>
      <c r="J232" s="30">
        <f t="shared" si="169"/>
        <v>288596.25</v>
      </c>
      <c r="K232" s="30">
        <f t="shared" si="169"/>
        <v>317857.5</v>
      </c>
      <c r="L232" s="30">
        <f t="shared" si="169"/>
        <v>347118.75000000006</v>
      </c>
      <c r="M232" s="30">
        <f t="shared" si="169"/>
        <v>376380.00000000006</v>
      </c>
      <c r="N232" s="30">
        <f t="shared" si="169"/>
        <v>405641.25000000006</v>
      </c>
      <c r="O232" s="30">
        <f t="shared" si="169"/>
        <v>434902.5</v>
      </c>
      <c r="P232" s="30">
        <f t="shared" si="169"/>
        <v>464163.75000000006</v>
      </c>
      <c r="Q232" s="30">
        <f t="shared" si="169"/>
        <v>493425</v>
      </c>
      <c r="R232" s="30">
        <f t="shared" si="169"/>
        <v>503178.75</v>
      </c>
      <c r="S232" s="30">
        <f t="shared" si="169"/>
        <v>493425</v>
      </c>
      <c r="T232" s="30">
        <f t="shared" si="169"/>
        <v>464163.75</v>
      </c>
      <c r="U232" s="30">
        <f t="shared" si="169"/>
        <v>434902.5</v>
      </c>
      <c r="V232" s="30">
        <f t="shared" si="169"/>
        <v>405641.25000000006</v>
      </c>
    </row>
    <row r="233" spans="1:23" x14ac:dyDescent="0.35">
      <c r="A233" s="7" t="str">
        <f>A110</f>
        <v xml:space="preserve">  Akpi</v>
      </c>
      <c r="B233" s="29">
        <f>B110</f>
        <v>2666.6666666666665</v>
      </c>
      <c r="C233" s="30">
        <f>$B233*C198</f>
        <v>0</v>
      </c>
      <c r="D233" s="30">
        <f t="shared" ref="D233:V233" si="170">$B233*D198</f>
        <v>0</v>
      </c>
      <c r="E233" s="30">
        <f t="shared" si="170"/>
        <v>0</v>
      </c>
      <c r="F233" s="30">
        <f t="shared" si="170"/>
        <v>0</v>
      </c>
      <c r="G233" s="30">
        <f t="shared" si="170"/>
        <v>0</v>
      </c>
      <c r="H233" s="30">
        <f t="shared" si="170"/>
        <v>0</v>
      </c>
      <c r="I233" s="30">
        <f t="shared" si="170"/>
        <v>0</v>
      </c>
      <c r="J233" s="30">
        <f t="shared" si="170"/>
        <v>21354.666666666664</v>
      </c>
      <c r="K233" s="30">
        <f t="shared" si="170"/>
        <v>27925.333333333332</v>
      </c>
      <c r="L233" s="30">
        <f t="shared" si="170"/>
        <v>34495.999999999993</v>
      </c>
      <c r="M233" s="30">
        <f t="shared" si="170"/>
        <v>41066.666666666664</v>
      </c>
      <c r="N233" s="30">
        <f t="shared" si="170"/>
        <v>47637.333333333321</v>
      </c>
      <c r="O233" s="30">
        <f t="shared" si="170"/>
        <v>54207.999999999993</v>
      </c>
      <c r="P233" s="30">
        <f t="shared" si="170"/>
        <v>60778.666666666664</v>
      </c>
      <c r="Q233" s="30">
        <f t="shared" si="170"/>
        <v>67349.333333333314</v>
      </c>
      <c r="R233" s="30">
        <f t="shared" si="170"/>
        <v>67349.333333333314</v>
      </c>
      <c r="S233" s="30">
        <f t="shared" si="170"/>
        <v>67349.333333333314</v>
      </c>
      <c r="T233" s="30">
        <f t="shared" si="170"/>
        <v>67349.333333333314</v>
      </c>
      <c r="U233" s="30">
        <f t="shared" si="170"/>
        <v>67349.333333333314</v>
      </c>
      <c r="V233" s="30">
        <f t="shared" si="170"/>
        <v>67349.333333333314</v>
      </c>
    </row>
    <row r="234" spans="1:23" x14ac:dyDescent="0.35">
      <c r="A234" s="7" t="str">
        <f>A111</f>
        <v xml:space="preserve">  Firewood</v>
      </c>
      <c r="B234" s="29">
        <f>B111</f>
        <v>2800</v>
      </c>
      <c r="C234" s="30">
        <f>$B234*C199</f>
        <v>0</v>
      </c>
      <c r="D234" s="30">
        <f t="shared" ref="D234:V234" si="171">$B234*D199</f>
        <v>0</v>
      </c>
      <c r="E234" s="30">
        <f t="shared" si="171"/>
        <v>0</v>
      </c>
      <c r="F234" s="30">
        <f t="shared" si="171"/>
        <v>0</v>
      </c>
      <c r="G234" s="30">
        <f t="shared" si="171"/>
        <v>0</v>
      </c>
      <c r="H234" s="30">
        <f t="shared" si="171"/>
        <v>0</v>
      </c>
      <c r="I234" s="30">
        <f t="shared" si="171"/>
        <v>2800</v>
      </c>
      <c r="J234" s="30">
        <f t="shared" si="171"/>
        <v>0</v>
      </c>
      <c r="K234" s="30">
        <f t="shared" si="171"/>
        <v>0</v>
      </c>
      <c r="L234" s="30">
        <f t="shared" si="171"/>
        <v>0</v>
      </c>
      <c r="M234" s="30">
        <f t="shared" si="171"/>
        <v>0</v>
      </c>
      <c r="N234" s="30">
        <f t="shared" si="171"/>
        <v>0</v>
      </c>
      <c r="O234" s="30">
        <f t="shared" si="171"/>
        <v>0</v>
      </c>
      <c r="P234" s="30">
        <f t="shared" si="171"/>
        <v>2800</v>
      </c>
      <c r="Q234" s="30">
        <f t="shared" si="171"/>
        <v>0</v>
      </c>
      <c r="R234" s="30">
        <f t="shared" si="171"/>
        <v>0</v>
      </c>
      <c r="S234" s="30">
        <f t="shared" si="171"/>
        <v>0</v>
      </c>
      <c r="T234" s="30">
        <f t="shared" si="171"/>
        <v>0</v>
      </c>
      <c r="U234" s="30">
        <f t="shared" si="171"/>
        <v>0</v>
      </c>
      <c r="V234" s="30">
        <f t="shared" si="171"/>
        <v>0</v>
      </c>
    </row>
    <row r="235" spans="1:23" x14ac:dyDescent="0.35">
      <c r="A235" s="31" t="str">
        <f>A112</f>
        <v xml:space="preserve">  Timber</v>
      </c>
      <c r="B235" s="32">
        <f>B112</f>
        <v>19200</v>
      </c>
      <c r="C235" s="33">
        <f>$B235*C200</f>
        <v>0</v>
      </c>
      <c r="D235" s="33">
        <f t="shared" ref="D235:V235" si="172">$B235*D200</f>
        <v>0</v>
      </c>
      <c r="E235" s="33">
        <f t="shared" si="172"/>
        <v>0</v>
      </c>
      <c r="F235" s="33">
        <f t="shared" si="172"/>
        <v>0</v>
      </c>
      <c r="G235" s="33">
        <f t="shared" si="172"/>
        <v>0</v>
      </c>
      <c r="H235" s="33">
        <f t="shared" si="172"/>
        <v>0</v>
      </c>
      <c r="I235" s="33">
        <f t="shared" si="172"/>
        <v>0</v>
      </c>
      <c r="J235" s="33">
        <f t="shared" si="172"/>
        <v>0</v>
      </c>
      <c r="K235" s="33">
        <f t="shared" si="172"/>
        <v>0</v>
      </c>
      <c r="L235" s="33">
        <f t="shared" si="172"/>
        <v>0</v>
      </c>
      <c r="M235" s="33">
        <f t="shared" si="172"/>
        <v>0</v>
      </c>
      <c r="N235" s="33">
        <f t="shared" si="172"/>
        <v>0</v>
      </c>
      <c r="O235" s="33">
        <f t="shared" si="172"/>
        <v>0</v>
      </c>
      <c r="P235" s="33">
        <f t="shared" si="172"/>
        <v>0</v>
      </c>
      <c r="Q235" s="33">
        <f t="shared" si="172"/>
        <v>0</v>
      </c>
      <c r="R235" s="33">
        <f t="shared" si="172"/>
        <v>0</v>
      </c>
      <c r="S235" s="33">
        <f t="shared" si="172"/>
        <v>0</v>
      </c>
      <c r="T235" s="33">
        <f t="shared" si="172"/>
        <v>0</v>
      </c>
      <c r="U235" s="33">
        <f t="shared" si="172"/>
        <v>0</v>
      </c>
      <c r="V235" s="33">
        <f t="shared" si="172"/>
        <v>672000</v>
      </c>
    </row>
    <row r="236" spans="1:23" x14ac:dyDescent="0.35">
      <c r="A236" t="s">
        <v>156</v>
      </c>
      <c r="C236" s="5"/>
      <c r="D236" s="5"/>
      <c r="E236" s="5"/>
    </row>
    <row r="237" spans="1:23" x14ac:dyDescent="0.35">
      <c r="A237" t="s">
        <v>157</v>
      </c>
      <c r="C237" s="2">
        <f t="shared" ref="C237:V237" si="173">SUM(C205:C218)+SUM(C221:C226)+C229</f>
        <v>212861.10308056872</v>
      </c>
      <c r="D237" s="2">
        <f t="shared" si="173"/>
        <v>202507.56924598225</v>
      </c>
      <c r="E237" s="2">
        <f t="shared" si="173"/>
        <v>203412.2309001176</v>
      </c>
      <c r="F237" s="2">
        <f t="shared" si="173"/>
        <v>91896.980900117589</v>
      </c>
      <c r="G237" s="2">
        <f t="shared" si="173"/>
        <v>95369.05308056873</v>
      </c>
      <c r="H237" s="2">
        <f t="shared" si="173"/>
        <v>96715.453080568725</v>
      </c>
      <c r="I237" s="2">
        <f t="shared" si="173"/>
        <v>101061.85308056872</v>
      </c>
      <c r="J237" s="2">
        <f t="shared" si="173"/>
        <v>99408.253080568713</v>
      </c>
      <c r="K237" s="2">
        <f t="shared" si="173"/>
        <v>100754.65308056872</v>
      </c>
      <c r="L237" s="2">
        <f t="shared" si="173"/>
        <v>102101.05308056872</v>
      </c>
      <c r="M237" s="2">
        <f t="shared" si="173"/>
        <v>103447.45308056872</v>
      </c>
      <c r="N237" s="2">
        <f t="shared" si="173"/>
        <v>104793.85308056872</v>
      </c>
      <c r="O237" s="2">
        <f t="shared" si="173"/>
        <v>106140.25308056871</v>
      </c>
      <c r="P237" s="2">
        <f t="shared" si="173"/>
        <v>110486.65308056872</v>
      </c>
      <c r="Q237" s="2">
        <f t="shared" si="173"/>
        <v>108833.05308056872</v>
      </c>
      <c r="R237" s="2">
        <f t="shared" si="173"/>
        <v>108833.05308056872</v>
      </c>
      <c r="S237" s="2">
        <f t="shared" si="173"/>
        <v>107486.65308056872</v>
      </c>
      <c r="T237" s="2">
        <f t="shared" si="173"/>
        <v>106140.25308056871</v>
      </c>
      <c r="U237" s="2">
        <f t="shared" si="173"/>
        <v>104793.85308056872</v>
      </c>
      <c r="V237" s="2">
        <f t="shared" si="173"/>
        <v>103447.45308056872</v>
      </c>
      <c r="W237" s="2"/>
    </row>
    <row r="238" spans="1:23" x14ac:dyDescent="0.35">
      <c r="A238" t="s">
        <v>158</v>
      </c>
      <c r="C238" s="2">
        <f>C237-C205-C206-C209/3-C210-C211/3-C213-C215/2-C216-C218</f>
        <v>145007.10308056872</v>
      </c>
      <c r="D238" s="2">
        <f t="shared" ref="D238:V238" si="174">D237-D205-D206-D209/3-D210-D211/3-D213-D215/2-D216-D218</f>
        <v>146061.56924598225</v>
      </c>
      <c r="E238" s="2">
        <f t="shared" si="174"/>
        <v>144774.2309001176</v>
      </c>
      <c r="F238" s="2">
        <f t="shared" si="174"/>
        <v>61748.980900117589</v>
      </c>
      <c r="G238" s="2">
        <f t="shared" si="174"/>
        <v>62403.69308056873</v>
      </c>
      <c r="H238" s="2">
        <f t="shared" si="174"/>
        <v>62795.373080568723</v>
      </c>
      <c r="I238" s="2">
        <f t="shared" si="174"/>
        <v>63187.053080568716</v>
      </c>
      <c r="J238" s="2">
        <f t="shared" si="174"/>
        <v>63578.733080568709</v>
      </c>
      <c r="K238" s="2">
        <f t="shared" si="174"/>
        <v>63970.413080568724</v>
      </c>
      <c r="L238" s="2">
        <f t="shared" si="174"/>
        <v>64362.093080568709</v>
      </c>
      <c r="M238" s="2">
        <f t="shared" si="174"/>
        <v>64753.773080568724</v>
      </c>
      <c r="N238" s="2">
        <f t="shared" si="174"/>
        <v>65145.45308056871</v>
      </c>
      <c r="O238" s="2">
        <f t="shared" si="174"/>
        <v>65537.133080568718</v>
      </c>
      <c r="P238" s="2">
        <f t="shared" si="174"/>
        <v>65928.813080568711</v>
      </c>
      <c r="Q238" s="2">
        <f t="shared" si="174"/>
        <v>66320.493080568718</v>
      </c>
      <c r="R238" s="2">
        <f t="shared" si="174"/>
        <v>66320.493080568718</v>
      </c>
      <c r="S238" s="2">
        <f t="shared" si="174"/>
        <v>65928.813080568711</v>
      </c>
      <c r="T238" s="2">
        <f t="shared" si="174"/>
        <v>65537.133080568718</v>
      </c>
      <c r="U238" s="2">
        <f t="shared" si="174"/>
        <v>65145.45308056871</v>
      </c>
      <c r="V238" s="2">
        <f t="shared" si="174"/>
        <v>64753.773080568724</v>
      </c>
      <c r="W238" s="2"/>
    </row>
    <row r="239" spans="1:23" x14ac:dyDescent="0.35">
      <c r="A239" t="s">
        <v>159</v>
      </c>
      <c r="C239" s="2">
        <f>C208+C221+C222+C223+C224+C225</f>
        <v>120987.5</v>
      </c>
      <c r="D239" s="2">
        <f t="shared" ref="D239:V239" si="175">D208+D221+D222+D223+D224+D225</f>
        <v>74987.5</v>
      </c>
      <c r="E239" s="2">
        <f t="shared" si="175"/>
        <v>74987.5</v>
      </c>
      <c r="F239" s="2">
        <f t="shared" si="175"/>
        <v>0</v>
      </c>
      <c r="G239" s="2">
        <f t="shared" si="175"/>
        <v>0</v>
      </c>
      <c r="H239" s="2">
        <f t="shared" si="175"/>
        <v>0</v>
      </c>
      <c r="I239" s="2">
        <f t="shared" si="175"/>
        <v>0</v>
      </c>
      <c r="J239" s="2">
        <f t="shared" si="175"/>
        <v>0</v>
      </c>
      <c r="K239" s="2">
        <f t="shared" si="175"/>
        <v>0</v>
      </c>
      <c r="L239" s="2">
        <f t="shared" si="175"/>
        <v>0</v>
      </c>
      <c r="M239" s="2">
        <f t="shared" si="175"/>
        <v>0</v>
      </c>
      <c r="N239" s="2">
        <f t="shared" si="175"/>
        <v>0</v>
      </c>
      <c r="O239" s="2">
        <f t="shared" si="175"/>
        <v>0</v>
      </c>
      <c r="P239" s="2">
        <f t="shared" si="175"/>
        <v>0</v>
      </c>
      <c r="Q239" s="2">
        <f t="shared" si="175"/>
        <v>0</v>
      </c>
      <c r="R239" s="2">
        <f t="shared" si="175"/>
        <v>0</v>
      </c>
      <c r="S239" s="2">
        <f t="shared" si="175"/>
        <v>0</v>
      </c>
      <c r="T239" s="2">
        <f t="shared" si="175"/>
        <v>0</v>
      </c>
      <c r="U239" s="2">
        <f t="shared" si="175"/>
        <v>0</v>
      </c>
      <c r="V239" s="2">
        <f t="shared" si="175"/>
        <v>0</v>
      </c>
      <c r="W239" s="2"/>
    </row>
    <row r="240" spans="1:23" x14ac:dyDescent="0.35">
      <c r="A240" s="44" t="s">
        <v>160</v>
      </c>
      <c r="B240" s="44"/>
      <c r="C240" s="30">
        <f>C237-C239</f>
        <v>91873.603080568719</v>
      </c>
      <c r="D240" s="30">
        <f>D237-D239</f>
        <v>127520.06924598225</v>
      </c>
      <c r="E240" s="30">
        <f>E237-E239</f>
        <v>128424.7309001176</v>
      </c>
      <c r="F240" s="30">
        <f>F237-F239</f>
        <v>91896.980900117589</v>
      </c>
      <c r="G240" s="30">
        <f t="shared" ref="G240:V240" si="176">G237-G239</f>
        <v>95369.05308056873</v>
      </c>
      <c r="H240" s="30">
        <f t="shared" si="176"/>
        <v>96715.453080568725</v>
      </c>
      <c r="I240" s="30">
        <f t="shared" si="176"/>
        <v>101061.85308056872</v>
      </c>
      <c r="J240" s="30">
        <f t="shared" si="176"/>
        <v>99408.253080568713</v>
      </c>
      <c r="K240" s="30">
        <f t="shared" si="176"/>
        <v>100754.65308056872</v>
      </c>
      <c r="L240" s="30">
        <f t="shared" si="176"/>
        <v>102101.05308056872</v>
      </c>
      <c r="M240" s="30">
        <f t="shared" si="176"/>
        <v>103447.45308056872</v>
      </c>
      <c r="N240" s="30">
        <f t="shared" si="176"/>
        <v>104793.85308056872</v>
      </c>
      <c r="O240" s="30">
        <f t="shared" si="176"/>
        <v>106140.25308056871</v>
      </c>
      <c r="P240" s="30">
        <f t="shared" si="176"/>
        <v>110486.65308056872</v>
      </c>
      <c r="Q240" s="30">
        <f t="shared" si="176"/>
        <v>108833.05308056872</v>
      </c>
      <c r="R240" s="30">
        <f t="shared" si="176"/>
        <v>108833.05308056872</v>
      </c>
      <c r="S240" s="30">
        <f t="shared" si="176"/>
        <v>107486.65308056872</v>
      </c>
      <c r="T240" s="30">
        <f t="shared" si="176"/>
        <v>106140.25308056871</v>
      </c>
      <c r="U240" s="30">
        <f t="shared" si="176"/>
        <v>104793.85308056872</v>
      </c>
      <c r="V240" s="30">
        <f t="shared" si="176"/>
        <v>103447.45308056872</v>
      </c>
      <c r="W240" s="2"/>
    </row>
    <row r="241" spans="1:22" x14ac:dyDescent="0.35">
      <c r="A241" t="str">
        <f>A118</f>
        <v xml:space="preserve">Revenues </v>
      </c>
      <c r="B241" s="2"/>
      <c r="C241" s="2">
        <f t="shared" ref="C241:V241" si="177">SUM(C232:C235)</f>
        <v>172125</v>
      </c>
      <c r="D241" s="2">
        <f t="shared" si="177"/>
        <v>114750</v>
      </c>
      <c r="E241" s="2">
        <f t="shared" si="177"/>
        <v>57375</v>
      </c>
      <c r="F241" s="2">
        <f t="shared" si="177"/>
        <v>105187.5</v>
      </c>
      <c r="G241" s="2">
        <f t="shared" si="177"/>
        <v>162753.75</v>
      </c>
      <c r="H241" s="2">
        <f t="shared" si="177"/>
        <v>230073.75000000003</v>
      </c>
      <c r="I241" s="2">
        <f t="shared" si="177"/>
        <v>262135</v>
      </c>
      <c r="J241" s="2">
        <f t="shared" si="177"/>
        <v>309950.91666666669</v>
      </c>
      <c r="K241" s="2">
        <f t="shared" si="177"/>
        <v>345782.83333333331</v>
      </c>
      <c r="L241" s="2">
        <f t="shared" si="177"/>
        <v>381614.75000000006</v>
      </c>
      <c r="M241" s="2">
        <f t="shared" si="177"/>
        <v>417446.66666666674</v>
      </c>
      <c r="N241" s="2">
        <f t="shared" si="177"/>
        <v>453278.58333333337</v>
      </c>
      <c r="O241" s="2">
        <f t="shared" si="177"/>
        <v>489110.5</v>
      </c>
      <c r="P241" s="2">
        <f t="shared" si="177"/>
        <v>527742.41666666674</v>
      </c>
      <c r="Q241" s="2">
        <f t="shared" si="177"/>
        <v>560774.33333333326</v>
      </c>
      <c r="R241" s="2">
        <f t="shared" si="177"/>
        <v>570528.08333333326</v>
      </c>
      <c r="S241" s="2">
        <f t="shared" si="177"/>
        <v>560774.33333333326</v>
      </c>
      <c r="T241" s="2">
        <f t="shared" si="177"/>
        <v>531513.08333333326</v>
      </c>
      <c r="U241" s="2">
        <f t="shared" si="177"/>
        <v>502251.83333333331</v>
      </c>
      <c r="V241" s="2">
        <f t="shared" si="177"/>
        <v>1144990.5833333335</v>
      </c>
    </row>
    <row r="242" spans="1:22" x14ac:dyDescent="0.35">
      <c r="A242" s="45" t="s">
        <v>154</v>
      </c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x14ac:dyDescent="0.35">
      <c r="A243" t="s">
        <v>151</v>
      </c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x14ac:dyDescent="0.35">
      <c r="A244" t="s">
        <v>152</v>
      </c>
      <c r="C244" s="2">
        <f t="shared" ref="C244:V244" si="178">C241-C237</f>
        <v>-40736.103080568719</v>
      </c>
      <c r="D244" s="2">
        <f t="shared" si="178"/>
        <v>-87757.569245982246</v>
      </c>
      <c r="E244" s="2">
        <f t="shared" si="178"/>
        <v>-146037.2309001176</v>
      </c>
      <c r="F244" s="2">
        <f t="shared" si="178"/>
        <v>13290.519099882411</v>
      </c>
      <c r="G244" s="2">
        <f t="shared" si="178"/>
        <v>67384.69691943127</v>
      </c>
      <c r="H244" s="2">
        <f t="shared" si="178"/>
        <v>133358.2969194313</v>
      </c>
      <c r="I244" s="2">
        <f t="shared" si="178"/>
        <v>161073.14691943128</v>
      </c>
      <c r="J244" s="2">
        <f t="shared" si="178"/>
        <v>210542.66358609797</v>
      </c>
      <c r="K244" s="2">
        <f t="shared" si="178"/>
        <v>245028.18025276461</v>
      </c>
      <c r="L244" s="2">
        <f t="shared" si="178"/>
        <v>279513.69691943133</v>
      </c>
      <c r="M244" s="2">
        <f t="shared" si="178"/>
        <v>313999.21358609805</v>
      </c>
      <c r="N244" s="2">
        <f t="shared" si="178"/>
        <v>348484.73025276465</v>
      </c>
      <c r="O244" s="2">
        <f t="shared" si="178"/>
        <v>382970.24691943126</v>
      </c>
      <c r="P244" s="2">
        <f t="shared" si="178"/>
        <v>417255.76358609804</v>
      </c>
      <c r="Q244" s="2">
        <f t="shared" si="178"/>
        <v>451941.28025276453</v>
      </c>
      <c r="R244" s="2">
        <f t="shared" si="178"/>
        <v>461695.03025276453</v>
      </c>
      <c r="S244" s="2">
        <f t="shared" si="178"/>
        <v>453287.68025276455</v>
      </c>
      <c r="T244" s="2">
        <f t="shared" si="178"/>
        <v>425372.83025276451</v>
      </c>
      <c r="U244" s="2">
        <f t="shared" si="178"/>
        <v>397457.9802527646</v>
      </c>
      <c r="V244" s="2">
        <f t="shared" si="178"/>
        <v>1041543.1302527648</v>
      </c>
    </row>
    <row r="245" spans="1:22" x14ac:dyDescent="0.35">
      <c r="A245" t="s">
        <v>153</v>
      </c>
      <c r="C245" s="2">
        <f t="shared" ref="C245:V245" si="179">C241-C238</f>
        <v>27117.896919431281</v>
      </c>
      <c r="D245" s="2">
        <f t="shared" si="179"/>
        <v>-31311.569245982246</v>
      </c>
      <c r="E245" s="2">
        <f t="shared" si="179"/>
        <v>-87399.230900117604</v>
      </c>
      <c r="F245" s="2">
        <f t="shared" si="179"/>
        <v>43438.519099882411</v>
      </c>
      <c r="G245" s="2">
        <f t="shared" si="179"/>
        <v>100350.05691943127</v>
      </c>
      <c r="H245" s="2">
        <f t="shared" si="179"/>
        <v>167278.37691943132</v>
      </c>
      <c r="I245" s="2">
        <f t="shared" si="179"/>
        <v>198947.94691943127</v>
      </c>
      <c r="J245" s="2">
        <f t="shared" si="179"/>
        <v>246372.18358609796</v>
      </c>
      <c r="K245" s="2">
        <f t="shared" si="179"/>
        <v>281812.4202527646</v>
      </c>
      <c r="L245" s="2">
        <f t="shared" si="179"/>
        <v>317252.65691943135</v>
      </c>
      <c r="M245" s="2">
        <f t="shared" si="179"/>
        <v>352692.89358609804</v>
      </c>
      <c r="N245" s="2">
        <f t="shared" si="179"/>
        <v>388133.13025276468</v>
      </c>
      <c r="O245" s="2">
        <f t="shared" si="179"/>
        <v>423573.36691943125</v>
      </c>
      <c r="P245" s="2">
        <f t="shared" si="179"/>
        <v>461813.60358609806</v>
      </c>
      <c r="Q245" s="2">
        <f t="shared" si="179"/>
        <v>494453.84025276452</v>
      </c>
      <c r="R245" s="2">
        <f t="shared" si="179"/>
        <v>504207.59025276452</v>
      </c>
      <c r="S245" s="2">
        <f t="shared" si="179"/>
        <v>494845.52025276457</v>
      </c>
      <c r="T245" s="2">
        <f t="shared" si="179"/>
        <v>465975.95025276451</v>
      </c>
      <c r="U245" s="2">
        <f t="shared" si="179"/>
        <v>437106.38025276462</v>
      </c>
      <c r="V245" s="2">
        <f t="shared" si="179"/>
        <v>1080236.8102527647</v>
      </c>
    </row>
    <row r="246" spans="1:22" x14ac:dyDescent="0.35">
      <c r="A246" t="s">
        <v>215</v>
      </c>
      <c r="C246" s="2">
        <f>C241-C237+C239</f>
        <v>80251.396919431281</v>
      </c>
      <c r="D246" s="2">
        <f t="shared" ref="D246:V246" si="180">D241-D237+D239</f>
        <v>-12770.069245982246</v>
      </c>
      <c r="E246" s="2">
        <f t="shared" si="180"/>
        <v>-71049.730900117604</v>
      </c>
      <c r="F246" s="2">
        <f t="shared" si="180"/>
        <v>13290.519099882411</v>
      </c>
      <c r="G246" s="2">
        <f t="shared" si="180"/>
        <v>67384.69691943127</v>
      </c>
      <c r="H246" s="2">
        <f t="shared" si="180"/>
        <v>133358.2969194313</v>
      </c>
      <c r="I246" s="2">
        <f t="shared" si="180"/>
        <v>161073.14691943128</v>
      </c>
      <c r="J246" s="2">
        <f t="shared" si="180"/>
        <v>210542.66358609797</v>
      </c>
      <c r="K246" s="2">
        <f t="shared" si="180"/>
        <v>245028.18025276461</v>
      </c>
      <c r="L246" s="2">
        <f t="shared" si="180"/>
        <v>279513.69691943133</v>
      </c>
      <c r="M246" s="2">
        <f t="shared" si="180"/>
        <v>313999.21358609805</v>
      </c>
      <c r="N246" s="2">
        <f t="shared" si="180"/>
        <v>348484.73025276465</v>
      </c>
      <c r="O246" s="2">
        <f t="shared" si="180"/>
        <v>382970.24691943126</v>
      </c>
      <c r="P246" s="2">
        <f t="shared" si="180"/>
        <v>417255.76358609804</v>
      </c>
      <c r="Q246" s="2">
        <f t="shared" si="180"/>
        <v>451941.28025276453</v>
      </c>
      <c r="R246" s="2">
        <f t="shared" si="180"/>
        <v>461695.03025276453</v>
      </c>
      <c r="S246" s="2">
        <f t="shared" si="180"/>
        <v>453287.68025276455</v>
      </c>
      <c r="T246" s="2">
        <f t="shared" si="180"/>
        <v>425372.83025276451</v>
      </c>
      <c r="U246" s="2">
        <f t="shared" si="180"/>
        <v>397457.9802527646</v>
      </c>
      <c r="V246" s="2">
        <f t="shared" si="180"/>
        <v>1041543.1302527648</v>
      </c>
    </row>
    <row r="247" spans="1:22" x14ac:dyDescent="0.35">
      <c r="A247" t="s">
        <v>213</v>
      </c>
      <c r="C247" s="2">
        <f t="shared" ref="C247:V247" si="181">C241-C238+C239</f>
        <v>148105.39691943128</v>
      </c>
      <c r="D247" s="2">
        <f t="shared" si="181"/>
        <v>43675.930754017754</v>
      </c>
      <c r="E247" s="2">
        <f t="shared" si="181"/>
        <v>-12411.730900117604</v>
      </c>
      <c r="F247" s="2">
        <f t="shared" si="181"/>
        <v>43438.519099882411</v>
      </c>
      <c r="G247" s="2">
        <f t="shared" si="181"/>
        <v>100350.05691943127</v>
      </c>
      <c r="H247" s="2">
        <f t="shared" si="181"/>
        <v>167278.37691943132</v>
      </c>
      <c r="I247" s="2">
        <f t="shared" si="181"/>
        <v>198947.94691943127</v>
      </c>
      <c r="J247" s="2">
        <f t="shared" si="181"/>
        <v>246372.18358609796</v>
      </c>
      <c r="K247" s="2">
        <f t="shared" si="181"/>
        <v>281812.4202527646</v>
      </c>
      <c r="L247" s="2">
        <f t="shared" si="181"/>
        <v>317252.65691943135</v>
      </c>
      <c r="M247" s="2">
        <f t="shared" si="181"/>
        <v>352692.89358609804</v>
      </c>
      <c r="N247" s="2">
        <f t="shared" si="181"/>
        <v>388133.13025276468</v>
      </c>
      <c r="O247" s="2">
        <f t="shared" si="181"/>
        <v>423573.36691943125</v>
      </c>
      <c r="P247" s="2">
        <f t="shared" si="181"/>
        <v>461813.60358609806</v>
      </c>
      <c r="Q247" s="2">
        <f t="shared" si="181"/>
        <v>494453.84025276452</v>
      </c>
      <c r="R247" s="2">
        <f t="shared" si="181"/>
        <v>504207.59025276452</v>
      </c>
      <c r="S247" s="2">
        <f t="shared" si="181"/>
        <v>494845.52025276457</v>
      </c>
      <c r="T247" s="2">
        <f t="shared" si="181"/>
        <v>465975.95025276451</v>
      </c>
      <c r="U247" s="2">
        <f t="shared" si="181"/>
        <v>437106.38025276462</v>
      </c>
      <c r="V247" s="2">
        <f t="shared" si="181"/>
        <v>1080236.8102527647</v>
      </c>
    </row>
    <row r="248" spans="1:22" x14ac:dyDescent="0.35">
      <c r="A248" s="37" t="s">
        <v>145</v>
      </c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x14ac:dyDescent="0.35">
      <c r="A249" t="s">
        <v>146</v>
      </c>
      <c r="C249" s="2">
        <f>C244-C$36</f>
        <v>-166587.5316519973</v>
      </c>
      <c r="D249" s="2">
        <f t="shared" ref="D249:V249" si="182">D244-D$36</f>
        <v>-213608.9978174108</v>
      </c>
      <c r="E249" s="2">
        <f t="shared" si="182"/>
        <v>-271888.65947154618</v>
      </c>
      <c r="F249" s="2">
        <f t="shared" si="182"/>
        <v>-112560.90947154615</v>
      </c>
      <c r="G249" s="2">
        <f t="shared" si="182"/>
        <v>-58466.731651997296</v>
      </c>
      <c r="H249" s="2">
        <f t="shared" si="182"/>
        <v>7506.8683480027394</v>
      </c>
      <c r="I249" s="2">
        <f t="shared" si="182"/>
        <v>35221.718348002716</v>
      </c>
      <c r="J249" s="2">
        <f t="shared" si="182"/>
        <v>84691.235014669408</v>
      </c>
      <c r="K249" s="2">
        <f t="shared" si="182"/>
        <v>119176.75168133604</v>
      </c>
      <c r="L249" s="2">
        <f t="shared" si="182"/>
        <v>153662.26834800275</v>
      </c>
      <c r="M249" s="2">
        <f t="shared" si="182"/>
        <v>188147.78501466947</v>
      </c>
      <c r="N249" s="2">
        <f t="shared" si="182"/>
        <v>222633.30168133607</v>
      </c>
      <c r="O249" s="2">
        <f t="shared" si="182"/>
        <v>257118.81834800268</v>
      </c>
      <c r="P249" s="2">
        <f t="shared" si="182"/>
        <v>291404.33501466946</v>
      </c>
      <c r="Q249" s="2">
        <f t="shared" si="182"/>
        <v>326089.85168133595</v>
      </c>
      <c r="R249" s="2">
        <f t="shared" si="182"/>
        <v>335843.60168133595</v>
      </c>
      <c r="S249" s="2">
        <f t="shared" si="182"/>
        <v>327436.25168133597</v>
      </c>
      <c r="T249" s="2">
        <f t="shared" si="182"/>
        <v>299521.40168133593</v>
      </c>
      <c r="U249" s="2">
        <f t="shared" si="182"/>
        <v>271606.55168133602</v>
      </c>
      <c r="V249" s="2">
        <f t="shared" si="182"/>
        <v>915691.70168133627</v>
      </c>
    </row>
    <row r="250" spans="1:22" hidden="1" x14ac:dyDescent="0.35">
      <c r="A250" t="s">
        <v>147</v>
      </c>
      <c r="B250" s="24">
        <f>NPV(disc_rate_fin,C249:V249)</f>
        <v>125592.13206758654</v>
      </c>
    </row>
    <row r="251" spans="1:22" hidden="1" x14ac:dyDescent="0.35">
      <c r="A251" t="s">
        <v>148</v>
      </c>
      <c r="B251" s="21">
        <f>B250/usd</f>
        <v>212.8680204535365</v>
      </c>
    </row>
    <row r="252" spans="1:22" hidden="1" x14ac:dyDescent="0.35">
      <c r="A252" t="s">
        <v>149</v>
      </c>
      <c r="B252" s="23">
        <f>IRR(C249:V249)</f>
        <v>0.13271708165495277</v>
      </c>
    </row>
    <row r="253" spans="1:22" x14ac:dyDescent="0.35">
      <c r="A253" t="s">
        <v>214</v>
      </c>
      <c r="B253" s="23"/>
      <c r="C253" s="2">
        <f>C245-C$37</f>
        <v>-130376.19831866396</v>
      </c>
      <c r="D253" s="2">
        <f t="shared" ref="D253:V253" si="183">D245-D$37</f>
        <v>-188805.66448407748</v>
      </c>
      <c r="E253" s="2">
        <f t="shared" si="183"/>
        <v>-244893.32613821284</v>
      </c>
      <c r="F253" s="2">
        <f t="shared" si="183"/>
        <v>-114055.57613821283</v>
      </c>
      <c r="G253" s="2">
        <f t="shared" si="183"/>
        <v>-57144.038318663966</v>
      </c>
      <c r="H253" s="2">
        <f t="shared" si="183"/>
        <v>9784.2816813360841</v>
      </c>
      <c r="I253" s="2">
        <f t="shared" si="183"/>
        <v>41453.851681336033</v>
      </c>
      <c r="J253" s="2">
        <f t="shared" si="183"/>
        <v>88878.088348002726</v>
      </c>
      <c r="K253" s="2">
        <f t="shared" si="183"/>
        <v>124318.32501466936</v>
      </c>
      <c r="L253" s="2">
        <f t="shared" si="183"/>
        <v>159758.56168133611</v>
      </c>
      <c r="M253" s="2">
        <f t="shared" si="183"/>
        <v>195198.79834800281</v>
      </c>
      <c r="N253" s="2">
        <f t="shared" si="183"/>
        <v>230639.03501466944</v>
      </c>
      <c r="O253" s="2">
        <f t="shared" si="183"/>
        <v>266079.27168133599</v>
      </c>
      <c r="P253" s="2">
        <f t="shared" si="183"/>
        <v>304319.5083480028</v>
      </c>
      <c r="Q253" s="2">
        <f t="shared" si="183"/>
        <v>336959.74501466926</v>
      </c>
      <c r="R253" s="2">
        <f t="shared" si="183"/>
        <v>346713.49501466926</v>
      </c>
      <c r="S253" s="2">
        <f t="shared" si="183"/>
        <v>337351.42501466931</v>
      </c>
      <c r="T253" s="2">
        <f t="shared" si="183"/>
        <v>308481.85501466924</v>
      </c>
      <c r="U253" s="2">
        <f t="shared" si="183"/>
        <v>279612.28501466941</v>
      </c>
      <c r="V253" s="2">
        <f t="shared" si="183"/>
        <v>922742.71501466946</v>
      </c>
    </row>
    <row r="254" spans="1:22" x14ac:dyDescent="0.35">
      <c r="A254" t="s">
        <v>147</v>
      </c>
      <c r="B254" s="24">
        <f>NPV(disc_rate_fin,C253:V253)</f>
        <v>225072.38030778599</v>
      </c>
    </row>
    <row r="255" spans="1:22" x14ac:dyDescent="0.35">
      <c r="A255" t="s">
        <v>148</v>
      </c>
      <c r="B255" s="21">
        <f>B254/usd</f>
        <v>381.47861069116271</v>
      </c>
    </row>
    <row r="256" spans="1:22" x14ac:dyDescent="0.35">
      <c r="A256" t="s">
        <v>149</v>
      </c>
      <c r="B256" s="23">
        <f>IRR(C253:V253)</f>
        <v>0.14898827196853026</v>
      </c>
    </row>
    <row r="257" spans="1:22" x14ac:dyDescent="0.35">
      <c r="A257" s="37" t="s">
        <v>150</v>
      </c>
      <c r="B257" s="23"/>
    </row>
    <row r="258" spans="1:22" x14ac:dyDescent="0.35">
      <c r="A258" t="s">
        <v>146</v>
      </c>
      <c r="C258" s="2">
        <f>C246-C$36</f>
        <v>-45600.031651997284</v>
      </c>
      <c r="D258" s="2">
        <f t="shared" ref="D258:V258" si="184">D246-D$36</f>
        <v>-138621.4978174108</v>
      </c>
      <c r="E258" s="2">
        <f t="shared" si="184"/>
        <v>-196901.15947154618</v>
      </c>
      <c r="F258" s="2">
        <f t="shared" si="184"/>
        <v>-112560.90947154615</v>
      </c>
      <c r="G258" s="2">
        <f t="shared" si="184"/>
        <v>-58466.731651997296</v>
      </c>
      <c r="H258" s="2">
        <f t="shared" si="184"/>
        <v>7506.8683480027394</v>
      </c>
      <c r="I258" s="2">
        <f t="shared" si="184"/>
        <v>35221.718348002716</v>
      </c>
      <c r="J258" s="2">
        <f t="shared" si="184"/>
        <v>84691.235014669408</v>
      </c>
      <c r="K258" s="2">
        <f t="shared" si="184"/>
        <v>119176.75168133604</v>
      </c>
      <c r="L258" s="2">
        <f t="shared" si="184"/>
        <v>153662.26834800275</v>
      </c>
      <c r="M258" s="2">
        <f t="shared" si="184"/>
        <v>188147.78501466947</v>
      </c>
      <c r="N258" s="2">
        <f t="shared" si="184"/>
        <v>222633.30168133607</v>
      </c>
      <c r="O258" s="2">
        <f t="shared" si="184"/>
        <v>257118.81834800268</v>
      </c>
      <c r="P258" s="2">
        <f t="shared" si="184"/>
        <v>291404.33501466946</v>
      </c>
      <c r="Q258" s="2">
        <f t="shared" si="184"/>
        <v>326089.85168133595</v>
      </c>
      <c r="R258" s="2">
        <f t="shared" si="184"/>
        <v>335843.60168133595</v>
      </c>
      <c r="S258" s="2">
        <f t="shared" si="184"/>
        <v>327436.25168133597</v>
      </c>
      <c r="T258" s="2">
        <f t="shared" si="184"/>
        <v>299521.40168133593</v>
      </c>
      <c r="U258" s="2">
        <f t="shared" si="184"/>
        <v>271606.55168133602</v>
      </c>
      <c r="V258" s="2">
        <f t="shared" si="184"/>
        <v>915691.70168133627</v>
      </c>
    </row>
    <row r="259" spans="1:22" hidden="1" x14ac:dyDescent="0.35">
      <c r="A259" t="s">
        <v>147</v>
      </c>
      <c r="B259" s="24">
        <f>NPV(disc_rate_fin,C258:V258)</f>
        <v>348513.90867978433</v>
      </c>
    </row>
    <row r="260" spans="1:22" hidden="1" x14ac:dyDescent="0.35">
      <c r="A260" t="s">
        <v>148</v>
      </c>
      <c r="B260" s="21">
        <f>B259/usd</f>
        <v>590.70154013522767</v>
      </c>
    </row>
    <row r="261" spans="1:22" hidden="1" x14ac:dyDescent="0.35">
      <c r="A261" t="s">
        <v>149</v>
      </c>
      <c r="B261" s="23">
        <f>IRR(C258:V258)</f>
        <v>0.18051229327826457</v>
      </c>
    </row>
    <row r="262" spans="1:22" x14ac:dyDescent="0.35">
      <c r="A262" t="s">
        <v>214</v>
      </c>
      <c r="B262" s="23"/>
      <c r="C262" s="2">
        <f>C247-C$37</f>
        <v>-9388.6983186639554</v>
      </c>
      <c r="D262" s="2">
        <f t="shared" ref="D262:V262" si="185">D247-D$37</f>
        <v>-113818.16448407748</v>
      </c>
      <c r="E262" s="2">
        <f t="shared" si="185"/>
        <v>-169905.82613821284</v>
      </c>
      <c r="F262" s="2">
        <f t="shared" si="185"/>
        <v>-114055.57613821283</v>
      </c>
      <c r="G262" s="2">
        <f t="shared" si="185"/>
        <v>-57144.038318663966</v>
      </c>
      <c r="H262" s="2">
        <f t="shared" si="185"/>
        <v>9784.2816813360841</v>
      </c>
      <c r="I262" s="2">
        <f t="shared" si="185"/>
        <v>41453.851681336033</v>
      </c>
      <c r="J262" s="2">
        <f t="shared" si="185"/>
        <v>88878.088348002726</v>
      </c>
      <c r="K262" s="2">
        <f t="shared" si="185"/>
        <v>124318.32501466936</v>
      </c>
      <c r="L262" s="2">
        <f t="shared" si="185"/>
        <v>159758.56168133611</v>
      </c>
      <c r="M262" s="2">
        <f t="shared" si="185"/>
        <v>195198.79834800281</v>
      </c>
      <c r="N262" s="2">
        <f t="shared" si="185"/>
        <v>230639.03501466944</v>
      </c>
      <c r="O262" s="2">
        <f t="shared" si="185"/>
        <v>266079.27168133599</v>
      </c>
      <c r="P262" s="2">
        <f t="shared" si="185"/>
        <v>304319.5083480028</v>
      </c>
      <c r="Q262" s="2">
        <f t="shared" si="185"/>
        <v>336959.74501466926</v>
      </c>
      <c r="R262" s="2">
        <f t="shared" si="185"/>
        <v>346713.49501466926</v>
      </c>
      <c r="S262" s="2">
        <f t="shared" si="185"/>
        <v>337351.42501466931</v>
      </c>
      <c r="T262" s="2">
        <f t="shared" si="185"/>
        <v>308481.85501466924</v>
      </c>
      <c r="U262" s="2">
        <f t="shared" si="185"/>
        <v>279612.28501466941</v>
      </c>
      <c r="V262" s="2">
        <f t="shared" si="185"/>
        <v>922742.71501466946</v>
      </c>
    </row>
    <row r="263" spans="1:22" x14ac:dyDescent="0.35">
      <c r="A263" t="s">
        <v>147</v>
      </c>
      <c r="B263" s="24">
        <f>NPV(disc_rate_fin,C262:V262)</f>
        <v>447994.15691998356</v>
      </c>
    </row>
    <row r="264" spans="1:22" x14ac:dyDescent="0.35">
      <c r="A264" t="s">
        <v>148</v>
      </c>
      <c r="B264" s="21">
        <f>B263/usd</f>
        <v>759.31213037285352</v>
      </c>
    </row>
    <row r="265" spans="1:22" x14ac:dyDescent="0.35">
      <c r="A265" t="s">
        <v>149</v>
      </c>
      <c r="B265" s="23">
        <f>IRR(C262:V262)</f>
        <v>0.21020900676217025</v>
      </c>
    </row>
    <row r="266" spans="1:22" x14ac:dyDescent="0.35">
      <c r="B266" s="23"/>
    </row>
    <row r="268" spans="1:22" x14ac:dyDescent="0.35">
      <c r="A268" s="1" t="s">
        <v>475</v>
      </c>
    </row>
    <row r="269" spans="1:22" x14ac:dyDescent="0.35">
      <c r="A269" t="s">
        <v>386</v>
      </c>
      <c r="B269" s="66">
        <v>0.75</v>
      </c>
      <c r="C269" s="2">
        <f>SUM(C232:C235)*(1-$B269)-(C238-C239)</f>
        <v>19011.646919431281</v>
      </c>
      <c r="D269" s="2">
        <f t="shared" ref="D269:V269" si="186">SUM(D232:D235)*(1-$B269)-(D238-D239)</f>
        <v>-42386.569245982246</v>
      </c>
      <c r="E269" s="2">
        <f t="shared" si="186"/>
        <v>-55442.980900117604</v>
      </c>
      <c r="F269" s="2">
        <f t="shared" si="186"/>
        <v>-35452.105900117589</v>
      </c>
      <c r="G269" s="2">
        <f t="shared" si="186"/>
        <v>-21715.25558056873</v>
      </c>
      <c r="H269" s="2">
        <f t="shared" si="186"/>
        <v>-5276.9355805687155</v>
      </c>
      <c r="I269" s="2">
        <f t="shared" si="186"/>
        <v>2346.6969194312842</v>
      </c>
      <c r="J269" s="2">
        <f t="shared" si="186"/>
        <v>13908.996086097963</v>
      </c>
      <c r="K269" s="2">
        <f t="shared" si="186"/>
        <v>22475.295252764605</v>
      </c>
      <c r="L269" s="2">
        <f t="shared" si="186"/>
        <v>31041.594419431305</v>
      </c>
      <c r="M269" s="2">
        <f t="shared" si="186"/>
        <v>39607.893586097962</v>
      </c>
      <c r="N269" s="2">
        <f t="shared" si="186"/>
        <v>48174.192752764633</v>
      </c>
      <c r="O269" s="2">
        <f t="shared" si="186"/>
        <v>56740.491919431282</v>
      </c>
      <c r="P269" s="2">
        <f t="shared" si="186"/>
        <v>66006.791086097975</v>
      </c>
      <c r="Q269" s="2">
        <f t="shared" si="186"/>
        <v>73873.090252764596</v>
      </c>
      <c r="R269" s="2">
        <f t="shared" si="186"/>
        <v>76311.527752764596</v>
      </c>
      <c r="S269" s="2">
        <f t="shared" si="186"/>
        <v>74264.770252764603</v>
      </c>
      <c r="T269" s="2">
        <f t="shared" si="186"/>
        <v>67341.137752764596</v>
      </c>
      <c r="U269" s="2">
        <f t="shared" si="186"/>
        <v>60417.505252764618</v>
      </c>
      <c r="V269" s="2">
        <f t="shared" si="186"/>
        <v>221493.87275276464</v>
      </c>
    </row>
    <row r="270" spans="1:22" x14ac:dyDescent="0.35">
      <c r="A270" t="s">
        <v>383</v>
      </c>
      <c r="C270" s="2">
        <f t="shared" ref="C270:V270" si="187">C34*(1-$B269)-(C33)</f>
        <v>8994.0952380952367</v>
      </c>
      <c r="D270" s="2">
        <f t="shared" si="187"/>
        <v>8994.0952380952367</v>
      </c>
      <c r="E270" s="2">
        <f t="shared" si="187"/>
        <v>8994.0952380952367</v>
      </c>
      <c r="F270" s="2">
        <f t="shared" si="187"/>
        <v>8994.0952380952367</v>
      </c>
      <c r="G270" s="2">
        <f t="shared" si="187"/>
        <v>8994.0952380952367</v>
      </c>
      <c r="H270" s="2">
        <f t="shared" si="187"/>
        <v>8994.0952380952367</v>
      </c>
      <c r="I270" s="2">
        <f t="shared" si="187"/>
        <v>8994.0952380952367</v>
      </c>
      <c r="J270" s="2">
        <f t="shared" si="187"/>
        <v>8994.0952380952367</v>
      </c>
      <c r="K270" s="2">
        <f t="shared" si="187"/>
        <v>8994.0952380952367</v>
      </c>
      <c r="L270" s="2">
        <f t="shared" si="187"/>
        <v>8994.0952380952367</v>
      </c>
      <c r="M270" s="2">
        <f t="shared" si="187"/>
        <v>8994.0952380952367</v>
      </c>
      <c r="N270" s="2">
        <f t="shared" si="187"/>
        <v>8994.0952380952367</v>
      </c>
      <c r="O270" s="2">
        <f t="shared" si="187"/>
        <v>8994.0952380952367</v>
      </c>
      <c r="P270" s="2">
        <f t="shared" si="187"/>
        <v>8994.0952380952367</v>
      </c>
      <c r="Q270" s="2">
        <f t="shared" si="187"/>
        <v>8994.0952380952367</v>
      </c>
      <c r="R270" s="2">
        <f t="shared" si="187"/>
        <v>8994.0952380952367</v>
      </c>
      <c r="S270" s="2">
        <f t="shared" si="187"/>
        <v>8994.0952380952367</v>
      </c>
      <c r="T270" s="2">
        <f t="shared" si="187"/>
        <v>8994.0952380952367</v>
      </c>
      <c r="U270" s="2">
        <f t="shared" si="187"/>
        <v>8994.0952380952367</v>
      </c>
      <c r="V270" s="2">
        <f t="shared" si="187"/>
        <v>8994.0952380952367</v>
      </c>
    </row>
    <row r="271" spans="1:22" x14ac:dyDescent="0.35">
      <c r="A271" t="s">
        <v>384</v>
      </c>
      <c r="C271" s="2">
        <f>C269-C270</f>
        <v>10017.551681336045</v>
      </c>
      <c r="D271" s="2">
        <f t="shared" ref="D271:V271" si="188">D269-D270</f>
        <v>-51380.664484077482</v>
      </c>
      <c r="E271" s="2">
        <f t="shared" si="188"/>
        <v>-64437.07613821284</v>
      </c>
      <c r="F271" s="2">
        <f t="shared" si="188"/>
        <v>-44446.201138212826</v>
      </c>
      <c r="G271" s="2">
        <f t="shared" si="188"/>
        <v>-30709.350818663966</v>
      </c>
      <c r="H271" s="2">
        <f t="shared" si="188"/>
        <v>-14271.030818663952</v>
      </c>
      <c r="I271" s="2">
        <f t="shared" si="188"/>
        <v>-6647.3983186639525</v>
      </c>
      <c r="J271" s="2">
        <f t="shared" si="188"/>
        <v>4914.900848002726</v>
      </c>
      <c r="K271" s="2">
        <f t="shared" si="188"/>
        <v>13481.200014669368</v>
      </c>
      <c r="L271" s="2">
        <f t="shared" si="188"/>
        <v>22047.499181336068</v>
      </c>
      <c r="M271" s="2">
        <f t="shared" si="188"/>
        <v>30613.798348002725</v>
      </c>
      <c r="N271" s="2">
        <f t="shared" si="188"/>
        <v>39180.097514669396</v>
      </c>
      <c r="O271" s="2">
        <f t="shared" si="188"/>
        <v>47746.396681336046</v>
      </c>
      <c r="P271" s="2">
        <f t="shared" si="188"/>
        <v>57012.695848002739</v>
      </c>
      <c r="Q271" s="2">
        <f t="shared" si="188"/>
        <v>64878.995014669359</v>
      </c>
      <c r="R271" s="2">
        <f t="shared" si="188"/>
        <v>67317.432514669359</v>
      </c>
      <c r="S271" s="2">
        <f t="shared" si="188"/>
        <v>65270.675014669367</v>
      </c>
      <c r="T271" s="2">
        <f t="shared" si="188"/>
        <v>58347.04251466936</v>
      </c>
      <c r="U271" s="2">
        <f t="shared" si="188"/>
        <v>51423.410014669382</v>
      </c>
      <c r="V271" s="2">
        <f t="shared" si="188"/>
        <v>212499.7775146694</v>
      </c>
    </row>
    <row r="272" spans="1:22" x14ac:dyDescent="0.35">
      <c r="A272" t="s">
        <v>125</v>
      </c>
      <c r="B272" s="24">
        <f>NPV(disc_rate_fin,C271:V271)</f>
        <v>-3973.8072059486472</v>
      </c>
    </row>
    <row r="273" spans="1:22" x14ac:dyDescent="0.35">
      <c r="A273" t="s">
        <v>387</v>
      </c>
      <c r="B273" s="66">
        <v>2.9</v>
      </c>
      <c r="C273" s="2">
        <f>SUM(C232:C235)-(C238-C239)*(1+$B273)</f>
        <v>78448.547985782003</v>
      </c>
      <c r="D273" s="2">
        <f t="shared" ref="D273:V273" si="189">SUM(D232:D235)-(D238-D239)*(1+$B273)</f>
        <v>-162438.87005933077</v>
      </c>
      <c r="E273" s="2">
        <f t="shared" si="189"/>
        <v>-214793.25051045866</v>
      </c>
      <c r="F273" s="2">
        <f t="shared" si="189"/>
        <v>-135633.5255104586</v>
      </c>
      <c r="G273" s="2">
        <f t="shared" si="189"/>
        <v>-80620.653014218027</v>
      </c>
      <c r="H273" s="2">
        <f t="shared" si="189"/>
        <v>-14828.205014217994</v>
      </c>
      <c r="I273" s="2">
        <f t="shared" si="189"/>
        <v>15705.49298578201</v>
      </c>
      <c r="J273" s="2">
        <f t="shared" si="189"/>
        <v>61993.857652448729</v>
      </c>
      <c r="K273" s="2">
        <f t="shared" si="189"/>
        <v>96298.222319115303</v>
      </c>
      <c r="L273" s="2">
        <f t="shared" si="189"/>
        <v>130602.58698578211</v>
      </c>
      <c r="M273" s="2">
        <f t="shared" si="189"/>
        <v>164906.95165244871</v>
      </c>
      <c r="N273" s="2">
        <f t="shared" si="189"/>
        <v>199211.3163191154</v>
      </c>
      <c r="O273" s="2">
        <f t="shared" si="189"/>
        <v>233515.680985782</v>
      </c>
      <c r="P273" s="2">
        <f t="shared" si="189"/>
        <v>270620.04565244878</v>
      </c>
      <c r="Q273" s="2">
        <f t="shared" si="189"/>
        <v>302124.41031911527</v>
      </c>
      <c r="R273" s="2">
        <f t="shared" si="189"/>
        <v>311878.16031911527</v>
      </c>
      <c r="S273" s="2">
        <f t="shared" si="189"/>
        <v>303651.96231911529</v>
      </c>
      <c r="T273" s="2">
        <f t="shared" si="189"/>
        <v>275918.26431911526</v>
      </c>
      <c r="U273" s="2">
        <f t="shared" si="189"/>
        <v>248184.56631911534</v>
      </c>
      <c r="V273" s="2">
        <f t="shared" si="189"/>
        <v>892450.86831911549</v>
      </c>
    </row>
    <row r="274" spans="1:22" x14ac:dyDescent="0.35">
      <c r="A274" t="s">
        <v>385</v>
      </c>
      <c r="C274" s="2">
        <f t="shared" ref="C274:V274" si="190">C34-(C33)*(1+$B273)</f>
        <v>40026.971428571414</v>
      </c>
      <c r="D274" s="2">
        <f t="shared" si="190"/>
        <v>40026.971428571414</v>
      </c>
      <c r="E274" s="2">
        <f t="shared" si="190"/>
        <v>40026.971428571414</v>
      </c>
      <c r="F274" s="2">
        <f t="shared" si="190"/>
        <v>40026.971428571414</v>
      </c>
      <c r="G274" s="2">
        <f t="shared" si="190"/>
        <v>40026.971428571414</v>
      </c>
      <c r="H274" s="2">
        <f t="shared" si="190"/>
        <v>40026.971428571414</v>
      </c>
      <c r="I274" s="2">
        <f t="shared" si="190"/>
        <v>40026.971428571414</v>
      </c>
      <c r="J274" s="2">
        <f t="shared" si="190"/>
        <v>40026.971428571414</v>
      </c>
      <c r="K274" s="2">
        <f t="shared" si="190"/>
        <v>40026.971428571414</v>
      </c>
      <c r="L274" s="2">
        <f t="shared" si="190"/>
        <v>40026.971428571414</v>
      </c>
      <c r="M274" s="2">
        <f t="shared" si="190"/>
        <v>40026.971428571414</v>
      </c>
      <c r="N274" s="2">
        <f t="shared" si="190"/>
        <v>40026.971428571414</v>
      </c>
      <c r="O274" s="2">
        <f t="shared" si="190"/>
        <v>40026.971428571414</v>
      </c>
      <c r="P274" s="2">
        <f t="shared" si="190"/>
        <v>40026.971428571414</v>
      </c>
      <c r="Q274" s="2">
        <f t="shared" si="190"/>
        <v>40026.971428571414</v>
      </c>
      <c r="R274" s="2">
        <f t="shared" si="190"/>
        <v>40026.971428571414</v>
      </c>
      <c r="S274" s="2">
        <f t="shared" si="190"/>
        <v>40026.971428571414</v>
      </c>
      <c r="T274" s="2">
        <f t="shared" si="190"/>
        <v>40026.971428571414</v>
      </c>
      <c r="U274" s="2">
        <f t="shared" si="190"/>
        <v>40026.971428571414</v>
      </c>
      <c r="V274" s="2">
        <f t="shared" si="190"/>
        <v>40026.971428571414</v>
      </c>
    </row>
    <row r="275" spans="1:22" x14ac:dyDescent="0.35">
      <c r="A275" t="s">
        <v>384</v>
      </c>
      <c r="C275" s="2">
        <f>C273-C274</f>
        <v>38421.576557210588</v>
      </c>
      <c r="D275" s="2">
        <f t="shared" ref="D275:V275" si="191">D273-D274</f>
        <v>-202465.84148790219</v>
      </c>
      <c r="E275" s="2">
        <f t="shared" si="191"/>
        <v>-254820.22193903007</v>
      </c>
      <c r="F275" s="2">
        <f t="shared" si="191"/>
        <v>-175660.49693903001</v>
      </c>
      <c r="G275" s="2">
        <f t="shared" si="191"/>
        <v>-120647.62444278944</v>
      </c>
      <c r="H275" s="2">
        <f t="shared" si="191"/>
        <v>-54855.176442789409</v>
      </c>
      <c r="I275" s="2">
        <f t="shared" si="191"/>
        <v>-24321.478442789405</v>
      </c>
      <c r="J275" s="2">
        <f t="shared" si="191"/>
        <v>21966.886223877314</v>
      </c>
      <c r="K275" s="2">
        <f t="shared" si="191"/>
        <v>56271.250890543888</v>
      </c>
      <c r="L275" s="2">
        <f t="shared" si="191"/>
        <v>90575.615557210695</v>
      </c>
      <c r="M275" s="2">
        <f t="shared" si="191"/>
        <v>124879.9802238773</v>
      </c>
      <c r="N275" s="2">
        <f t="shared" si="191"/>
        <v>159184.34489054399</v>
      </c>
      <c r="O275" s="2">
        <f t="shared" si="191"/>
        <v>193488.70955721059</v>
      </c>
      <c r="P275" s="2">
        <f t="shared" si="191"/>
        <v>230593.07422387737</v>
      </c>
      <c r="Q275" s="2">
        <f t="shared" si="191"/>
        <v>262097.43889054385</v>
      </c>
      <c r="R275" s="2">
        <f t="shared" si="191"/>
        <v>271851.18889054388</v>
      </c>
      <c r="S275" s="2">
        <f t="shared" si="191"/>
        <v>263624.99089054391</v>
      </c>
      <c r="T275" s="2">
        <f t="shared" si="191"/>
        <v>235891.29289054385</v>
      </c>
      <c r="U275" s="2">
        <f t="shared" si="191"/>
        <v>208157.59489054393</v>
      </c>
      <c r="V275" s="2">
        <f t="shared" si="191"/>
        <v>852423.8968905441</v>
      </c>
    </row>
    <row r="276" spans="1:22" x14ac:dyDescent="0.35">
      <c r="A276" t="s">
        <v>125</v>
      </c>
      <c r="B276" s="24">
        <f>NPV(disc_rate_fin,C275:V275)</f>
        <v>-432.24929900156832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4"/>
  <sheetViews>
    <sheetView topLeftCell="A25" workbookViewId="0">
      <selection activeCell="A40" sqref="A40"/>
    </sheetView>
  </sheetViews>
  <sheetFormatPr defaultRowHeight="14.5" x14ac:dyDescent="0.35"/>
  <cols>
    <col min="1" max="1" width="37.54296875" customWidth="1"/>
    <col min="2" max="2" width="11.1796875" customWidth="1"/>
    <col min="3" max="3" width="11.81640625" bestFit="1" customWidth="1"/>
    <col min="6" max="6" width="10.1796875" bestFit="1" customWidth="1"/>
  </cols>
  <sheetData>
    <row r="1" spans="1:26" x14ac:dyDescent="0.35">
      <c r="A1" s="1" t="s">
        <v>71</v>
      </c>
    </row>
    <row r="3" spans="1:26" x14ac:dyDescent="0.35">
      <c r="A3" s="46" t="s">
        <v>467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</row>
    <row r="4" spans="1:26" s="44" customFormat="1" x14ac:dyDescent="0.35">
      <c r="A4" s="75"/>
    </row>
    <row r="5" spans="1:26" x14ac:dyDescent="0.35">
      <c r="A5" s="68" t="s">
        <v>398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x14ac:dyDescent="0.35">
      <c r="A6" s="9" t="s">
        <v>7</v>
      </c>
      <c r="B6" s="10" t="s">
        <v>11</v>
      </c>
      <c r="C6" s="11" t="s">
        <v>399</v>
      </c>
      <c r="D6" s="11" t="s">
        <v>400</v>
      </c>
      <c r="E6" s="11" t="s">
        <v>401</v>
      </c>
      <c r="F6" s="11" t="s">
        <v>402</v>
      </c>
      <c r="G6" s="11" t="s">
        <v>403</v>
      </c>
      <c r="H6" s="11" t="s">
        <v>404</v>
      </c>
      <c r="I6" s="11" t="s">
        <v>405</v>
      </c>
      <c r="J6" s="11" t="s">
        <v>406</v>
      </c>
      <c r="K6" s="11" t="s">
        <v>407</v>
      </c>
      <c r="L6" s="11" t="s">
        <v>408</v>
      </c>
      <c r="M6" s="11" t="s">
        <v>409</v>
      </c>
      <c r="N6" s="11" t="s">
        <v>410</v>
      </c>
      <c r="O6" s="11" t="s">
        <v>411</v>
      </c>
      <c r="P6" s="11" t="s">
        <v>412</v>
      </c>
      <c r="Q6" s="11" t="s">
        <v>413</v>
      </c>
      <c r="R6" s="11" t="s">
        <v>414</v>
      </c>
      <c r="S6" s="11" t="s">
        <v>415</v>
      </c>
      <c r="T6" s="11" t="s">
        <v>416</v>
      </c>
      <c r="U6" s="11" t="s">
        <v>417</v>
      </c>
      <c r="V6" s="11" t="s">
        <v>425</v>
      </c>
      <c r="W6" s="11"/>
      <c r="X6" s="11"/>
      <c r="Y6" s="11"/>
      <c r="Z6" s="11"/>
    </row>
    <row r="7" spans="1:26" x14ac:dyDescent="0.35">
      <c r="A7" s="18" t="s">
        <v>2</v>
      </c>
      <c r="B7" s="8"/>
    </row>
    <row r="8" spans="1:26" x14ac:dyDescent="0.35">
      <c r="A8" s="6" t="s">
        <v>8</v>
      </c>
      <c r="B8" s="8" t="s">
        <v>1</v>
      </c>
      <c r="C8" s="2">
        <f>'Cocoa FIN'!C8</f>
        <v>2</v>
      </c>
      <c r="D8" s="2">
        <f>'Cocoa FIN'!D8</f>
        <v>2</v>
      </c>
      <c r="E8" s="2">
        <f>'Cocoa FIN'!E8</f>
        <v>2</v>
      </c>
      <c r="F8" s="2">
        <f>'Cocoa FIN'!F8</f>
        <v>2</v>
      </c>
      <c r="G8" s="2">
        <f>'Cocoa FIN'!G8</f>
        <v>2</v>
      </c>
      <c r="H8" s="2">
        <f>'Cocoa FIN'!H8</f>
        <v>2</v>
      </c>
      <c r="I8" s="2">
        <f>'Cocoa FIN'!I8</f>
        <v>2</v>
      </c>
      <c r="J8" s="2">
        <f>'Cocoa FIN'!J8</f>
        <v>2</v>
      </c>
      <c r="K8" s="2">
        <f>'Cocoa FIN'!K8</f>
        <v>2</v>
      </c>
      <c r="L8" s="2">
        <f>'Cocoa FIN'!L8</f>
        <v>2</v>
      </c>
      <c r="M8" s="2">
        <f>'Cocoa FIN'!M8</f>
        <v>2</v>
      </c>
      <c r="N8" s="2">
        <f>'Cocoa FIN'!N8</f>
        <v>2</v>
      </c>
      <c r="O8" s="2">
        <f>'Cocoa FIN'!O8</f>
        <v>2</v>
      </c>
      <c r="P8" s="2">
        <f>'Cocoa FIN'!P8</f>
        <v>2</v>
      </c>
      <c r="Q8" s="2">
        <f>'Cocoa FIN'!Q8</f>
        <v>2</v>
      </c>
      <c r="R8" s="2">
        <f>'Cocoa FIN'!R8</f>
        <v>2</v>
      </c>
      <c r="S8" s="2">
        <f>'Cocoa FIN'!S8</f>
        <v>2</v>
      </c>
      <c r="T8" s="2">
        <f>'Cocoa FIN'!T8</f>
        <v>2</v>
      </c>
      <c r="U8" s="2">
        <f>'Cocoa FIN'!U8</f>
        <v>2</v>
      </c>
      <c r="V8" s="2">
        <f>'Cocoa FIN'!V8</f>
        <v>2</v>
      </c>
      <c r="W8" s="2"/>
    </row>
    <row r="9" spans="1:26" x14ac:dyDescent="0.35">
      <c r="A9" s="6" t="s">
        <v>9</v>
      </c>
      <c r="B9" s="8" t="s">
        <v>10</v>
      </c>
      <c r="C9" s="2">
        <f>'Cocoa FIN'!C9</f>
        <v>240</v>
      </c>
      <c r="D9" s="2">
        <f>'Cocoa FIN'!D9</f>
        <v>240</v>
      </c>
      <c r="E9" s="2">
        <f>'Cocoa FIN'!E9</f>
        <v>240</v>
      </c>
      <c r="F9" s="2">
        <f>'Cocoa FIN'!F9</f>
        <v>240</v>
      </c>
      <c r="G9" s="2">
        <f>'Cocoa FIN'!G9</f>
        <v>240</v>
      </c>
      <c r="H9" s="2">
        <f>'Cocoa FIN'!H9</f>
        <v>240</v>
      </c>
      <c r="I9" s="2">
        <f>'Cocoa FIN'!I9</f>
        <v>240</v>
      </c>
      <c r="J9" s="2">
        <f>'Cocoa FIN'!J9</f>
        <v>240</v>
      </c>
      <c r="K9" s="2">
        <f>'Cocoa FIN'!K9</f>
        <v>240</v>
      </c>
      <c r="L9" s="2">
        <f>'Cocoa FIN'!L9</f>
        <v>240</v>
      </c>
      <c r="M9" s="2">
        <f>'Cocoa FIN'!M9</f>
        <v>240</v>
      </c>
      <c r="N9" s="2">
        <f>'Cocoa FIN'!N9</f>
        <v>240</v>
      </c>
      <c r="O9" s="2">
        <f>'Cocoa FIN'!O9</f>
        <v>240</v>
      </c>
      <c r="P9" s="2">
        <f>'Cocoa FIN'!P9</f>
        <v>240</v>
      </c>
      <c r="Q9" s="2">
        <f>'Cocoa FIN'!Q9</f>
        <v>240</v>
      </c>
      <c r="R9" s="2">
        <f>'Cocoa FIN'!R9</f>
        <v>240</v>
      </c>
      <c r="S9" s="2">
        <f>'Cocoa FIN'!S9</f>
        <v>240</v>
      </c>
      <c r="T9" s="2">
        <f>'Cocoa FIN'!T9</f>
        <v>240</v>
      </c>
      <c r="U9" s="2">
        <f>'Cocoa FIN'!U9</f>
        <v>240</v>
      </c>
      <c r="V9" s="2">
        <f>'Cocoa FIN'!V9</f>
        <v>240</v>
      </c>
      <c r="W9" s="2"/>
    </row>
    <row r="10" spans="1:26" x14ac:dyDescent="0.35">
      <c r="A10" s="6" t="s">
        <v>216</v>
      </c>
      <c r="B10" s="8" t="s">
        <v>10</v>
      </c>
      <c r="C10" s="2">
        <f>'Cocoa FIN'!C10</f>
        <v>240</v>
      </c>
      <c r="D10" s="2">
        <f>'Cocoa FIN'!D10</f>
        <v>240</v>
      </c>
      <c r="E10" s="2">
        <f>'Cocoa FIN'!E10</f>
        <v>240</v>
      </c>
      <c r="F10" s="2">
        <f>'Cocoa FIN'!F10</f>
        <v>240</v>
      </c>
      <c r="G10" s="2">
        <f>'Cocoa FIN'!G10</f>
        <v>240</v>
      </c>
      <c r="H10" s="2">
        <f>'Cocoa FIN'!H10</f>
        <v>240</v>
      </c>
      <c r="I10" s="2">
        <f>'Cocoa FIN'!I10</f>
        <v>240</v>
      </c>
      <c r="J10" s="2">
        <f>'Cocoa FIN'!J10</f>
        <v>240</v>
      </c>
      <c r="K10" s="2">
        <f>'Cocoa FIN'!K10</f>
        <v>240</v>
      </c>
      <c r="L10" s="2">
        <f>'Cocoa FIN'!L10</f>
        <v>240</v>
      </c>
      <c r="M10" s="2">
        <f>'Cocoa FIN'!M10</f>
        <v>240</v>
      </c>
      <c r="N10" s="2">
        <f>'Cocoa FIN'!N10</f>
        <v>240</v>
      </c>
      <c r="O10" s="2">
        <f>'Cocoa FIN'!O10</f>
        <v>240</v>
      </c>
      <c r="P10" s="2">
        <f>'Cocoa FIN'!P10</f>
        <v>240</v>
      </c>
      <c r="Q10" s="2">
        <f>'Cocoa FIN'!Q10</f>
        <v>240</v>
      </c>
      <c r="R10" s="2">
        <f>'Cocoa FIN'!R10</f>
        <v>240</v>
      </c>
      <c r="S10" s="2">
        <f>'Cocoa FIN'!S10</f>
        <v>240</v>
      </c>
      <c r="T10" s="2">
        <f>'Cocoa FIN'!T10</f>
        <v>240</v>
      </c>
      <c r="U10" s="2">
        <f>'Cocoa FIN'!U10</f>
        <v>240</v>
      </c>
      <c r="V10" s="2">
        <f>'Cocoa FIN'!V10</f>
        <v>240</v>
      </c>
      <c r="W10" s="2"/>
    </row>
    <row r="11" spans="1:26" x14ac:dyDescent="0.35">
      <c r="A11" s="6" t="s">
        <v>76</v>
      </c>
      <c r="B11" s="8" t="s">
        <v>10</v>
      </c>
      <c r="C11" s="2">
        <f>'Cocoa FIN'!C11</f>
        <v>240</v>
      </c>
      <c r="D11" s="2">
        <f>'Cocoa FIN'!D11</f>
        <v>240</v>
      </c>
      <c r="E11" s="2">
        <f>'Cocoa FIN'!E11</f>
        <v>240</v>
      </c>
      <c r="F11" s="2">
        <f>'Cocoa FIN'!F11</f>
        <v>240</v>
      </c>
      <c r="G11" s="2">
        <f>'Cocoa FIN'!G11</f>
        <v>240</v>
      </c>
      <c r="H11" s="2">
        <f>'Cocoa FIN'!H11</f>
        <v>240</v>
      </c>
      <c r="I11" s="2">
        <f>'Cocoa FIN'!I11</f>
        <v>240</v>
      </c>
      <c r="J11" s="2">
        <f>'Cocoa FIN'!J11</f>
        <v>240</v>
      </c>
      <c r="K11" s="2">
        <f>'Cocoa FIN'!K11</f>
        <v>240</v>
      </c>
      <c r="L11" s="2">
        <f>'Cocoa FIN'!L11</f>
        <v>240</v>
      </c>
      <c r="M11" s="2">
        <f>'Cocoa FIN'!M11</f>
        <v>240</v>
      </c>
      <c r="N11" s="2">
        <f>'Cocoa FIN'!N11</f>
        <v>240</v>
      </c>
      <c r="O11" s="2">
        <f>'Cocoa FIN'!O11</f>
        <v>240</v>
      </c>
      <c r="P11" s="2">
        <f>'Cocoa FIN'!P11</f>
        <v>240</v>
      </c>
      <c r="Q11" s="2">
        <f>'Cocoa FIN'!Q11</f>
        <v>240</v>
      </c>
      <c r="R11" s="2">
        <f>'Cocoa FIN'!R11</f>
        <v>240</v>
      </c>
      <c r="S11" s="2">
        <f>'Cocoa FIN'!S11</f>
        <v>240</v>
      </c>
      <c r="T11" s="2">
        <f>'Cocoa FIN'!T11</f>
        <v>240</v>
      </c>
      <c r="U11" s="2">
        <f>'Cocoa FIN'!U11</f>
        <v>240</v>
      </c>
      <c r="V11" s="2">
        <f>'Cocoa FIN'!V11</f>
        <v>240</v>
      </c>
      <c r="W11" s="2"/>
    </row>
    <row r="12" spans="1:26" x14ac:dyDescent="0.35">
      <c r="A12" s="6"/>
      <c r="B12" s="8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6" x14ac:dyDescent="0.35">
      <c r="A13" s="7" t="s">
        <v>16</v>
      </c>
      <c r="B13" s="8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6" x14ac:dyDescent="0.35">
      <c r="A14" s="7" t="s">
        <v>17</v>
      </c>
      <c r="B14" s="8" t="s">
        <v>11</v>
      </c>
      <c r="C14" s="2">
        <f>'Cocoa FIN'!C14</f>
        <v>3.4285714285714284</v>
      </c>
      <c r="D14" s="2">
        <f>'Cocoa FIN'!D14</f>
        <v>3.4285714285714284</v>
      </c>
      <c r="E14" s="2">
        <f>'Cocoa FIN'!E14</f>
        <v>3.4285714285714284</v>
      </c>
      <c r="F14" s="2">
        <f>'Cocoa FIN'!F14</f>
        <v>3.4285714285714284</v>
      </c>
      <c r="G14" s="2">
        <f>'Cocoa FIN'!G14</f>
        <v>3.4285714285714284</v>
      </c>
      <c r="H14" s="2">
        <f>'Cocoa FIN'!H14</f>
        <v>3.4285714285714284</v>
      </c>
      <c r="I14" s="2">
        <f>'Cocoa FIN'!I14</f>
        <v>3.4285714285714284</v>
      </c>
      <c r="J14" s="2">
        <f>'Cocoa FIN'!J14</f>
        <v>3.4285714285714284</v>
      </c>
      <c r="K14" s="2">
        <f>'Cocoa FIN'!K14</f>
        <v>3.4285714285714284</v>
      </c>
      <c r="L14" s="2">
        <f>'Cocoa FIN'!L14</f>
        <v>3.4285714285714284</v>
      </c>
      <c r="M14" s="2">
        <f>'Cocoa FIN'!M14</f>
        <v>3.4285714285714284</v>
      </c>
      <c r="N14" s="2">
        <f>'Cocoa FIN'!N14</f>
        <v>3.4285714285714284</v>
      </c>
      <c r="O14" s="2">
        <f>'Cocoa FIN'!O14</f>
        <v>3.4285714285714284</v>
      </c>
      <c r="P14" s="2">
        <f>'Cocoa FIN'!P14</f>
        <v>3.4285714285714284</v>
      </c>
      <c r="Q14" s="2">
        <f>'Cocoa FIN'!Q14</f>
        <v>3.4285714285714284</v>
      </c>
      <c r="R14" s="2">
        <f>'Cocoa FIN'!R14</f>
        <v>3.4285714285714284</v>
      </c>
      <c r="S14" s="2">
        <f>'Cocoa FIN'!S14</f>
        <v>3.4285714285714284</v>
      </c>
      <c r="T14" s="2">
        <f>'Cocoa FIN'!T14</f>
        <v>3.4285714285714284</v>
      </c>
      <c r="U14" s="2">
        <f>'Cocoa FIN'!U14</f>
        <v>3.4285714285714284</v>
      </c>
      <c r="V14" s="2">
        <f>'Cocoa FIN'!V14</f>
        <v>3.4285714285714284</v>
      </c>
      <c r="W14" s="2"/>
    </row>
    <row r="15" spans="1:26" x14ac:dyDescent="0.35">
      <c r="A15" s="6"/>
      <c r="B15" s="8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6" x14ac:dyDescent="0.35">
      <c r="A16" s="6" t="s">
        <v>6</v>
      </c>
      <c r="B16" s="8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3" x14ac:dyDescent="0.35">
      <c r="A17" s="12" t="s">
        <v>72</v>
      </c>
      <c r="B17" s="10" t="s">
        <v>10</v>
      </c>
      <c r="C17" s="42">
        <f>'Cocoa FIN'!C17</f>
        <v>240</v>
      </c>
      <c r="D17" s="14">
        <f>'Cocoa FIN'!D17</f>
        <v>240</v>
      </c>
      <c r="E17" s="14">
        <f>'Cocoa FIN'!E17</f>
        <v>240</v>
      </c>
      <c r="F17" s="14">
        <f>'Cocoa FIN'!F17</f>
        <v>240</v>
      </c>
      <c r="G17" s="14">
        <f>'Cocoa FIN'!G17</f>
        <v>240</v>
      </c>
      <c r="H17" s="14">
        <f>'Cocoa FIN'!H17</f>
        <v>240</v>
      </c>
      <c r="I17" s="14">
        <f>'Cocoa FIN'!I17</f>
        <v>240</v>
      </c>
      <c r="J17" s="14">
        <f>'Cocoa FIN'!J17</f>
        <v>240</v>
      </c>
      <c r="K17" s="14">
        <f>'Cocoa FIN'!K17</f>
        <v>240</v>
      </c>
      <c r="L17" s="14">
        <f>'Cocoa FIN'!L17</f>
        <v>240</v>
      </c>
      <c r="M17" s="14">
        <f>'Cocoa FIN'!M17</f>
        <v>240</v>
      </c>
      <c r="N17" s="14">
        <f>'Cocoa FIN'!N17</f>
        <v>240</v>
      </c>
      <c r="O17" s="14">
        <f>'Cocoa FIN'!O17</f>
        <v>240</v>
      </c>
      <c r="P17" s="14">
        <f>'Cocoa FIN'!P17</f>
        <v>240</v>
      </c>
      <c r="Q17" s="14">
        <f>'Cocoa FIN'!Q17</f>
        <v>240</v>
      </c>
      <c r="R17" s="14">
        <f>'Cocoa FIN'!R17</f>
        <v>240</v>
      </c>
      <c r="S17" s="14">
        <f>'Cocoa FIN'!S17</f>
        <v>240</v>
      </c>
      <c r="T17" s="14">
        <f>'Cocoa FIN'!T17</f>
        <v>240</v>
      </c>
      <c r="U17" s="14">
        <f>'Cocoa FIN'!U17</f>
        <v>240</v>
      </c>
      <c r="V17" s="14">
        <f>'Cocoa FIN'!V17</f>
        <v>240</v>
      </c>
      <c r="W17" s="2"/>
    </row>
    <row r="18" spans="1:23" x14ac:dyDescent="0.35">
      <c r="A18" s="3"/>
    </row>
    <row r="19" spans="1:23" x14ac:dyDescent="0.35">
      <c r="A19" s="68" t="s">
        <v>303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</row>
    <row r="20" spans="1:23" x14ac:dyDescent="0.35">
      <c r="A20" s="12" t="s">
        <v>302</v>
      </c>
      <c r="B20" s="10" t="s">
        <v>12</v>
      </c>
      <c r="C20" s="11" t="s">
        <v>399</v>
      </c>
      <c r="D20" s="11" t="s">
        <v>400</v>
      </c>
      <c r="E20" s="11" t="s">
        <v>401</v>
      </c>
      <c r="F20" s="11" t="s">
        <v>402</v>
      </c>
      <c r="G20" s="11" t="s">
        <v>403</v>
      </c>
      <c r="H20" s="11" t="s">
        <v>404</v>
      </c>
      <c r="I20" s="11" t="s">
        <v>405</v>
      </c>
      <c r="J20" s="11" t="s">
        <v>406</v>
      </c>
      <c r="K20" s="11" t="s">
        <v>407</v>
      </c>
      <c r="L20" s="11" t="s">
        <v>408</v>
      </c>
      <c r="M20" s="11" t="s">
        <v>409</v>
      </c>
      <c r="N20" s="11" t="s">
        <v>410</v>
      </c>
      <c r="O20" s="11" t="s">
        <v>411</v>
      </c>
      <c r="P20" s="11" t="s">
        <v>412</v>
      </c>
      <c r="Q20" s="11" t="s">
        <v>413</v>
      </c>
      <c r="R20" s="11" t="s">
        <v>414</v>
      </c>
      <c r="S20" s="11" t="s">
        <v>415</v>
      </c>
      <c r="T20" s="11" t="s">
        <v>416</v>
      </c>
      <c r="U20" s="11" t="s">
        <v>417</v>
      </c>
      <c r="V20" s="11" t="s">
        <v>418</v>
      </c>
    </row>
    <row r="21" spans="1:23" x14ac:dyDescent="0.35">
      <c r="A21" s="17" t="str">
        <f>A7</f>
        <v>Agricultural operations</v>
      </c>
      <c r="B21" s="8"/>
    </row>
    <row r="22" spans="1:23" x14ac:dyDescent="0.35">
      <c r="A22" s="6" t="str">
        <f>A8</f>
        <v xml:space="preserve">  Weeding</v>
      </c>
      <c r="B22" s="13">
        <f>'Prices &amp; assums'!D5</f>
        <v>23400</v>
      </c>
      <c r="C22" s="2">
        <f t="shared" ref="C22:V25" si="0">$B22*C8</f>
        <v>46800</v>
      </c>
      <c r="D22" s="2">
        <f t="shared" si="0"/>
        <v>46800</v>
      </c>
      <c r="E22" s="2">
        <f t="shared" si="0"/>
        <v>46800</v>
      </c>
      <c r="F22" s="2">
        <f t="shared" si="0"/>
        <v>46800</v>
      </c>
      <c r="G22" s="2">
        <f t="shared" si="0"/>
        <v>46800</v>
      </c>
      <c r="H22" s="2">
        <f t="shared" si="0"/>
        <v>46800</v>
      </c>
      <c r="I22" s="2">
        <f t="shared" si="0"/>
        <v>46800</v>
      </c>
      <c r="J22" s="2">
        <f t="shared" si="0"/>
        <v>46800</v>
      </c>
      <c r="K22" s="2">
        <f t="shared" si="0"/>
        <v>46800</v>
      </c>
      <c r="L22" s="2">
        <f t="shared" si="0"/>
        <v>46800</v>
      </c>
      <c r="M22" s="2">
        <f t="shared" si="0"/>
        <v>46800</v>
      </c>
      <c r="N22" s="2">
        <f t="shared" si="0"/>
        <v>46800</v>
      </c>
      <c r="O22" s="2">
        <f t="shared" si="0"/>
        <v>46800</v>
      </c>
      <c r="P22" s="2">
        <f t="shared" si="0"/>
        <v>46800</v>
      </c>
      <c r="Q22" s="2">
        <f t="shared" si="0"/>
        <v>46800</v>
      </c>
      <c r="R22" s="2">
        <f t="shared" si="0"/>
        <v>46800</v>
      </c>
      <c r="S22" s="2">
        <f t="shared" si="0"/>
        <v>46800</v>
      </c>
      <c r="T22" s="2">
        <f t="shared" si="0"/>
        <v>46800</v>
      </c>
      <c r="U22" s="2">
        <f t="shared" si="0"/>
        <v>46800</v>
      </c>
      <c r="V22" s="2">
        <f t="shared" si="0"/>
        <v>46800</v>
      </c>
    </row>
    <row r="23" spans="1:23" x14ac:dyDescent="0.35">
      <c r="A23" s="6" t="str">
        <f>A9</f>
        <v xml:space="preserve">  Harvest</v>
      </c>
      <c r="B23" s="13">
        <f>'Prices &amp; assums'!D16</f>
        <v>29.203200000000002</v>
      </c>
      <c r="C23" s="2">
        <f t="shared" si="0"/>
        <v>7008.7680000000009</v>
      </c>
      <c r="D23" s="2">
        <f t="shared" si="0"/>
        <v>7008.7680000000009</v>
      </c>
      <c r="E23" s="2">
        <f t="shared" si="0"/>
        <v>7008.7680000000009</v>
      </c>
      <c r="F23" s="2">
        <f t="shared" si="0"/>
        <v>7008.7680000000009</v>
      </c>
      <c r="G23" s="2">
        <f t="shared" si="0"/>
        <v>7008.7680000000009</v>
      </c>
      <c r="H23" s="2">
        <f t="shared" si="0"/>
        <v>7008.7680000000009</v>
      </c>
      <c r="I23" s="2">
        <f t="shared" si="0"/>
        <v>7008.7680000000009</v>
      </c>
      <c r="J23" s="2">
        <f t="shared" si="0"/>
        <v>7008.7680000000009</v>
      </c>
      <c r="K23" s="2">
        <f t="shared" si="0"/>
        <v>7008.7680000000009</v>
      </c>
      <c r="L23" s="2">
        <f t="shared" si="0"/>
        <v>7008.7680000000009</v>
      </c>
      <c r="M23" s="2">
        <f t="shared" si="0"/>
        <v>7008.7680000000009</v>
      </c>
      <c r="N23" s="2">
        <f t="shared" si="0"/>
        <v>7008.7680000000009</v>
      </c>
      <c r="O23" s="2">
        <f t="shared" si="0"/>
        <v>7008.7680000000009</v>
      </c>
      <c r="P23" s="2">
        <f t="shared" si="0"/>
        <v>7008.7680000000009</v>
      </c>
      <c r="Q23" s="2">
        <f t="shared" si="0"/>
        <v>7008.7680000000009</v>
      </c>
      <c r="R23" s="2">
        <f t="shared" si="0"/>
        <v>7008.7680000000009</v>
      </c>
      <c r="S23" s="2">
        <f t="shared" si="0"/>
        <v>7008.7680000000009</v>
      </c>
      <c r="T23" s="2">
        <f t="shared" si="0"/>
        <v>7008.7680000000009</v>
      </c>
      <c r="U23" s="2">
        <f t="shared" si="0"/>
        <v>7008.7680000000009</v>
      </c>
      <c r="V23" s="2">
        <f t="shared" si="0"/>
        <v>7008.7680000000009</v>
      </c>
    </row>
    <row r="24" spans="1:23" x14ac:dyDescent="0.35">
      <c r="A24" s="6" t="str">
        <f>A10</f>
        <v xml:space="preserve">  Post-harvest operations</v>
      </c>
      <c r="B24" s="13">
        <f>'Prices &amp; assums'!D17</f>
        <v>46.332000000000001</v>
      </c>
      <c r="C24" s="2">
        <f t="shared" si="0"/>
        <v>11119.68</v>
      </c>
      <c r="D24" s="2">
        <f t="shared" si="0"/>
        <v>11119.68</v>
      </c>
      <c r="E24" s="2">
        <f t="shared" si="0"/>
        <v>11119.68</v>
      </c>
      <c r="F24" s="2">
        <f t="shared" si="0"/>
        <v>11119.68</v>
      </c>
      <c r="G24" s="2">
        <f t="shared" si="0"/>
        <v>11119.68</v>
      </c>
      <c r="H24" s="2">
        <f t="shared" si="0"/>
        <v>11119.68</v>
      </c>
      <c r="I24" s="2">
        <f t="shared" si="0"/>
        <v>11119.68</v>
      </c>
      <c r="J24" s="2">
        <f t="shared" si="0"/>
        <v>11119.68</v>
      </c>
      <c r="K24" s="2">
        <f t="shared" si="0"/>
        <v>11119.68</v>
      </c>
      <c r="L24" s="2">
        <f t="shared" si="0"/>
        <v>11119.68</v>
      </c>
      <c r="M24" s="2">
        <f t="shared" si="0"/>
        <v>11119.68</v>
      </c>
      <c r="N24" s="2">
        <f t="shared" si="0"/>
        <v>11119.68</v>
      </c>
      <c r="O24" s="2">
        <f t="shared" si="0"/>
        <v>11119.68</v>
      </c>
      <c r="P24" s="2">
        <f t="shared" si="0"/>
        <v>11119.68</v>
      </c>
      <c r="Q24" s="2">
        <f t="shared" si="0"/>
        <v>11119.68</v>
      </c>
      <c r="R24" s="2">
        <f t="shared" si="0"/>
        <v>11119.68</v>
      </c>
      <c r="S24" s="2">
        <f t="shared" si="0"/>
        <v>11119.68</v>
      </c>
      <c r="T24" s="2">
        <f t="shared" si="0"/>
        <v>11119.68</v>
      </c>
      <c r="U24" s="2">
        <f t="shared" si="0"/>
        <v>11119.68</v>
      </c>
      <c r="V24" s="2">
        <f t="shared" si="0"/>
        <v>11119.68</v>
      </c>
    </row>
    <row r="25" spans="1:23" x14ac:dyDescent="0.35">
      <c r="A25" s="6" t="str">
        <f>A11</f>
        <v xml:space="preserve">  Transport</v>
      </c>
      <c r="B25" s="13">
        <f>'Prices &amp; assums'!D26/1000</f>
        <v>9.9</v>
      </c>
      <c r="C25" s="2">
        <f t="shared" si="0"/>
        <v>2376</v>
      </c>
      <c r="D25" s="2">
        <f t="shared" si="0"/>
        <v>2376</v>
      </c>
      <c r="E25" s="2">
        <f t="shared" si="0"/>
        <v>2376</v>
      </c>
      <c r="F25" s="2">
        <f t="shared" si="0"/>
        <v>2376</v>
      </c>
      <c r="G25" s="2">
        <f t="shared" si="0"/>
        <v>2376</v>
      </c>
      <c r="H25" s="2">
        <f t="shared" si="0"/>
        <v>2376</v>
      </c>
      <c r="I25" s="2">
        <f t="shared" si="0"/>
        <v>2376</v>
      </c>
      <c r="J25" s="2">
        <f t="shared" si="0"/>
        <v>2376</v>
      </c>
      <c r="K25" s="2">
        <f t="shared" si="0"/>
        <v>2376</v>
      </c>
      <c r="L25" s="2">
        <f t="shared" si="0"/>
        <v>2376</v>
      </c>
      <c r="M25" s="2">
        <f t="shared" si="0"/>
        <v>2376</v>
      </c>
      <c r="N25" s="2">
        <f t="shared" si="0"/>
        <v>2376</v>
      </c>
      <c r="O25" s="2">
        <f t="shared" si="0"/>
        <v>2376</v>
      </c>
      <c r="P25" s="2">
        <f t="shared" si="0"/>
        <v>2376</v>
      </c>
      <c r="Q25" s="2">
        <f t="shared" si="0"/>
        <v>2376</v>
      </c>
      <c r="R25" s="2">
        <f t="shared" si="0"/>
        <v>2376</v>
      </c>
      <c r="S25" s="2">
        <f t="shared" si="0"/>
        <v>2376</v>
      </c>
      <c r="T25" s="2">
        <f t="shared" si="0"/>
        <v>2376</v>
      </c>
      <c r="U25" s="2">
        <f t="shared" si="0"/>
        <v>2376</v>
      </c>
      <c r="V25" s="2">
        <f t="shared" si="0"/>
        <v>2376</v>
      </c>
    </row>
    <row r="26" spans="1:23" x14ac:dyDescent="0.35">
      <c r="A26" s="6"/>
      <c r="B26" s="13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3" x14ac:dyDescent="0.35">
      <c r="A27" s="6" t="str">
        <f>A13</f>
        <v>Inputs</v>
      </c>
      <c r="B27" s="1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3" x14ac:dyDescent="0.35">
      <c r="A28" s="6" t="str">
        <f>A14</f>
        <v xml:space="preserve">  Bags</v>
      </c>
      <c r="B28" s="13">
        <f>'Prices &amp; assums'!D50</f>
        <v>245.99999999999997</v>
      </c>
      <c r="C28" s="2">
        <f t="shared" ref="C28:V28" si="1">$B28*C14</f>
        <v>843.42857142857133</v>
      </c>
      <c r="D28" s="2">
        <f t="shared" si="1"/>
        <v>843.42857142857133</v>
      </c>
      <c r="E28" s="2">
        <f t="shared" si="1"/>
        <v>843.42857142857133</v>
      </c>
      <c r="F28" s="2">
        <f t="shared" si="1"/>
        <v>843.42857142857133</v>
      </c>
      <c r="G28" s="2">
        <f t="shared" si="1"/>
        <v>843.42857142857133</v>
      </c>
      <c r="H28" s="2">
        <f t="shared" si="1"/>
        <v>843.42857142857133</v>
      </c>
      <c r="I28" s="2">
        <f t="shared" si="1"/>
        <v>843.42857142857133</v>
      </c>
      <c r="J28" s="2">
        <f t="shared" si="1"/>
        <v>843.42857142857133</v>
      </c>
      <c r="K28" s="2">
        <f t="shared" si="1"/>
        <v>843.42857142857133</v>
      </c>
      <c r="L28" s="2">
        <f t="shared" si="1"/>
        <v>843.42857142857133</v>
      </c>
      <c r="M28" s="2">
        <f t="shared" si="1"/>
        <v>843.42857142857133</v>
      </c>
      <c r="N28" s="2">
        <f t="shared" si="1"/>
        <v>843.42857142857133</v>
      </c>
      <c r="O28" s="2">
        <f t="shared" si="1"/>
        <v>843.42857142857133</v>
      </c>
      <c r="P28" s="2">
        <f t="shared" si="1"/>
        <v>843.42857142857133</v>
      </c>
      <c r="Q28" s="2">
        <f t="shared" si="1"/>
        <v>843.42857142857133</v>
      </c>
      <c r="R28" s="2">
        <f t="shared" si="1"/>
        <v>843.42857142857133</v>
      </c>
      <c r="S28" s="2">
        <f t="shared" si="1"/>
        <v>843.42857142857133</v>
      </c>
      <c r="T28" s="2">
        <f t="shared" si="1"/>
        <v>843.42857142857133</v>
      </c>
      <c r="U28" s="2">
        <f t="shared" si="1"/>
        <v>843.42857142857133</v>
      </c>
      <c r="V28" s="2">
        <f t="shared" si="1"/>
        <v>843.42857142857133</v>
      </c>
    </row>
    <row r="29" spans="1:23" x14ac:dyDescent="0.35">
      <c r="A29" s="6"/>
      <c r="B29" s="1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3" x14ac:dyDescent="0.35">
      <c r="A30" s="6" t="str">
        <f>A16</f>
        <v>Production</v>
      </c>
      <c r="B30" s="8"/>
    </row>
    <row r="31" spans="1:23" x14ac:dyDescent="0.35">
      <c r="A31" s="12" t="str">
        <f>A17</f>
        <v xml:space="preserve">  cocoa</v>
      </c>
      <c r="B31" s="10">
        <f>'Prices &amp; assums'!D94</f>
        <v>825</v>
      </c>
      <c r="C31" s="14">
        <f>$B31*C17</f>
        <v>198000</v>
      </c>
      <c r="D31" s="14">
        <f t="shared" ref="D31:V31" si="2">$B31*D17</f>
        <v>198000</v>
      </c>
      <c r="E31" s="14">
        <f t="shared" si="2"/>
        <v>198000</v>
      </c>
      <c r="F31" s="14">
        <f t="shared" si="2"/>
        <v>198000</v>
      </c>
      <c r="G31" s="14">
        <f t="shared" si="2"/>
        <v>198000</v>
      </c>
      <c r="H31" s="14">
        <f t="shared" si="2"/>
        <v>198000</v>
      </c>
      <c r="I31" s="14">
        <f t="shared" si="2"/>
        <v>198000</v>
      </c>
      <c r="J31" s="14">
        <f t="shared" si="2"/>
        <v>198000</v>
      </c>
      <c r="K31" s="14">
        <f t="shared" si="2"/>
        <v>198000</v>
      </c>
      <c r="L31" s="14">
        <f t="shared" si="2"/>
        <v>198000</v>
      </c>
      <c r="M31" s="14">
        <f t="shared" si="2"/>
        <v>198000</v>
      </c>
      <c r="N31" s="14">
        <f t="shared" si="2"/>
        <v>198000</v>
      </c>
      <c r="O31" s="14">
        <f t="shared" si="2"/>
        <v>198000</v>
      </c>
      <c r="P31" s="14">
        <f t="shared" si="2"/>
        <v>198000</v>
      </c>
      <c r="Q31" s="14">
        <f t="shared" si="2"/>
        <v>198000</v>
      </c>
      <c r="R31" s="14">
        <f t="shared" si="2"/>
        <v>198000</v>
      </c>
      <c r="S31" s="14">
        <f t="shared" si="2"/>
        <v>198000</v>
      </c>
      <c r="T31" s="14">
        <f t="shared" si="2"/>
        <v>198000</v>
      </c>
      <c r="U31" s="14">
        <f t="shared" si="2"/>
        <v>198000</v>
      </c>
      <c r="V31" s="14">
        <f t="shared" si="2"/>
        <v>198000</v>
      </c>
    </row>
    <row r="32" spans="1:23" x14ac:dyDescent="0.35">
      <c r="A32" s="6" t="s">
        <v>21</v>
      </c>
      <c r="B32" s="8"/>
      <c r="C32" s="2">
        <f t="shared" ref="C32:V32" si="3">SUM(C22:C28)</f>
        <v>68147.876571428569</v>
      </c>
      <c r="D32" s="2">
        <f t="shared" si="3"/>
        <v>68147.876571428569</v>
      </c>
      <c r="E32" s="2">
        <f t="shared" si="3"/>
        <v>68147.876571428569</v>
      </c>
      <c r="F32" s="2">
        <f t="shared" si="3"/>
        <v>68147.876571428569</v>
      </c>
      <c r="G32" s="2">
        <f t="shared" si="3"/>
        <v>68147.876571428569</v>
      </c>
      <c r="H32" s="2">
        <f t="shared" si="3"/>
        <v>68147.876571428569</v>
      </c>
      <c r="I32" s="2">
        <f t="shared" si="3"/>
        <v>68147.876571428569</v>
      </c>
      <c r="J32" s="2">
        <f t="shared" si="3"/>
        <v>68147.876571428569</v>
      </c>
      <c r="K32" s="2">
        <f t="shared" si="3"/>
        <v>68147.876571428569</v>
      </c>
      <c r="L32" s="2">
        <f t="shared" si="3"/>
        <v>68147.876571428569</v>
      </c>
      <c r="M32" s="2">
        <f t="shared" si="3"/>
        <v>68147.876571428569</v>
      </c>
      <c r="N32" s="2">
        <f t="shared" si="3"/>
        <v>68147.876571428569</v>
      </c>
      <c r="O32" s="2">
        <f t="shared" si="3"/>
        <v>68147.876571428569</v>
      </c>
      <c r="P32" s="2">
        <f t="shared" si="3"/>
        <v>68147.876571428569</v>
      </c>
      <c r="Q32" s="2">
        <f t="shared" si="3"/>
        <v>68147.876571428569</v>
      </c>
      <c r="R32" s="2">
        <f t="shared" si="3"/>
        <v>68147.876571428569</v>
      </c>
      <c r="S32" s="2">
        <f t="shared" si="3"/>
        <v>68147.876571428569</v>
      </c>
      <c r="T32" s="2">
        <f t="shared" si="3"/>
        <v>68147.876571428569</v>
      </c>
      <c r="U32" s="2">
        <f t="shared" si="3"/>
        <v>68147.876571428569</v>
      </c>
      <c r="V32" s="2">
        <f t="shared" si="3"/>
        <v>68147.876571428569</v>
      </c>
    </row>
    <row r="33" spans="1:22" x14ac:dyDescent="0.35">
      <c r="A33" s="6" t="s">
        <v>217</v>
      </c>
      <c r="B33" s="8"/>
      <c r="C33" s="2">
        <f t="shared" ref="C33:V33" si="4">C32-C22/3-C24-C23/2</f>
        <v>37923.812571428571</v>
      </c>
      <c r="D33" s="2">
        <f t="shared" si="4"/>
        <v>37923.812571428571</v>
      </c>
      <c r="E33" s="2">
        <f t="shared" si="4"/>
        <v>37923.812571428571</v>
      </c>
      <c r="F33" s="2">
        <f t="shared" si="4"/>
        <v>37923.812571428571</v>
      </c>
      <c r="G33" s="2">
        <f t="shared" si="4"/>
        <v>37923.812571428571</v>
      </c>
      <c r="H33" s="2">
        <f t="shared" si="4"/>
        <v>37923.812571428571</v>
      </c>
      <c r="I33" s="2">
        <f t="shared" si="4"/>
        <v>37923.812571428571</v>
      </c>
      <c r="J33" s="2">
        <f t="shared" si="4"/>
        <v>37923.812571428571</v>
      </c>
      <c r="K33" s="2">
        <f t="shared" si="4"/>
        <v>37923.812571428571</v>
      </c>
      <c r="L33" s="2">
        <f t="shared" si="4"/>
        <v>37923.812571428571</v>
      </c>
      <c r="M33" s="2">
        <f t="shared" si="4"/>
        <v>37923.812571428571</v>
      </c>
      <c r="N33" s="2">
        <f t="shared" si="4"/>
        <v>37923.812571428571</v>
      </c>
      <c r="O33" s="2">
        <f t="shared" si="4"/>
        <v>37923.812571428571</v>
      </c>
      <c r="P33" s="2">
        <f t="shared" si="4"/>
        <v>37923.812571428571</v>
      </c>
      <c r="Q33" s="2">
        <f t="shared" si="4"/>
        <v>37923.812571428571</v>
      </c>
      <c r="R33" s="2">
        <f t="shared" si="4"/>
        <v>37923.812571428571</v>
      </c>
      <c r="S33" s="2">
        <f t="shared" si="4"/>
        <v>37923.812571428571</v>
      </c>
      <c r="T33" s="2">
        <f t="shared" si="4"/>
        <v>37923.812571428571</v>
      </c>
      <c r="U33" s="2">
        <f t="shared" si="4"/>
        <v>37923.812571428571</v>
      </c>
      <c r="V33" s="2">
        <f t="shared" si="4"/>
        <v>37923.812571428571</v>
      </c>
    </row>
    <row r="34" spans="1:22" x14ac:dyDescent="0.35">
      <c r="A34" s="8" t="s">
        <v>65</v>
      </c>
      <c r="B34" s="8"/>
      <c r="C34" s="2">
        <f t="shared" ref="C34:V34" si="5">C31</f>
        <v>198000</v>
      </c>
      <c r="D34" s="2">
        <f t="shared" si="5"/>
        <v>198000</v>
      </c>
      <c r="E34" s="2">
        <f t="shared" si="5"/>
        <v>198000</v>
      </c>
      <c r="F34" s="2">
        <f t="shared" si="5"/>
        <v>198000</v>
      </c>
      <c r="G34" s="2">
        <f t="shared" si="5"/>
        <v>198000</v>
      </c>
      <c r="H34" s="2">
        <f t="shared" si="5"/>
        <v>198000</v>
      </c>
      <c r="I34" s="2">
        <f t="shared" si="5"/>
        <v>198000</v>
      </c>
      <c r="J34" s="2">
        <f t="shared" si="5"/>
        <v>198000</v>
      </c>
      <c r="K34" s="2">
        <f t="shared" si="5"/>
        <v>198000</v>
      </c>
      <c r="L34" s="2">
        <f t="shared" si="5"/>
        <v>198000</v>
      </c>
      <c r="M34" s="2">
        <f t="shared" si="5"/>
        <v>198000</v>
      </c>
      <c r="N34" s="2">
        <f t="shared" si="5"/>
        <v>198000</v>
      </c>
      <c r="O34" s="2">
        <f t="shared" si="5"/>
        <v>198000</v>
      </c>
      <c r="P34" s="2">
        <f t="shared" si="5"/>
        <v>198000</v>
      </c>
      <c r="Q34" s="2">
        <f t="shared" si="5"/>
        <v>198000</v>
      </c>
      <c r="R34" s="2">
        <f t="shared" si="5"/>
        <v>198000</v>
      </c>
      <c r="S34" s="2">
        <f t="shared" si="5"/>
        <v>198000</v>
      </c>
      <c r="T34" s="2">
        <f t="shared" si="5"/>
        <v>198000</v>
      </c>
      <c r="U34" s="2">
        <f t="shared" si="5"/>
        <v>198000</v>
      </c>
      <c r="V34" s="2">
        <f t="shared" si="5"/>
        <v>198000</v>
      </c>
    </row>
    <row r="35" spans="1:22" x14ac:dyDescent="0.35">
      <c r="A35" s="45" t="s">
        <v>154</v>
      </c>
      <c r="B35" s="8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x14ac:dyDescent="0.35">
      <c r="A36" s="8" t="s">
        <v>80</v>
      </c>
      <c r="B36" s="8"/>
      <c r="C36" s="2">
        <f>C34-C32</f>
        <v>129852.12342857143</v>
      </c>
      <c r="D36" s="2">
        <f t="shared" ref="D36:V36" si="6">D34-D32</f>
        <v>129852.12342857143</v>
      </c>
      <c r="E36" s="2">
        <f t="shared" si="6"/>
        <v>129852.12342857143</v>
      </c>
      <c r="F36" s="2">
        <f t="shared" si="6"/>
        <v>129852.12342857143</v>
      </c>
      <c r="G36" s="2">
        <f t="shared" si="6"/>
        <v>129852.12342857143</v>
      </c>
      <c r="H36" s="2">
        <f t="shared" si="6"/>
        <v>129852.12342857143</v>
      </c>
      <c r="I36" s="2">
        <f t="shared" si="6"/>
        <v>129852.12342857143</v>
      </c>
      <c r="J36" s="2">
        <f t="shared" si="6"/>
        <v>129852.12342857143</v>
      </c>
      <c r="K36" s="2">
        <f t="shared" si="6"/>
        <v>129852.12342857143</v>
      </c>
      <c r="L36" s="2">
        <f t="shared" si="6"/>
        <v>129852.12342857143</v>
      </c>
      <c r="M36" s="2">
        <f t="shared" si="6"/>
        <v>129852.12342857143</v>
      </c>
      <c r="N36" s="2">
        <f t="shared" si="6"/>
        <v>129852.12342857143</v>
      </c>
      <c r="O36" s="2">
        <f t="shared" si="6"/>
        <v>129852.12342857143</v>
      </c>
      <c r="P36" s="2">
        <f t="shared" si="6"/>
        <v>129852.12342857143</v>
      </c>
      <c r="Q36" s="2">
        <f t="shared" si="6"/>
        <v>129852.12342857143</v>
      </c>
      <c r="R36" s="2">
        <f t="shared" si="6"/>
        <v>129852.12342857143</v>
      </c>
      <c r="S36" s="2">
        <f t="shared" si="6"/>
        <v>129852.12342857143</v>
      </c>
      <c r="T36" s="2">
        <f t="shared" si="6"/>
        <v>129852.12342857143</v>
      </c>
      <c r="U36" s="2">
        <f t="shared" si="6"/>
        <v>129852.12342857143</v>
      </c>
      <c r="V36" s="2">
        <f t="shared" si="6"/>
        <v>129852.12342857143</v>
      </c>
    </row>
    <row r="37" spans="1:22" x14ac:dyDescent="0.35">
      <c r="A37" t="s">
        <v>81</v>
      </c>
      <c r="B37" s="8"/>
      <c r="C37" s="2">
        <f>C34-C33</f>
        <v>160076.18742857143</v>
      </c>
      <c r="D37" s="2">
        <f t="shared" ref="D37:V37" si="7">D34-D33</f>
        <v>160076.18742857143</v>
      </c>
      <c r="E37" s="2">
        <f t="shared" si="7"/>
        <v>160076.18742857143</v>
      </c>
      <c r="F37" s="2">
        <f t="shared" si="7"/>
        <v>160076.18742857143</v>
      </c>
      <c r="G37" s="2">
        <f t="shared" si="7"/>
        <v>160076.18742857143</v>
      </c>
      <c r="H37" s="2">
        <f t="shared" si="7"/>
        <v>160076.18742857143</v>
      </c>
      <c r="I37" s="2">
        <f t="shared" si="7"/>
        <v>160076.18742857143</v>
      </c>
      <c r="J37" s="2">
        <f t="shared" si="7"/>
        <v>160076.18742857143</v>
      </c>
      <c r="K37" s="2">
        <f t="shared" si="7"/>
        <v>160076.18742857143</v>
      </c>
      <c r="L37" s="2">
        <f t="shared" si="7"/>
        <v>160076.18742857143</v>
      </c>
      <c r="M37" s="2">
        <f t="shared" si="7"/>
        <v>160076.18742857143</v>
      </c>
      <c r="N37" s="2">
        <f t="shared" si="7"/>
        <v>160076.18742857143</v>
      </c>
      <c r="O37" s="2">
        <f t="shared" si="7"/>
        <v>160076.18742857143</v>
      </c>
      <c r="P37" s="2">
        <f t="shared" si="7"/>
        <v>160076.18742857143</v>
      </c>
      <c r="Q37" s="2">
        <f t="shared" si="7"/>
        <v>160076.18742857143</v>
      </c>
      <c r="R37" s="2">
        <f t="shared" si="7"/>
        <v>160076.18742857143</v>
      </c>
      <c r="S37" s="2">
        <f t="shared" si="7"/>
        <v>160076.18742857143</v>
      </c>
      <c r="T37" s="2">
        <f t="shared" si="7"/>
        <v>160076.18742857143</v>
      </c>
      <c r="U37" s="2">
        <f t="shared" si="7"/>
        <v>160076.18742857143</v>
      </c>
      <c r="V37" s="2">
        <f t="shared" si="7"/>
        <v>160076.18742857143</v>
      </c>
    </row>
    <row r="38" spans="1:22" x14ac:dyDescent="0.35">
      <c r="A38" s="26"/>
    </row>
    <row r="39" spans="1:22" x14ac:dyDescent="0.35">
      <c r="A39" s="48" t="s">
        <v>480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</row>
    <row r="40" spans="1:22" s="44" customFormat="1" x14ac:dyDescent="0.35">
      <c r="A40" s="69"/>
    </row>
    <row r="41" spans="1:22" x14ac:dyDescent="0.35">
      <c r="A41" s="68" t="s">
        <v>398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</row>
    <row r="42" spans="1:22" x14ac:dyDescent="0.35">
      <c r="A42" s="9" t="s">
        <v>7</v>
      </c>
      <c r="B42" s="10" t="s">
        <v>11</v>
      </c>
      <c r="C42" s="11" t="s">
        <v>399</v>
      </c>
      <c r="D42" s="11" t="s">
        <v>400</v>
      </c>
      <c r="E42" s="11" t="s">
        <v>401</v>
      </c>
      <c r="F42" s="11" t="s">
        <v>402</v>
      </c>
      <c r="G42" s="11" t="s">
        <v>403</v>
      </c>
      <c r="H42" s="11" t="s">
        <v>404</v>
      </c>
      <c r="I42" s="11" t="s">
        <v>405</v>
      </c>
      <c r="J42" s="11" t="s">
        <v>406</v>
      </c>
      <c r="K42" s="11" t="s">
        <v>407</v>
      </c>
      <c r="L42" s="11" t="s">
        <v>408</v>
      </c>
      <c r="M42" s="11" t="s">
        <v>409</v>
      </c>
      <c r="N42" s="11" t="s">
        <v>410</v>
      </c>
      <c r="O42" s="11" t="s">
        <v>411</v>
      </c>
      <c r="P42" s="11" t="s">
        <v>412</v>
      </c>
      <c r="Q42" s="11" t="s">
        <v>413</v>
      </c>
      <c r="R42" s="11" t="s">
        <v>414</v>
      </c>
      <c r="S42" s="11" t="s">
        <v>415</v>
      </c>
      <c r="T42" s="11" t="s">
        <v>416</v>
      </c>
      <c r="U42" s="11" t="s">
        <v>417</v>
      </c>
      <c r="V42" s="11" t="s">
        <v>418</v>
      </c>
    </row>
    <row r="43" spans="1:22" x14ac:dyDescent="0.35">
      <c r="A43" s="18" t="s">
        <v>2</v>
      </c>
      <c r="B43" s="8"/>
    </row>
    <row r="44" spans="1:22" x14ac:dyDescent="0.35">
      <c r="A44" s="19" t="s">
        <v>33</v>
      </c>
      <c r="B44" s="8" t="s">
        <v>1</v>
      </c>
      <c r="C44">
        <f>'Cocoa FIN'!C44</f>
        <v>1</v>
      </c>
    </row>
    <row r="45" spans="1:22" x14ac:dyDescent="0.35">
      <c r="A45" t="s">
        <v>35</v>
      </c>
      <c r="B45" s="8" t="s">
        <v>1</v>
      </c>
      <c r="C45">
        <f>'Cocoa FIN'!C45</f>
        <v>0.25</v>
      </c>
      <c r="D45">
        <f>'Cocoa FIN'!D45</f>
        <v>0.25</v>
      </c>
      <c r="E45">
        <f>'Cocoa FIN'!E45</f>
        <v>0.25</v>
      </c>
    </row>
    <row r="46" spans="1:22" x14ac:dyDescent="0.35">
      <c r="A46" s="19" t="s">
        <v>70</v>
      </c>
      <c r="B46" s="8" t="s">
        <v>11</v>
      </c>
      <c r="C46">
        <f>'Cocoa FIN'!C46</f>
        <v>423.25</v>
      </c>
      <c r="D46">
        <f>'Cocoa FIN'!D46</f>
        <v>333.25</v>
      </c>
      <c r="E46">
        <f>'Cocoa FIN'!E46</f>
        <v>333.25</v>
      </c>
    </row>
    <row r="47" spans="1:22" x14ac:dyDescent="0.35">
      <c r="A47" s="19" t="s">
        <v>31</v>
      </c>
      <c r="B47" s="8" t="s">
        <v>1</v>
      </c>
      <c r="C47">
        <f>'Cocoa FIN'!C47</f>
        <v>1</v>
      </c>
      <c r="D47">
        <f>'Cocoa FIN'!D47</f>
        <v>1</v>
      </c>
      <c r="E47">
        <f>'Cocoa FIN'!E47</f>
        <v>1</v>
      </c>
    </row>
    <row r="48" spans="1:22" x14ac:dyDescent="0.35">
      <c r="A48" s="19" t="s">
        <v>49</v>
      </c>
      <c r="B48" s="8" t="s">
        <v>11</v>
      </c>
      <c r="C48">
        <f>'Cocoa FIN'!C48</f>
        <v>423.25</v>
      </c>
      <c r="D48">
        <f>'Cocoa FIN'!D48</f>
        <v>333.25</v>
      </c>
      <c r="E48">
        <f>'Cocoa FIN'!E48</f>
        <v>333.25</v>
      </c>
    </row>
    <row r="49" spans="1:22" x14ac:dyDescent="0.35">
      <c r="A49" s="19" t="s">
        <v>50</v>
      </c>
      <c r="B49" s="8" t="s">
        <v>11</v>
      </c>
      <c r="C49">
        <f>'Cocoa FIN'!C49</f>
        <v>423.25</v>
      </c>
      <c r="D49">
        <f>'Cocoa FIN'!D49</f>
        <v>333.25</v>
      </c>
      <c r="E49">
        <f>'Cocoa FIN'!E49</f>
        <v>333.25</v>
      </c>
    </row>
    <row r="50" spans="1:22" x14ac:dyDescent="0.35">
      <c r="A50" t="s">
        <v>218</v>
      </c>
      <c r="B50" s="8" t="s">
        <v>1</v>
      </c>
      <c r="D50">
        <f>'Cocoa FIN'!D50</f>
        <v>3</v>
      </c>
      <c r="E50">
        <f>'Cocoa FIN'!E50</f>
        <v>3</v>
      </c>
      <c r="F50">
        <f>'Cocoa FIN'!F50</f>
        <v>3</v>
      </c>
      <c r="G50">
        <f>'Cocoa FIN'!G50</f>
        <v>3</v>
      </c>
      <c r="H50">
        <f>'Cocoa FIN'!H50</f>
        <v>3</v>
      </c>
      <c r="I50">
        <f>'Cocoa FIN'!I50</f>
        <v>3</v>
      </c>
      <c r="J50">
        <f>'Cocoa FIN'!J50</f>
        <v>3</v>
      </c>
      <c r="K50">
        <f>'Cocoa FIN'!K50</f>
        <v>3</v>
      </c>
      <c r="L50">
        <f>'Cocoa FIN'!L50</f>
        <v>3</v>
      </c>
      <c r="M50">
        <f>'Cocoa FIN'!M50</f>
        <v>3</v>
      </c>
      <c r="N50">
        <f>'Cocoa FIN'!N50</f>
        <v>3</v>
      </c>
      <c r="O50">
        <f>'Cocoa FIN'!O50</f>
        <v>3</v>
      </c>
      <c r="P50">
        <f>'Cocoa FIN'!P50</f>
        <v>3</v>
      </c>
      <c r="Q50">
        <f>'Cocoa FIN'!Q50</f>
        <v>3</v>
      </c>
      <c r="R50">
        <f>'Cocoa FIN'!R50</f>
        <v>3</v>
      </c>
      <c r="S50">
        <f>'Cocoa FIN'!S50</f>
        <v>3</v>
      </c>
      <c r="T50">
        <f>'Cocoa FIN'!T50</f>
        <v>3</v>
      </c>
      <c r="U50">
        <f>'Cocoa FIN'!U50</f>
        <v>3</v>
      </c>
      <c r="V50">
        <f>'Cocoa FIN'!V50</f>
        <v>3</v>
      </c>
    </row>
    <row r="51" spans="1:22" x14ac:dyDescent="0.35">
      <c r="A51" t="s">
        <v>144</v>
      </c>
      <c r="B51" s="8" t="s">
        <v>1</v>
      </c>
      <c r="D51">
        <f>'Cocoa FIN'!D51</f>
        <v>0.31823308270676692</v>
      </c>
      <c r="E51">
        <f>'Cocoa FIN'!E51</f>
        <v>0.2505639097744361</v>
      </c>
      <c r="F51">
        <f>'Cocoa FIN'!F51</f>
        <v>0.2505639097744361</v>
      </c>
    </row>
    <row r="52" spans="1:22" x14ac:dyDescent="0.35">
      <c r="A52" t="s">
        <v>41</v>
      </c>
      <c r="B52" s="8" t="s">
        <v>42</v>
      </c>
      <c r="C52">
        <f>'Cocoa FIN'!C52</f>
        <v>2</v>
      </c>
      <c r="D52">
        <f>'Cocoa FIN'!D52</f>
        <v>2</v>
      </c>
      <c r="E52">
        <f>'Cocoa FIN'!E52</f>
        <v>2</v>
      </c>
    </row>
    <row r="53" spans="1:22" x14ac:dyDescent="0.35">
      <c r="A53" t="s">
        <v>82</v>
      </c>
      <c r="B53" s="8" t="s">
        <v>42</v>
      </c>
      <c r="C53">
        <f>'Cocoa FIN'!C53</f>
        <v>2</v>
      </c>
      <c r="D53">
        <f>'Cocoa FIN'!D53</f>
        <v>2</v>
      </c>
      <c r="E53">
        <f>'Cocoa FIN'!E53</f>
        <v>2</v>
      </c>
      <c r="F53">
        <f>'Cocoa FIN'!F53</f>
        <v>2</v>
      </c>
      <c r="G53">
        <f>'Cocoa FIN'!G53</f>
        <v>2</v>
      </c>
      <c r="H53">
        <f>'Cocoa FIN'!H53</f>
        <v>2</v>
      </c>
      <c r="I53">
        <f>'Cocoa FIN'!I53</f>
        <v>2</v>
      </c>
      <c r="J53">
        <f>'Cocoa FIN'!J53</f>
        <v>2</v>
      </c>
      <c r="K53">
        <f>'Cocoa FIN'!K53</f>
        <v>2</v>
      </c>
      <c r="L53">
        <f>'Cocoa FIN'!L53</f>
        <v>2</v>
      </c>
      <c r="M53">
        <f>'Cocoa FIN'!M53</f>
        <v>2</v>
      </c>
      <c r="N53">
        <f>'Cocoa FIN'!N53</f>
        <v>2</v>
      </c>
      <c r="O53">
        <f>'Cocoa FIN'!O53</f>
        <v>2</v>
      </c>
      <c r="P53">
        <f>'Cocoa FIN'!P53</f>
        <v>2</v>
      </c>
      <c r="Q53">
        <f>'Cocoa FIN'!Q53</f>
        <v>2</v>
      </c>
      <c r="R53">
        <f>'Cocoa FIN'!R53</f>
        <v>2</v>
      </c>
      <c r="S53">
        <f>'Cocoa FIN'!S53</f>
        <v>2</v>
      </c>
      <c r="T53">
        <f>'Cocoa FIN'!T53</f>
        <v>2</v>
      </c>
      <c r="U53">
        <f>'Cocoa FIN'!U53</f>
        <v>2</v>
      </c>
      <c r="V53">
        <f>'Cocoa FIN'!V53</f>
        <v>2</v>
      </c>
    </row>
    <row r="54" spans="1:22" x14ac:dyDescent="0.35">
      <c r="A54" t="s">
        <v>9</v>
      </c>
      <c r="B54" s="8" t="s">
        <v>10</v>
      </c>
      <c r="C54">
        <f>'Cocoa FIN'!C54</f>
        <v>180</v>
      </c>
      <c r="D54">
        <f>'Cocoa FIN'!D54</f>
        <v>120</v>
      </c>
      <c r="E54">
        <f>'Cocoa FIN'!E54</f>
        <v>60</v>
      </c>
      <c r="F54">
        <f>'Cocoa FIN'!F54</f>
        <v>110</v>
      </c>
      <c r="G54">
        <f>'Cocoa FIN'!G54</f>
        <v>170.2</v>
      </c>
      <c r="H54">
        <f>'Cocoa FIN'!H54</f>
        <v>190.60000000000002</v>
      </c>
      <c r="I54">
        <f>'Cocoa FIN'!I54</f>
        <v>211.00000000000003</v>
      </c>
      <c r="J54">
        <f>'Cocoa FIN'!J54</f>
        <v>231.40000000000003</v>
      </c>
      <c r="K54">
        <f>'Cocoa FIN'!K54</f>
        <v>251.8</v>
      </c>
      <c r="L54">
        <f>'Cocoa FIN'!L54</f>
        <v>272.20000000000005</v>
      </c>
      <c r="M54">
        <f>'Cocoa FIN'!M54</f>
        <v>292.60000000000002</v>
      </c>
      <c r="N54">
        <f>'Cocoa FIN'!N54</f>
        <v>313.00000000000006</v>
      </c>
      <c r="O54">
        <f>'Cocoa FIN'!O54</f>
        <v>333.40000000000003</v>
      </c>
      <c r="P54">
        <f>'Cocoa FIN'!P54</f>
        <v>353.8</v>
      </c>
      <c r="Q54">
        <f>'Cocoa FIN'!Q54</f>
        <v>374.2</v>
      </c>
      <c r="R54">
        <f>'Cocoa FIN'!R54</f>
        <v>374.2</v>
      </c>
      <c r="S54">
        <f>'Cocoa FIN'!S54</f>
        <v>353.8</v>
      </c>
      <c r="T54">
        <f>'Cocoa FIN'!T54</f>
        <v>333.40000000000003</v>
      </c>
      <c r="U54">
        <f>'Cocoa FIN'!U54</f>
        <v>313.00000000000006</v>
      </c>
      <c r="V54">
        <f>'Cocoa FIN'!V54</f>
        <v>292.60000000000002</v>
      </c>
    </row>
    <row r="55" spans="1:22" x14ac:dyDescent="0.35">
      <c r="A55" t="s">
        <v>78</v>
      </c>
      <c r="B55" s="8" t="s">
        <v>10</v>
      </c>
      <c r="C55">
        <f>'Cocoa FIN'!C55</f>
        <v>180</v>
      </c>
      <c r="D55">
        <f>'Cocoa FIN'!D55</f>
        <v>120</v>
      </c>
      <c r="E55">
        <f>'Cocoa FIN'!E55</f>
        <v>60</v>
      </c>
      <c r="F55">
        <f>'Cocoa FIN'!F55</f>
        <v>110</v>
      </c>
      <c r="G55">
        <f>'Cocoa FIN'!G55</f>
        <v>170.2</v>
      </c>
      <c r="H55">
        <f>'Cocoa FIN'!H55</f>
        <v>190.60000000000002</v>
      </c>
      <c r="I55">
        <f>'Cocoa FIN'!I55</f>
        <v>211.00000000000003</v>
      </c>
      <c r="J55">
        <f>'Cocoa FIN'!J55</f>
        <v>231.40000000000003</v>
      </c>
      <c r="K55">
        <f>'Cocoa FIN'!K55</f>
        <v>251.8</v>
      </c>
      <c r="L55">
        <f>'Cocoa FIN'!L55</f>
        <v>272.20000000000005</v>
      </c>
      <c r="M55">
        <f>'Cocoa FIN'!M55</f>
        <v>292.60000000000002</v>
      </c>
      <c r="N55">
        <f>'Cocoa FIN'!N55</f>
        <v>313.00000000000006</v>
      </c>
      <c r="O55">
        <f>'Cocoa FIN'!O55</f>
        <v>333.40000000000003</v>
      </c>
      <c r="P55">
        <f>'Cocoa FIN'!P55</f>
        <v>353.8</v>
      </c>
      <c r="Q55">
        <f>'Cocoa FIN'!Q55</f>
        <v>374.2</v>
      </c>
      <c r="R55">
        <f>'Cocoa FIN'!R55</f>
        <v>374.2</v>
      </c>
      <c r="S55">
        <f>'Cocoa FIN'!S55</f>
        <v>353.8</v>
      </c>
      <c r="T55">
        <f>'Cocoa FIN'!T55</f>
        <v>333.40000000000003</v>
      </c>
      <c r="U55">
        <f>'Cocoa FIN'!U55</f>
        <v>313.00000000000006</v>
      </c>
      <c r="V55">
        <f>'Cocoa FIN'!V55</f>
        <v>292.60000000000002</v>
      </c>
    </row>
    <row r="56" spans="1:22" x14ac:dyDescent="0.35">
      <c r="A56" t="s">
        <v>75</v>
      </c>
      <c r="B56" s="8" t="s">
        <v>10</v>
      </c>
      <c r="C56">
        <f>'Cocoa FIN'!C56</f>
        <v>180</v>
      </c>
      <c r="D56">
        <f>'Cocoa FIN'!D56</f>
        <v>120</v>
      </c>
      <c r="E56">
        <f>'Cocoa FIN'!E56</f>
        <v>60</v>
      </c>
      <c r="F56">
        <f>'Cocoa FIN'!F56</f>
        <v>110</v>
      </c>
      <c r="G56">
        <f>'Cocoa FIN'!G56</f>
        <v>170.2</v>
      </c>
      <c r="H56">
        <f>'Cocoa FIN'!H56</f>
        <v>190.60000000000002</v>
      </c>
      <c r="I56">
        <f>'Cocoa FIN'!I56</f>
        <v>211.00000000000003</v>
      </c>
      <c r="J56">
        <f>'Cocoa FIN'!J56</f>
        <v>231.40000000000003</v>
      </c>
      <c r="K56">
        <f>'Cocoa FIN'!K56</f>
        <v>251.8</v>
      </c>
      <c r="L56">
        <f>'Cocoa FIN'!L56</f>
        <v>272.20000000000005</v>
      </c>
      <c r="M56">
        <f>'Cocoa FIN'!M56</f>
        <v>292.60000000000002</v>
      </c>
      <c r="N56">
        <f>'Cocoa FIN'!N56</f>
        <v>313.00000000000006</v>
      </c>
      <c r="O56">
        <f>'Cocoa FIN'!O56</f>
        <v>333.40000000000003</v>
      </c>
      <c r="P56">
        <f>'Cocoa FIN'!P56</f>
        <v>353.8</v>
      </c>
      <c r="Q56">
        <f>'Cocoa FIN'!Q56</f>
        <v>374.2</v>
      </c>
      <c r="R56">
        <f>'Cocoa FIN'!R56</f>
        <v>374.2</v>
      </c>
      <c r="S56">
        <f>'Cocoa FIN'!S56</f>
        <v>353.8</v>
      </c>
      <c r="T56">
        <f>'Cocoa FIN'!T56</f>
        <v>333.40000000000003</v>
      </c>
      <c r="U56">
        <f>'Cocoa FIN'!U56</f>
        <v>313.00000000000006</v>
      </c>
      <c r="V56">
        <f>'Cocoa FIN'!V56</f>
        <v>292.60000000000002</v>
      </c>
    </row>
    <row r="57" spans="1:22" x14ac:dyDescent="0.35">
      <c r="A57" t="s">
        <v>109</v>
      </c>
      <c r="B57" s="8" t="s">
        <v>61</v>
      </c>
      <c r="C57" s="5"/>
      <c r="D57" s="5"/>
      <c r="E57" s="5"/>
      <c r="F57" s="5"/>
      <c r="G57" s="5"/>
      <c r="H57" s="5"/>
      <c r="I57" s="5">
        <f>C61</f>
        <v>20</v>
      </c>
      <c r="J57" s="5"/>
      <c r="K57" s="5"/>
      <c r="L57" s="5"/>
      <c r="M57" s="5"/>
      <c r="N57" s="5"/>
      <c r="O57" s="5"/>
      <c r="P57" s="5">
        <f>C61</f>
        <v>20</v>
      </c>
      <c r="Q57" s="5"/>
      <c r="R57" s="5"/>
      <c r="S57" s="5"/>
      <c r="T57" s="5"/>
      <c r="U57" s="5"/>
      <c r="V57" s="5"/>
    </row>
    <row r="58" spans="1:22" x14ac:dyDescent="0.35">
      <c r="B58" s="8"/>
    </row>
    <row r="59" spans="1:22" x14ac:dyDescent="0.35">
      <c r="A59" t="s">
        <v>16</v>
      </c>
      <c r="B59" s="8"/>
    </row>
    <row r="60" spans="1:22" x14ac:dyDescent="0.35">
      <c r="A60" t="s">
        <v>73</v>
      </c>
      <c r="B60" s="8" t="s">
        <v>11</v>
      </c>
      <c r="C60">
        <f>'Cocoa FIN'!C60</f>
        <v>333.25</v>
      </c>
      <c r="D60">
        <f>'Cocoa FIN'!D60</f>
        <v>333.25</v>
      </c>
      <c r="E60">
        <f>'Cocoa FIN'!E60</f>
        <v>333.25</v>
      </c>
    </row>
    <row r="61" spans="1:22" x14ac:dyDescent="0.35">
      <c r="A61" t="s">
        <v>60</v>
      </c>
      <c r="B61" s="8" t="s">
        <v>11</v>
      </c>
      <c r="C61">
        <f>'Cocoa FIN'!C61</f>
        <v>20</v>
      </c>
    </row>
    <row r="62" spans="1:22" x14ac:dyDescent="0.35">
      <c r="A62" t="s">
        <v>47</v>
      </c>
      <c r="B62" s="8" t="s">
        <v>11</v>
      </c>
      <c r="C62">
        <f>'Cocoa FIN'!C62</f>
        <v>35</v>
      </c>
    </row>
    <row r="63" spans="1:22" x14ac:dyDescent="0.35">
      <c r="A63" t="s">
        <v>48</v>
      </c>
      <c r="B63" s="8" t="s">
        <v>11</v>
      </c>
      <c r="C63">
        <f>'Cocoa FIN'!C63</f>
        <v>35</v>
      </c>
    </row>
    <row r="64" spans="1:22" x14ac:dyDescent="0.35">
      <c r="A64" t="s">
        <v>219</v>
      </c>
      <c r="B64" s="8" t="s">
        <v>10</v>
      </c>
      <c r="C64">
        <f>'Cocoa FIN'!C64</f>
        <v>66.650000000000006</v>
      </c>
      <c r="D64">
        <f>'Cocoa FIN'!D64</f>
        <v>66.650000000000006</v>
      </c>
      <c r="E64">
        <f>'Cocoa FIN'!E64</f>
        <v>66.650000000000006</v>
      </c>
    </row>
    <row r="65" spans="1:22" x14ac:dyDescent="0.35">
      <c r="A65" t="s">
        <v>220</v>
      </c>
      <c r="B65" s="8" t="s">
        <v>45</v>
      </c>
      <c r="C65">
        <f>'Cocoa FIN'!C65</f>
        <v>4</v>
      </c>
      <c r="D65">
        <f>'Cocoa FIN'!D65</f>
        <v>4</v>
      </c>
      <c r="E65">
        <f>'Cocoa FIN'!E65</f>
        <v>4</v>
      </c>
      <c r="F65">
        <f>'Cocoa FIN'!F65</f>
        <v>4</v>
      </c>
      <c r="G65">
        <f>'Cocoa FIN'!G65</f>
        <v>4</v>
      </c>
      <c r="H65">
        <f>'Cocoa FIN'!H65</f>
        <v>4</v>
      </c>
      <c r="I65">
        <f>'Cocoa FIN'!I65</f>
        <v>4</v>
      </c>
      <c r="J65">
        <f>'Cocoa FIN'!J65</f>
        <v>4</v>
      </c>
      <c r="K65">
        <f>'Cocoa FIN'!K65</f>
        <v>4</v>
      </c>
      <c r="L65">
        <f>'Cocoa FIN'!L65</f>
        <v>4</v>
      </c>
      <c r="M65">
        <f>'Cocoa FIN'!M65</f>
        <v>4</v>
      </c>
      <c r="N65">
        <f>'Cocoa FIN'!N65</f>
        <v>4</v>
      </c>
      <c r="O65">
        <f>'Cocoa FIN'!O65</f>
        <v>4</v>
      </c>
      <c r="P65">
        <f>'Cocoa FIN'!P65</f>
        <v>4</v>
      </c>
      <c r="Q65">
        <f>'Cocoa FIN'!Q65</f>
        <v>4</v>
      </c>
      <c r="R65">
        <f>'Cocoa FIN'!R65</f>
        <v>4</v>
      </c>
      <c r="S65">
        <f>'Cocoa FIN'!S65</f>
        <v>4</v>
      </c>
      <c r="T65">
        <f>'Cocoa FIN'!T65</f>
        <v>4</v>
      </c>
      <c r="U65">
        <f>'Cocoa FIN'!U65</f>
        <v>4</v>
      </c>
      <c r="V65">
        <f>'Cocoa FIN'!V65</f>
        <v>4</v>
      </c>
    </row>
    <row r="66" spans="1:22" x14ac:dyDescent="0.35">
      <c r="B66" s="8"/>
    </row>
    <row r="67" spans="1:22" x14ac:dyDescent="0.35">
      <c r="A67" t="s">
        <v>30</v>
      </c>
      <c r="B67" s="8"/>
    </row>
    <row r="68" spans="1:22" x14ac:dyDescent="0.35">
      <c r="A68" t="s">
        <v>155</v>
      </c>
      <c r="B68" s="8" t="s">
        <v>1</v>
      </c>
      <c r="C68">
        <f>'Cocoa FIN'!C68</f>
        <v>0</v>
      </c>
      <c r="D68">
        <f>'Cocoa FIN'!D68</f>
        <v>0</v>
      </c>
      <c r="E68">
        <f>'Cocoa FIN'!E68</f>
        <v>0</v>
      </c>
      <c r="F68">
        <f>'Cocoa FIN'!F68</f>
        <v>0</v>
      </c>
      <c r="G68">
        <f>'Cocoa FIN'!G68</f>
        <v>0</v>
      </c>
      <c r="H68">
        <f>'Cocoa FIN'!H68</f>
        <v>0</v>
      </c>
      <c r="I68">
        <f>'Cocoa FIN'!I68</f>
        <v>0</v>
      </c>
      <c r="J68">
        <f>'Cocoa FIN'!J68</f>
        <v>0</v>
      </c>
      <c r="K68">
        <f>'Cocoa FIN'!K68</f>
        <v>0</v>
      </c>
      <c r="L68">
        <f>'Cocoa FIN'!L68</f>
        <v>0</v>
      </c>
      <c r="M68">
        <f>'Cocoa FIN'!M68</f>
        <v>0</v>
      </c>
      <c r="N68">
        <f>'Cocoa FIN'!N68</f>
        <v>0</v>
      </c>
      <c r="O68">
        <f>'Cocoa FIN'!O68</f>
        <v>0</v>
      </c>
      <c r="P68">
        <f>'Cocoa FIN'!P68</f>
        <v>0</v>
      </c>
      <c r="Q68">
        <f>'Cocoa FIN'!Q68</f>
        <v>0</v>
      </c>
      <c r="R68">
        <f>'Cocoa FIN'!R68</f>
        <v>0</v>
      </c>
      <c r="S68">
        <f>'Cocoa FIN'!S68</f>
        <v>0</v>
      </c>
      <c r="T68">
        <f>'Cocoa FIN'!T68</f>
        <v>0</v>
      </c>
      <c r="U68">
        <f>'Cocoa FIN'!U68</f>
        <v>0</v>
      </c>
      <c r="V68">
        <f>'Cocoa FIN'!V68</f>
        <v>0</v>
      </c>
    </row>
    <row r="69" spans="1:22" x14ac:dyDescent="0.35">
      <c r="B69" s="8"/>
    </row>
    <row r="70" spans="1:22" x14ac:dyDescent="0.35">
      <c r="A70" t="s">
        <v>6</v>
      </c>
      <c r="B70" s="8"/>
    </row>
    <row r="71" spans="1:22" x14ac:dyDescent="0.35">
      <c r="A71" t="s">
        <v>74</v>
      </c>
      <c r="B71" s="8" t="s">
        <v>10</v>
      </c>
      <c r="C71">
        <f>'Cocoa FIN'!C71</f>
        <v>180</v>
      </c>
      <c r="D71">
        <f>'Cocoa FIN'!D71</f>
        <v>120</v>
      </c>
      <c r="E71">
        <f>'Cocoa FIN'!E71</f>
        <v>60</v>
      </c>
      <c r="F71">
        <f>'Cocoa FIN'!F71</f>
        <v>60</v>
      </c>
      <c r="G71">
        <f>'Cocoa FIN'!G71</f>
        <v>60</v>
      </c>
      <c r="H71">
        <f>'Cocoa FIN'!H71</f>
        <v>60</v>
      </c>
      <c r="I71">
        <f>'Cocoa FIN'!I71</f>
        <v>60</v>
      </c>
      <c r="J71">
        <f>'Cocoa FIN'!J71</f>
        <v>60</v>
      </c>
      <c r="K71">
        <f>'Cocoa FIN'!K71</f>
        <v>60</v>
      </c>
      <c r="L71">
        <f>'Cocoa FIN'!L71</f>
        <v>60</v>
      </c>
      <c r="M71">
        <f>'Cocoa FIN'!M71</f>
        <v>60</v>
      </c>
      <c r="N71">
        <f>'Cocoa FIN'!N71</f>
        <v>60</v>
      </c>
      <c r="O71">
        <f>'Cocoa FIN'!O71</f>
        <v>60</v>
      </c>
      <c r="P71">
        <f>'Cocoa FIN'!P71</f>
        <v>60</v>
      </c>
      <c r="Q71">
        <f>'Cocoa FIN'!Q71</f>
        <v>60</v>
      </c>
      <c r="R71">
        <f>'Cocoa FIN'!R71</f>
        <v>60</v>
      </c>
      <c r="S71">
        <f>'Cocoa FIN'!S71</f>
        <v>60</v>
      </c>
      <c r="T71">
        <f>'Cocoa FIN'!T71</f>
        <v>60</v>
      </c>
      <c r="U71">
        <f>'Cocoa FIN'!U71</f>
        <v>60</v>
      </c>
      <c r="V71">
        <f>'Cocoa FIN'!V71</f>
        <v>60</v>
      </c>
    </row>
    <row r="72" spans="1:22" x14ac:dyDescent="0.35">
      <c r="A72" t="s">
        <v>83</v>
      </c>
      <c r="B72" s="8" t="s">
        <v>10</v>
      </c>
      <c r="C72">
        <f>'Cocoa FIN'!C72</f>
        <v>0</v>
      </c>
      <c r="D72">
        <f>'Cocoa FIN'!D72</f>
        <v>0</v>
      </c>
      <c r="E72">
        <f>'Cocoa FIN'!E72</f>
        <v>0</v>
      </c>
      <c r="F72">
        <f>'Cocoa FIN'!F72</f>
        <v>50</v>
      </c>
      <c r="G72">
        <f>'Cocoa FIN'!G72</f>
        <v>60.2</v>
      </c>
      <c r="H72">
        <f>'Cocoa FIN'!H72</f>
        <v>70.400000000000006</v>
      </c>
      <c r="I72">
        <f>'Cocoa FIN'!I72</f>
        <v>80.600000000000009</v>
      </c>
      <c r="J72">
        <f>'Cocoa FIN'!J72</f>
        <v>90.800000000000011</v>
      </c>
      <c r="K72">
        <f>'Cocoa FIN'!K72</f>
        <v>101.00000000000001</v>
      </c>
      <c r="L72">
        <f>'Cocoa FIN'!L72</f>
        <v>111.20000000000002</v>
      </c>
      <c r="M72">
        <f>'Cocoa FIN'!M72</f>
        <v>121.40000000000002</v>
      </c>
      <c r="N72">
        <f>'Cocoa FIN'!N72</f>
        <v>131.60000000000002</v>
      </c>
      <c r="O72">
        <f>'Cocoa FIN'!O72</f>
        <v>141.80000000000001</v>
      </c>
      <c r="P72">
        <f>'Cocoa FIN'!P72</f>
        <v>152</v>
      </c>
      <c r="Q72">
        <f>'Cocoa FIN'!Q72</f>
        <v>162.19999999999999</v>
      </c>
      <c r="R72">
        <f>'Cocoa FIN'!R72</f>
        <v>152</v>
      </c>
      <c r="S72">
        <f>'Cocoa FIN'!S72</f>
        <v>141.80000000000001</v>
      </c>
      <c r="T72">
        <f>'Cocoa FIN'!T72</f>
        <v>131.60000000000002</v>
      </c>
      <c r="U72">
        <f>'Cocoa FIN'!U72</f>
        <v>121.40000000000002</v>
      </c>
      <c r="V72">
        <f>'Cocoa FIN'!V72</f>
        <v>111.20000000000002</v>
      </c>
    </row>
    <row r="73" spans="1:22" x14ac:dyDescent="0.35">
      <c r="A73" t="s">
        <v>221</v>
      </c>
      <c r="B73" s="8" t="s">
        <v>10</v>
      </c>
      <c r="C73">
        <f>'Cocoa FIN'!C73</f>
        <v>0</v>
      </c>
      <c r="D73">
        <f>'Cocoa FIN'!D73</f>
        <v>0</v>
      </c>
      <c r="E73">
        <f>'Cocoa FIN'!E73</f>
        <v>0</v>
      </c>
      <c r="F73">
        <f>'Cocoa FIN'!F73</f>
        <v>0</v>
      </c>
      <c r="G73">
        <f>'Cocoa FIN'!G73</f>
        <v>50</v>
      </c>
      <c r="H73">
        <f>'Cocoa FIN'!H73</f>
        <v>60.2</v>
      </c>
      <c r="I73">
        <f>'Cocoa FIN'!I73</f>
        <v>70.400000000000006</v>
      </c>
      <c r="J73">
        <f>'Cocoa FIN'!J73</f>
        <v>80.600000000000009</v>
      </c>
      <c r="K73">
        <f>'Cocoa FIN'!K73</f>
        <v>90.800000000000011</v>
      </c>
      <c r="L73">
        <f>'Cocoa FIN'!L73</f>
        <v>101.00000000000001</v>
      </c>
      <c r="M73">
        <f>'Cocoa FIN'!M73</f>
        <v>111.20000000000002</v>
      </c>
      <c r="N73">
        <f>'Cocoa FIN'!N73</f>
        <v>121.40000000000002</v>
      </c>
      <c r="O73">
        <f>'Cocoa FIN'!O73</f>
        <v>131.60000000000002</v>
      </c>
      <c r="P73">
        <f>'Cocoa FIN'!P73</f>
        <v>141.80000000000001</v>
      </c>
      <c r="Q73">
        <f>'Cocoa FIN'!Q73</f>
        <v>152</v>
      </c>
      <c r="R73">
        <f>'Cocoa FIN'!R73</f>
        <v>162.19999999999999</v>
      </c>
      <c r="S73">
        <f>'Cocoa FIN'!S73</f>
        <v>152</v>
      </c>
      <c r="T73">
        <f>'Cocoa FIN'!T73</f>
        <v>141.80000000000001</v>
      </c>
      <c r="U73">
        <f>'Cocoa FIN'!U73</f>
        <v>131.60000000000002</v>
      </c>
      <c r="V73">
        <f>'Cocoa FIN'!V73</f>
        <v>121.40000000000002</v>
      </c>
    </row>
    <row r="74" spans="1:22" x14ac:dyDescent="0.35">
      <c r="A74" t="s">
        <v>222</v>
      </c>
      <c r="B74" s="8" t="s">
        <v>10</v>
      </c>
      <c r="C74">
        <f>'Cocoa FIN'!C74</f>
        <v>0</v>
      </c>
      <c r="D74">
        <f>'Cocoa FIN'!D74</f>
        <v>0</v>
      </c>
      <c r="E74">
        <f>'Cocoa FIN'!E74</f>
        <v>0</v>
      </c>
      <c r="F74">
        <f>'Cocoa FIN'!F74</f>
        <v>0</v>
      </c>
      <c r="G74">
        <f>'Cocoa FIN'!G74</f>
        <v>0</v>
      </c>
      <c r="H74">
        <f>'Cocoa FIN'!H74</f>
        <v>50</v>
      </c>
      <c r="I74">
        <f>'Cocoa FIN'!I74</f>
        <v>60.2</v>
      </c>
      <c r="J74">
        <f>'Cocoa FIN'!J74</f>
        <v>70.400000000000006</v>
      </c>
      <c r="K74">
        <f>'Cocoa FIN'!K74</f>
        <v>80.600000000000009</v>
      </c>
      <c r="L74">
        <f>'Cocoa FIN'!L74</f>
        <v>90.800000000000011</v>
      </c>
      <c r="M74">
        <f>'Cocoa FIN'!M74</f>
        <v>101.00000000000001</v>
      </c>
      <c r="N74">
        <f>'Cocoa FIN'!N74</f>
        <v>111.20000000000002</v>
      </c>
      <c r="O74">
        <f>'Cocoa FIN'!O74</f>
        <v>121.40000000000002</v>
      </c>
      <c r="P74">
        <f>'Cocoa FIN'!P74</f>
        <v>131.60000000000002</v>
      </c>
      <c r="Q74">
        <f>'Cocoa FIN'!Q74</f>
        <v>141.80000000000001</v>
      </c>
      <c r="R74">
        <f>'Cocoa FIN'!R74</f>
        <v>152</v>
      </c>
      <c r="S74">
        <f>'Cocoa FIN'!S74</f>
        <v>162.19999999999999</v>
      </c>
      <c r="T74">
        <f>'Cocoa FIN'!T74</f>
        <v>152</v>
      </c>
      <c r="U74">
        <f>'Cocoa FIN'!U74</f>
        <v>141.80000000000001</v>
      </c>
      <c r="V74">
        <f>'Cocoa FIN'!V74</f>
        <v>131.60000000000002</v>
      </c>
    </row>
    <row r="75" spans="1:22" x14ac:dyDescent="0.35">
      <c r="A75" t="s">
        <v>53</v>
      </c>
      <c r="B75" s="8" t="s">
        <v>10</v>
      </c>
      <c r="C75">
        <f>'Cocoa FIN'!C75</f>
        <v>0</v>
      </c>
      <c r="D75">
        <f>'Cocoa FIN'!D75</f>
        <v>0</v>
      </c>
      <c r="E75">
        <f>'Cocoa FIN'!E75</f>
        <v>0</v>
      </c>
      <c r="F75">
        <f>'Cocoa FIN'!F75</f>
        <v>0</v>
      </c>
      <c r="G75">
        <f>'Cocoa FIN'!G75</f>
        <v>0</v>
      </c>
      <c r="H75">
        <f>'Cocoa FIN'!H75</f>
        <v>0</v>
      </c>
      <c r="I75">
        <f>'Cocoa FIN'!I75</f>
        <v>0</v>
      </c>
      <c r="J75">
        <f>'Cocoa FIN'!J75</f>
        <v>8.0079999999999991</v>
      </c>
      <c r="K75">
        <f>'Cocoa FIN'!K75</f>
        <v>10.472</v>
      </c>
      <c r="L75">
        <f>'Cocoa FIN'!L75</f>
        <v>12.935999999999998</v>
      </c>
      <c r="M75">
        <f>'Cocoa FIN'!M75</f>
        <v>15.4</v>
      </c>
      <c r="N75">
        <f>'Cocoa FIN'!N75</f>
        <v>17.863999999999997</v>
      </c>
      <c r="O75">
        <f>'Cocoa FIN'!O75</f>
        <v>20.327999999999999</v>
      </c>
      <c r="P75">
        <f>'Cocoa FIN'!P75</f>
        <v>22.792000000000002</v>
      </c>
      <c r="Q75">
        <f>'Cocoa FIN'!Q75</f>
        <v>25.255999999999997</v>
      </c>
      <c r="R75">
        <f>'Cocoa FIN'!R75</f>
        <v>25.255999999999997</v>
      </c>
      <c r="S75">
        <f>'Cocoa FIN'!S75</f>
        <v>25.255999999999997</v>
      </c>
      <c r="T75">
        <f>'Cocoa FIN'!T75</f>
        <v>25.255999999999997</v>
      </c>
      <c r="U75">
        <f>'Cocoa FIN'!U75</f>
        <v>25.255999999999997</v>
      </c>
      <c r="V75">
        <f>'Cocoa FIN'!V75</f>
        <v>25.255999999999997</v>
      </c>
    </row>
    <row r="76" spans="1:22" x14ac:dyDescent="0.35">
      <c r="A76" t="s">
        <v>56</v>
      </c>
      <c r="B76" s="8" t="s">
        <v>57</v>
      </c>
      <c r="C76">
        <f>'Cocoa FIN'!C76</f>
        <v>0</v>
      </c>
      <c r="D76">
        <f>'Cocoa FIN'!D76</f>
        <v>0</v>
      </c>
      <c r="E76">
        <f>'Cocoa FIN'!E76</f>
        <v>0</v>
      </c>
      <c r="F76">
        <f>'Cocoa FIN'!F76</f>
        <v>0</v>
      </c>
      <c r="G76">
        <f>'Cocoa FIN'!G76</f>
        <v>0</v>
      </c>
      <c r="H76">
        <f>'Cocoa FIN'!H76</f>
        <v>0</v>
      </c>
      <c r="I76">
        <f>'Cocoa FIN'!I76</f>
        <v>1</v>
      </c>
      <c r="J76">
        <f>'Cocoa FIN'!J76</f>
        <v>0</v>
      </c>
      <c r="K76">
        <f>'Cocoa FIN'!K76</f>
        <v>0</v>
      </c>
      <c r="L76">
        <f>'Cocoa FIN'!L76</f>
        <v>0</v>
      </c>
      <c r="M76">
        <f>'Cocoa FIN'!M76</f>
        <v>0</v>
      </c>
      <c r="N76">
        <f>'Cocoa FIN'!N76</f>
        <v>0</v>
      </c>
      <c r="O76">
        <f>'Cocoa FIN'!O76</f>
        <v>0</v>
      </c>
      <c r="P76">
        <f>'Cocoa FIN'!P76</f>
        <v>1</v>
      </c>
      <c r="Q76">
        <f>'Cocoa FIN'!Q76</f>
        <v>0</v>
      </c>
      <c r="R76">
        <f>'Cocoa FIN'!R76</f>
        <v>0</v>
      </c>
      <c r="S76">
        <f>'Cocoa FIN'!S76</f>
        <v>0</v>
      </c>
      <c r="T76">
        <f>'Cocoa FIN'!T76</f>
        <v>0</v>
      </c>
      <c r="U76">
        <f>'Cocoa FIN'!U76</f>
        <v>0</v>
      </c>
      <c r="V76">
        <f>'Cocoa FIN'!V76</f>
        <v>0</v>
      </c>
    </row>
    <row r="77" spans="1:22" x14ac:dyDescent="0.35">
      <c r="A77" s="11" t="s">
        <v>64</v>
      </c>
      <c r="B77" s="10" t="s">
        <v>61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>
        <f>C63</f>
        <v>35</v>
      </c>
    </row>
    <row r="78" spans="1:22" x14ac:dyDescent="0.35">
      <c r="A78" s="3"/>
      <c r="B78" s="3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</row>
    <row r="79" spans="1:22" x14ac:dyDescent="0.35">
      <c r="A79" s="68" t="s">
        <v>303</v>
      </c>
    </row>
    <row r="80" spans="1:22" x14ac:dyDescent="0.35">
      <c r="A80" s="12" t="s">
        <v>302</v>
      </c>
      <c r="B80" s="71" t="s">
        <v>12</v>
      </c>
      <c r="C80" s="70" t="s">
        <v>399</v>
      </c>
      <c r="D80" s="70" t="s">
        <v>400</v>
      </c>
      <c r="E80" s="70" t="s">
        <v>401</v>
      </c>
      <c r="F80" s="70" t="s">
        <v>402</v>
      </c>
      <c r="G80" s="70" t="s">
        <v>403</v>
      </c>
      <c r="H80" s="70" t="s">
        <v>404</v>
      </c>
      <c r="I80" s="70" t="s">
        <v>405</v>
      </c>
      <c r="J80" s="70" t="s">
        <v>406</v>
      </c>
      <c r="K80" s="70" t="s">
        <v>407</v>
      </c>
      <c r="L80" s="70" t="s">
        <v>408</v>
      </c>
      <c r="M80" s="70" t="s">
        <v>409</v>
      </c>
      <c r="N80" s="70" t="s">
        <v>410</v>
      </c>
      <c r="O80" s="70" t="s">
        <v>411</v>
      </c>
      <c r="P80" s="70" t="s">
        <v>412</v>
      </c>
      <c r="Q80" s="70" t="s">
        <v>413</v>
      </c>
      <c r="R80" s="70" t="s">
        <v>414</v>
      </c>
      <c r="S80" s="70" t="s">
        <v>415</v>
      </c>
      <c r="T80" s="70" t="s">
        <v>416</v>
      </c>
      <c r="U80" s="70" t="s">
        <v>417</v>
      </c>
      <c r="V80" s="70" t="s">
        <v>418</v>
      </c>
    </row>
    <row r="81" spans="1:45" x14ac:dyDescent="0.35">
      <c r="A81" s="6" t="str">
        <f>A21</f>
        <v>Agricultural operations</v>
      </c>
      <c r="B81" s="8"/>
    </row>
    <row r="82" spans="1:45" x14ac:dyDescent="0.35">
      <c r="A82" t="str">
        <f>A44</f>
        <v xml:space="preserve">  Undergrowth clearing</v>
      </c>
      <c r="B82" s="13">
        <f>'Prices &amp; assums'!D10</f>
        <v>28080</v>
      </c>
      <c r="C82" s="2">
        <f t="shared" ref="C82:V94" si="8">$B82*C44</f>
        <v>28080</v>
      </c>
      <c r="D82" s="2">
        <f t="shared" si="8"/>
        <v>0</v>
      </c>
      <c r="E82" s="2">
        <f t="shared" si="8"/>
        <v>0</v>
      </c>
      <c r="F82" s="2">
        <f t="shared" si="8"/>
        <v>0</v>
      </c>
      <c r="G82" s="2">
        <f t="shared" si="8"/>
        <v>0</v>
      </c>
      <c r="H82" s="2">
        <f t="shared" si="8"/>
        <v>0</v>
      </c>
      <c r="I82" s="2">
        <f t="shared" si="8"/>
        <v>0</v>
      </c>
      <c r="J82" s="2">
        <f t="shared" si="8"/>
        <v>0</v>
      </c>
      <c r="K82" s="2">
        <f t="shared" si="8"/>
        <v>0</v>
      </c>
      <c r="L82" s="2">
        <f t="shared" si="8"/>
        <v>0</v>
      </c>
      <c r="M82" s="2">
        <f t="shared" si="8"/>
        <v>0</v>
      </c>
      <c r="N82" s="2">
        <f t="shared" si="8"/>
        <v>0</v>
      </c>
      <c r="O82" s="2">
        <f t="shared" si="8"/>
        <v>0</v>
      </c>
      <c r="P82" s="2">
        <f t="shared" si="8"/>
        <v>0</v>
      </c>
      <c r="Q82" s="2">
        <f t="shared" si="8"/>
        <v>0</v>
      </c>
      <c r="R82" s="2">
        <f t="shared" si="8"/>
        <v>0</v>
      </c>
      <c r="S82" s="2">
        <f t="shared" si="8"/>
        <v>0</v>
      </c>
      <c r="T82" s="2">
        <f t="shared" si="8"/>
        <v>0</v>
      </c>
      <c r="U82" s="2">
        <f t="shared" si="8"/>
        <v>0</v>
      </c>
      <c r="V82" s="2">
        <f t="shared" si="8"/>
        <v>0</v>
      </c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</row>
    <row r="83" spans="1:45" x14ac:dyDescent="0.35">
      <c r="A83" t="str">
        <f>A45</f>
        <v xml:space="preserve">  Cutting old trees</v>
      </c>
      <c r="B83" s="13">
        <f>'Prices &amp; assums'!D11</f>
        <v>46800</v>
      </c>
      <c r="C83" s="2">
        <f t="shared" si="8"/>
        <v>11700</v>
      </c>
      <c r="D83" s="2">
        <f t="shared" si="8"/>
        <v>11700</v>
      </c>
      <c r="E83" s="2">
        <f t="shared" si="8"/>
        <v>11700</v>
      </c>
      <c r="F83" s="2">
        <f t="shared" si="8"/>
        <v>0</v>
      </c>
      <c r="G83" s="2">
        <f t="shared" si="8"/>
        <v>0</v>
      </c>
      <c r="H83" s="2">
        <f t="shared" si="8"/>
        <v>0</v>
      </c>
      <c r="I83" s="2">
        <f t="shared" si="8"/>
        <v>0</v>
      </c>
      <c r="J83" s="2">
        <f t="shared" si="8"/>
        <v>0</v>
      </c>
      <c r="K83" s="2">
        <f t="shared" si="8"/>
        <v>0</v>
      </c>
      <c r="L83" s="2">
        <f t="shared" si="8"/>
        <v>0</v>
      </c>
      <c r="M83" s="2">
        <f t="shared" si="8"/>
        <v>0</v>
      </c>
      <c r="N83" s="2">
        <f t="shared" si="8"/>
        <v>0</v>
      </c>
      <c r="O83" s="2">
        <f t="shared" si="8"/>
        <v>0</v>
      </c>
      <c r="P83" s="2">
        <f t="shared" si="8"/>
        <v>0</v>
      </c>
      <c r="Q83" s="2">
        <f t="shared" si="8"/>
        <v>0</v>
      </c>
      <c r="R83" s="2">
        <f t="shared" si="8"/>
        <v>0</v>
      </c>
      <c r="S83" s="2">
        <f t="shared" si="8"/>
        <v>0</v>
      </c>
      <c r="T83" s="2">
        <f t="shared" si="8"/>
        <v>0</v>
      </c>
      <c r="U83" s="2">
        <f t="shared" si="8"/>
        <v>0</v>
      </c>
      <c r="V83" s="2">
        <f t="shared" si="8"/>
        <v>0</v>
      </c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</row>
    <row r="84" spans="1:45" x14ac:dyDescent="0.35">
      <c r="A84" t="s">
        <v>70</v>
      </c>
      <c r="B84" s="13">
        <f>'Prices &amp; assums'!D27</f>
        <v>6.93</v>
      </c>
      <c r="C84" s="2">
        <f t="shared" si="8"/>
        <v>2933.1224999999999</v>
      </c>
      <c r="D84" s="2">
        <f t="shared" si="8"/>
        <v>2309.4225000000001</v>
      </c>
      <c r="E84" s="2">
        <f t="shared" si="8"/>
        <v>2309.4225000000001</v>
      </c>
      <c r="F84" s="2">
        <f t="shared" si="8"/>
        <v>0</v>
      </c>
      <c r="G84" s="2">
        <f t="shared" si="8"/>
        <v>0</v>
      </c>
      <c r="H84" s="2">
        <f t="shared" si="8"/>
        <v>0</v>
      </c>
      <c r="I84" s="2">
        <f t="shared" si="8"/>
        <v>0</v>
      </c>
      <c r="J84" s="2">
        <f t="shared" si="8"/>
        <v>0</v>
      </c>
      <c r="K84" s="2">
        <f t="shared" si="8"/>
        <v>0</v>
      </c>
      <c r="L84" s="2">
        <f t="shared" si="8"/>
        <v>0</v>
      </c>
      <c r="M84" s="2">
        <f t="shared" si="8"/>
        <v>0</v>
      </c>
      <c r="N84" s="2">
        <f t="shared" si="8"/>
        <v>0</v>
      </c>
      <c r="O84" s="2">
        <f t="shared" si="8"/>
        <v>0</v>
      </c>
      <c r="P84" s="2">
        <f t="shared" si="8"/>
        <v>0</v>
      </c>
      <c r="Q84" s="2">
        <f t="shared" si="8"/>
        <v>0</v>
      </c>
      <c r="R84" s="2">
        <f t="shared" si="8"/>
        <v>0</v>
      </c>
      <c r="S84" s="2">
        <f t="shared" si="8"/>
        <v>0</v>
      </c>
      <c r="T84" s="2">
        <f t="shared" si="8"/>
        <v>0</v>
      </c>
      <c r="U84" s="2">
        <f t="shared" si="8"/>
        <v>0</v>
      </c>
      <c r="V84" s="2">
        <f t="shared" si="8"/>
        <v>0</v>
      </c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</row>
    <row r="85" spans="1:45" x14ac:dyDescent="0.35">
      <c r="A85" s="26" t="str">
        <f t="shared" ref="A85:A95" si="9">A47</f>
        <v xml:space="preserve">  Marking out</v>
      </c>
      <c r="B85" s="29">
        <f>'Prices &amp; assums'!D7</f>
        <v>25000</v>
      </c>
      <c r="C85" s="30">
        <f t="shared" si="8"/>
        <v>25000</v>
      </c>
      <c r="D85" s="30">
        <f t="shared" si="8"/>
        <v>25000</v>
      </c>
      <c r="E85" s="30">
        <f t="shared" si="8"/>
        <v>25000</v>
      </c>
      <c r="F85" s="30">
        <f t="shared" si="8"/>
        <v>0</v>
      </c>
      <c r="G85" s="30">
        <f t="shared" si="8"/>
        <v>0</v>
      </c>
      <c r="H85" s="30">
        <f t="shared" si="8"/>
        <v>0</v>
      </c>
      <c r="I85" s="30">
        <f t="shared" si="8"/>
        <v>0</v>
      </c>
      <c r="J85" s="30">
        <f t="shared" si="8"/>
        <v>0</v>
      </c>
      <c r="K85" s="30">
        <f t="shared" si="8"/>
        <v>0</v>
      </c>
      <c r="L85" s="30">
        <f t="shared" si="8"/>
        <v>0</v>
      </c>
      <c r="M85" s="30">
        <f t="shared" si="8"/>
        <v>0</v>
      </c>
      <c r="N85" s="30">
        <f t="shared" si="8"/>
        <v>0</v>
      </c>
      <c r="O85" s="30">
        <f t="shared" si="8"/>
        <v>0</v>
      </c>
      <c r="P85" s="30">
        <f t="shared" si="8"/>
        <v>0</v>
      </c>
      <c r="Q85" s="30">
        <f t="shared" si="8"/>
        <v>0</v>
      </c>
      <c r="R85" s="30">
        <f t="shared" si="8"/>
        <v>0</v>
      </c>
      <c r="S85" s="30">
        <f t="shared" si="8"/>
        <v>0</v>
      </c>
      <c r="T85" s="30">
        <f t="shared" si="8"/>
        <v>0</v>
      </c>
      <c r="U85" s="30">
        <f t="shared" si="8"/>
        <v>0</v>
      </c>
      <c r="V85" s="30">
        <f t="shared" si="8"/>
        <v>0</v>
      </c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</row>
    <row r="86" spans="1:45" x14ac:dyDescent="0.35">
      <c r="A86" s="3" t="str">
        <f t="shared" si="9"/>
        <v xml:space="preserve">  Digging holes</v>
      </c>
      <c r="B86" s="13">
        <f>'Prices &amp; assums'!D8</f>
        <v>28.08</v>
      </c>
      <c r="C86" s="2">
        <f t="shared" si="8"/>
        <v>11884.859999999999</v>
      </c>
      <c r="D86" s="2">
        <f t="shared" si="8"/>
        <v>9357.66</v>
      </c>
      <c r="E86" s="2">
        <f t="shared" si="8"/>
        <v>9357.66</v>
      </c>
      <c r="F86" s="2">
        <f t="shared" si="8"/>
        <v>0</v>
      </c>
      <c r="G86" s="2">
        <f t="shared" si="8"/>
        <v>0</v>
      </c>
      <c r="H86" s="2">
        <f t="shared" si="8"/>
        <v>0</v>
      </c>
      <c r="I86" s="2">
        <f t="shared" si="8"/>
        <v>0</v>
      </c>
      <c r="J86" s="2">
        <f t="shared" si="8"/>
        <v>0</v>
      </c>
      <c r="K86" s="2">
        <f t="shared" si="8"/>
        <v>0</v>
      </c>
      <c r="L86" s="2">
        <f t="shared" si="8"/>
        <v>0</v>
      </c>
      <c r="M86" s="2">
        <f t="shared" si="8"/>
        <v>0</v>
      </c>
      <c r="N86" s="2">
        <f t="shared" si="8"/>
        <v>0</v>
      </c>
      <c r="O86" s="2">
        <f t="shared" si="8"/>
        <v>0</v>
      </c>
      <c r="P86" s="2">
        <f t="shared" si="8"/>
        <v>0</v>
      </c>
      <c r="Q86" s="2">
        <f t="shared" si="8"/>
        <v>0</v>
      </c>
      <c r="R86" s="2">
        <f t="shared" si="8"/>
        <v>0</v>
      </c>
      <c r="S86" s="2">
        <f t="shared" si="8"/>
        <v>0</v>
      </c>
      <c r="T86" s="2">
        <f t="shared" si="8"/>
        <v>0</v>
      </c>
      <c r="U86" s="2">
        <f t="shared" si="8"/>
        <v>0</v>
      </c>
      <c r="V86" s="2">
        <f t="shared" si="8"/>
        <v>0</v>
      </c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</row>
    <row r="87" spans="1:45" x14ac:dyDescent="0.35">
      <c r="A87" s="3" t="str">
        <f t="shared" si="9"/>
        <v xml:space="preserve">  Planting seedlings</v>
      </c>
      <c r="B87" s="13">
        <f>'Prices &amp; assums'!D9</f>
        <v>28.08</v>
      </c>
      <c r="C87" s="2">
        <f t="shared" si="8"/>
        <v>11884.859999999999</v>
      </c>
      <c r="D87" s="2">
        <f t="shared" si="8"/>
        <v>9357.66</v>
      </c>
      <c r="E87" s="2">
        <f t="shared" si="8"/>
        <v>9357.66</v>
      </c>
      <c r="F87" s="2">
        <f t="shared" si="8"/>
        <v>0</v>
      </c>
      <c r="G87" s="2">
        <f t="shared" si="8"/>
        <v>0</v>
      </c>
      <c r="H87" s="2">
        <f t="shared" si="8"/>
        <v>0</v>
      </c>
      <c r="I87" s="2">
        <f t="shared" si="8"/>
        <v>0</v>
      </c>
      <c r="J87" s="2">
        <f t="shared" si="8"/>
        <v>0</v>
      </c>
      <c r="K87" s="2">
        <f t="shared" si="8"/>
        <v>0</v>
      </c>
      <c r="L87" s="2">
        <f t="shared" si="8"/>
        <v>0</v>
      </c>
      <c r="M87" s="2">
        <f t="shared" si="8"/>
        <v>0</v>
      </c>
      <c r="N87" s="2">
        <f t="shared" si="8"/>
        <v>0</v>
      </c>
      <c r="O87" s="2">
        <f t="shared" si="8"/>
        <v>0</v>
      </c>
      <c r="P87" s="2">
        <f t="shared" si="8"/>
        <v>0</v>
      </c>
      <c r="Q87" s="2">
        <f t="shared" si="8"/>
        <v>0</v>
      </c>
      <c r="R87" s="2">
        <f t="shared" si="8"/>
        <v>0</v>
      </c>
      <c r="S87" s="2">
        <f t="shared" si="8"/>
        <v>0</v>
      </c>
      <c r="T87" s="2">
        <f t="shared" si="8"/>
        <v>0</v>
      </c>
      <c r="U87" s="2">
        <f t="shared" si="8"/>
        <v>0</v>
      </c>
      <c r="V87" s="2">
        <f t="shared" si="8"/>
        <v>0</v>
      </c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</row>
    <row r="88" spans="1:45" x14ac:dyDescent="0.35">
      <c r="A88" t="str">
        <f t="shared" si="9"/>
        <v xml:space="preserve">  Weeding other maintenance operations</v>
      </c>
      <c r="B88" s="13">
        <f>'Prices &amp; assums'!D5</f>
        <v>23400</v>
      </c>
      <c r="C88" s="2">
        <f t="shared" si="8"/>
        <v>0</v>
      </c>
      <c r="D88" s="2">
        <f t="shared" si="8"/>
        <v>70200</v>
      </c>
      <c r="E88" s="2">
        <f t="shared" si="8"/>
        <v>70200</v>
      </c>
      <c r="F88" s="2">
        <f t="shared" si="8"/>
        <v>70200</v>
      </c>
      <c r="G88" s="2">
        <f t="shared" si="8"/>
        <v>70200</v>
      </c>
      <c r="H88" s="2">
        <f t="shared" si="8"/>
        <v>70200</v>
      </c>
      <c r="I88" s="2">
        <f t="shared" si="8"/>
        <v>70200</v>
      </c>
      <c r="J88" s="2">
        <f t="shared" si="8"/>
        <v>70200</v>
      </c>
      <c r="K88" s="2">
        <f t="shared" si="8"/>
        <v>70200</v>
      </c>
      <c r="L88" s="2">
        <f t="shared" si="8"/>
        <v>70200</v>
      </c>
      <c r="M88" s="2">
        <f t="shared" si="8"/>
        <v>70200</v>
      </c>
      <c r="N88" s="2">
        <f t="shared" si="8"/>
        <v>70200</v>
      </c>
      <c r="O88" s="2">
        <f t="shared" si="8"/>
        <v>70200</v>
      </c>
      <c r="P88" s="2">
        <f t="shared" si="8"/>
        <v>70200</v>
      </c>
      <c r="Q88" s="2">
        <f t="shared" si="8"/>
        <v>70200</v>
      </c>
      <c r="R88" s="2">
        <f t="shared" si="8"/>
        <v>70200</v>
      </c>
      <c r="S88" s="2">
        <f t="shared" si="8"/>
        <v>70200</v>
      </c>
      <c r="T88" s="2">
        <f t="shared" si="8"/>
        <v>70200</v>
      </c>
      <c r="U88" s="2">
        <f t="shared" si="8"/>
        <v>70200</v>
      </c>
      <c r="V88" s="2">
        <f t="shared" si="8"/>
        <v>70200</v>
      </c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</row>
    <row r="89" spans="1:45" x14ac:dyDescent="0.35">
      <c r="A89" t="str">
        <f t="shared" si="9"/>
        <v xml:space="preserve">  Pruning new trees</v>
      </c>
      <c r="B89" s="13">
        <f>'Prices &amp; assums'!D13</f>
        <v>2000</v>
      </c>
      <c r="C89" s="2">
        <f t="shared" si="8"/>
        <v>0</v>
      </c>
      <c r="D89" s="2">
        <f t="shared" si="8"/>
        <v>636.46616541353387</v>
      </c>
      <c r="E89" s="2">
        <f t="shared" si="8"/>
        <v>501.1278195488722</v>
      </c>
      <c r="F89" s="2">
        <f t="shared" si="8"/>
        <v>501.1278195488722</v>
      </c>
      <c r="G89" s="2">
        <f t="shared" si="8"/>
        <v>0</v>
      </c>
      <c r="H89" s="2">
        <f t="shared" si="8"/>
        <v>0</v>
      </c>
      <c r="I89" s="2">
        <f t="shared" si="8"/>
        <v>0</v>
      </c>
      <c r="J89" s="2">
        <f t="shared" si="8"/>
        <v>0</v>
      </c>
      <c r="K89" s="2">
        <f t="shared" si="8"/>
        <v>0</v>
      </c>
      <c r="L89" s="2">
        <f t="shared" si="8"/>
        <v>0</v>
      </c>
      <c r="M89" s="2">
        <f t="shared" si="8"/>
        <v>0</v>
      </c>
      <c r="N89" s="2">
        <f t="shared" si="8"/>
        <v>0</v>
      </c>
      <c r="O89" s="2">
        <f t="shared" si="8"/>
        <v>0</v>
      </c>
      <c r="P89" s="2">
        <f t="shared" si="8"/>
        <v>0</v>
      </c>
      <c r="Q89" s="2">
        <f t="shared" si="8"/>
        <v>0</v>
      </c>
      <c r="R89" s="2">
        <f t="shared" si="8"/>
        <v>0</v>
      </c>
      <c r="S89" s="2">
        <f t="shared" si="8"/>
        <v>0</v>
      </c>
      <c r="T89" s="2">
        <f t="shared" si="8"/>
        <v>0</v>
      </c>
      <c r="U89" s="2">
        <f t="shared" si="8"/>
        <v>0</v>
      </c>
      <c r="V89" s="2">
        <f t="shared" si="8"/>
        <v>0</v>
      </c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</row>
    <row r="90" spans="1:45" x14ac:dyDescent="0.35">
      <c r="A90" t="str">
        <f t="shared" si="9"/>
        <v xml:space="preserve">  Fertilizer application</v>
      </c>
      <c r="B90" s="13">
        <f>'Prices &amp; assums'!D3</f>
        <v>2340</v>
      </c>
      <c r="C90" s="2">
        <f t="shared" si="8"/>
        <v>4680</v>
      </c>
      <c r="D90" s="2">
        <f t="shared" si="8"/>
        <v>4680</v>
      </c>
      <c r="E90" s="2">
        <f t="shared" si="8"/>
        <v>4680</v>
      </c>
      <c r="F90" s="2">
        <f t="shared" si="8"/>
        <v>0</v>
      </c>
      <c r="G90" s="2">
        <f t="shared" si="8"/>
        <v>0</v>
      </c>
      <c r="H90" s="2">
        <f t="shared" si="8"/>
        <v>0</v>
      </c>
      <c r="I90" s="2">
        <f t="shared" si="8"/>
        <v>0</v>
      </c>
      <c r="J90" s="2">
        <f t="shared" si="8"/>
        <v>0</v>
      </c>
      <c r="K90" s="2">
        <f t="shared" si="8"/>
        <v>0</v>
      </c>
      <c r="L90" s="2">
        <f t="shared" si="8"/>
        <v>0</v>
      </c>
      <c r="M90" s="2">
        <f t="shared" si="8"/>
        <v>0</v>
      </c>
      <c r="N90" s="2">
        <f t="shared" si="8"/>
        <v>0</v>
      </c>
      <c r="O90" s="2">
        <f t="shared" si="8"/>
        <v>0</v>
      </c>
      <c r="P90" s="2">
        <f t="shared" si="8"/>
        <v>0</v>
      </c>
      <c r="Q90" s="2">
        <f t="shared" si="8"/>
        <v>0</v>
      </c>
      <c r="R90" s="2">
        <f t="shared" si="8"/>
        <v>0</v>
      </c>
      <c r="S90" s="2">
        <f t="shared" si="8"/>
        <v>0</v>
      </c>
      <c r="T90" s="2">
        <f t="shared" si="8"/>
        <v>0</v>
      </c>
      <c r="U90" s="2">
        <f t="shared" si="8"/>
        <v>0</v>
      </c>
      <c r="V90" s="2">
        <f t="shared" si="8"/>
        <v>0</v>
      </c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</row>
    <row r="91" spans="1:45" x14ac:dyDescent="0.35">
      <c r="A91" t="str">
        <f t="shared" si="9"/>
        <v xml:space="preserve">  Plant protection chemicals application</v>
      </c>
      <c r="B91" s="13">
        <f>'Prices &amp; assums'!D4</f>
        <v>3744</v>
      </c>
      <c r="C91" s="2">
        <f t="shared" si="8"/>
        <v>7488</v>
      </c>
      <c r="D91" s="2">
        <f t="shared" si="8"/>
        <v>7488</v>
      </c>
      <c r="E91" s="2">
        <f t="shared" si="8"/>
        <v>7488</v>
      </c>
      <c r="F91" s="2">
        <f t="shared" si="8"/>
        <v>7488</v>
      </c>
      <c r="G91" s="2">
        <f t="shared" si="8"/>
        <v>7488</v>
      </c>
      <c r="H91" s="2">
        <f t="shared" si="8"/>
        <v>7488</v>
      </c>
      <c r="I91" s="2">
        <f t="shared" si="8"/>
        <v>7488</v>
      </c>
      <c r="J91" s="2">
        <f t="shared" si="8"/>
        <v>7488</v>
      </c>
      <c r="K91" s="2">
        <f t="shared" si="8"/>
        <v>7488</v>
      </c>
      <c r="L91" s="2">
        <f t="shared" si="8"/>
        <v>7488</v>
      </c>
      <c r="M91" s="2">
        <f t="shared" si="8"/>
        <v>7488</v>
      </c>
      <c r="N91" s="2">
        <f t="shared" si="8"/>
        <v>7488</v>
      </c>
      <c r="O91" s="2">
        <f t="shared" si="8"/>
        <v>7488</v>
      </c>
      <c r="P91" s="2">
        <f t="shared" si="8"/>
        <v>7488</v>
      </c>
      <c r="Q91" s="2">
        <f t="shared" si="8"/>
        <v>7488</v>
      </c>
      <c r="R91" s="2">
        <f t="shared" si="8"/>
        <v>7488</v>
      </c>
      <c r="S91" s="2">
        <f t="shared" si="8"/>
        <v>7488</v>
      </c>
      <c r="T91" s="2">
        <f t="shared" si="8"/>
        <v>7488</v>
      </c>
      <c r="U91" s="2">
        <f t="shared" si="8"/>
        <v>7488</v>
      </c>
      <c r="V91" s="2">
        <f t="shared" si="8"/>
        <v>7488</v>
      </c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</row>
    <row r="92" spans="1:45" x14ac:dyDescent="0.35">
      <c r="A92" t="str">
        <f t="shared" si="9"/>
        <v xml:space="preserve">  Harvest</v>
      </c>
      <c r="B92" s="13">
        <f>'Prices &amp; assums'!D16</f>
        <v>29.203200000000002</v>
      </c>
      <c r="C92" s="2">
        <f t="shared" si="8"/>
        <v>5256.576</v>
      </c>
      <c r="D92" s="2">
        <f t="shared" si="8"/>
        <v>3504.3840000000005</v>
      </c>
      <c r="E92" s="2">
        <f t="shared" si="8"/>
        <v>1752.1920000000002</v>
      </c>
      <c r="F92" s="2">
        <f t="shared" si="8"/>
        <v>3212.3520000000003</v>
      </c>
      <c r="G92" s="2">
        <f t="shared" si="8"/>
        <v>4970.3846400000002</v>
      </c>
      <c r="H92" s="2">
        <f t="shared" si="8"/>
        <v>5566.1299200000012</v>
      </c>
      <c r="I92" s="2">
        <f t="shared" si="8"/>
        <v>6161.8752000000013</v>
      </c>
      <c r="J92" s="2">
        <f t="shared" si="8"/>
        <v>6757.6204800000014</v>
      </c>
      <c r="K92" s="2">
        <f t="shared" si="8"/>
        <v>7353.3657600000006</v>
      </c>
      <c r="L92" s="2">
        <f t="shared" si="8"/>
        <v>7949.1110400000016</v>
      </c>
      <c r="M92" s="2">
        <f t="shared" si="8"/>
        <v>8544.8563200000008</v>
      </c>
      <c r="N92" s="2">
        <f t="shared" si="8"/>
        <v>9140.6016000000018</v>
      </c>
      <c r="O92" s="2">
        <f t="shared" si="8"/>
        <v>9736.346880000001</v>
      </c>
      <c r="P92" s="2">
        <f t="shared" si="8"/>
        <v>10332.092160000002</v>
      </c>
      <c r="Q92" s="2">
        <f t="shared" si="8"/>
        <v>10927.837440000001</v>
      </c>
      <c r="R92" s="2">
        <f t="shared" si="8"/>
        <v>10927.837440000001</v>
      </c>
      <c r="S92" s="2">
        <f t="shared" si="8"/>
        <v>10332.092160000002</v>
      </c>
      <c r="T92" s="2">
        <f t="shared" si="8"/>
        <v>9736.346880000001</v>
      </c>
      <c r="U92" s="2">
        <f t="shared" si="8"/>
        <v>9140.6016000000018</v>
      </c>
      <c r="V92" s="2">
        <f t="shared" si="8"/>
        <v>8544.8563200000008</v>
      </c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</row>
    <row r="93" spans="1:45" x14ac:dyDescent="0.35">
      <c r="A93" t="str">
        <f t="shared" si="9"/>
        <v xml:space="preserve">  Post-harvest processes</v>
      </c>
      <c r="B93" s="13">
        <f>'Prices &amp; assums'!D17</f>
        <v>46.332000000000001</v>
      </c>
      <c r="C93" s="2">
        <f t="shared" si="8"/>
        <v>8339.76</v>
      </c>
      <c r="D93" s="2">
        <f t="shared" si="8"/>
        <v>5559.84</v>
      </c>
      <c r="E93" s="2">
        <f t="shared" si="8"/>
        <v>2779.92</v>
      </c>
      <c r="F93" s="2">
        <f t="shared" si="8"/>
        <v>5096.5200000000004</v>
      </c>
      <c r="G93" s="2">
        <f t="shared" si="8"/>
        <v>7885.7064</v>
      </c>
      <c r="H93" s="2">
        <f t="shared" si="8"/>
        <v>8830.8792000000012</v>
      </c>
      <c r="I93" s="2">
        <f t="shared" si="8"/>
        <v>9776.0520000000015</v>
      </c>
      <c r="J93" s="2">
        <f t="shared" si="8"/>
        <v>10721.224800000002</v>
      </c>
      <c r="K93" s="2">
        <f t="shared" si="8"/>
        <v>11666.3976</v>
      </c>
      <c r="L93" s="2">
        <f t="shared" si="8"/>
        <v>12611.570400000002</v>
      </c>
      <c r="M93" s="2">
        <f t="shared" si="8"/>
        <v>13556.743200000001</v>
      </c>
      <c r="N93" s="2">
        <f t="shared" si="8"/>
        <v>14501.916000000003</v>
      </c>
      <c r="O93" s="2">
        <f t="shared" si="8"/>
        <v>15447.088800000001</v>
      </c>
      <c r="P93" s="2">
        <f t="shared" si="8"/>
        <v>16392.261600000002</v>
      </c>
      <c r="Q93" s="2">
        <f t="shared" si="8"/>
        <v>17337.434399999998</v>
      </c>
      <c r="R93" s="2">
        <f t="shared" si="8"/>
        <v>17337.434399999998</v>
      </c>
      <c r="S93" s="2">
        <f t="shared" si="8"/>
        <v>16392.261600000002</v>
      </c>
      <c r="T93" s="2">
        <f t="shared" si="8"/>
        <v>15447.088800000001</v>
      </c>
      <c r="U93" s="2">
        <f t="shared" si="8"/>
        <v>14501.916000000003</v>
      </c>
      <c r="V93" s="2">
        <f t="shared" si="8"/>
        <v>13556.743200000001</v>
      </c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</row>
    <row r="94" spans="1:45" x14ac:dyDescent="0.35">
      <c r="A94" t="str">
        <f t="shared" si="9"/>
        <v xml:space="preserve">  Transport of beans</v>
      </c>
      <c r="B94" s="13">
        <f>'Prices &amp; assums'!D26/1000</f>
        <v>9.9</v>
      </c>
      <c r="C94" s="2">
        <f t="shared" si="8"/>
        <v>1782</v>
      </c>
      <c r="D94" s="2">
        <f t="shared" si="8"/>
        <v>1188</v>
      </c>
      <c r="E94" s="2">
        <f t="shared" si="8"/>
        <v>594</v>
      </c>
      <c r="F94" s="2">
        <f t="shared" si="8"/>
        <v>1089</v>
      </c>
      <c r="G94" s="2">
        <f t="shared" si="8"/>
        <v>1684.98</v>
      </c>
      <c r="H94" s="2">
        <f t="shared" si="8"/>
        <v>1886.9400000000003</v>
      </c>
      <c r="I94" s="2">
        <f t="shared" si="8"/>
        <v>2088.9000000000005</v>
      </c>
      <c r="J94" s="2">
        <f t="shared" si="8"/>
        <v>2290.8600000000006</v>
      </c>
      <c r="K94" s="2">
        <f t="shared" si="8"/>
        <v>2492.8200000000002</v>
      </c>
      <c r="L94" s="2">
        <f t="shared" si="8"/>
        <v>2694.7800000000007</v>
      </c>
      <c r="M94" s="2">
        <f t="shared" si="8"/>
        <v>2896.7400000000002</v>
      </c>
      <c r="N94" s="2">
        <f t="shared" si="8"/>
        <v>3098.7000000000007</v>
      </c>
      <c r="O94" s="2">
        <f t="shared" si="8"/>
        <v>3300.6600000000003</v>
      </c>
      <c r="P94" s="2">
        <f t="shared" si="8"/>
        <v>3502.6200000000003</v>
      </c>
      <c r="Q94" s="2">
        <f t="shared" si="8"/>
        <v>3704.58</v>
      </c>
      <c r="R94" s="2">
        <f t="shared" ref="R94:V94" si="10">$B94*R56</f>
        <v>3704.58</v>
      </c>
      <c r="S94" s="2">
        <f t="shared" si="10"/>
        <v>3502.6200000000003</v>
      </c>
      <c r="T94" s="2">
        <f t="shared" si="10"/>
        <v>3300.6600000000003</v>
      </c>
      <c r="U94" s="2">
        <f t="shared" si="10"/>
        <v>3098.7000000000007</v>
      </c>
      <c r="V94" s="2">
        <f t="shared" si="10"/>
        <v>2896.7400000000002</v>
      </c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</row>
    <row r="95" spans="1:45" x14ac:dyDescent="0.35">
      <c r="A95" t="str">
        <f t="shared" si="9"/>
        <v xml:space="preserve">  Firewood cut</v>
      </c>
      <c r="B95" s="13">
        <f>'Prices &amp; assums'!D20</f>
        <v>140.39999999999998</v>
      </c>
      <c r="C95" s="2">
        <f t="shared" ref="C95:V95" si="11">$B95*C57</f>
        <v>0</v>
      </c>
      <c r="D95" s="2">
        <f t="shared" si="11"/>
        <v>0</v>
      </c>
      <c r="E95" s="2">
        <f t="shared" si="11"/>
        <v>0</v>
      </c>
      <c r="F95" s="2">
        <f t="shared" si="11"/>
        <v>0</v>
      </c>
      <c r="G95" s="2">
        <f t="shared" si="11"/>
        <v>0</v>
      </c>
      <c r="H95" s="2">
        <f t="shared" si="11"/>
        <v>0</v>
      </c>
      <c r="I95" s="2">
        <f t="shared" si="11"/>
        <v>2807.9999999999995</v>
      </c>
      <c r="J95" s="2">
        <f t="shared" si="11"/>
        <v>0</v>
      </c>
      <c r="K95" s="2">
        <f t="shared" si="11"/>
        <v>0</v>
      </c>
      <c r="L95" s="2">
        <f t="shared" si="11"/>
        <v>0</v>
      </c>
      <c r="M95" s="2">
        <f t="shared" si="11"/>
        <v>0</v>
      </c>
      <c r="N95" s="2">
        <f t="shared" si="11"/>
        <v>0</v>
      </c>
      <c r="O95" s="2">
        <f t="shared" si="11"/>
        <v>0</v>
      </c>
      <c r="P95" s="2">
        <f t="shared" si="11"/>
        <v>2807.9999999999995</v>
      </c>
      <c r="Q95" s="2">
        <f t="shared" si="11"/>
        <v>0</v>
      </c>
      <c r="R95" s="2">
        <f t="shared" si="11"/>
        <v>0</v>
      </c>
      <c r="S95" s="2">
        <f t="shared" si="11"/>
        <v>0</v>
      </c>
      <c r="T95" s="2">
        <f t="shared" si="11"/>
        <v>0</v>
      </c>
      <c r="U95" s="2">
        <f t="shared" si="11"/>
        <v>0</v>
      </c>
      <c r="V95" s="2">
        <f t="shared" si="11"/>
        <v>0</v>
      </c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</row>
    <row r="96" spans="1:45" x14ac:dyDescent="0.35">
      <c r="B96" s="13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</row>
    <row r="97" spans="1:45" x14ac:dyDescent="0.35">
      <c r="A97" t="str">
        <f>A59</f>
        <v>Inputs</v>
      </c>
      <c r="B97" s="13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</row>
    <row r="98" spans="1:45" x14ac:dyDescent="0.35">
      <c r="A98" s="44" t="str">
        <f>A60</f>
        <v xml:space="preserve">  cocoa seedlings</v>
      </c>
      <c r="B98" s="29">
        <f>'Prices &amp; assums'!D81</f>
        <v>147</v>
      </c>
      <c r="C98" s="30">
        <f t="shared" ref="C98:V103" si="12">$B98*C60</f>
        <v>48987.75</v>
      </c>
      <c r="D98" s="30">
        <f t="shared" si="12"/>
        <v>48987.75</v>
      </c>
      <c r="E98" s="30">
        <f t="shared" si="12"/>
        <v>48987.75</v>
      </c>
      <c r="F98" s="30">
        <f t="shared" si="12"/>
        <v>0</v>
      </c>
      <c r="G98" s="30">
        <f t="shared" si="12"/>
        <v>0</v>
      </c>
      <c r="H98" s="30">
        <f t="shared" si="12"/>
        <v>0</v>
      </c>
      <c r="I98" s="30">
        <f t="shared" si="12"/>
        <v>0</v>
      </c>
      <c r="J98" s="30">
        <f t="shared" si="12"/>
        <v>0</v>
      </c>
      <c r="K98" s="30">
        <f t="shared" si="12"/>
        <v>0</v>
      </c>
      <c r="L98" s="30">
        <f t="shared" si="12"/>
        <v>0</v>
      </c>
      <c r="M98" s="30">
        <f t="shared" si="12"/>
        <v>0</v>
      </c>
      <c r="N98" s="30">
        <f t="shared" si="12"/>
        <v>0</v>
      </c>
      <c r="O98" s="30">
        <f t="shared" si="12"/>
        <v>0</v>
      </c>
      <c r="P98" s="30">
        <f t="shared" si="12"/>
        <v>0</v>
      </c>
      <c r="Q98" s="30">
        <f t="shared" si="12"/>
        <v>0</v>
      </c>
      <c r="R98" s="30">
        <f t="shared" si="12"/>
        <v>0</v>
      </c>
      <c r="S98" s="30">
        <f t="shared" si="12"/>
        <v>0</v>
      </c>
      <c r="T98" s="30">
        <f t="shared" si="12"/>
        <v>0</v>
      </c>
      <c r="U98" s="30">
        <f t="shared" si="12"/>
        <v>0</v>
      </c>
      <c r="V98" s="30">
        <f t="shared" si="12"/>
        <v>0</v>
      </c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</row>
    <row r="99" spans="1:45" x14ac:dyDescent="0.35">
      <c r="A99" s="44" t="s">
        <v>55</v>
      </c>
      <c r="B99" s="29">
        <f>'Prices &amp; assums'!D82</f>
        <v>196</v>
      </c>
      <c r="C99" s="30">
        <f t="shared" si="12"/>
        <v>3920</v>
      </c>
      <c r="D99" s="30">
        <f t="shared" si="12"/>
        <v>0</v>
      </c>
      <c r="E99" s="30">
        <f t="shared" si="12"/>
        <v>0</v>
      </c>
      <c r="F99" s="30">
        <f t="shared" si="12"/>
        <v>0</v>
      </c>
      <c r="G99" s="30">
        <f t="shared" si="12"/>
        <v>0</v>
      </c>
      <c r="H99" s="30">
        <f t="shared" si="12"/>
        <v>0</v>
      </c>
      <c r="I99" s="30">
        <f t="shared" si="12"/>
        <v>0</v>
      </c>
      <c r="J99" s="30">
        <f t="shared" si="12"/>
        <v>0</v>
      </c>
      <c r="K99" s="30">
        <f t="shared" si="12"/>
        <v>0</v>
      </c>
      <c r="L99" s="30">
        <f t="shared" si="12"/>
        <v>0</v>
      </c>
      <c r="M99" s="30">
        <f t="shared" si="12"/>
        <v>0</v>
      </c>
      <c r="N99" s="30">
        <f t="shared" si="12"/>
        <v>0</v>
      </c>
      <c r="O99" s="30">
        <f t="shared" si="12"/>
        <v>0</v>
      </c>
      <c r="P99" s="30">
        <f t="shared" si="12"/>
        <v>0</v>
      </c>
      <c r="Q99" s="30">
        <f t="shared" si="12"/>
        <v>0</v>
      </c>
      <c r="R99" s="30">
        <f t="shared" si="12"/>
        <v>0</v>
      </c>
      <c r="S99" s="30">
        <f t="shared" si="12"/>
        <v>0</v>
      </c>
      <c r="T99" s="30">
        <f t="shared" si="12"/>
        <v>0</v>
      </c>
      <c r="U99" s="30">
        <f t="shared" si="12"/>
        <v>0</v>
      </c>
      <c r="V99" s="30">
        <f t="shared" si="12"/>
        <v>0</v>
      </c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</row>
    <row r="100" spans="1:45" x14ac:dyDescent="0.35">
      <c r="A100" s="44" t="str">
        <f>A62</f>
        <v xml:space="preserve">  Akpi seedling</v>
      </c>
      <c r="B100" s="29">
        <f>'Prices &amp; assums'!D80</f>
        <v>980</v>
      </c>
      <c r="C100" s="30">
        <f t="shared" si="12"/>
        <v>34300</v>
      </c>
      <c r="D100" s="30">
        <f t="shared" si="12"/>
        <v>0</v>
      </c>
      <c r="E100" s="30">
        <f t="shared" si="12"/>
        <v>0</v>
      </c>
      <c r="F100" s="30">
        <f t="shared" si="12"/>
        <v>0</v>
      </c>
      <c r="G100" s="30">
        <f t="shared" si="12"/>
        <v>0</v>
      </c>
      <c r="H100" s="30">
        <f t="shared" si="12"/>
        <v>0</v>
      </c>
      <c r="I100" s="30">
        <f t="shared" si="12"/>
        <v>0</v>
      </c>
      <c r="J100" s="30">
        <f t="shared" si="12"/>
        <v>0</v>
      </c>
      <c r="K100" s="30">
        <f t="shared" si="12"/>
        <v>0</v>
      </c>
      <c r="L100" s="30">
        <f t="shared" si="12"/>
        <v>0</v>
      </c>
      <c r="M100" s="30">
        <f t="shared" si="12"/>
        <v>0</v>
      </c>
      <c r="N100" s="30">
        <f t="shared" si="12"/>
        <v>0</v>
      </c>
      <c r="O100" s="30">
        <f t="shared" si="12"/>
        <v>0</v>
      </c>
      <c r="P100" s="30">
        <f t="shared" si="12"/>
        <v>0</v>
      </c>
      <c r="Q100" s="30">
        <f t="shared" si="12"/>
        <v>0</v>
      </c>
      <c r="R100" s="30">
        <f t="shared" si="12"/>
        <v>0</v>
      </c>
      <c r="S100" s="30">
        <f t="shared" si="12"/>
        <v>0</v>
      </c>
      <c r="T100" s="30">
        <f t="shared" si="12"/>
        <v>0</v>
      </c>
      <c r="U100" s="30">
        <f t="shared" si="12"/>
        <v>0</v>
      </c>
      <c r="V100" s="30">
        <f t="shared" si="12"/>
        <v>0</v>
      </c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</row>
    <row r="101" spans="1:45" x14ac:dyDescent="0.35">
      <c r="A101" s="44" t="str">
        <f>A63</f>
        <v xml:space="preserve">  Teck seedling</v>
      </c>
      <c r="B101" s="29">
        <f>'Prices &amp; assums'!D83</f>
        <v>196</v>
      </c>
      <c r="C101" s="30">
        <f t="shared" si="12"/>
        <v>6860</v>
      </c>
      <c r="D101" s="30">
        <f t="shared" si="12"/>
        <v>0</v>
      </c>
      <c r="E101" s="30">
        <f t="shared" si="12"/>
        <v>0</v>
      </c>
      <c r="F101" s="30">
        <f t="shared" si="12"/>
        <v>0</v>
      </c>
      <c r="G101" s="30">
        <f t="shared" si="12"/>
        <v>0</v>
      </c>
      <c r="H101" s="30">
        <f t="shared" si="12"/>
        <v>0</v>
      </c>
      <c r="I101" s="30">
        <f t="shared" si="12"/>
        <v>0</v>
      </c>
      <c r="J101" s="30">
        <f t="shared" si="12"/>
        <v>0</v>
      </c>
      <c r="K101" s="30">
        <f t="shared" si="12"/>
        <v>0</v>
      </c>
      <c r="L101" s="30">
        <f t="shared" si="12"/>
        <v>0</v>
      </c>
      <c r="M101" s="30">
        <f t="shared" si="12"/>
        <v>0</v>
      </c>
      <c r="N101" s="30">
        <f t="shared" si="12"/>
        <v>0</v>
      </c>
      <c r="O101" s="30">
        <f t="shared" si="12"/>
        <v>0</v>
      </c>
      <c r="P101" s="30">
        <f t="shared" si="12"/>
        <v>0</v>
      </c>
      <c r="Q101" s="30">
        <f t="shared" si="12"/>
        <v>0</v>
      </c>
      <c r="R101" s="30">
        <f t="shared" si="12"/>
        <v>0</v>
      </c>
      <c r="S101" s="30">
        <f t="shared" si="12"/>
        <v>0</v>
      </c>
      <c r="T101" s="30">
        <f t="shared" si="12"/>
        <v>0</v>
      </c>
      <c r="U101" s="30">
        <f t="shared" si="12"/>
        <v>0</v>
      </c>
      <c r="V101" s="30">
        <f t="shared" si="12"/>
        <v>0</v>
      </c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</row>
    <row r="102" spans="1:45" x14ac:dyDescent="0.35">
      <c r="A102" s="44" t="str">
        <f>A64</f>
        <v xml:space="preserve">  Triple phosphate</v>
      </c>
      <c r="B102" s="29">
        <f>'Prices &amp; assums'!D57</f>
        <v>490</v>
      </c>
      <c r="C102" s="30">
        <f t="shared" si="12"/>
        <v>32658.500000000004</v>
      </c>
      <c r="D102" s="30">
        <f t="shared" si="12"/>
        <v>32658.500000000004</v>
      </c>
      <c r="E102" s="30">
        <f t="shared" si="12"/>
        <v>32658.500000000004</v>
      </c>
      <c r="F102" s="30">
        <f t="shared" si="12"/>
        <v>0</v>
      </c>
      <c r="G102" s="30">
        <f t="shared" si="12"/>
        <v>0</v>
      </c>
      <c r="H102" s="30">
        <f t="shared" si="12"/>
        <v>0</v>
      </c>
      <c r="I102" s="30">
        <f t="shared" si="12"/>
        <v>0</v>
      </c>
      <c r="J102" s="30">
        <f t="shared" si="12"/>
        <v>0</v>
      </c>
      <c r="K102" s="30">
        <f t="shared" si="12"/>
        <v>0</v>
      </c>
      <c r="L102" s="30">
        <f t="shared" si="12"/>
        <v>0</v>
      </c>
      <c r="M102" s="30">
        <f t="shared" si="12"/>
        <v>0</v>
      </c>
      <c r="N102" s="30">
        <f t="shared" si="12"/>
        <v>0</v>
      </c>
      <c r="O102" s="30">
        <f t="shared" si="12"/>
        <v>0</v>
      </c>
      <c r="P102" s="30">
        <f t="shared" si="12"/>
        <v>0</v>
      </c>
      <c r="Q102" s="30">
        <f t="shared" si="12"/>
        <v>0</v>
      </c>
      <c r="R102" s="30">
        <f t="shared" si="12"/>
        <v>0</v>
      </c>
      <c r="S102" s="30">
        <f t="shared" si="12"/>
        <v>0</v>
      </c>
      <c r="T102" s="30">
        <f t="shared" si="12"/>
        <v>0</v>
      </c>
      <c r="U102" s="30">
        <f t="shared" si="12"/>
        <v>0</v>
      </c>
      <c r="V102" s="30">
        <f t="shared" si="12"/>
        <v>0</v>
      </c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</row>
    <row r="103" spans="1:45" x14ac:dyDescent="0.35">
      <c r="A103" t="str">
        <f>A65</f>
        <v xml:space="preserve">  Plant protection chemicals</v>
      </c>
      <c r="B103" s="13">
        <f>'Prices &amp; assums'!D48</f>
        <v>3430</v>
      </c>
      <c r="C103" s="2">
        <f t="shared" si="12"/>
        <v>13720</v>
      </c>
      <c r="D103" s="2">
        <f t="shared" si="12"/>
        <v>13720</v>
      </c>
      <c r="E103" s="2">
        <f t="shared" si="12"/>
        <v>13720</v>
      </c>
      <c r="F103" s="2">
        <f t="shared" si="12"/>
        <v>13720</v>
      </c>
      <c r="G103" s="2">
        <f t="shared" si="12"/>
        <v>13720</v>
      </c>
      <c r="H103" s="2">
        <f t="shared" si="12"/>
        <v>13720</v>
      </c>
      <c r="I103" s="2">
        <f t="shared" si="12"/>
        <v>13720</v>
      </c>
      <c r="J103" s="2">
        <f t="shared" si="12"/>
        <v>13720</v>
      </c>
      <c r="K103" s="2">
        <f t="shared" si="12"/>
        <v>13720</v>
      </c>
      <c r="L103" s="2">
        <f t="shared" si="12"/>
        <v>13720</v>
      </c>
      <c r="M103" s="2">
        <f t="shared" si="12"/>
        <v>13720</v>
      </c>
      <c r="N103" s="2">
        <f t="shared" si="12"/>
        <v>13720</v>
      </c>
      <c r="O103" s="2">
        <f t="shared" si="12"/>
        <v>13720</v>
      </c>
      <c r="P103" s="2">
        <f t="shared" si="12"/>
        <v>13720</v>
      </c>
      <c r="Q103" s="2">
        <f t="shared" si="12"/>
        <v>13720</v>
      </c>
      <c r="R103" s="2">
        <f t="shared" si="12"/>
        <v>13720</v>
      </c>
      <c r="S103" s="2">
        <f t="shared" si="12"/>
        <v>13720</v>
      </c>
      <c r="T103" s="2">
        <f t="shared" si="12"/>
        <v>13720</v>
      </c>
      <c r="U103" s="2">
        <f t="shared" si="12"/>
        <v>13720</v>
      </c>
      <c r="V103" s="2">
        <f t="shared" si="12"/>
        <v>13720</v>
      </c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</row>
    <row r="104" spans="1:45" x14ac:dyDescent="0.35">
      <c r="B104" s="13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</row>
    <row r="105" spans="1:45" x14ac:dyDescent="0.35">
      <c r="A105" t="s">
        <v>30</v>
      </c>
      <c r="B105" s="13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</row>
    <row r="106" spans="1:45" x14ac:dyDescent="0.35">
      <c r="A106" t="s">
        <v>155</v>
      </c>
      <c r="B106" s="13">
        <f>'Prices &amp; assums'!D90</f>
        <v>7491.3995260663505</v>
      </c>
      <c r="C106" s="2">
        <f t="shared" ref="C106:V106" si="13">$B106*C68</f>
        <v>0</v>
      </c>
      <c r="D106" s="2">
        <f t="shared" si="13"/>
        <v>0</v>
      </c>
      <c r="E106" s="2">
        <f t="shared" si="13"/>
        <v>0</v>
      </c>
      <c r="F106" s="2">
        <f t="shared" si="13"/>
        <v>0</v>
      </c>
      <c r="G106" s="2">
        <f t="shared" si="13"/>
        <v>0</v>
      </c>
      <c r="H106" s="2">
        <f t="shared" si="13"/>
        <v>0</v>
      </c>
      <c r="I106" s="2">
        <f t="shared" si="13"/>
        <v>0</v>
      </c>
      <c r="J106" s="2">
        <f t="shared" si="13"/>
        <v>0</v>
      </c>
      <c r="K106" s="2">
        <f t="shared" si="13"/>
        <v>0</v>
      </c>
      <c r="L106" s="2">
        <f t="shared" si="13"/>
        <v>0</v>
      </c>
      <c r="M106" s="2">
        <f t="shared" si="13"/>
        <v>0</v>
      </c>
      <c r="N106" s="2">
        <f t="shared" si="13"/>
        <v>0</v>
      </c>
      <c r="O106" s="2">
        <f t="shared" si="13"/>
        <v>0</v>
      </c>
      <c r="P106" s="2">
        <f t="shared" si="13"/>
        <v>0</v>
      </c>
      <c r="Q106" s="2">
        <f t="shared" si="13"/>
        <v>0</v>
      </c>
      <c r="R106" s="2">
        <f t="shared" si="13"/>
        <v>0</v>
      </c>
      <c r="S106" s="2">
        <f t="shared" si="13"/>
        <v>0</v>
      </c>
      <c r="T106" s="2">
        <f t="shared" si="13"/>
        <v>0</v>
      </c>
      <c r="U106" s="2">
        <f t="shared" si="13"/>
        <v>0</v>
      </c>
      <c r="V106" s="2">
        <f t="shared" si="13"/>
        <v>0</v>
      </c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</row>
    <row r="107" spans="1:45" x14ac:dyDescent="0.35">
      <c r="B107" s="13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</row>
    <row r="108" spans="1:45" x14ac:dyDescent="0.35">
      <c r="A108" t="s">
        <v>6</v>
      </c>
      <c r="B108" s="13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</row>
    <row r="109" spans="1:45" x14ac:dyDescent="0.35">
      <c r="A109" t="s">
        <v>72</v>
      </c>
      <c r="B109" s="13">
        <f>'Prices &amp; assums'!D94</f>
        <v>825</v>
      </c>
      <c r="C109" s="2">
        <f t="shared" ref="C109:V109" si="14">$B109*SUM(C71:C74)</f>
        <v>148500</v>
      </c>
      <c r="D109" s="2">
        <f t="shared" si="14"/>
        <v>99000</v>
      </c>
      <c r="E109" s="2">
        <f t="shared" si="14"/>
        <v>49500</v>
      </c>
      <c r="F109" s="2">
        <f t="shared" si="14"/>
        <v>90750</v>
      </c>
      <c r="G109" s="2">
        <f t="shared" si="14"/>
        <v>140415</v>
      </c>
      <c r="H109" s="2">
        <f t="shared" si="14"/>
        <v>198495.00000000003</v>
      </c>
      <c r="I109" s="2">
        <f t="shared" si="14"/>
        <v>223740.00000000003</v>
      </c>
      <c r="J109" s="2">
        <f t="shared" si="14"/>
        <v>248985.00000000006</v>
      </c>
      <c r="K109" s="2">
        <f t="shared" si="14"/>
        <v>274230</v>
      </c>
      <c r="L109" s="2">
        <f t="shared" si="14"/>
        <v>299475.00000000006</v>
      </c>
      <c r="M109" s="2">
        <f t="shared" si="14"/>
        <v>324720</v>
      </c>
      <c r="N109" s="2">
        <f t="shared" si="14"/>
        <v>349965.00000000006</v>
      </c>
      <c r="O109" s="2">
        <f t="shared" si="14"/>
        <v>375210.00000000006</v>
      </c>
      <c r="P109" s="2">
        <f t="shared" si="14"/>
        <v>400455</v>
      </c>
      <c r="Q109" s="2">
        <f t="shared" si="14"/>
        <v>425700</v>
      </c>
      <c r="R109" s="2">
        <f t="shared" si="14"/>
        <v>434115.00000000006</v>
      </c>
      <c r="S109" s="2">
        <f t="shared" si="14"/>
        <v>425700</v>
      </c>
      <c r="T109" s="2">
        <f t="shared" si="14"/>
        <v>400455</v>
      </c>
      <c r="U109" s="2">
        <f t="shared" si="14"/>
        <v>375210.00000000006</v>
      </c>
      <c r="V109" s="2">
        <f t="shared" si="14"/>
        <v>349965.00000000006</v>
      </c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</row>
    <row r="110" spans="1:45" x14ac:dyDescent="0.35">
      <c r="A110" t="s">
        <v>53</v>
      </c>
      <c r="B110" s="13">
        <f>'Prices &amp; assums'!D97</f>
        <v>2666.6666666666665</v>
      </c>
      <c r="C110" s="2">
        <f t="shared" ref="C110:V112" si="15">$B110*C75</f>
        <v>0</v>
      </c>
      <c r="D110" s="2">
        <f t="shared" si="15"/>
        <v>0</v>
      </c>
      <c r="E110" s="2">
        <f t="shared" si="15"/>
        <v>0</v>
      </c>
      <c r="F110" s="2">
        <f t="shared" si="15"/>
        <v>0</v>
      </c>
      <c r="G110" s="2">
        <f t="shared" si="15"/>
        <v>0</v>
      </c>
      <c r="H110" s="2">
        <f t="shared" si="15"/>
        <v>0</v>
      </c>
      <c r="I110" s="2">
        <f t="shared" si="15"/>
        <v>0</v>
      </c>
      <c r="J110" s="2">
        <f t="shared" si="15"/>
        <v>21354.666666666664</v>
      </c>
      <c r="K110" s="2">
        <f t="shared" si="15"/>
        <v>27925.333333333332</v>
      </c>
      <c r="L110" s="2">
        <f t="shared" si="15"/>
        <v>34495.999999999993</v>
      </c>
      <c r="M110" s="2">
        <f t="shared" si="15"/>
        <v>41066.666666666664</v>
      </c>
      <c r="N110" s="2">
        <f t="shared" si="15"/>
        <v>47637.333333333321</v>
      </c>
      <c r="O110" s="2">
        <f t="shared" si="15"/>
        <v>54207.999999999993</v>
      </c>
      <c r="P110" s="2">
        <f t="shared" si="15"/>
        <v>60778.666666666664</v>
      </c>
      <c r="Q110" s="2">
        <f t="shared" si="15"/>
        <v>67349.333333333314</v>
      </c>
      <c r="R110" s="2">
        <f t="shared" si="15"/>
        <v>67349.333333333314</v>
      </c>
      <c r="S110" s="2">
        <f t="shared" si="15"/>
        <v>67349.333333333314</v>
      </c>
      <c r="T110" s="2">
        <f t="shared" si="15"/>
        <v>67349.333333333314</v>
      </c>
      <c r="U110" s="2">
        <f t="shared" si="15"/>
        <v>67349.333333333314</v>
      </c>
      <c r="V110" s="2">
        <f t="shared" si="15"/>
        <v>67349.333333333314</v>
      </c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</row>
    <row r="111" spans="1:45" x14ac:dyDescent="0.35">
      <c r="A111" t="s">
        <v>56</v>
      </c>
      <c r="B111" s="13">
        <f>'Prices &amp; assums'!D99</f>
        <v>2800</v>
      </c>
      <c r="C111" s="2">
        <f t="shared" si="15"/>
        <v>0</v>
      </c>
      <c r="D111" s="2">
        <f t="shared" si="15"/>
        <v>0</v>
      </c>
      <c r="E111" s="2">
        <f t="shared" si="15"/>
        <v>0</v>
      </c>
      <c r="F111" s="2">
        <f t="shared" si="15"/>
        <v>0</v>
      </c>
      <c r="G111" s="2">
        <f t="shared" si="15"/>
        <v>0</v>
      </c>
      <c r="H111" s="2">
        <f t="shared" si="15"/>
        <v>0</v>
      </c>
      <c r="I111" s="2">
        <f t="shared" si="15"/>
        <v>2800</v>
      </c>
      <c r="J111" s="2">
        <f t="shared" si="15"/>
        <v>0</v>
      </c>
      <c r="K111" s="2">
        <f t="shared" si="15"/>
        <v>0</v>
      </c>
      <c r="L111" s="2">
        <f t="shared" si="15"/>
        <v>0</v>
      </c>
      <c r="M111" s="2">
        <f t="shared" si="15"/>
        <v>0</v>
      </c>
      <c r="N111" s="2">
        <f t="shared" si="15"/>
        <v>0</v>
      </c>
      <c r="O111" s="2">
        <f t="shared" si="15"/>
        <v>0</v>
      </c>
      <c r="P111" s="2">
        <f t="shared" si="15"/>
        <v>2800</v>
      </c>
      <c r="Q111" s="2">
        <f t="shared" si="15"/>
        <v>0</v>
      </c>
      <c r="R111" s="2">
        <f t="shared" si="15"/>
        <v>0</v>
      </c>
      <c r="S111" s="2">
        <f t="shared" si="15"/>
        <v>0</v>
      </c>
      <c r="T111" s="2">
        <f t="shared" si="15"/>
        <v>0</v>
      </c>
      <c r="U111" s="2">
        <f t="shared" si="15"/>
        <v>0</v>
      </c>
      <c r="V111" s="2">
        <f t="shared" si="15"/>
        <v>0</v>
      </c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</row>
    <row r="112" spans="1:45" x14ac:dyDescent="0.35">
      <c r="A112" s="11" t="s">
        <v>64</v>
      </c>
      <c r="B112" s="22">
        <f>'Prices &amp; assums'!D103*0.8</f>
        <v>22080</v>
      </c>
      <c r="C112" s="14">
        <f t="shared" si="15"/>
        <v>0</v>
      </c>
      <c r="D112" s="14">
        <f t="shared" si="15"/>
        <v>0</v>
      </c>
      <c r="E112" s="14">
        <f t="shared" si="15"/>
        <v>0</v>
      </c>
      <c r="F112" s="14">
        <f t="shared" si="15"/>
        <v>0</v>
      </c>
      <c r="G112" s="14">
        <f t="shared" si="15"/>
        <v>0</v>
      </c>
      <c r="H112" s="14">
        <f t="shared" si="15"/>
        <v>0</v>
      </c>
      <c r="I112" s="14">
        <f t="shared" si="15"/>
        <v>0</v>
      </c>
      <c r="J112" s="14">
        <f t="shared" si="15"/>
        <v>0</v>
      </c>
      <c r="K112" s="14">
        <f t="shared" si="15"/>
        <v>0</v>
      </c>
      <c r="L112" s="14">
        <f t="shared" si="15"/>
        <v>0</v>
      </c>
      <c r="M112" s="14">
        <f t="shared" si="15"/>
        <v>0</v>
      </c>
      <c r="N112" s="14">
        <f t="shared" si="15"/>
        <v>0</v>
      </c>
      <c r="O112" s="14">
        <f t="shared" si="15"/>
        <v>0</v>
      </c>
      <c r="P112" s="14">
        <f t="shared" si="15"/>
        <v>0</v>
      </c>
      <c r="Q112" s="14">
        <f t="shared" si="15"/>
        <v>0</v>
      </c>
      <c r="R112" s="14">
        <f t="shared" si="15"/>
        <v>0</v>
      </c>
      <c r="S112" s="14">
        <f t="shared" si="15"/>
        <v>0</v>
      </c>
      <c r="T112" s="14">
        <f t="shared" si="15"/>
        <v>0</v>
      </c>
      <c r="U112" s="14">
        <f t="shared" si="15"/>
        <v>0</v>
      </c>
      <c r="V112" s="14">
        <f t="shared" si="15"/>
        <v>772800</v>
      </c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</row>
    <row r="113" spans="1:22" x14ac:dyDescent="0.35">
      <c r="A113" t="s">
        <v>156</v>
      </c>
      <c r="C113" s="5"/>
      <c r="D113" s="5"/>
      <c r="E113" s="5"/>
    </row>
    <row r="114" spans="1:22" x14ac:dyDescent="0.35">
      <c r="A114" t="s">
        <v>157</v>
      </c>
      <c r="C114" s="2">
        <f t="shared" ref="C114:V114" si="16">SUM(C82:C95)+SUM(C98:C103)+C106</f>
        <v>259475.42849999998</v>
      </c>
      <c r="D114" s="2">
        <f>SUM(D82:D95)+SUM(D98:D103)+D106</f>
        <v>246347.68266541354</v>
      </c>
      <c r="E114" s="2">
        <f t="shared" si="16"/>
        <v>241086.2323195489</v>
      </c>
      <c r="F114" s="2">
        <f t="shared" si="16"/>
        <v>101306.99981954887</v>
      </c>
      <c r="G114" s="2">
        <f t="shared" si="16"/>
        <v>105949.07104</v>
      </c>
      <c r="H114" s="2">
        <f t="shared" si="16"/>
        <v>107691.94912</v>
      </c>
      <c r="I114" s="2">
        <f t="shared" si="16"/>
        <v>112242.82719999999</v>
      </c>
      <c r="J114" s="2">
        <f t="shared" si="16"/>
        <v>111177.70527999999</v>
      </c>
      <c r="K114" s="2">
        <f t="shared" si="16"/>
        <v>112920.58336</v>
      </c>
      <c r="L114" s="2">
        <f t="shared" si="16"/>
        <v>114663.46144</v>
      </c>
      <c r="M114" s="2">
        <f t="shared" si="16"/>
        <v>116406.33952000001</v>
      </c>
      <c r="N114" s="2">
        <f t="shared" si="16"/>
        <v>118149.21759999999</v>
      </c>
      <c r="O114" s="2">
        <f t="shared" si="16"/>
        <v>119892.09568</v>
      </c>
      <c r="P114" s="2">
        <f t="shared" si="16"/>
        <v>124442.97375999999</v>
      </c>
      <c r="Q114" s="2">
        <f t="shared" si="16"/>
        <v>123377.85184</v>
      </c>
      <c r="R114" s="2">
        <f t="shared" si="16"/>
        <v>123377.85184</v>
      </c>
      <c r="S114" s="2">
        <f t="shared" si="16"/>
        <v>121634.97375999999</v>
      </c>
      <c r="T114" s="2">
        <f t="shared" si="16"/>
        <v>119892.09568</v>
      </c>
      <c r="U114" s="2">
        <f t="shared" si="16"/>
        <v>118149.21759999999</v>
      </c>
      <c r="V114" s="2">
        <f t="shared" si="16"/>
        <v>116406.33952000001</v>
      </c>
    </row>
    <row r="115" spans="1:22" x14ac:dyDescent="0.35">
      <c r="A115" t="s">
        <v>158</v>
      </c>
      <c r="C115" s="2">
        <f t="shared" ref="C115:V115" si="17">C114-C82-C83-C86/3-C87-C88/3-C90-C92/2-C93-C95</f>
        <v>188200.90049999999</v>
      </c>
      <c r="D115" s="2">
        <f t="shared" si="17"/>
        <v>186778.77066541353</v>
      </c>
      <c r="E115" s="2">
        <f t="shared" si="17"/>
        <v>185173.33631954889</v>
      </c>
      <c r="F115" s="2">
        <f t="shared" si="17"/>
        <v>71204.303819548863</v>
      </c>
      <c r="G115" s="2">
        <f t="shared" si="17"/>
        <v>72178.172319999998</v>
      </c>
      <c r="H115" s="2">
        <f t="shared" si="17"/>
        <v>72678.004960000006</v>
      </c>
      <c r="I115" s="2">
        <f t="shared" si="17"/>
        <v>73177.837599999984</v>
      </c>
      <c r="J115" s="2">
        <f t="shared" si="17"/>
        <v>73677.670239999992</v>
      </c>
      <c r="K115" s="2">
        <f t="shared" si="17"/>
        <v>74177.502880000015</v>
      </c>
      <c r="L115" s="2">
        <f t="shared" si="17"/>
        <v>74677.335520000008</v>
      </c>
      <c r="M115" s="2">
        <f t="shared" si="17"/>
        <v>75177.168160000016</v>
      </c>
      <c r="N115" s="2">
        <f t="shared" si="17"/>
        <v>75677.000799999994</v>
      </c>
      <c r="O115" s="2">
        <f t="shared" si="17"/>
        <v>76176.833440000002</v>
      </c>
      <c r="P115" s="2">
        <f t="shared" si="17"/>
        <v>76676.666079999995</v>
      </c>
      <c r="Q115" s="2">
        <f t="shared" si="17"/>
        <v>77176.498720000003</v>
      </c>
      <c r="R115" s="2">
        <f t="shared" si="17"/>
        <v>77176.498720000003</v>
      </c>
      <c r="S115" s="2">
        <f t="shared" si="17"/>
        <v>76676.666079999995</v>
      </c>
      <c r="T115" s="2">
        <f t="shared" si="17"/>
        <v>76176.833440000002</v>
      </c>
      <c r="U115" s="2">
        <f t="shared" si="17"/>
        <v>75677.000799999994</v>
      </c>
      <c r="V115" s="2">
        <f t="shared" si="17"/>
        <v>75177.168160000016</v>
      </c>
    </row>
    <row r="116" spans="1:22" x14ac:dyDescent="0.35">
      <c r="A116" t="s">
        <v>159</v>
      </c>
      <c r="C116" s="2">
        <f t="shared" ref="C116:V116" si="18">C85+C98+C99+C100+C101+C102</f>
        <v>151726.25</v>
      </c>
      <c r="D116" s="2">
        <f t="shared" si="18"/>
        <v>106646.25</v>
      </c>
      <c r="E116" s="2">
        <f t="shared" si="18"/>
        <v>106646.25</v>
      </c>
      <c r="F116" s="2">
        <f t="shared" si="18"/>
        <v>0</v>
      </c>
      <c r="G116" s="2">
        <f t="shared" si="18"/>
        <v>0</v>
      </c>
      <c r="H116" s="2">
        <f t="shared" si="18"/>
        <v>0</v>
      </c>
      <c r="I116" s="2">
        <f t="shared" si="18"/>
        <v>0</v>
      </c>
      <c r="J116" s="2">
        <f t="shared" si="18"/>
        <v>0</v>
      </c>
      <c r="K116" s="2">
        <f t="shared" si="18"/>
        <v>0</v>
      </c>
      <c r="L116" s="2">
        <f t="shared" si="18"/>
        <v>0</v>
      </c>
      <c r="M116" s="2">
        <f t="shared" si="18"/>
        <v>0</v>
      </c>
      <c r="N116" s="2">
        <f t="shared" si="18"/>
        <v>0</v>
      </c>
      <c r="O116" s="2">
        <f t="shared" si="18"/>
        <v>0</v>
      </c>
      <c r="P116" s="2">
        <f t="shared" si="18"/>
        <v>0</v>
      </c>
      <c r="Q116" s="2">
        <f t="shared" si="18"/>
        <v>0</v>
      </c>
      <c r="R116" s="2">
        <f t="shared" si="18"/>
        <v>0</v>
      </c>
      <c r="S116" s="2">
        <f t="shared" si="18"/>
        <v>0</v>
      </c>
      <c r="T116" s="2">
        <f t="shared" si="18"/>
        <v>0</v>
      </c>
      <c r="U116" s="2">
        <f t="shared" si="18"/>
        <v>0</v>
      </c>
      <c r="V116" s="2">
        <f t="shared" si="18"/>
        <v>0</v>
      </c>
    </row>
    <row r="117" spans="1:22" x14ac:dyDescent="0.35">
      <c r="A117" s="44" t="s">
        <v>160</v>
      </c>
      <c r="B117" s="44"/>
      <c r="C117" s="30">
        <f>C114-C116</f>
        <v>107749.17849999998</v>
      </c>
      <c r="D117" s="30">
        <f t="shared" ref="D117:V117" si="19">D114-D116</f>
        <v>139701.43266541354</v>
      </c>
      <c r="E117" s="30">
        <f t="shared" si="19"/>
        <v>134439.9823195489</v>
      </c>
      <c r="F117" s="30">
        <f t="shared" si="19"/>
        <v>101306.99981954887</v>
      </c>
      <c r="G117" s="30">
        <f t="shared" si="19"/>
        <v>105949.07104</v>
      </c>
      <c r="H117" s="30">
        <f t="shared" si="19"/>
        <v>107691.94912</v>
      </c>
      <c r="I117" s="30">
        <f t="shared" si="19"/>
        <v>112242.82719999999</v>
      </c>
      <c r="J117" s="30">
        <f t="shared" si="19"/>
        <v>111177.70527999999</v>
      </c>
      <c r="K117" s="30">
        <f t="shared" si="19"/>
        <v>112920.58336</v>
      </c>
      <c r="L117" s="30">
        <f t="shared" si="19"/>
        <v>114663.46144</v>
      </c>
      <c r="M117" s="30">
        <f t="shared" si="19"/>
        <v>116406.33952000001</v>
      </c>
      <c r="N117" s="30">
        <f t="shared" si="19"/>
        <v>118149.21759999999</v>
      </c>
      <c r="O117" s="30">
        <f t="shared" si="19"/>
        <v>119892.09568</v>
      </c>
      <c r="P117" s="30">
        <f t="shared" si="19"/>
        <v>124442.97375999999</v>
      </c>
      <c r="Q117" s="30">
        <f t="shared" si="19"/>
        <v>123377.85184</v>
      </c>
      <c r="R117" s="30">
        <f t="shared" si="19"/>
        <v>123377.85184</v>
      </c>
      <c r="S117" s="30">
        <f t="shared" si="19"/>
        <v>121634.97375999999</v>
      </c>
      <c r="T117" s="30">
        <f t="shared" si="19"/>
        <v>119892.09568</v>
      </c>
      <c r="U117" s="30">
        <f t="shared" si="19"/>
        <v>118149.21759999999</v>
      </c>
      <c r="V117" s="30">
        <f t="shared" si="19"/>
        <v>116406.33952000001</v>
      </c>
    </row>
    <row r="118" spans="1:22" x14ac:dyDescent="0.35">
      <c r="A118" t="s">
        <v>79</v>
      </c>
      <c r="C118" s="2">
        <f t="shared" ref="C118:V118" si="20">SUM(C109:C112)</f>
        <v>148500</v>
      </c>
      <c r="D118" s="2">
        <f t="shared" si="20"/>
        <v>99000</v>
      </c>
      <c r="E118" s="2">
        <f t="shared" si="20"/>
        <v>49500</v>
      </c>
      <c r="F118" s="2">
        <f t="shared" si="20"/>
        <v>90750</v>
      </c>
      <c r="G118" s="2">
        <f t="shared" si="20"/>
        <v>140415</v>
      </c>
      <c r="H118" s="2">
        <f t="shared" si="20"/>
        <v>198495.00000000003</v>
      </c>
      <c r="I118" s="2">
        <f t="shared" si="20"/>
        <v>226540.00000000003</v>
      </c>
      <c r="J118" s="2">
        <f t="shared" si="20"/>
        <v>270339.66666666674</v>
      </c>
      <c r="K118" s="2">
        <f t="shared" si="20"/>
        <v>302155.33333333331</v>
      </c>
      <c r="L118" s="2">
        <f t="shared" si="20"/>
        <v>333971.00000000006</v>
      </c>
      <c r="M118" s="2">
        <f t="shared" si="20"/>
        <v>365786.66666666669</v>
      </c>
      <c r="N118" s="2">
        <f t="shared" si="20"/>
        <v>397602.33333333337</v>
      </c>
      <c r="O118" s="2">
        <f t="shared" si="20"/>
        <v>429418.00000000006</v>
      </c>
      <c r="P118" s="2">
        <f t="shared" si="20"/>
        <v>464033.66666666669</v>
      </c>
      <c r="Q118" s="2">
        <f t="shared" si="20"/>
        <v>493049.33333333331</v>
      </c>
      <c r="R118" s="2">
        <f t="shared" si="20"/>
        <v>501464.33333333337</v>
      </c>
      <c r="S118" s="2">
        <f t="shared" si="20"/>
        <v>493049.33333333331</v>
      </c>
      <c r="T118" s="2">
        <f t="shared" si="20"/>
        <v>467804.33333333331</v>
      </c>
      <c r="U118" s="2">
        <f t="shared" si="20"/>
        <v>442559.33333333337</v>
      </c>
      <c r="V118" s="2">
        <f t="shared" si="20"/>
        <v>1190114.3333333335</v>
      </c>
    </row>
    <row r="119" spans="1:22" x14ac:dyDescent="0.35">
      <c r="A119" s="45" t="s">
        <v>154</v>
      </c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x14ac:dyDescent="0.35">
      <c r="A120" t="s">
        <v>151</v>
      </c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x14ac:dyDescent="0.35">
      <c r="A121" t="s">
        <v>152</v>
      </c>
      <c r="C121" s="2">
        <f t="shared" ref="C121:V121" si="21">C118-C114</f>
        <v>-110975.42849999998</v>
      </c>
      <c r="D121" s="2">
        <f t="shared" si="21"/>
        <v>-147347.68266541354</v>
      </c>
      <c r="E121" s="2">
        <f t="shared" si="21"/>
        <v>-191586.2323195489</v>
      </c>
      <c r="F121" s="2">
        <f t="shared" si="21"/>
        <v>-10556.999819548873</v>
      </c>
      <c r="G121" s="2">
        <f t="shared" si="21"/>
        <v>34465.928960000005</v>
      </c>
      <c r="H121" s="2">
        <f t="shared" si="21"/>
        <v>90803.050880000024</v>
      </c>
      <c r="I121" s="2">
        <f t="shared" si="21"/>
        <v>114297.17280000004</v>
      </c>
      <c r="J121" s="2">
        <f t="shared" si="21"/>
        <v>159161.96138666675</v>
      </c>
      <c r="K121" s="2">
        <f t="shared" si="21"/>
        <v>189234.74997333332</v>
      </c>
      <c r="L121" s="2">
        <f t="shared" si="21"/>
        <v>219307.53856000007</v>
      </c>
      <c r="M121" s="2">
        <f t="shared" si="21"/>
        <v>249380.32714666668</v>
      </c>
      <c r="N121" s="2">
        <f t="shared" si="21"/>
        <v>279453.1157333334</v>
      </c>
      <c r="O121" s="2">
        <f t="shared" si="21"/>
        <v>309525.90432000009</v>
      </c>
      <c r="P121" s="2">
        <f t="shared" si="21"/>
        <v>339590.69290666666</v>
      </c>
      <c r="Q121" s="2">
        <f t="shared" si="21"/>
        <v>369671.4814933333</v>
      </c>
      <c r="R121" s="2">
        <f t="shared" si="21"/>
        <v>378086.48149333335</v>
      </c>
      <c r="S121" s="2">
        <f t="shared" si="21"/>
        <v>371414.35957333329</v>
      </c>
      <c r="T121" s="2">
        <f t="shared" si="21"/>
        <v>347912.23765333334</v>
      </c>
      <c r="U121" s="2">
        <f t="shared" si="21"/>
        <v>324410.1157333334</v>
      </c>
      <c r="V121" s="2">
        <f t="shared" si="21"/>
        <v>1073707.9938133336</v>
      </c>
    </row>
    <row r="122" spans="1:22" x14ac:dyDescent="0.35">
      <c r="A122" t="s">
        <v>153</v>
      </c>
      <c r="C122" s="2">
        <f t="shared" ref="C122:V122" si="22">C118-C115</f>
        <v>-39700.900499999989</v>
      </c>
      <c r="D122" s="2">
        <f t="shared" si="22"/>
        <v>-87778.770665413525</v>
      </c>
      <c r="E122" s="2">
        <f t="shared" si="22"/>
        <v>-135673.33631954889</v>
      </c>
      <c r="F122" s="2">
        <f t="shared" si="22"/>
        <v>19545.696180451137</v>
      </c>
      <c r="G122" s="2">
        <f t="shared" si="22"/>
        <v>68236.827680000002</v>
      </c>
      <c r="H122" s="2">
        <f t="shared" si="22"/>
        <v>125816.99504000002</v>
      </c>
      <c r="I122" s="2">
        <f t="shared" si="22"/>
        <v>153362.16240000003</v>
      </c>
      <c r="J122" s="2">
        <f t="shared" si="22"/>
        <v>196661.99642666674</v>
      </c>
      <c r="K122" s="2">
        <f t="shared" si="22"/>
        <v>227977.8304533333</v>
      </c>
      <c r="L122" s="2">
        <f t="shared" si="22"/>
        <v>259293.66448000004</v>
      </c>
      <c r="M122" s="2">
        <f t="shared" si="22"/>
        <v>290609.49850666668</v>
      </c>
      <c r="N122" s="2">
        <f t="shared" si="22"/>
        <v>321925.33253333339</v>
      </c>
      <c r="O122" s="2">
        <f t="shared" si="22"/>
        <v>353241.16656000004</v>
      </c>
      <c r="P122" s="2">
        <f t="shared" si="22"/>
        <v>387357.00058666669</v>
      </c>
      <c r="Q122" s="2">
        <f t="shared" si="22"/>
        <v>415872.83461333334</v>
      </c>
      <c r="R122" s="2">
        <f t="shared" si="22"/>
        <v>424287.83461333334</v>
      </c>
      <c r="S122" s="2">
        <f t="shared" si="22"/>
        <v>416372.66725333332</v>
      </c>
      <c r="T122" s="2">
        <f t="shared" si="22"/>
        <v>391627.4998933333</v>
      </c>
      <c r="U122" s="2">
        <f t="shared" si="22"/>
        <v>366882.33253333339</v>
      </c>
      <c r="V122" s="2">
        <f t="shared" si="22"/>
        <v>1114937.1651733334</v>
      </c>
    </row>
    <row r="123" spans="1:22" x14ac:dyDescent="0.35">
      <c r="A123" t="s">
        <v>215</v>
      </c>
      <c r="C123" s="2">
        <f>C118-C114+C116</f>
        <v>40750.82150000002</v>
      </c>
      <c r="D123" s="2">
        <f t="shared" ref="D123:V123" si="23">D118-D114+D116</f>
        <v>-40701.432665413537</v>
      </c>
      <c r="E123" s="2">
        <f t="shared" si="23"/>
        <v>-84939.982319548901</v>
      </c>
      <c r="F123" s="2">
        <f t="shared" si="23"/>
        <v>-10556.999819548873</v>
      </c>
      <c r="G123" s="2">
        <f t="shared" si="23"/>
        <v>34465.928960000005</v>
      </c>
      <c r="H123" s="2">
        <f t="shared" si="23"/>
        <v>90803.050880000024</v>
      </c>
      <c r="I123" s="2">
        <f t="shared" si="23"/>
        <v>114297.17280000004</v>
      </c>
      <c r="J123" s="2">
        <f t="shared" si="23"/>
        <v>159161.96138666675</v>
      </c>
      <c r="K123" s="2">
        <f t="shared" si="23"/>
        <v>189234.74997333332</v>
      </c>
      <c r="L123" s="2">
        <f t="shared" si="23"/>
        <v>219307.53856000007</v>
      </c>
      <c r="M123" s="2">
        <f t="shared" si="23"/>
        <v>249380.32714666668</v>
      </c>
      <c r="N123" s="2">
        <f t="shared" si="23"/>
        <v>279453.1157333334</v>
      </c>
      <c r="O123" s="2">
        <f t="shared" si="23"/>
        <v>309525.90432000009</v>
      </c>
      <c r="P123" s="2">
        <f t="shared" si="23"/>
        <v>339590.69290666666</v>
      </c>
      <c r="Q123" s="2">
        <f t="shared" si="23"/>
        <v>369671.4814933333</v>
      </c>
      <c r="R123" s="2">
        <f t="shared" si="23"/>
        <v>378086.48149333335</v>
      </c>
      <c r="S123" s="2">
        <f t="shared" si="23"/>
        <v>371414.35957333329</v>
      </c>
      <c r="T123" s="2">
        <f t="shared" si="23"/>
        <v>347912.23765333334</v>
      </c>
      <c r="U123" s="2">
        <f t="shared" si="23"/>
        <v>324410.1157333334</v>
      </c>
      <c r="V123" s="2">
        <f t="shared" si="23"/>
        <v>1073707.9938133336</v>
      </c>
    </row>
    <row r="124" spans="1:22" x14ac:dyDescent="0.35">
      <c r="A124" t="s">
        <v>213</v>
      </c>
      <c r="C124" s="2">
        <f t="shared" ref="C124:V124" si="24">C118-C115+C116</f>
        <v>112025.34950000001</v>
      </c>
      <c r="D124" s="2">
        <f t="shared" si="24"/>
        <v>18867.479334586475</v>
      </c>
      <c r="E124" s="2">
        <f t="shared" si="24"/>
        <v>-29027.086319548893</v>
      </c>
      <c r="F124" s="2">
        <f t="shared" si="24"/>
        <v>19545.696180451137</v>
      </c>
      <c r="G124" s="2">
        <f t="shared" si="24"/>
        <v>68236.827680000002</v>
      </c>
      <c r="H124" s="2">
        <f t="shared" si="24"/>
        <v>125816.99504000002</v>
      </c>
      <c r="I124" s="2">
        <f t="shared" si="24"/>
        <v>153362.16240000003</v>
      </c>
      <c r="J124" s="2">
        <f t="shared" si="24"/>
        <v>196661.99642666674</v>
      </c>
      <c r="K124" s="2">
        <f t="shared" si="24"/>
        <v>227977.8304533333</v>
      </c>
      <c r="L124" s="2">
        <f t="shared" si="24"/>
        <v>259293.66448000004</v>
      </c>
      <c r="M124" s="2">
        <f t="shared" si="24"/>
        <v>290609.49850666668</v>
      </c>
      <c r="N124" s="2">
        <f t="shared" si="24"/>
        <v>321925.33253333339</v>
      </c>
      <c r="O124" s="2">
        <f t="shared" si="24"/>
        <v>353241.16656000004</v>
      </c>
      <c r="P124" s="2">
        <f t="shared" si="24"/>
        <v>387357.00058666669</v>
      </c>
      <c r="Q124" s="2">
        <f t="shared" si="24"/>
        <v>415872.83461333334</v>
      </c>
      <c r="R124" s="2">
        <f t="shared" si="24"/>
        <v>424287.83461333334</v>
      </c>
      <c r="S124" s="2">
        <f t="shared" si="24"/>
        <v>416372.66725333332</v>
      </c>
      <c r="T124" s="2">
        <f t="shared" si="24"/>
        <v>391627.4998933333</v>
      </c>
      <c r="U124" s="2">
        <f t="shared" si="24"/>
        <v>366882.33253333339</v>
      </c>
      <c r="V124" s="2">
        <f t="shared" si="24"/>
        <v>1114937.1651733334</v>
      </c>
    </row>
    <row r="125" spans="1:22" x14ac:dyDescent="0.35">
      <c r="A125" s="37" t="s">
        <v>145</v>
      </c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x14ac:dyDescent="0.35">
      <c r="A126" t="s">
        <v>146</v>
      </c>
      <c r="C126" s="2">
        <f>C121-C$36</f>
        <v>-240827.55192857143</v>
      </c>
      <c r="D126" s="2">
        <f t="shared" ref="D126:V126" si="25">D121-D$36</f>
        <v>-277199.80609398498</v>
      </c>
      <c r="E126" s="2">
        <f t="shared" si="25"/>
        <v>-321438.35574812035</v>
      </c>
      <c r="F126" s="2">
        <f t="shared" si="25"/>
        <v>-140409.1232481203</v>
      </c>
      <c r="G126" s="2">
        <f t="shared" si="25"/>
        <v>-95386.194468571426</v>
      </c>
      <c r="H126" s="2">
        <f t="shared" si="25"/>
        <v>-39049.072548571407</v>
      </c>
      <c r="I126" s="2">
        <f t="shared" si="25"/>
        <v>-15554.950628571387</v>
      </c>
      <c r="J126" s="2">
        <f t="shared" si="25"/>
        <v>29309.837958095319</v>
      </c>
      <c r="K126" s="2">
        <f t="shared" si="25"/>
        <v>59382.626544761893</v>
      </c>
      <c r="L126" s="2">
        <f t="shared" si="25"/>
        <v>89455.415131428643</v>
      </c>
      <c r="M126" s="2">
        <f t="shared" si="25"/>
        <v>119528.20371809525</v>
      </c>
      <c r="N126" s="2">
        <f t="shared" si="25"/>
        <v>149600.99230476195</v>
      </c>
      <c r="O126" s="2">
        <f t="shared" si="25"/>
        <v>179673.78089142864</v>
      </c>
      <c r="P126" s="2">
        <f t="shared" si="25"/>
        <v>209738.56947809522</v>
      </c>
      <c r="Q126" s="2">
        <f t="shared" si="25"/>
        <v>239819.35806476185</v>
      </c>
      <c r="R126" s="2">
        <f t="shared" si="25"/>
        <v>248234.35806476191</v>
      </c>
      <c r="S126" s="2">
        <f t="shared" si="25"/>
        <v>241562.23614476185</v>
      </c>
      <c r="T126" s="2">
        <f t="shared" si="25"/>
        <v>218060.1142247619</v>
      </c>
      <c r="U126" s="2">
        <f t="shared" si="25"/>
        <v>194557.99230476195</v>
      </c>
      <c r="V126" s="2">
        <f t="shared" si="25"/>
        <v>943855.87038476218</v>
      </c>
    </row>
    <row r="127" spans="1:22" x14ac:dyDescent="0.35">
      <c r="A127" t="s">
        <v>214</v>
      </c>
      <c r="B127" s="23"/>
      <c r="C127" s="2">
        <f t="shared" ref="C127:V127" si="26">C122-C$37</f>
        <v>-199777.08792857142</v>
      </c>
      <c r="D127" s="2">
        <f t="shared" si="26"/>
        <v>-247854.95809398495</v>
      </c>
      <c r="E127" s="2">
        <f t="shared" si="26"/>
        <v>-295749.52374812029</v>
      </c>
      <c r="F127" s="2">
        <f t="shared" si="26"/>
        <v>-140530.49124812029</v>
      </c>
      <c r="G127" s="2">
        <f t="shared" si="26"/>
        <v>-91839.359748571427</v>
      </c>
      <c r="H127" s="2">
        <f t="shared" si="26"/>
        <v>-34259.192388571406</v>
      </c>
      <c r="I127" s="2">
        <f t="shared" si="26"/>
        <v>-6714.0250285713992</v>
      </c>
      <c r="J127" s="2">
        <f t="shared" si="26"/>
        <v>36585.808998095308</v>
      </c>
      <c r="K127" s="2">
        <f t="shared" si="26"/>
        <v>67901.64302476187</v>
      </c>
      <c r="L127" s="2">
        <f t="shared" si="26"/>
        <v>99217.477051428607</v>
      </c>
      <c r="M127" s="2">
        <f t="shared" si="26"/>
        <v>130533.31107809526</v>
      </c>
      <c r="N127" s="2">
        <f t="shared" si="26"/>
        <v>161849.14510476196</v>
      </c>
      <c r="O127" s="2">
        <f t="shared" si="26"/>
        <v>193164.97913142861</v>
      </c>
      <c r="P127" s="2">
        <f t="shared" si="26"/>
        <v>227280.81315809526</v>
      </c>
      <c r="Q127" s="2">
        <f t="shared" si="26"/>
        <v>255796.64718476191</v>
      </c>
      <c r="R127" s="2">
        <f t="shared" si="26"/>
        <v>264211.64718476194</v>
      </c>
      <c r="S127" s="2">
        <f t="shared" si="26"/>
        <v>256296.47982476189</v>
      </c>
      <c r="T127" s="2">
        <f t="shared" si="26"/>
        <v>231551.31246476187</v>
      </c>
      <c r="U127" s="2">
        <f t="shared" si="26"/>
        <v>206806.14510476196</v>
      </c>
      <c r="V127" s="2">
        <f t="shared" si="26"/>
        <v>954860.97774476197</v>
      </c>
    </row>
    <row r="128" spans="1:22" x14ac:dyDescent="0.35">
      <c r="A128" s="37" t="s">
        <v>150</v>
      </c>
      <c r="B128" s="23"/>
    </row>
    <row r="129" spans="1:22" x14ac:dyDescent="0.35">
      <c r="A129" t="s">
        <v>146</v>
      </c>
      <c r="C129" s="2">
        <f t="shared" ref="C129:V129" si="27">C123-C$36</f>
        <v>-89101.301928571411</v>
      </c>
      <c r="D129" s="2">
        <f t="shared" si="27"/>
        <v>-170553.55609398498</v>
      </c>
      <c r="E129" s="2">
        <f t="shared" si="27"/>
        <v>-214792.10574812035</v>
      </c>
      <c r="F129" s="2">
        <f t="shared" si="27"/>
        <v>-140409.1232481203</v>
      </c>
      <c r="G129" s="2">
        <f t="shared" si="27"/>
        <v>-95386.194468571426</v>
      </c>
      <c r="H129" s="2">
        <f t="shared" si="27"/>
        <v>-39049.072548571407</v>
      </c>
      <c r="I129" s="2">
        <f t="shared" si="27"/>
        <v>-15554.950628571387</v>
      </c>
      <c r="J129" s="2">
        <f t="shared" si="27"/>
        <v>29309.837958095319</v>
      </c>
      <c r="K129" s="2">
        <f t="shared" si="27"/>
        <v>59382.626544761893</v>
      </c>
      <c r="L129" s="2">
        <f t="shared" si="27"/>
        <v>89455.415131428643</v>
      </c>
      <c r="M129" s="2">
        <f t="shared" si="27"/>
        <v>119528.20371809525</v>
      </c>
      <c r="N129" s="2">
        <f t="shared" si="27"/>
        <v>149600.99230476195</v>
      </c>
      <c r="O129" s="2">
        <f t="shared" si="27"/>
        <v>179673.78089142864</v>
      </c>
      <c r="P129" s="2">
        <f t="shared" si="27"/>
        <v>209738.56947809522</v>
      </c>
      <c r="Q129" s="2">
        <f t="shared" si="27"/>
        <v>239819.35806476185</v>
      </c>
      <c r="R129" s="2">
        <f t="shared" si="27"/>
        <v>248234.35806476191</v>
      </c>
      <c r="S129" s="2">
        <f t="shared" si="27"/>
        <v>241562.23614476185</v>
      </c>
      <c r="T129" s="2">
        <f t="shared" si="27"/>
        <v>218060.1142247619</v>
      </c>
      <c r="U129" s="2">
        <f t="shared" si="27"/>
        <v>194557.99230476195</v>
      </c>
      <c r="V129" s="2">
        <f t="shared" si="27"/>
        <v>943855.87038476218</v>
      </c>
    </row>
    <row r="130" spans="1:22" x14ac:dyDescent="0.35">
      <c r="A130" t="s">
        <v>214</v>
      </c>
      <c r="B130" s="23"/>
      <c r="C130" s="2">
        <f t="shared" ref="C130:V130" si="28">C124-C$37</f>
        <v>-48050.837928571418</v>
      </c>
      <c r="D130" s="2">
        <f t="shared" si="28"/>
        <v>-141208.70809398495</v>
      </c>
      <c r="E130" s="2">
        <f t="shared" si="28"/>
        <v>-189103.27374812032</v>
      </c>
      <c r="F130" s="2">
        <f t="shared" si="28"/>
        <v>-140530.49124812029</v>
      </c>
      <c r="G130" s="2">
        <f t="shared" si="28"/>
        <v>-91839.359748571427</v>
      </c>
      <c r="H130" s="2">
        <f t="shared" si="28"/>
        <v>-34259.192388571406</v>
      </c>
      <c r="I130" s="2">
        <f t="shared" si="28"/>
        <v>-6714.0250285713992</v>
      </c>
      <c r="J130" s="2">
        <f t="shared" si="28"/>
        <v>36585.808998095308</v>
      </c>
      <c r="K130" s="2">
        <f t="shared" si="28"/>
        <v>67901.64302476187</v>
      </c>
      <c r="L130" s="2">
        <f t="shared" si="28"/>
        <v>99217.477051428607</v>
      </c>
      <c r="M130" s="2">
        <f t="shared" si="28"/>
        <v>130533.31107809526</v>
      </c>
      <c r="N130" s="2">
        <f t="shared" si="28"/>
        <v>161849.14510476196</v>
      </c>
      <c r="O130" s="2">
        <f t="shared" si="28"/>
        <v>193164.97913142861</v>
      </c>
      <c r="P130" s="2">
        <f t="shared" si="28"/>
        <v>227280.81315809526</v>
      </c>
      <c r="Q130" s="2">
        <f t="shared" si="28"/>
        <v>255796.64718476191</v>
      </c>
      <c r="R130" s="2">
        <f t="shared" si="28"/>
        <v>264211.64718476194</v>
      </c>
      <c r="S130" s="2">
        <f t="shared" si="28"/>
        <v>256296.47982476189</v>
      </c>
      <c r="T130" s="2">
        <f t="shared" si="28"/>
        <v>231551.31246476187</v>
      </c>
      <c r="U130" s="2">
        <f t="shared" si="28"/>
        <v>206806.14510476196</v>
      </c>
      <c r="V130" s="2">
        <f t="shared" si="28"/>
        <v>954860.97774476197</v>
      </c>
    </row>
    <row r="132" spans="1:22" x14ac:dyDescent="0.35">
      <c r="A132" s="48" t="s">
        <v>469</v>
      </c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</row>
    <row r="134" spans="1:22" x14ac:dyDescent="0.35">
      <c r="A134" s="68" t="s">
        <v>398</v>
      </c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</row>
    <row r="135" spans="1:22" x14ac:dyDescent="0.35">
      <c r="A135" s="9" t="s">
        <v>7</v>
      </c>
      <c r="B135" s="10" t="s">
        <v>11</v>
      </c>
      <c r="C135" s="11" t="s">
        <v>399</v>
      </c>
      <c r="D135" s="11" t="s">
        <v>400</v>
      </c>
      <c r="E135" s="11" t="s">
        <v>401</v>
      </c>
      <c r="F135" s="11" t="s">
        <v>402</v>
      </c>
      <c r="G135" s="11" t="s">
        <v>403</v>
      </c>
      <c r="H135" s="11" t="s">
        <v>404</v>
      </c>
      <c r="I135" s="11" t="s">
        <v>405</v>
      </c>
      <c r="J135" s="11" t="s">
        <v>406</v>
      </c>
      <c r="K135" s="11" t="s">
        <v>407</v>
      </c>
      <c r="L135" s="11" t="s">
        <v>408</v>
      </c>
      <c r="M135" s="11" t="s">
        <v>409</v>
      </c>
      <c r="N135" s="11" t="s">
        <v>410</v>
      </c>
      <c r="O135" s="11" t="s">
        <v>411</v>
      </c>
      <c r="P135" s="11" t="s">
        <v>412</v>
      </c>
      <c r="Q135" s="11" t="s">
        <v>413</v>
      </c>
      <c r="R135" s="11" t="s">
        <v>414</v>
      </c>
      <c r="S135" s="11" t="s">
        <v>415</v>
      </c>
      <c r="T135" s="11" t="s">
        <v>416</v>
      </c>
      <c r="U135" s="11" t="s">
        <v>417</v>
      </c>
      <c r="V135" s="11" t="s">
        <v>418</v>
      </c>
    </row>
    <row r="136" spans="1:22" x14ac:dyDescent="0.35">
      <c r="A136" s="25" t="s">
        <v>2</v>
      </c>
      <c r="B136" s="15"/>
    </row>
    <row r="137" spans="1:22" x14ac:dyDescent="0.35">
      <c r="A137" s="6" t="str">
        <f>A44</f>
        <v xml:space="preserve">  Undergrowth clearing</v>
      </c>
      <c r="B137" s="8" t="str">
        <f>B44</f>
        <v>ls</v>
      </c>
      <c r="C137">
        <f>'Cocoa FIN'!C167</f>
        <v>1</v>
      </c>
      <c r="D137">
        <f>'Cocoa FIN'!D167</f>
        <v>0</v>
      </c>
      <c r="E137">
        <f>'Cocoa FIN'!E167</f>
        <v>0</v>
      </c>
      <c r="F137">
        <f>'Cocoa FIN'!F167</f>
        <v>0</v>
      </c>
      <c r="G137">
        <f>'Cocoa FIN'!G167</f>
        <v>0</v>
      </c>
      <c r="H137">
        <f>'Cocoa FIN'!H167</f>
        <v>0</v>
      </c>
      <c r="I137">
        <f>'Cocoa FIN'!I167</f>
        <v>0</v>
      </c>
      <c r="J137">
        <f>'Cocoa FIN'!J167</f>
        <v>0</v>
      </c>
      <c r="K137">
        <f>'Cocoa FIN'!K167</f>
        <v>0</v>
      </c>
      <c r="L137">
        <f>'Cocoa FIN'!L167</f>
        <v>0</v>
      </c>
      <c r="M137">
        <f>'Cocoa FIN'!M167</f>
        <v>0</v>
      </c>
      <c r="N137">
        <f>'Cocoa FIN'!N167</f>
        <v>0</v>
      </c>
      <c r="O137">
        <f>'Cocoa FIN'!O167</f>
        <v>0</v>
      </c>
      <c r="P137">
        <f>'Cocoa FIN'!P167</f>
        <v>0</v>
      </c>
      <c r="Q137">
        <f>'Cocoa FIN'!Q167</f>
        <v>0</v>
      </c>
      <c r="R137">
        <f>'Cocoa FIN'!R167</f>
        <v>0</v>
      </c>
      <c r="S137">
        <f>'Cocoa FIN'!S167</f>
        <v>0</v>
      </c>
      <c r="T137">
        <f>'Cocoa FIN'!T167</f>
        <v>0</v>
      </c>
      <c r="U137">
        <f>'Cocoa FIN'!U167</f>
        <v>0</v>
      </c>
      <c r="V137">
        <f>'Cocoa FIN'!V167</f>
        <v>0</v>
      </c>
    </row>
    <row r="138" spans="1:22" x14ac:dyDescent="0.35">
      <c r="A138" s="6" t="str">
        <f>A45</f>
        <v xml:space="preserve">  Cutting old trees</v>
      </c>
      <c r="B138" s="8" t="str">
        <f>B45</f>
        <v>ls</v>
      </c>
      <c r="C138">
        <f>'Cocoa FIN'!C168</f>
        <v>0.25</v>
      </c>
      <c r="D138">
        <f>'Cocoa FIN'!D168</f>
        <v>0.25</v>
      </c>
      <c r="E138">
        <f>'Cocoa FIN'!E168</f>
        <v>0.25</v>
      </c>
      <c r="F138">
        <f>'Cocoa FIN'!F168</f>
        <v>0</v>
      </c>
      <c r="G138">
        <f>'Cocoa FIN'!G168</f>
        <v>0</v>
      </c>
      <c r="H138">
        <f>'Cocoa FIN'!H168</f>
        <v>0</v>
      </c>
      <c r="I138">
        <f>'Cocoa FIN'!I168</f>
        <v>0</v>
      </c>
      <c r="J138">
        <f>'Cocoa FIN'!J168</f>
        <v>0</v>
      </c>
      <c r="K138">
        <f>'Cocoa FIN'!K168</f>
        <v>0</v>
      </c>
      <c r="L138">
        <f>'Cocoa FIN'!L168</f>
        <v>0</v>
      </c>
      <c r="M138">
        <f>'Cocoa FIN'!M168</f>
        <v>0</v>
      </c>
      <c r="N138">
        <f>'Cocoa FIN'!N168</f>
        <v>0</v>
      </c>
      <c r="O138">
        <f>'Cocoa FIN'!O168</f>
        <v>0</v>
      </c>
      <c r="P138">
        <f>'Cocoa FIN'!P168</f>
        <v>0</v>
      </c>
      <c r="Q138">
        <f>'Cocoa FIN'!Q168</f>
        <v>0</v>
      </c>
      <c r="R138">
        <f>'Cocoa FIN'!R168</f>
        <v>0</v>
      </c>
      <c r="S138">
        <f>'Cocoa FIN'!S168</f>
        <v>0</v>
      </c>
      <c r="T138">
        <f>'Cocoa FIN'!T168</f>
        <v>0</v>
      </c>
      <c r="U138">
        <f>'Cocoa FIN'!U168</f>
        <v>0</v>
      </c>
      <c r="V138">
        <f>'Cocoa FIN'!V168</f>
        <v>0</v>
      </c>
    </row>
    <row r="139" spans="1:22" x14ac:dyDescent="0.35">
      <c r="A139" s="6" t="s">
        <v>70</v>
      </c>
      <c r="B139" s="8" t="s">
        <v>11</v>
      </c>
      <c r="C139">
        <f>'Cocoa FIN'!C169</f>
        <v>423.25</v>
      </c>
      <c r="D139">
        <f>'Cocoa FIN'!D169</f>
        <v>333.25</v>
      </c>
      <c r="E139">
        <f>'Cocoa FIN'!E169</f>
        <v>333.25</v>
      </c>
    </row>
    <row r="140" spans="1:22" x14ac:dyDescent="0.35">
      <c r="A140" s="6" t="str">
        <f t="shared" ref="A140:B143" si="29">A47</f>
        <v xml:space="preserve">  Marking out</v>
      </c>
      <c r="B140" s="8" t="str">
        <f t="shared" si="29"/>
        <v>ls</v>
      </c>
      <c r="C140">
        <f>'Cocoa FIN'!C170</f>
        <v>1</v>
      </c>
      <c r="D140">
        <f>'Cocoa FIN'!D170</f>
        <v>1</v>
      </c>
      <c r="E140">
        <f>'Cocoa FIN'!E170</f>
        <v>1</v>
      </c>
      <c r="F140">
        <f>'Cocoa FIN'!F170</f>
        <v>0</v>
      </c>
      <c r="G140">
        <f>'Cocoa FIN'!G170</f>
        <v>0</v>
      </c>
      <c r="H140">
        <f>'Cocoa FIN'!H170</f>
        <v>0</v>
      </c>
      <c r="I140">
        <f>'Cocoa FIN'!I170</f>
        <v>0</v>
      </c>
      <c r="J140">
        <f>'Cocoa FIN'!J170</f>
        <v>0</v>
      </c>
      <c r="K140">
        <f>'Cocoa FIN'!K170</f>
        <v>0</v>
      </c>
      <c r="L140">
        <f>'Cocoa FIN'!L170</f>
        <v>0</v>
      </c>
      <c r="M140">
        <f>'Cocoa FIN'!M170</f>
        <v>0</v>
      </c>
      <c r="N140">
        <f>'Cocoa FIN'!N170</f>
        <v>0</v>
      </c>
      <c r="O140">
        <f>'Cocoa FIN'!O170</f>
        <v>0</v>
      </c>
      <c r="P140">
        <f>'Cocoa FIN'!P170</f>
        <v>0</v>
      </c>
      <c r="Q140">
        <f>'Cocoa FIN'!Q170</f>
        <v>0</v>
      </c>
      <c r="R140">
        <f>'Cocoa FIN'!R170</f>
        <v>0</v>
      </c>
      <c r="S140">
        <f>'Cocoa FIN'!S170</f>
        <v>0</v>
      </c>
      <c r="T140">
        <f>'Cocoa FIN'!T170</f>
        <v>0</v>
      </c>
      <c r="U140">
        <f>'Cocoa FIN'!U170</f>
        <v>0</v>
      </c>
      <c r="V140">
        <f>'Cocoa FIN'!V170</f>
        <v>0</v>
      </c>
    </row>
    <row r="141" spans="1:22" x14ac:dyDescent="0.35">
      <c r="A141" s="6" t="str">
        <f t="shared" si="29"/>
        <v xml:space="preserve">  Digging holes</v>
      </c>
      <c r="B141" s="8" t="str">
        <f t="shared" si="29"/>
        <v>Unit</v>
      </c>
      <c r="C141">
        <f>'Cocoa FIN'!C171</f>
        <v>423.25</v>
      </c>
      <c r="D141">
        <f>'Cocoa FIN'!D171</f>
        <v>333.25</v>
      </c>
      <c r="E141">
        <f>'Cocoa FIN'!E171</f>
        <v>333.25</v>
      </c>
      <c r="F141">
        <f>'Cocoa FIN'!F171</f>
        <v>0</v>
      </c>
      <c r="G141">
        <f>'Cocoa FIN'!G171</f>
        <v>0</v>
      </c>
      <c r="H141">
        <f>'Cocoa FIN'!H171</f>
        <v>0</v>
      </c>
      <c r="I141">
        <f>'Cocoa FIN'!I171</f>
        <v>0</v>
      </c>
      <c r="J141">
        <f>'Cocoa FIN'!J171</f>
        <v>0</v>
      </c>
      <c r="K141">
        <f>'Cocoa FIN'!K171</f>
        <v>0</v>
      </c>
      <c r="L141">
        <f>'Cocoa FIN'!L171</f>
        <v>0</v>
      </c>
      <c r="M141">
        <f>'Cocoa FIN'!M171</f>
        <v>0</v>
      </c>
      <c r="N141">
        <f>'Cocoa FIN'!N171</f>
        <v>0</v>
      </c>
      <c r="O141">
        <f>'Cocoa FIN'!O171</f>
        <v>0</v>
      </c>
      <c r="P141">
        <f>'Cocoa FIN'!P171</f>
        <v>0</v>
      </c>
      <c r="Q141">
        <f>'Cocoa FIN'!Q171</f>
        <v>0</v>
      </c>
      <c r="R141">
        <f>'Cocoa FIN'!R171</f>
        <v>0</v>
      </c>
      <c r="S141">
        <f>'Cocoa FIN'!S171</f>
        <v>0</v>
      </c>
      <c r="T141">
        <f>'Cocoa FIN'!T171</f>
        <v>0</v>
      </c>
      <c r="U141">
        <f>'Cocoa FIN'!U171</f>
        <v>0</v>
      </c>
      <c r="V141">
        <f>'Cocoa FIN'!V171</f>
        <v>0</v>
      </c>
    </row>
    <row r="142" spans="1:22" x14ac:dyDescent="0.35">
      <c r="A142" s="6" t="str">
        <f t="shared" si="29"/>
        <v xml:space="preserve">  Planting seedlings</v>
      </c>
      <c r="B142" s="8" t="str">
        <f t="shared" si="29"/>
        <v>Unit</v>
      </c>
      <c r="C142">
        <f>'Cocoa FIN'!C172</f>
        <v>423.25</v>
      </c>
      <c r="D142">
        <f>'Cocoa FIN'!D172</f>
        <v>333.25</v>
      </c>
      <c r="E142">
        <f>'Cocoa FIN'!E172</f>
        <v>333.25</v>
      </c>
      <c r="F142">
        <f>'Cocoa FIN'!F172</f>
        <v>0</v>
      </c>
      <c r="G142">
        <f>'Cocoa FIN'!G172</f>
        <v>0</v>
      </c>
      <c r="H142">
        <f>'Cocoa FIN'!H172</f>
        <v>0</v>
      </c>
      <c r="I142">
        <f>'Cocoa FIN'!I172</f>
        <v>0</v>
      </c>
      <c r="J142">
        <f>'Cocoa FIN'!J172</f>
        <v>0</v>
      </c>
      <c r="K142">
        <f>'Cocoa FIN'!K172</f>
        <v>0</v>
      </c>
      <c r="L142">
        <f>'Cocoa FIN'!L172</f>
        <v>0</v>
      </c>
      <c r="M142">
        <f>'Cocoa FIN'!M172</f>
        <v>0</v>
      </c>
      <c r="N142">
        <f>'Cocoa FIN'!N172</f>
        <v>0</v>
      </c>
      <c r="O142">
        <f>'Cocoa FIN'!O172</f>
        <v>0</v>
      </c>
      <c r="P142">
        <f>'Cocoa FIN'!P172</f>
        <v>0</v>
      </c>
      <c r="Q142">
        <f>'Cocoa FIN'!Q172</f>
        <v>0</v>
      </c>
      <c r="R142">
        <f>'Cocoa FIN'!R172</f>
        <v>0</v>
      </c>
      <c r="S142">
        <f>'Cocoa FIN'!S172</f>
        <v>0</v>
      </c>
      <c r="T142">
        <f>'Cocoa FIN'!T172</f>
        <v>0</v>
      </c>
      <c r="U142">
        <f>'Cocoa FIN'!U172</f>
        <v>0</v>
      </c>
      <c r="V142">
        <f>'Cocoa FIN'!V172</f>
        <v>0</v>
      </c>
    </row>
    <row r="143" spans="1:22" x14ac:dyDescent="0.35">
      <c r="A143" s="6" t="str">
        <f t="shared" si="29"/>
        <v xml:space="preserve">  Weeding other maintenance operations</v>
      </c>
      <c r="B143" s="8" t="str">
        <f t="shared" si="29"/>
        <v>ls</v>
      </c>
      <c r="C143">
        <f>'Cocoa FIN'!C173</f>
        <v>0</v>
      </c>
      <c r="D143">
        <f>'Cocoa FIN'!D173</f>
        <v>3</v>
      </c>
      <c r="E143">
        <f>'Cocoa FIN'!E173</f>
        <v>3</v>
      </c>
      <c r="F143">
        <f>'Cocoa FIN'!F173</f>
        <v>3</v>
      </c>
      <c r="G143">
        <f>'Cocoa FIN'!G173</f>
        <v>3</v>
      </c>
      <c r="H143">
        <f>'Cocoa FIN'!H173</f>
        <v>3</v>
      </c>
      <c r="I143">
        <f>'Cocoa FIN'!I173</f>
        <v>3</v>
      </c>
      <c r="J143">
        <f>'Cocoa FIN'!J173</f>
        <v>3</v>
      </c>
      <c r="K143">
        <f>'Cocoa FIN'!K173</f>
        <v>3</v>
      </c>
      <c r="L143">
        <f>'Cocoa FIN'!L173</f>
        <v>3</v>
      </c>
      <c r="M143">
        <f>'Cocoa FIN'!M173</f>
        <v>3</v>
      </c>
      <c r="N143">
        <f>'Cocoa FIN'!N173</f>
        <v>3</v>
      </c>
      <c r="O143">
        <f>'Cocoa FIN'!O173</f>
        <v>3</v>
      </c>
      <c r="P143">
        <f>'Cocoa FIN'!P173</f>
        <v>3</v>
      </c>
      <c r="Q143">
        <f>'Cocoa FIN'!Q173</f>
        <v>3</v>
      </c>
      <c r="R143">
        <f>'Cocoa FIN'!R173</f>
        <v>3</v>
      </c>
      <c r="S143">
        <f>'Cocoa FIN'!S173</f>
        <v>3</v>
      </c>
      <c r="T143">
        <f>'Cocoa FIN'!T173</f>
        <v>3</v>
      </c>
      <c r="U143">
        <f>'Cocoa FIN'!U173</f>
        <v>3</v>
      </c>
      <c r="V143">
        <f>'Cocoa FIN'!V173</f>
        <v>3</v>
      </c>
    </row>
    <row r="144" spans="1:22" x14ac:dyDescent="0.35">
      <c r="A144" s="6" t="s">
        <v>144</v>
      </c>
      <c r="B144" s="8" t="s">
        <v>42</v>
      </c>
      <c r="C144">
        <f>'Cocoa FIN'!C174</f>
        <v>0</v>
      </c>
      <c r="D144">
        <f>'Cocoa FIN'!D174</f>
        <v>0.31823308270676692</v>
      </c>
      <c r="E144">
        <f>'Cocoa FIN'!E174</f>
        <v>0.2505639097744361</v>
      </c>
      <c r="F144">
        <f>'Cocoa FIN'!F174</f>
        <v>0.2505639097744361</v>
      </c>
      <c r="G144">
        <f>'Cocoa FIN'!G174</f>
        <v>0</v>
      </c>
      <c r="H144">
        <f>'Cocoa FIN'!H174</f>
        <v>0</v>
      </c>
      <c r="I144">
        <f>'Cocoa FIN'!I174</f>
        <v>0</v>
      </c>
      <c r="J144">
        <f>'Cocoa FIN'!J174</f>
        <v>0</v>
      </c>
      <c r="K144">
        <f>'Cocoa FIN'!K174</f>
        <v>0</v>
      </c>
      <c r="L144">
        <f>'Cocoa FIN'!L174</f>
        <v>0</v>
      </c>
      <c r="M144">
        <f>'Cocoa FIN'!M174</f>
        <v>0</v>
      </c>
      <c r="N144">
        <f>'Cocoa FIN'!N174</f>
        <v>0</v>
      </c>
      <c r="O144">
        <f>'Cocoa FIN'!O174</f>
        <v>0</v>
      </c>
      <c r="P144">
        <f>'Cocoa FIN'!P174</f>
        <v>0</v>
      </c>
      <c r="Q144">
        <f>'Cocoa FIN'!Q174</f>
        <v>0</v>
      </c>
      <c r="R144">
        <f>'Cocoa FIN'!R174</f>
        <v>0</v>
      </c>
      <c r="S144">
        <f>'Cocoa FIN'!S174</f>
        <v>0</v>
      </c>
      <c r="T144">
        <f>'Cocoa FIN'!T174</f>
        <v>0</v>
      </c>
      <c r="U144">
        <f>'Cocoa FIN'!U174</f>
        <v>0</v>
      </c>
      <c r="V144">
        <f>'Cocoa FIN'!V174</f>
        <v>0</v>
      </c>
    </row>
    <row r="145" spans="1:22" x14ac:dyDescent="0.35">
      <c r="A145" s="6" t="str">
        <f t="shared" ref="A145:B150" si="30">A52</f>
        <v xml:space="preserve">  Fertilizer application</v>
      </c>
      <c r="B145" s="8" t="str">
        <f t="shared" si="30"/>
        <v>m/d</v>
      </c>
      <c r="C145">
        <f>'Cocoa FIN'!C175</f>
        <v>0</v>
      </c>
      <c r="D145">
        <f>'Cocoa FIN'!D175</f>
        <v>0</v>
      </c>
      <c r="E145">
        <f>'Cocoa FIN'!E175</f>
        <v>2</v>
      </c>
      <c r="F145">
        <f>'Cocoa FIN'!F175</f>
        <v>0</v>
      </c>
      <c r="G145">
        <f>'Cocoa FIN'!G175</f>
        <v>0</v>
      </c>
      <c r="H145">
        <f>'Cocoa FIN'!H175</f>
        <v>0</v>
      </c>
      <c r="I145">
        <f>'Cocoa FIN'!I175</f>
        <v>0</v>
      </c>
      <c r="J145">
        <f>'Cocoa FIN'!J175</f>
        <v>0</v>
      </c>
      <c r="K145">
        <f>'Cocoa FIN'!K175</f>
        <v>0</v>
      </c>
      <c r="L145">
        <f>'Cocoa FIN'!L175</f>
        <v>0</v>
      </c>
      <c r="M145">
        <f>'Cocoa FIN'!M175</f>
        <v>0</v>
      </c>
      <c r="N145">
        <f>'Cocoa FIN'!N175</f>
        <v>0</v>
      </c>
      <c r="O145">
        <f>'Cocoa FIN'!O175</f>
        <v>0</v>
      </c>
      <c r="P145">
        <f>'Cocoa FIN'!P175</f>
        <v>0</v>
      </c>
      <c r="Q145">
        <f>'Cocoa FIN'!Q175</f>
        <v>0</v>
      </c>
      <c r="R145">
        <f>'Cocoa FIN'!R175</f>
        <v>0</v>
      </c>
      <c r="S145">
        <f>'Cocoa FIN'!S175</f>
        <v>0</v>
      </c>
      <c r="T145">
        <f>'Cocoa FIN'!T175</f>
        <v>0</v>
      </c>
      <c r="U145">
        <f>'Cocoa FIN'!U175</f>
        <v>0</v>
      </c>
      <c r="V145">
        <f>'Cocoa FIN'!V175</f>
        <v>0</v>
      </c>
    </row>
    <row r="146" spans="1:22" x14ac:dyDescent="0.35">
      <c r="A146" s="6" t="str">
        <f t="shared" si="30"/>
        <v xml:space="preserve">  Plant protection chemicals application</v>
      </c>
      <c r="B146" s="8" t="str">
        <f t="shared" si="30"/>
        <v>m/d</v>
      </c>
      <c r="C146">
        <f>'Cocoa FIN'!C176</f>
        <v>0</v>
      </c>
      <c r="D146">
        <f>'Cocoa FIN'!D176</f>
        <v>0</v>
      </c>
      <c r="E146">
        <f>'Cocoa FIN'!E176</f>
        <v>0</v>
      </c>
      <c r="F146">
        <f>'Cocoa FIN'!F176</f>
        <v>0</v>
      </c>
      <c r="G146">
        <f>'Cocoa FIN'!G176</f>
        <v>0</v>
      </c>
      <c r="H146">
        <f>'Cocoa FIN'!H176</f>
        <v>0</v>
      </c>
      <c r="I146">
        <f>'Cocoa FIN'!I176</f>
        <v>0</v>
      </c>
      <c r="J146">
        <f>'Cocoa FIN'!J176</f>
        <v>0</v>
      </c>
      <c r="K146">
        <f>'Cocoa FIN'!K176</f>
        <v>0</v>
      </c>
      <c r="L146">
        <f>'Cocoa FIN'!L176</f>
        <v>0</v>
      </c>
      <c r="M146">
        <f>'Cocoa FIN'!M176</f>
        <v>0</v>
      </c>
      <c r="N146">
        <f>'Cocoa FIN'!N176</f>
        <v>0</v>
      </c>
      <c r="O146">
        <f>'Cocoa FIN'!O176</f>
        <v>0</v>
      </c>
      <c r="P146">
        <f>'Cocoa FIN'!P176</f>
        <v>0</v>
      </c>
      <c r="Q146">
        <f>'Cocoa FIN'!Q176</f>
        <v>0</v>
      </c>
      <c r="R146">
        <f>'Cocoa FIN'!R176</f>
        <v>0</v>
      </c>
      <c r="S146">
        <f>'Cocoa FIN'!S176</f>
        <v>0</v>
      </c>
      <c r="T146">
        <f>'Cocoa FIN'!T176</f>
        <v>0</v>
      </c>
      <c r="U146">
        <f>'Cocoa FIN'!U176</f>
        <v>0</v>
      </c>
      <c r="V146">
        <f>'Cocoa FIN'!V176</f>
        <v>0</v>
      </c>
    </row>
    <row r="147" spans="1:22" x14ac:dyDescent="0.35">
      <c r="A147" s="6" t="str">
        <f t="shared" si="30"/>
        <v xml:space="preserve">  Harvest</v>
      </c>
      <c r="B147" s="8" t="str">
        <f t="shared" si="30"/>
        <v>Kg</v>
      </c>
      <c r="C147">
        <f>'Cocoa FIN'!C177</f>
        <v>135</v>
      </c>
      <c r="D147">
        <f>'Cocoa FIN'!D177</f>
        <v>90</v>
      </c>
      <c r="E147">
        <f>'Cocoa FIN'!E177</f>
        <v>45</v>
      </c>
      <c r="F147">
        <f>'Cocoa FIN'!F177</f>
        <v>82.5</v>
      </c>
      <c r="G147">
        <f>'Cocoa FIN'!G177</f>
        <v>127.65</v>
      </c>
      <c r="H147">
        <f>'Cocoa FIN'!H177</f>
        <v>142.95000000000002</v>
      </c>
      <c r="I147">
        <f>'Cocoa FIN'!I177</f>
        <v>158.25</v>
      </c>
      <c r="J147">
        <f>'Cocoa FIN'!J177</f>
        <v>173.55</v>
      </c>
      <c r="K147">
        <f>'Cocoa FIN'!K177</f>
        <v>188.85000000000002</v>
      </c>
      <c r="L147">
        <f>'Cocoa FIN'!L177</f>
        <v>204.15000000000003</v>
      </c>
      <c r="M147">
        <f>'Cocoa FIN'!M177</f>
        <v>219.45000000000002</v>
      </c>
      <c r="N147">
        <f>'Cocoa FIN'!N177</f>
        <v>234.75000000000003</v>
      </c>
      <c r="O147">
        <f>'Cocoa FIN'!O177</f>
        <v>250.05000000000004</v>
      </c>
      <c r="P147">
        <f>'Cocoa FIN'!P177</f>
        <v>265.35000000000002</v>
      </c>
      <c r="Q147">
        <f>'Cocoa FIN'!Q177</f>
        <v>280.64999999999998</v>
      </c>
      <c r="R147">
        <f>'Cocoa FIN'!R177</f>
        <v>280.64999999999998</v>
      </c>
      <c r="S147">
        <f>'Cocoa FIN'!S177</f>
        <v>265.35000000000002</v>
      </c>
      <c r="T147">
        <f>'Cocoa FIN'!T177</f>
        <v>250.05</v>
      </c>
      <c r="U147">
        <f>'Cocoa FIN'!U177</f>
        <v>234.75000000000003</v>
      </c>
      <c r="V147">
        <f>'Cocoa FIN'!V177</f>
        <v>219.45000000000002</v>
      </c>
    </row>
    <row r="148" spans="1:22" x14ac:dyDescent="0.35">
      <c r="A148" s="6" t="str">
        <f t="shared" si="30"/>
        <v xml:space="preserve">  Post-harvest processes</v>
      </c>
      <c r="B148" s="8" t="str">
        <f t="shared" si="30"/>
        <v>Kg</v>
      </c>
      <c r="C148">
        <f>'Cocoa FIN'!C178</f>
        <v>135</v>
      </c>
      <c r="D148">
        <f>'Cocoa FIN'!D178</f>
        <v>90</v>
      </c>
      <c r="E148">
        <f>'Cocoa FIN'!E178</f>
        <v>45</v>
      </c>
      <c r="F148">
        <f>'Cocoa FIN'!F178</f>
        <v>82.5</v>
      </c>
      <c r="G148">
        <f>'Cocoa FIN'!G178</f>
        <v>127.65</v>
      </c>
      <c r="H148">
        <f>'Cocoa FIN'!H178</f>
        <v>142.95000000000002</v>
      </c>
      <c r="I148">
        <f>'Cocoa FIN'!I178</f>
        <v>158.25</v>
      </c>
      <c r="J148">
        <f>'Cocoa FIN'!J178</f>
        <v>173.55</v>
      </c>
      <c r="K148">
        <f>'Cocoa FIN'!K178</f>
        <v>188.85000000000002</v>
      </c>
      <c r="L148">
        <f>'Cocoa FIN'!L178</f>
        <v>204.15000000000003</v>
      </c>
      <c r="M148">
        <f>'Cocoa FIN'!M178</f>
        <v>219.45000000000002</v>
      </c>
      <c r="N148">
        <f>'Cocoa FIN'!N178</f>
        <v>234.75000000000003</v>
      </c>
      <c r="O148">
        <f>'Cocoa FIN'!O178</f>
        <v>250.05000000000004</v>
      </c>
      <c r="P148">
        <f>'Cocoa FIN'!P178</f>
        <v>265.35000000000002</v>
      </c>
      <c r="Q148">
        <f>'Cocoa FIN'!Q178</f>
        <v>280.64999999999998</v>
      </c>
      <c r="R148">
        <f>'Cocoa FIN'!R178</f>
        <v>280.64999999999998</v>
      </c>
      <c r="S148">
        <f>'Cocoa FIN'!S178</f>
        <v>265.35000000000002</v>
      </c>
      <c r="T148">
        <f>'Cocoa FIN'!T178</f>
        <v>250.05</v>
      </c>
      <c r="U148">
        <f>'Cocoa FIN'!U178</f>
        <v>234.75000000000003</v>
      </c>
      <c r="V148">
        <f>'Cocoa FIN'!V178</f>
        <v>219.45000000000002</v>
      </c>
    </row>
    <row r="149" spans="1:22" x14ac:dyDescent="0.35">
      <c r="A149" s="6" t="str">
        <f t="shared" si="30"/>
        <v xml:space="preserve">  Transport of beans</v>
      </c>
      <c r="B149" s="8" t="str">
        <f t="shared" si="30"/>
        <v>Kg</v>
      </c>
      <c r="C149">
        <f>'Cocoa FIN'!C179</f>
        <v>135</v>
      </c>
      <c r="D149">
        <f>'Cocoa FIN'!D179</f>
        <v>90</v>
      </c>
      <c r="E149">
        <f>'Cocoa FIN'!E179</f>
        <v>45</v>
      </c>
      <c r="F149">
        <f>'Cocoa FIN'!F179</f>
        <v>82.5</v>
      </c>
      <c r="G149">
        <f>'Cocoa FIN'!G179</f>
        <v>127.65</v>
      </c>
      <c r="H149">
        <f>'Cocoa FIN'!H179</f>
        <v>142.95000000000002</v>
      </c>
      <c r="I149">
        <f>'Cocoa FIN'!I179</f>
        <v>158.25</v>
      </c>
      <c r="J149">
        <f>'Cocoa FIN'!J179</f>
        <v>173.55</v>
      </c>
      <c r="K149">
        <f>'Cocoa FIN'!K179</f>
        <v>188.85000000000002</v>
      </c>
      <c r="L149">
        <f>'Cocoa FIN'!L179</f>
        <v>204.15000000000003</v>
      </c>
      <c r="M149">
        <f>'Cocoa FIN'!M179</f>
        <v>219.45000000000002</v>
      </c>
      <c r="N149">
        <f>'Cocoa FIN'!N179</f>
        <v>234.75000000000003</v>
      </c>
      <c r="O149">
        <f>'Cocoa FIN'!O179</f>
        <v>250.05000000000004</v>
      </c>
      <c r="P149">
        <f>'Cocoa FIN'!P179</f>
        <v>265.35000000000002</v>
      </c>
      <c r="Q149">
        <f>'Cocoa FIN'!Q179</f>
        <v>280.64999999999998</v>
      </c>
      <c r="R149">
        <f>'Cocoa FIN'!R179</f>
        <v>280.64999999999998</v>
      </c>
      <c r="S149">
        <f>'Cocoa FIN'!S179</f>
        <v>265.35000000000002</v>
      </c>
      <c r="T149">
        <f>'Cocoa FIN'!T179</f>
        <v>250.05</v>
      </c>
      <c r="U149">
        <f>'Cocoa FIN'!U179</f>
        <v>234.75000000000003</v>
      </c>
      <c r="V149">
        <f>'Cocoa FIN'!V179</f>
        <v>219.45000000000002</v>
      </c>
    </row>
    <row r="150" spans="1:22" x14ac:dyDescent="0.35">
      <c r="A150" s="6" t="str">
        <f t="shared" si="30"/>
        <v xml:space="preserve">  Firewood cut</v>
      </c>
      <c r="B150" s="8" t="str">
        <f t="shared" si="30"/>
        <v>Tree</v>
      </c>
      <c r="C150">
        <f>'Cocoa FIN'!C180</f>
        <v>0</v>
      </c>
      <c r="D150">
        <f>'Cocoa FIN'!D180</f>
        <v>0</v>
      </c>
      <c r="E150">
        <f>'Cocoa FIN'!E180</f>
        <v>0</v>
      </c>
      <c r="F150">
        <f>'Cocoa FIN'!F180</f>
        <v>0</v>
      </c>
      <c r="G150">
        <f>'Cocoa FIN'!G180</f>
        <v>0</v>
      </c>
      <c r="H150">
        <f>'Cocoa FIN'!H180</f>
        <v>0</v>
      </c>
      <c r="I150">
        <f>'Cocoa FIN'!I180</f>
        <v>20</v>
      </c>
      <c r="J150">
        <f>'Cocoa FIN'!J180</f>
        <v>0</v>
      </c>
      <c r="K150">
        <f>'Cocoa FIN'!K180</f>
        <v>0</v>
      </c>
      <c r="L150">
        <f>'Cocoa FIN'!L180</f>
        <v>0</v>
      </c>
      <c r="M150">
        <f>'Cocoa FIN'!M180</f>
        <v>0</v>
      </c>
      <c r="N150">
        <f>'Cocoa FIN'!N180</f>
        <v>0</v>
      </c>
      <c r="O150">
        <f>'Cocoa FIN'!O180</f>
        <v>0</v>
      </c>
      <c r="P150">
        <f>'Cocoa FIN'!P180</f>
        <v>20</v>
      </c>
      <c r="Q150">
        <f>'Cocoa FIN'!Q180</f>
        <v>0</v>
      </c>
      <c r="R150">
        <f>'Cocoa FIN'!R180</f>
        <v>0</v>
      </c>
      <c r="S150">
        <f>'Cocoa FIN'!S180</f>
        <v>0</v>
      </c>
      <c r="T150">
        <f>'Cocoa FIN'!T180</f>
        <v>0</v>
      </c>
      <c r="U150">
        <f>'Cocoa FIN'!U180</f>
        <v>0</v>
      </c>
      <c r="V150">
        <f>'Cocoa FIN'!V180</f>
        <v>0</v>
      </c>
    </row>
    <row r="151" spans="1:22" x14ac:dyDescent="0.35">
      <c r="A151" s="6"/>
      <c r="B151" s="8"/>
    </row>
    <row r="152" spans="1:22" x14ac:dyDescent="0.35">
      <c r="A152" s="6" t="str">
        <f t="shared" ref="A152:A158" si="31">A59</f>
        <v>Inputs</v>
      </c>
      <c r="B152" s="8"/>
    </row>
    <row r="153" spans="1:22" x14ac:dyDescent="0.35">
      <c r="A153" s="6" t="str">
        <f t="shared" si="31"/>
        <v xml:space="preserve">  cocoa seedlings</v>
      </c>
      <c r="B153" s="8" t="str">
        <f t="shared" ref="B153:B158" si="32">B60</f>
        <v>Unit</v>
      </c>
      <c r="C153">
        <f>'Cocoa FIN'!C183</f>
        <v>333.25</v>
      </c>
      <c r="D153">
        <f>'Cocoa FIN'!D183</f>
        <v>333.25</v>
      </c>
      <c r="E153">
        <f>'Cocoa FIN'!E183</f>
        <v>333.25</v>
      </c>
      <c r="F153">
        <f>'Cocoa FIN'!F183</f>
        <v>0</v>
      </c>
      <c r="G153">
        <f>'Cocoa FIN'!G183</f>
        <v>0</v>
      </c>
      <c r="H153">
        <f>'Cocoa FIN'!H183</f>
        <v>0</v>
      </c>
      <c r="I153">
        <f>'Cocoa FIN'!I183</f>
        <v>0</v>
      </c>
      <c r="J153">
        <f>'Cocoa FIN'!J183</f>
        <v>0</v>
      </c>
      <c r="K153">
        <f>'Cocoa FIN'!K183</f>
        <v>0</v>
      </c>
      <c r="L153">
        <f>'Cocoa FIN'!L183</f>
        <v>0</v>
      </c>
      <c r="M153">
        <f>'Cocoa FIN'!M183</f>
        <v>0</v>
      </c>
      <c r="N153">
        <f>'Cocoa FIN'!N183</f>
        <v>0</v>
      </c>
      <c r="O153">
        <f>'Cocoa FIN'!O183</f>
        <v>0</v>
      </c>
      <c r="P153">
        <f>'Cocoa FIN'!P183</f>
        <v>0</v>
      </c>
      <c r="Q153">
        <f>'Cocoa FIN'!Q183</f>
        <v>0</v>
      </c>
      <c r="R153">
        <f>'Cocoa FIN'!R183</f>
        <v>0</v>
      </c>
      <c r="S153">
        <f>'Cocoa FIN'!S183</f>
        <v>0</v>
      </c>
      <c r="T153">
        <f>'Cocoa FIN'!T183</f>
        <v>0</v>
      </c>
      <c r="U153">
        <f>'Cocoa FIN'!U183</f>
        <v>0</v>
      </c>
      <c r="V153">
        <f>'Cocoa FIN'!V183</f>
        <v>0</v>
      </c>
    </row>
    <row r="154" spans="1:22" x14ac:dyDescent="0.35">
      <c r="A154" s="6" t="str">
        <f t="shared" si="31"/>
        <v xml:space="preserve">  Acacia seedling</v>
      </c>
      <c r="B154" s="8" t="str">
        <f t="shared" si="32"/>
        <v>Unit</v>
      </c>
      <c r="C154">
        <f>'Cocoa FIN'!C184</f>
        <v>20</v>
      </c>
      <c r="D154">
        <f>'Cocoa FIN'!D184</f>
        <v>0</v>
      </c>
      <c r="E154">
        <f>'Cocoa FIN'!E184</f>
        <v>0</v>
      </c>
      <c r="F154">
        <f>'Cocoa FIN'!F184</f>
        <v>0</v>
      </c>
      <c r="G154">
        <f>'Cocoa FIN'!G184</f>
        <v>0</v>
      </c>
      <c r="H154">
        <f>'Cocoa FIN'!H184</f>
        <v>0</v>
      </c>
      <c r="I154">
        <f>'Cocoa FIN'!I184</f>
        <v>0</v>
      </c>
      <c r="J154">
        <f>'Cocoa FIN'!J184</f>
        <v>0</v>
      </c>
      <c r="K154">
        <f>'Cocoa FIN'!K184</f>
        <v>0</v>
      </c>
      <c r="L154">
        <f>'Cocoa FIN'!L184</f>
        <v>0</v>
      </c>
      <c r="M154">
        <f>'Cocoa FIN'!M184</f>
        <v>0</v>
      </c>
      <c r="N154">
        <f>'Cocoa FIN'!N184</f>
        <v>0</v>
      </c>
      <c r="O154">
        <f>'Cocoa FIN'!O184</f>
        <v>0</v>
      </c>
      <c r="P154">
        <f>'Cocoa FIN'!P184</f>
        <v>0</v>
      </c>
      <c r="Q154">
        <f>'Cocoa FIN'!Q184</f>
        <v>0</v>
      </c>
      <c r="R154">
        <f>'Cocoa FIN'!R184</f>
        <v>0</v>
      </c>
      <c r="S154">
        <f>'Cocoa FIN'!S184</f>
        <v>0</v>
      </c>
      <c r="T154">
        <f>'Cocoa FIN'!T184</f>
        <v>0</v>
      </c>
      <c r="U154">
        <f>'Cocoa FIN'!U184</f>
        <v>0</v>
      </c>
      <c r="V154">
        <f>'Cocoa FIN'!V184</f>
        <v>0</v>
      </c>
    </row>
    <row r="155" spans="1:22" x14ac:dyDescent="0.35">
      <c r="A155" s="6" t="str">
        <f t="shared" si="31"/>
        <v xml:space="preserve">  Akpi seedling</v>
      </c>
      <c r="B155" s="8" t="str">
        <f t="shared" si="32"/>
        <v>Unit</v>
      </c>
      <c r="C155">
        <f>'Cocoa FIN'!C185</f>
        <v>35</v>
      </c>
      <c r="D155">
        <f>'Cocoa FIN'!D185</f>
        <v>0</v>
      </c>
      <c r="E155">
        <f>'Cocoa FIN'!E185</f>
        <v>0</v>
      </c>
      <c r="F155">
        <f>'Cocoa FIN'!F185</f>
        <v>0</v>
      </c>
      <c r="G155">
        <f>'Cocoa FIN'!G185</f>
        <v>0</v>
      </c>
      <c r="H155">
        <f>'Cocoa FIN'!H185</f>
        <v>0</v>
      </c>
      <c r="I155">
        <f>'Cocoa FIN'!I185</f>
        <v>0</v>
      </c>
      <c r="J155">
        <f>'Cocoa FIN'!J185</f>
        <v>0</v>
      </c>
      <c r="K155">
        <f>'Cocoa FIN'!K185</f>
        <v>0</v>
      </c>
      <c r="L155">
        <f>'Cocoa FIN'!L185</f>
        <v>0</v>
      </c>
      <c r="M155">
        <f>'Cocoa FIN'!M185</f>
        <v>0</v>
      </c>
      <c r="N155">
        <f>'Cocoa FIN'!N185</f>
        <v>0</v>
      </c>
      <c r="O155">
        <f>'Cocoa FIN'!O185</f>
        <v>0</v>
      </c>
      <c r="P155">
        <f>'Cocoa FIN'!P185</f>
        <v>0</v>
      </c>
      <c r="Q155">
        <f>'Cocoa FIN'!Q185</f>
        <v>0</v>
      </c>
      <c r="R155">
        <f>'Cocoa FIN'!R185</f>
        <v>0</v>
      </c>
      <c r="S155">
        <f>'Cocoa FIN'!S185</f>
        <v>0</v>
      </c>
      <c r="T155">
        <f>'Cocoa FIN'!T185</f>
        <v>0</v>
      </c>
      <c r="U155">
        <f>'Cocoa FIN'!U185</f>
        <v>0</v>
      </c>
      <c r="V155">
        <f>'Cocoa FIN'!V185</f>
        <v>0</v>
      </c>
    </row>
    <row r="156" spans="1:22" x14ac:dyDescent="0.35">
      <c r="A156" s="6" t="str">
        <f t="shared" si="31"/>
        <v xml:space="preserve">  Teck seedling</v>
      </c>
      <c r="B156" s="8" t="str">
        <f t="shared" si="32"/>
        <v>Unit</v>
      </c>
      <c r="C156">
        <f>'Cocoa FIN'!C186</f>
        <v>35</v>
      </c>
      <c r="D156">
        <f>'Cocoa FIN'!D186</f>
        <v>0</v>
      </c>
      <c r="E156">
        <f>'Cocoa FIN'!E186</f>
        <v>0</v>
      </c>
      <c r="F156">
        <f>'Cocoa FIN'!F186</f>
        <v>0</v>
      </c>
      <c r="G156">
        <f>'Cocoa FIN'!G186</f>
        <v>0</v>
      </c>
      <c r="H156">
        <f>'Cocoa FIN'!H186</f>
        <v>0</v>
      </c>
      <c r="I156">
        <f>'Cocoa FIN'!I186</f>
        <v>0</v>
      </c>
      <c r="J156">
        <f>'Cocoa FIN'!J186</f>
        <v>0</v>
      </c>
      <c r="K156">
        <f>'Cocoa FIN'!K186</f>
        <v>0</v>
      </c>
      <c r="L156">
        <f>'Cocoa FIN'!L186</f>
        <v>0</v>
      </c>
      <c r="M156">
        <f>'Cocoa FIN'!M186</f>
        <v>0</v>
      </c>
      <c r="N156">
        <f>'Cocoa FIN'!N186</f>
        <v>0</v>
      </c>
      <c r="O156">
        <f>'Cocoa FIN'!O186</f>
        <v>0</v>
      </c>
      <c r="P156">
        <f>'Cocoa FIN'!P186</f>
        <v>0</v>
      </c>
      <c r="Q156">
        <f>'Cocoa FIN'!Q186</f>
        <v>0</v>
      </c>
      <c r="R156">
        <f>'Cocoa FIN'!R186</f>
        <v>0</v>
      </c>
      <c r="S156">
        <f>'Cocoa FIN'!S186</f>
        <v>0</v>
      </c>
      <c r="T156">
        <f>'Cocoa FIN'!T186</f>
        <v>0</v>
      </c>
      <c r="U156">
        <f>'Cocoa FIN'!U186</f>
        <v>0</v>
      </c>
      <c r="V156">
        <f>'Cocoa FIN'!V186</f>
        <v>0</v>
      </c>
    </row>
    <row r="157" spans="1:22" x14ac:dyDescent="0.35">
      <c r="A157" s="6" t="str">
        <f t="shared" si="31"/>
        <v xml:space="preserve">  Triple phosphate</v>
      </c>
      <c r="B157" s="8" t="str">
        <f t="shared" si="32"/>
        <v>Kg</v>
      </c>
      <c r="C157">
        <f>'Cocoa FIN'!C187</f>
        <v>0</v>
      </c>
      <c r="D157">
        <f>'Cocoa FIN'!D187</f>
        <v>0</v>
      </c>
      <c r="E157">
        <f>'Cocoa FIN'!E187</f>
        <v>0</v>
      </c>
      <c r="F157">
        <f>'Cocoa FIN'!F187</f>
        <v>0</v>
      </c>
      <c r="G157">
        <f>'Cocoa FIN'!G187</f>
        <v>0</v>
      </c>
      <c r="H157">
        <f>'Cocoa FIN'!H187</f>
        <v>0</v>
      </c>
      <c r="I157">
        <f>'Cocoa FIN'!I187</f>
        <v>0</v>
      </c>
      <c r="J157">
        <f>'Cocoa FIN'!J187</f>
        <v>0</v>
      </c>
      <c r="K157">
        <f>'Cocoa FIN'!K187</f>
        <v>0</v>
      </c>
      <c r="L157">
        <f>'Cocoa FIN'!L187</f>
        <v>0</v>
      </c>
      <c r="M157">
        <f>'Cocoa FIN'!M187</f>
        <v>0</v>
      </c>
      <c r="N157">
        <f>'Cocoa FIN'!N187</f>
        <v>0</v>
      </c>
      <c r="O157">
        <f>'Cocoa FIN'!O187</f>
        <v>0</v>
      </c>
      <c r="P157">
        <f>'Cocoa FIN'!P187</f>
        <v>0</v>
      </c>
      <c r="Q157">
        <f>'Cocoa FIN'!Q187</f>
        <v>0</v>
      </c>
      <c r="R157">
        <f>'Cocoa FIN'!R187</f>
        <v>0</v>
      </c>
      <c r="S157">
        <f>'Cocoa FIN'!S187</f>
        <v>0</v>
      </c>
      <c r="T157">
        <f>'Cocoa FIN'!T187</f>
        <v>0</v>
      </c>
      <c r="U157">
        <f>'Cocoa FIN'!U187</f>
        <v>0</v>
      </c>
      <c r="V157">
        <f>'Cocoa FIN'!V187</f>
        <v>0</v>
      </c>
    </row>
    <row r="158" spans="1:22" x14ac:dyDescent="0.35">
      <c r="A158" s="6" t="str">
        <f t="shared" si="31"/>
        <v xml:space="preserve">  Plant protection chemicals</v>
      </c>
      <c r="B158" s="8" t="str">
        <f t="shared" si="32"/>
        <v>Lt</v>
      </c>
      <c r="C158">
        <f>'Cocoa FIN'!C188</f>
        <v>0</v>
      </c>
      <c r="D158">
        <f>'Cocoa FIN'!D188</f>
        <v>0</v>
      </c>
      <c r="E158">
        <f>'Cocoa FIN'!E188</f>
        <v>0</v>
      </c>
      <c r="F158">
        <f>'Cocoa FIN'!F188</f>
        <v>0</v>
      </c>
      <c r="G158">
        <f>'Cocoa FIN'!G188</f>
        <v>0</v>
      </c>
      <c r="H158">
        <f>'Cocoa FIN'!H188</f>
        <v>0</v>
      </c>
      <c r="I158">
        <f>'Cocoa FIN'!I188</f>
        <v>0</v>
      </c>
      <c r="J158">
        <f>'Cocoa FIN'!J188</f>
        <v>0</v>
      </c>
      <c r="K158">
        <f>'Cocoa FIN'!K188</f>
        <v>0</v>
      </c>
      <c r="L158">
        <f>'Cocoa FIN'!L188</f>
        <v>0</v>
      </c>
      <c r="M158">
        <f>'Cocoa FIN'!M188</f>
        <v>0</v>
      </c>
      <c r="N158">
        <f>'Cocoa FIN'!N188</f>
        <v>0</v>
      </c>
      <c r="O158">
        <f>'Cocoa FIN'!O188</f>
        <v>0</v>
      </c>
      <c r="P158">
        <f>'Cocoa FIN'!P188</f>
        <v>0</v>
      </c>
      <c r="Q158">
        <f>'Cocoa FIN'!Q188</f>
        <v>0</v>
      </c>
      <c r="R158">
        <f>'Cocoa FIN'!R188</f>
        <v>0</v>
      </c>
      <c r="S158">
        <f>'Cocoa FIN'!S188</f>
        <v>0</v>
      </c>
      <c r="T158">
        <f>'Cocoa FIN'!T188</f>
        <v>0</v>
      </c>
      <c r="U158">
        <f>'Cocoa FIN'!U188</f>
        <v>0</v>
      </c>
      <c r="V158">
        <f>'Cocoa FIN'!V188</f>
        <v>0</v>
      </c>
    </row>
    <row r="159" spans="1:22" x14ac:dyDescent="0.35">
      <c r="A159" s="6"/>
      <c r="B159" s="8"/>
    </row>
    <row r="160" spans="1:22" x14ac:dyDescent="0.35">
      <c r="A160" s="6" t="s">
        <v>30</v>
      </c>
      <c r="B160" s="8"/>
    </row>
    <row r="161" spans="1:22" x14ac:dyDescent="0.35">
      <c r="A161" s="6" t="s">
        <v>155</v>
      </c>
      <c r="B161" s="8" t="s">
        <v>1</v>
      </c>
      <c r="C161">
        <f>'Cocoa FIN'!C191</f>
        <v>1</v>
      </c>
      <c r="D161">
        <f>'Cocoa FIN'!D191</f>
        <v>1</v>
      </c>
      <c r="E161">
        <f>'Cocoa FIN'!E191</f>
        <v>1</v>
      </c>
      <c r="F161">
        <f>'Cocoa FIN'!F191</f>
        <v>1</v>
      </c>
      <c r="G161">
        <f>'Cocoa FIN'!G191</f>
        <v>1</v>
      </c>
      <c r="H161">
        <f>'Cocoa FIN'!H191</f>
        <v>1</v>
      </c>
      <c r="I161">
        <f>'Cocoa FIN'!I191</f>
        <v>1</v>
      </c>
      <c r="J161">
        <f>'Cocoa FIN'!J191</f>
        <v>1</v>
      </c>
      <c r="K161">
        <f>'Cocoa FIN'!K191</f>
        <v>1</v>
      </c>
      <c r="L161">
        <f>'Cocoa FIN'!L191</f>
        <v>1</v>
      </c>
      <c r="M161">
        <f>'Cocoa FIN'!M191</f>
        <v>1</v>
      </c>
      <c r="N161">
        <f>'Cocoa FIN'!N191</f>
        <v>1</v>
      </c>
      <c r="O161">
        <f>'Cocoa FIN'!O191</f>
        <v>1</v>
      </c>
      <c r="P161">
        <f>'Cocoa FIN'!P191</f>
        <v>1</v>
      </c>
      <c r="Q161">
        <f>'Cocoa FIN'!Q191</f>
        <v>1</v>
      </c>
      <c r="R161">
        <f>'Cocoa FIN'!R191</f>
        <v>1</v>
      </c>
      <c r="S161">
        <f>'Cocoa FIN'!S191</f>
        <v>1</v>
      </c>
      <c r="T161">
        <f>'Cocoa FIN'!T191</f>
        <v>1</v>
      </c>
      <c r="U161">
        <f>'Cocoa FIN'!U191</f>
        <v>1</v>
      </c>
      <c r="V161">
        <f>'Cocoa FIN'!V191</f>
        <v>1</v>
      </c>
    </row>
    <row r="162" spans="1:22" x14ac:dyDescent="0.35">
      <c r="A162" s="6"/>
      <c r="B162" s="8"/>
    </row>
    <row r="163" spans="1:22" x14ac:dyDescent="0.35">
      <c r="A163" s="6" t="str">
        <f t="shared" ref="A163:A170" si="33">A70</f>
        <v>Production</v>
      </c>
      <c r="B163" s="8"/>
    </row>
    <row r="164" spans="1:22" x14ac:dyDescent="0.35">
      <c r="A164" s="6" t="str">
        <f t="shared" si="33"/>
        <v xml:space="preserve">  cocoa - old plants</v>
      </c>
      <c r="B164" s="8" t="str">
        <f t="shared" ref="B164:B170" si="34">B71</f>
        <v>Kg</v>
      </c>
      <c r="C164">
        <f>'Cocoa FIN'!C194</f>
        <v>135</v>
      </c>
      <c r="D164">
        <f>'Cocoa FIN'!D194</f>
        <v>90</v>
      </c>
      <c r="E164">
        <f>'Cocoa FIN'!E194</f>
        <v>45</v>
      </c>
      <c r="F164">
        <f>'Cocoa FIN'!F194</f>
        <v>45</v>
      </c>
      <c r="G164">
        <f>'Cocoa FIN'!G194</f>
        <v>45</v>
      </c>
      <c r="H164">
        <f>'Cocoa FIN'!H194</f>
        <v>45</v>
      </c>
      <c r="I164">
        <f>'Cocoa FIN'!I194</f>
        <v>45</v>
      </c>
      <c r="J164">
        <f>'Cocoa FIN'!J194</f>
        <v>45</v>
      </c>
      <c r="K164">
        <f>'Cocoa FIN'!K194</f>
        <v>45</v>
      </c>
      <c r="L164">
        <f>'Cocoa FIN'!L194</f>
        <v>45</v>
      </c>
      <c r="M164">
        <f>'Cocoa FIN'!M194</f>
        <v>45</v>
      </c>
      <c r="N164">
        <f>'Cocoa FIN'!N194</f>
        <v>45</v>
      </c>
      <c r="O164">
        <f>'Cocoa FIN'!O194</f>
        <v>45</v>
      </c>
      <c r="P164">
        <f>'Cocoa FIN'!P194</f>
        <v>45</v>
      </c>
      <c r="Q164">
        <f>'Cocoa FIN'!Q194</f>
        <v>45</v>
      </c>
      <c r="R164">
        <f>'Cocoa FIN'!R194</f>
        <v>45</v>
      </c>
      <c r="S164">
        <f>'Cocoa FIN'!S194</f>
        <v>45</v>
      </c>
      <c r="T164">
        <f>'Cocoa FIN'!T194</f>
        <v>45</v>
      </c>
      <c r="U164">
        <f>'Cocoa FIN'!U194</f>
        <v>45</v>
      </c>
      <c r="V164">
        <f>'Cocoa FIN'!V194</f>
        <v>45</v>
      </c>
    </row>
    <row r="165" spans="1:22" x14ac:dyDescent="0.35">
      <c r="A165" s="6" t="str">
        <f t="shared" si="33"/>
        <v xml:space="preserve">  cocoa production of plants replanted f1st year</v>
      </c>
      <c r="B165" s="8" t="str">
        <f t="shared" si="34"/>
        <v>Kg</v>
      </c>
      <c r="C165">
        <f>'Cocoa FIN'!C195</f>
        <v>0</v>
      </c>
      <c r="D165">
        <f>'Cocoa FIN'!D195</f>
        <v>0</v>
      </c>
      <c r="E165">
        <f>'Cocoa FIN'!E195</f>
        <v>0</v>
      </c>
      <c r="F165">
        <f>'Cocoa FIN'!F195</f>
        <v>37.5</v>
      </c>
      <c r="G165">
        <f>'Cocoa FIN'!G195</f>
        <v>45.150000000000006</v>
      </c>
      <c r="H165">
        <f>'Cocoa FIN'!H195</f>
        <v>52.800000000000004</v>
      </c>
      <c r="I165">
        <f>'Cocoa FIN'!I195</f>
        <v>60.45</v>
      </c>
      <c r="J165">
        <f>'Cocoa FIN'!J195</f>
        <v>68.100000000000009</v>
      </c>
      <c r="K165">
        <f>'Cocoa FIN'!K195</f>
        <v>75.750000000000014</v>
      </c>
      <c r="L165">
        <f>'Cocoa FIN'!L195</f>
        <v>83.4</v>
      </c>
      <c r="M165">
        <f>'Cocoa FIN'!M195</f>
        <v>91.050000000000011</v>
      </c>
      <c r="N165">
        <f>'Cocoa FIN'!N195</f>
        <v>98.700000000000017</v>
      </c>
      <c r="O165">
        <f>'Cocoa FIN'!O195</f>
        <v>106.35000000000001</v>
      </c>
      <c r="P165">
        <f>'Cocoa FIN'!P195</f>
        <v>114</v>
      </c>
      <c r="Q165">
        <f>'Cocoa FIN'!Q195</f>
        <v>121.64999999999999</v>
      </c>
      <c r="R165">
        <f>'Cocoa FIN'!R195</f>
        <v>114</v>
      </c>
      <c r="S165">
        <f>'Cocoa FIN'!S195</f>
        <v>106.35000000000001</v>
      </c>
      <c r="T165">
        <f>'Cocoa FIN'!T195</f>
        <v>98.700000000000017</v>
      </c>
      <c r="U165">
        <f>'Cocoa FIN'!U195</f>
        <v>91.050000000000011</v>
      </c>
      <c r="V165">
        <f>'Cocoa FIN'!V195</f>
        <v>83.4</v>
      </c>
    </row>
    <row r="166" spans="1:22" x14ac:dyDescent="0.35">
      <c r="A166" s="6" t="str">
        <f t="shared" si="33"/>
        <v xml:space="preserve">  cocoa production of plants replanted 2nd year </v>
      </c>
      <c r="B166" s="8" t="str">
        <f t="shared" si="34"/>
        <v>Kg</v>
      </c>
      <c r="C166">
        <f>'Cocoa FIN'!C196</f>
        <v>0</v>
      </c>
      <c r="D166">
        <f>'Cocoa FIN'!D196</f>
        <v>0</v>
      </c>
      <c r="E166">
        <f>'Cocoa FIN'!E196</f>
        <v>0</v>
      </c>
      <c r="F166">
        <f>'Cocoa FIN'!F196</f>
        <v>0</v>
      </c>
      <c r="G166">
        <f>'Cocoa FIN'!G196</f>
        <v>37.5</v>
      </c>
      <c r="H166">
        <f>'Cocoa FIN'!H196</f>
        <v>45.150000000000006</v>
      </c>
      <c r="I166">
        <f>'Cocoa FIN'!I196</f>
        <v>52.800000000000004</v>
      </c>
      <c r="J166">
        <f>'Cocoa FIN'!J196</f>
        <v>60.45</v>
      </c>
      <c r="K166">
        <f>'Cocoa FIN'!K196</f>
        <v>68.100000000000009</v>
      </c>
      <c r="L166">
        <f>'Cocoa FIN'!L196</f>
        <v>75.750000000000014</v>
      </c>
      <c r="M166">
        <f>'Cocoa FIN'!M196</f>
        <v>83.4</v>
      </c>
      <c r="N166">
        <f>'Cocoa FIN'!N196</f>
        <v>91.050000000000011</v>
      </c>
      <c r="O166">
        <f>'Cocoa FIN'!O196</f>
        <v>98.700000000000017</v>
      </c>
      <c r="P166">
        <f>'Cocoa FIN'!P196</f>
        <v>106.35000000000001</v>
      </c>
      <c r="Q166">
        <f>'Cocoa FIN'!Q196</f>
        <v>114</v>
      </c>
      <c r="R166">
        <f>'Cocoa FIN'!R196</f>
        <v>121.64999999999999</v>
      </c>
      <c r="S166">
        <f>'Cocoa FIN'!S196</f>
        <v>114</v>
      </c>
      <c r="T166">
        <f>'Cocoa FIN'!T196</f>
        <v>106.35000000000001</v>
      </c>
      <c r="U166">
        <f>'Cocoa FIN'!U196</f>
        <v>98.700000000000017</v>
      </c>
      <c r="V166">
        <f>'Cocoa FIN'!V196</f>
        <v>91.050000000000011</v>
      </c>
    </row>
    <row r="167" spans="1:22" x14ac:dyDescent="0.35">
      <c r="A167" s="6" t="str">
        <f t="shared" si="33"/>
        <v xml:space="preserve">  cocoa production of plants replanted 3rd year </v>
      </c>
      <c r="B167" s="8" t="str">
        <f t="shared" si="34"/>
        <v>Kg</v>
      </c>
      <c r="C167">
        <f>'Cocoa FIN'!C197</f>
        <v>0</v>
      </c>
      <c r="D167">
        <f>'Cocoa FIN'!D197</f>
        <v>0</v>
      </c>
      <c r="E167">
        <f>'Cocoa FIN'!E197</f>
        <v>0</v>
      </c>
      <c r="F167">
        <f>'Cocoa FIN'!F197</f>
        <v>0</v>
      </c>
      <c r="G167">
        <f>'Cocoa FIN'!G197</f>
        <v>0</v>
      </c>
      <c r="H167">
        <f>'Cocoa FIN'!H197</f>
        <v>37.5</v>
      </c>
      <c r="I167">
        <f>'Cocoa FIN'!I197</f>
        <v>45.150000000000006</v>
      </c>
      <c r="J167">
        <f>'Cocoa FIN'!J197</f>
        <v>52.800000000000004</v>
      </c>
      <c r="K167">
        <f>'Cocoa FIN'!K197</f>
        <v>60.45</v>
      </c>
      <c r="L167">
        <f>'Cocoa FIN'!L197</f>
        <v>68.100000000000009</v>
      </c>
      <c r="M167">
        <f>'Cocoa FIN'!M197</f>
        <v>75.750000000000014</v>
      </c>
      <c r="N167">
        <f>'Cocoa FIN'!N197</f>
        <v>83.4</v>
      </c>
      <c r="O167">
        <f>'Cocoa FIN'!O197</f>
        <v>91.050000000000011</v>
      </c>
      <c r="P167">
        <f>'Cocoa FIN'!P197</f>
        <v>98.700000000000017</v>
      </c>
      <c r="Q167">
        <f>'Cocoa FIN'!Q197</f>
        <v>106.35000000000001</v>
      </c>
      <c r="R167">
        <f>'Cocoa FIN'!R197</f>
        <v>114</v>
      </c>
      <c r="S167">
        <f>'Cocoa FIN'!S197</f>
        <v>121.64999999999999</v>
      </c>
      <c r="T167">
        <f>'Cocoa FIN'!T197</f>
        <v>114</v>
      </c>
      <c r="U167">
        <f>'Cocoa FIN'!U197</f>
        <v>106.35000000000001</v>
      </c>
      <c r="V167">
        <f>'Cocoa FIN'!V197</f>
        <v>98.700000000000017</v>
      </c>
    </row>
    <row r="168" spans="1:22" x14ac:dyDescent="0.35">
      <c r="A168" s="6" t="str">
        <f t="shared" si="33"/>
        <v xml:space="preserve">  Akpi</v>
      </c>
      <c r="B168" s="8" t="str">
        <f t="shared" si="34"/>
        <v>Kg</v>
      </c>
      <c r="C168">
        <f>'Cocoa FIN'!C198</f>
        <v>0</v>
      </c>
      <c r="D168">
        <f>'Cocoa FIN'!D198</f>
        <v>0</v>
      </c>
      <c r="E168">
        <f>'Cocoa FIN'!E198</f>
        <v>0</v>
      </c>
      <c r="F168">
        <f>'Cocoa FIN'!F198</f>
        <v>0</v>
      </c>
      <c r="G168">
        <f>'Cocoa FIN'!G198</f>
        <v>0</v>
      </c>
      <c r="H168">
        <f>'Cocoa FIN'!H198</f>
        <v>0</v>
      </c>
      <c r="I168">
        <f>'Cocoa FIN'!I198</f>
        <v>0</v>
      </c>
      <c r="J168">
        <f>'Cocoa FIN'!J198</f>
        <v>8.0079999999999991</v>
      </c>
      <c r="K168">
        <f>'Cocoa FIN'!K198</f>
        <v>10.472</v>
      </c>
      <c r="L168">
        <f>'Cocoa FIN'!L198</f>
        <v>12.935999999999998</v>
      </c>
      <c r="M168">
        <f>'Cocoa FIN'!M198</f>
        <v>15.4</v>
      </c>
      <c r="N168">
        <f>'Cocoa FIN'!N198</f>
        <v>17.863999999999997</v>
      </c>
      <c r="O168">
        <f>'Cocoa FIN'!O198</f>
        <v>20.327999999999999</v>
      </c>
      <c r="P168">
        <f>'Cocoa FIN'!P198</f>
        <v>22.792000000000002</v>
      </c>
      <c r="Q168">
        <f>'Cocoa FIN'!Q198</f>
        <v>25.255999999999997</v>
      </c>
      <c r="R168">
        <f>'Cocoa FIN'!R198</f>
        <v>25.255999999999997</v>
      </c>
      <c r="S168">
        <f>'Cocoa FIN'!S198</f>
        <v>25.255999999999997</v>
      </c>
      <c r="T168">
        <f>'Cocoa FIN'!T198</f>
        <v>25.255999999999997</v>
      </c>
      <c r="U168">
        <f>'Cocoa FIN'!U198</f>
        <v>25.255999999999997</v>
      </c>
      <c r="V168">
        <f>'Cocoa FIN'!V198</f>
        <v>25.255999999999997</v>
      </c>
    </row>
    <row r="169" spans="1:22" x14ac:dyDescent="0.35">
      <c r="A169" s="6" t="str">
        <f t="shared" si="33"/>
        <v xml:space="preserve">  Firewood</v>
      </c>
      <c r="B169" s="8" t="str">
        <f t="shared" si="34"/>
        <v>Stacked cubic meter</v>
      </c>
      <c r="C169">
        <f>'Cocoa FIN'!C199</f>
        <v>0</v>
      </c>
      <c r="D169">
        <f>'Cocoa FIN'!D199</f>
        <v>0</v>
      </c>
      <c r="E169">
        <f>'Cocoa FIN'!E199</f>
        <v>0</v>
      </c>
      <c r="F169">
        <f>'Cocoa FIN'!F199</f>
        <v>0</v>
      </c>
      <c r="G169">
        <f>'Cocoa FIN'!G199</f>
        <v>0</v>
      </c>
      <c r="H169">
        <f>'Cocoa FIN'!H199</f>
        <v>0</v>
      </c>
      <c r="I169">
        <f>'Cocoa FIN'!I199</f>
        <v>1</v>
      </c>
      <c r="J169">
        <f>'Cocoa FIN'!J199</f>
        <v>0</v>
      </c>
      <c r="K169">
        <f>'Cocoa FIN'!K199</f>
        <v>0</v>
      </c>
      <c r="L169">
        <f>'Cocoa FIN'!L199</f>
        <v>0</v>
      </c>
      <c r="M169">
        <f>'Cocoa FIN'!M199</f>
        <v>0</v>
      </c>
      <c r="N169">
        <f>'Cocoa FIN'!N199</f>
        <v>0</v>
      </c>
      <c r="O169">
        <f>'Cocoa FIN'!O199</f>
        <v>0</v>
      </c>
      <c r="P169">
        <f>'Cocoa FIN'!P199</f>
        <v>1</v>
      </c>
      <c r="Q169">
        <f>'Cocoa FIN'!Q199</f>
        <v>0</v>
      </c>
      <c r="R169">
        <f>'Cocoa FIN'!R199</f>
        <v>0</v>
      </c>
      <c r="S169">
        <f>'Cocoa FIN'!S199</f>
        <v>0</v>
      </c>
      <c r="T169">
        <f>'Cocoa FIN'!T199</f>
        <v>0</v>
      </c>
      <c r="U169">
        <f>'Cocoa FIN'!U199</f>
        <v>0</v>
      </c>
      <c r="V169">
        <f>'Cocoa FIN'!V199</f>
        <v>0</v>
      </c>
    </row>
    <row r="170" spans="1:22" x14ac:dyDescent="0.35">
      <c r="A170" s="12" t="str">
        <f t="shared" si="33"/>
        <v xml:space="preserve">  Timber</v>
      </c>
      <c r="B170" s="10" t="str">
        <f t="shared" si="34"/>
        <v>Tree</v>
      </c>
      <c r="C170" s="72">
        <f>'Cocoa FIN'!C200</f>
        <v>0</v>
      </c>
      <c r="D170" s="11">
        <f>'Cocoa FIN'!D200</f>
        <v>0</v>
      </c>
      <c r="E170" s="11">
        <f>'Cocoa FIN'!E200</f>
        <v>0</v>
      </c>
      <c r="F170" s="11">
        <f>'Cocoa FIN'!F200</f>
        <v>0</v>
      </c>
      <c r="G170" s="11">
        <f>'Cocoa FIN'!G200</f>
        <v>0</v>
      </c>
      <c r="H170" s="11">
        <f>'Cocoa FIN'!H200</f>
        <v>0</v>
      </c>
      <c r="I170" s="11">
        <f>'Cocoa FIN'!I200</f>
        <v>0</v>
      </c>
      <c r="J170" s="11">
        <f>'Cocoa FIN'!J200</f>
        <v>0</v>
      </c>
      <c r="K170" s="11">
        <f>'Cocoa FIN'!K200</f>
        <v>0</v>
      </c>
      <c r="L170" s="11">
        <f>'Cocoa FIN'!L200</f>
        <v>0</v>
      </c>
      <c r="M170" s="11">
        <f>'Cocoa FIN'!M200</f>
        <v>0</v>
      </c>
      <c r="N170" s="11">
        <f>'Cocoa FIN'!N200</f>
        <v>0</v>
      </c>
      <c r="O170" s="11">
        <f>'Cocoa FIN'!O200</f>
        <v>0</v>
      </c>
      <c r="P170" s="11">
        <f>'Cocoa FIN'!P200</f>
        <v>0</v>
      </c>
      <c r="Q170" s="11">
        <f>'Cocoa FIN'!Q200</f>
        <v>0</v>
      </c>
      <c r="R170" s="11">
        <f>'Cocoa FIN'!R200</f>
        <v>0</v>
      </c>
      <c r="S170" s="11">
        <f>'Cocoa FIN'!S200</f>
        <v>0</v>
      </c>
      <c r="T170" s="11">
        <f>'Cocoa FIN'!T200</f>
        <v>0</v>
      </c>
      <c r="U170" s="11">
        <f>'Cocoa FIN'!U200</f>
        <v>0</v>
      </c>
      <c r="V170" s="11">
        <f>'Cocoa FIN'!V200</f>
        <v>35</v>
      </c>
    </row>
    <row r="172" spans="1:22" x14ac:dyDescent="0.35">
      <c r="A172" s="68" t="s">
        <v>303</v>
      </c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</row>
    <row r="173" spans="1:22" x14ac:dyDescent="0.35">
      <c r="A173" s="12" t="s">
        <v>302</v>
      </c>
      <c r="B173" s="10" t="str">
        <f t="shared" ref="B173:V173" si="35">B80</f>
        <v>Price</v>
      </c>
      <c r="C173" s="11" t="str">
        <f t="shared" si="35"/>
        <v>Yr. 1</v>
      </c>
      <c r="D173" s="11" t="str">
        <f t="shared" si="35"/>
        <v>Yr. 2</v>
      </c>
      <c r="E173" s="11" t="str">
        <f t="shared" si="35"/>
        <v>Yr. 3</v>
      </c>
      <c r="F173" s="11" t="str">
        <f t="shared" si="35"/>
        <v>Yr. 4</v>
      </c>
      <c r="G173" s="11" t="str">
        <f t="shared" si="35"/>
        <v>Yr. 5</v>
      </c>
      <c r="H173" s="11" t="str">
        <f t="shared" si="35"/>
        <v>Yr. 6</v>
      </c>
      <c r="I173" s="11" t="str">
        <f t="shared" si="35"/>
        <v>Yr. 7</v>
      </c>
      <c r="J173" s="11" t="str">
        <f t="shared" si="35"/>
        <v>Yr. 8</v>
      </c>
      <c r="K173" s="11" t="str">
        <f t="shared" si="35"/>
        <v>Yr. 9</v>
      </c>
      <c r="L173" s="11" t="str">
        <f t="shared" si="35"/>
        <v>Yr. 10</v>
      </c>
      <c r="M173" s="11" t="str">
        <f t="shared" si="35"/>
        <v>Yr. 11</v>
      </c>
      <c r="N173" s="11" t="str">
        <f t="shared" si="35"/>
        <v>Yr. 12</v>
      </c>
      <c r="O173" s="11" t="str">
        <f t="shared" si="35"/>
        <v>Yr. 13</v>
      </c>
      <c r="P173" s="11" t="str">
        <f t="shared" si="35"/>
        <v>Yr. 14</v>
      </c>
      <c r="Q173" s="11" t="str">
        <f t="shared" si="35"/>
        <v>Yr. 15</v>
      </c>
      <c r="R173" s="11" t="str">
        <f t="shared" si="35"/>
        <v>Yr. 16</v>
      </c>
      <c r="S173" s="11" t="str">
        <f t="shared" si="35"/>
        <v>Yr. 17</v>
      </c>
      <c r="T173" s="11" t="str">
        <f t="shared" si="35"/>
        <v>Yr. 18</v>
      </c>
      <c r="U173" s="11" t="str">
        <f t="shared" si="35"/>
        <v>Yr. 19</v>
      </c>
      <c r="V173" s="11" t="str">
        <f t="shared" si="35"/>
        <v>Yr. 20</v>
      </c>
    </row>
    <row r="174" spans="1:22" x14ac:dyDescent="0.35">
      <c r="A174" s="6" t="str">
        <f>A136</f>
        <v>Agricultural operations</v>
      </c>
      <c r="B174" s="8"/>
    </row>
    <row r="175" spans="1:22" x14ac:dyDescent="0.35">
      <c r="A175" s="6" t="str">
        <f>A137</f>
        <v xml:space="preserve">  Undergrowth clearing</v>
      </c>
      <c r="B175" s="13">
        <f>B82</f>
        <v>28080</v>
      </c>
      <c r="C175" s="2">
        <f t="shared" ref="C175:V187" si="36">$B175*C137</f>
        <v>28080</v>
      </c>
      <c r="D175" s="2">
        <f t="shared" si="36"/>
        <v>0</v>
      </c>
      <c r="E175" s="2">
        <f t="shared" si="36"/>
        <v>0</v>
      </c>
      <c r="F175" s="2">
        <f t="shared" si="36"/>
        <v>0</v>
      </c>
      <c r="G175" s="2">
        <f t="shared" si="36"/>
        <v>0</v>
      </c>
      <c r="H175" s="2">
        <f t="shared" si="36"/>
        <v>0</v>
      </c>
      <c r="I175" s="2">
        <f t="shared" si="36"/>
        <v>0</v>
      </c>
      <c r="J175" s="2">
        <f t="shared" si="36"/>
        <v>0</v>
      </c>
      <c r="K175" s="2">
        <f t="shared" si="36"/>
        <v>0</v>
      </c>
      <c r="L175" s="2">
        <f t="shared" si="36"/>
        <v>0</v>
      </c>
      <c r="M175" s="2">
        <f t="shared" si="36"/>
        <v>0</v>
      </c>
      <c r="N175" s="2">
        <f t="shared" si="36"/>
        <v>0</v>
      </c>
      <c r="O175" s="2">
        <f t="shared" si="36"/>
        <v>0</v>
      </c>
      <c r="P175" s="2">
        <f t="shared" si="36"/>
        <v>0</v>
      </c>
      <c r="Q175" s="2">
        <f t="shared" si="36"/>
        <v>0</v>
      </c>
      <c r="R175" s="2">
        <f t="shared" si="36"/>
        <v>0</v>
      </c>
      <c r="S175" s="2">
        <f t="shared" si="36"/>
        <v>0</v>
      </c>
      <c r="T175" s="2">
        <f t="shared" si="36"/>
        <v>0</v>
      </c>
      <c r="U175" s="2">
        <f t="shared" si="36"/>
        <v>0</v>
      </c>
      <c r="V175" s="2">
        <f t="shared" si="36"/>
        <v>0</v>
      </c>
    </row>
    <row r="176" spans="1:22" x14ac:dyDescent="0.35">
      <c r="A176" s="6" t="str">
        <f>A138</f>
        <v xml:space="preserve">  Cutting old trees</v>
      </c>
      <c r="B176" s="13">
        <f>B83</f>
        <v>46800</v>
      </c>
      <c r="C176" s="2">
        <f t="shared" si="36"/>
        <v>11700</v>
      </c>
      <c r="D176" s="2">
        <f t="shared" si="36"/>
        <v>11700</v>
      </c>
      <c r="E176" s="2">
        <f t="shared" si="36"/>
        <v>11700</v>
      </c>
      <c r="F176" s="2">
        <f t="shared" si="36"/>
        <v>0</v>
      </c>
      <c r="G176" s="2">
        <f t="shared" si="36"/>
        <v>0</v>
      </c>
      <c r="H176" s="2">
        <f t="shared" si="36"/>
        <v>0</v>
      </c>
      <c r="I176" s="2">
        <f t="shared" si="36"/>
        <v>0</v>
      </c>
      <c r="J176" s="2">
        <f t="shared" si="36"/>
        <v>0</v>
      </c>
      <c r="K176" s="2">
        <f t="shared" si="36"/>
        <v>0</v>
      </c>
      <c r="L176" s="2">
        <f t="shared" si="36"/>
        <v>0</v>
      </c>
      <c r="M176" s="2">
        <f t="shared" si="36"/>
        <v>0</v>
      </c>
      <c r="N176" s="2">
        <f t="shared" si="36"/>
        <v>0</v>
      </c>
      <c r="O176" s="2">
        <f t="shared" si="36"/>
        <v>0</v>
      </c>
      <c r="P176" s="2">
        <f t="shared" si="36"/>
        <v>0</v>
      </c>
      <c r="Q176" s="2">
        <f t="shared" si="36"/>
        <v>0</v>
      </c>
      <c r="R176" s="2">
        <f t="shared" si="36"/>
        <v>0</v>
      </c>
      <c r="S176" s="2">
        <f t="shared" si="36"/>
        <v>0</v>
      </c>
      <c r="T176" s="2">
        <f t="shared" si="36"/>
        <v>0</v>
      </c>
      <c r="U176" s="2">
        <f t="shared" si="36"/>
        <v>0</v>
      </c>
      <c r="V176" s="2">
        <f t="shared" si="36"/>
        <v>0</v>
      </c>
    </row>
    <row r="177" spans="1:22" x14ac:dyDescent="0.35">
      <c r="A177" s="6" t="s">
        <v>70</v>
      </c>
      <c r="B177" s="13">
        <f>'Prices &amp; assums'!D27</f>
        <v>6.93</v>
      </c>
      <c r="C177" s="2">
        <f t="shared" si="36"/>
        <v>2933.1224999999999</v>
      </c>
      <c r="D177" s="2">
        <f t="shared" si="36"/>
        <v>2309.4225000000001</v>
      </c>
      <c r="E177" s="2">
        <f t="shared" si="36"/>
        <v>2309.4225000000001</v>
      </c>
      <c r="F177" s="2">
        <f t="shared" si="36"/>
        <v>0</v>
      </c>
      <c r="G177" s="2">
        <f t="shared" si="36"/>
        <v>0</v>
      </c>
      <c r="H177" s="2">
        <f t="shared" si="36"/>
        <v>0</v>
      </c>
      <c r="I177" s="2">
        <f t="shared" si="36"/>
        <v>0</v>
      </c>
      <c r="J177" s="2">
        <f t="shared" si="36"/>
        <v>0</v>
      </c>
      <c r="K177" s="2">
        <f t="shared" si="36"/>
        <v>0</v>
      </c>
      <c r="L177" s="2">
        <f t="shared" si="36"/>
        <v>0</v>
      </c>
      <c r="M177" s="2">
        <f t="shared" si="36"/>
        <v>0</v>
      </c>
      <c r="N177" s="2">
        <f t="shared" si="36"/>
        <v>0</v>
      </c>
      <c r="O177" s="2">
        <f t="shared" si="36"/>
        <v>0</v>
      </c>
      <c r="P177" s="2">
        <f t="shared" si="36"/>
        <v>0</v>
      </c>
      <c r="Q177" s="2">
        <f t="shared" si="36"/>
        <v>0</v>
      </c>
      <c r="R177" s="2">
        <f t="shared" si="36"/>
        <v>0</v>
      </c>
      <c r="S177" s="2">
        <f t="shared" si="36"/>
        <v>0</v>
      </c>
      <c r="T177" s="2">
        <f t="shared" si="36"/>
        <v>0</v>
      </c>
      <c r="U177" s="2">
        <f t="shared" si="36"/>
        <v>0</v>
      </c>
      <c r="V177" s="2">
        <f t="shared" si="36"/>
        <v>0</v>
      </c>
    </row>
    <row r="178" spans="1:22" x14ac:dyDescent="0.35">
      <c r="A178" s="6" t="str">
        <f>A140</f>
        <v xml:space="preserve">  Marking out</v>
      </c>
      <c r="B178" s="13">
        <f>B85</f>
        <v>25000</v>
      </c>
      <c r="C178" s="2">
        <f t="shared" si="36"/>
        <v>25000</v>
      </c>
      <c r="D178" s="2">
        <f t="shared" si="36"/>
        <v>25000</v>
      </c>
      <c r="E178" s="2">
        <f t="shared" si="36"/>
        <v>25000</v>
      </c>
      <c r="F178" s="2">
        <f t="shared" si="36"/>
        <v>0</v>
      </c>
      <c r="G178" s="2">
        <f t="shared" si="36"/>
        <v>0</v>
      </c>
      <c r="H178" s="2">
        <f t="shared" si="36"/>
        <v>0</v>
      </c>
      <c r="I178" s="2">
        <f t="shared" si="36"/>
        <v>0</v>
      </c>
      <c r="J178" s="2">
        <f t="shared" si="36"/>
        <v>0</v>
      </c>
      <c r="K178" s="2">
        <f t="shared" si="36"/>
        <v>0</v>
      </c>
      <c r="L178" s="2">
        <f t="shared" si="36"/>
        <v>0</v>
      </c>
      <c r="M178" s="2">
        <f t="shared" si="36"/>
        <v>0</v>
      </c>
      <c r="N178" s="2">
        <f t="shared" si="36"/>
        <v>0</v>
      </c>
      <c r="O178" s="2">
        <f t="shared" si="36"/>
        <v>0</v>
      </c>
      <c r="P178" s="2">
        <f t="shared" si="36"/>
        <v>0</v>
      </c>
      <c r="Q178" s="2">
        <f t="shared" si="36"/>
        <v>0</v>
      </c>
      <c r="R178" s="2">
        <f t="shared" si="36"/>
        <v>0</v>
      </c>
      <c r="S178" s="2">
        <f t="shared" si="36"/>
        <v>0</v>
      </c>
      <c r="T178" s="2">
        <f t="shared" si="36"/>
        <v>0</v>
      </c>
      <c r="U178" s="2">
        <f t="shared" si="36"/>
        <v>0</v>
      </c>
      <c r="V178" s="2">
        <f t="shared" si="36"/>
        <v>0</v>
      </c>
    </row>
    <row r="179" spans="1:22" x14ac:dyDescent="0.35">
      <c r="A179" s="6" t="str">
        <f>A141</f>
        <v xml:space="preserve">  Digging holes</v>
      </c>
      <c r="B179" s="13">
        <f>B86</f>
        <v>28.08</v>
      </c>
      <c r="C179" s="2">
        <f t="shared" si="36"/>
        <v>11884.859999999999</v>
      </c>
      <c r="D179" s="2">
        <f t="shared" si="36"/>
        <v>9357.66</v>
      </c>
      <c r="E179" s="2">
        <f t="shared" si="36"/>
        <v>9357.66</v>
      </c>
      <c r="F179" s="2">
        <f t="shared" si="36"/>
        <v>0</v>
      </c>
      <c r="G179" s="2">
        <f t="shared" si="36"/>
        <v>0</v>
      </c>
      <c r="H179" s="2">
        <f t="shared" si="36"/>
        <v>0</v>
      </c>
      <c r="I179" s="2">
        <f t="shared" si="36"/>
        <v>0</v>
      </c>
      <c r="J179" s="2">
        <f t="shared" si="36"/>
        <v>0</v>
      </c>
      <c r="K179" s="2">
        <f t="shared" si="36"/>
        <v>0</v>
      </c>
      <c r="L179" s="2">
        <f t="shared" si="36"/>
        <v>0</v>
      </c>
      <c r="M179" s="2">
        <f t="shared" si="36"/>
        <v>0</v>
      </c>
      <c r="N179" s="2">
        <f t="shared" si="36"/>
        <v>0</v>
      </c>
      <c r="O179" s="2">
        <f t="shared" si="36"/>
        <v>0</v>
      </c>
      <c r="P179" s="2">
        <f t="shared" si="36"/>
        <v>0</v>
      </c>
      <c r="Q179" s="2">
        <f t="shared" si="36"/>
        <v>0</v>
      </c>
      <c r="R179" s="2">
        <f t="shared" si="36"/>
        <v>0</v>
      </c>
      <c r="S179" s="2">
        <f t="shared" si="36"/>
        <v>0</v>
      </c>
      <c r="T179" s="2">
        <f t="shared" si="36"/>
        <v>0</v>
      </c>
      <c r="U179" s="2">
        <f t="shared" si="36"/>
        <v>0</v>
      </c>
      <c r="V179" s="2">
        <f t="shared" si="36"/>
        <v>0</v>
      </c>
    </row>
    <row r="180" spans="1:22" x14ac:dyDescent="0.35">
      <c r="A180" s="6" t="str">
        <f>A142</f>
        <v xml:space="preserve">  Planting seedlings</v>
      </c>
      <c r="B180" s="13">
        <f>B87</f>
        <v>28.08</v>
      </c>
      <c r="C180" s="2">
        <f t="shared" si="36"/>
        <v>11884.859999999999</v>
      </c>
      <c r="D180" s="2">
        <f t="shared" si="36"/>
        <v>9357.66</v>
      </c>
      <c r="E180" s="2">
        <f t="shared" si="36"/>
        <v>9357.66</v>
      </c>
      <c r="F180" s="2">
        <f t="shared" si="36"/>
        <v>0</v>
      </c>
      <c r="G180" s="2">
        <f t="shared" si="36"/>
        <v>0</v>
      </c>
      <c r="H180" s="2">
        <f t="shared" si="36"/>
        <v>0</v>
      </c>
      <c r="I180" s="2">
        <f t="shared" si="36"/>
        <v>0</v>
      </c>
      <c r="J180" s="2">
        <f t="shared" si="36"/>
        <v>0</v>
      </c>
      <c r="K180" s="2">
        <f t="shared" si="36"/>
        <v>0</v>
      </c>
      <c r="L180" s="2">
        <f t="shared" si="36"/>
        <v>0</v>
      </c>
      <c r="M180" s="2">
        <f t="shared" si="36"/>
        <v>0</v>
      </c>
      <c r="N180" s="2">
        <f t="shared" si="36"/>
        <v>0</v>
      </c>
      <c r="O180" s="2">
        <f t="shared" si="36"/>
        <v>0</v>
      </c>
      <c r="P180" s="2">
        <f t="shared" si="36"/>
        <v>0</v>
      </c>
      <c r="Q180" s="2">
        <f t="shared" si="36"/>
        <v>0</v>
      </c>
      <c r="R180" s="2">
        <f t="shared" si="36"/>
        <v>0</v>
      </c>
      <c r="S180" s="2">
        <f t="shared" si="36"/>
        <v>0</v>
      </c>
      <c r="T180" s="2">
        <f t="shared" si="36"/>
        <v>0</v>
      </c>
      <c r="U180" s="2">
        <f t="shared" si="36"/>
        <v>0</v>
      </c>
      <c r="V180" s="2">
        <f t="shared" si="36"/>
        <v>0</v>
      </c>
    </row>
    <row r="181" spans="1:22" x14ac:dyDescent="0.35">
      <c r="A181" s="6" t="str">
        <f>A143</f>
        <v xml:space="preserve">  Weeding other maintenance operations</v>
      </c>
      <c r="B181" s="13">
        <f>B88</f>
        <v>23400</v>
      </c>
      <c r="C181" s="2">
        <f t="shared" si="36"/>
        <v>0</v>
      </c>
      <c r="D181" s="2">
        <f t="shared" si="36"/>
        <v>70200</v>
      </c>
      <c r="E181" s="2">
        <f t="shared" si="36"/>
        <v>70200</v>
      </c>
      <c r="F181" s="2">
        <f t="shared" si="36"/>
        <v>70200</v>
      </c>
      <c r="G181" s="2">
        <f t="shared" si="36"/>
        <v>70200</v>
      </c>
      <c r="H181" s="2">
        <f t="shared" si="36"/>
        <v>70200</v>
      </c>
      <c r="I181" s="2">
        <f t="shared" si="36"/>
        <v>70200</v>
      </c>
      <c r="J181" s="2">
        <f t="shared" si="36"/>
        <v>70200</v>
      </c>
      <c r="K181" s="2">
        <f t="shared" si="36"/>
        <v>70200</v>
      </c>
      <c r="L181" s="2">
        <f t="shared" si="36"/>
        <v>70200</v>
      </c>
      <c r="M181" s="2">
        <f t="shared" si="36"/>
        <v>70200</v>
      </c>
      <c r="N181" s="2">
        <f t="shared" si="36"/>
        <v>70200</v>
      </c>
      <c r="O181" s="2">
        <f t="shared" si="36"/>
        <v>70200</v>
      </c>
      <c r="P181" s="2">
        <f t="shared" si="36"/>
        <v>70200</v>
      </c>
      <c r="Q181" s="2">
        <f t="shared" si="36"/>
        <v>70200</v>
      </c>
      <c r="R181" s="2">
        <f t="shared" si="36"/>
        <v>70200</v>
      </c>
      <c r="S181" s="2">
        <f t="shared" si="36"/>
        <v>70200</v>
      </c>
      <c r="T181" s="2">
        <f t="shared" si="36"/>
        <v>70200</v>
      </c>
      <c r="U181" s="2">
        <f t="shared" si="36"/>
        <v>70200</v>
      </c>
      <c r="V181" s="2">
        <f t="shared" si="36"/>
        <v>70200</v>
      </c>
    </row>
    <row r="182" spans="1:22" x14ac:dyDescent="0.35">
      <c r="A182" s="6" t="s">
        <v>144</v>
      </c>
      <c r="B182" s="13">
        <f>'Prices &amp; assums'!D13</f>
        <v>2000</v>
      </c>
      <c r="C182" s="2">
        <f t="shared" si="36"/>
        <v>0</v>
      </c>
      <c r="D182" s="2">
        <f t="shared" si="36"/>
        <v>636.46616541353387</v>
      </c>
      <c r="E182" s="2">
        <f t="shared" si="36"/>
        <v>501.1278195488722</v>
      </c>
      <c r="F182" s="2">
        <f t="shared" si="36"/>
        <v>501.1278195488722</v>
      </c>
      <c r="G182" s="2">
        <f t="shared" si="36"/>
        <v>0</v>
      </c>
      <c r="H182" s="2">
        <f t="shared" si="36"/>
        <v>0</v>
      </c>
      <c r="I182" s="2">
        <f t="shared" si="36"/>
        <v>0</v>
      </c>
      <c r="J182" s="2">
        <f t="shared" si="36"/>
        <v>0</v>
      </c>
      <c r="K182" s="2">
        <f t="shared" si="36"/>
        <v>0</v>
      </c>
      <c r="L182" s="2">
        <f t="shared" si="36"/>
        <v>0</v>
      </c>
      <c r="M182" s="2">
        <f t="shared" si="36"/>
        <v>0</v>
      </c>
      <c r="N182" s="2">
        <f t="shared" si="36"/>
        <v>0</v>
      </c>
      <c r="O182" s="2">
        <f t="shared" si="36"/>
        <v>0</v>
      </c>
      <c r="P182" s="2">
        <f t="shared" si="36"/>
        <v>0</v>
      </c>
      <c r="Q182" s="2">
        <f t="shared" si="36"/>
        <v>0</v>
      </c>
      <c r="R182" s="2">
        <f t="shared" si="36"/>
        <v>0</v>
      </c>
      <c r="S182" s="2">
        <f t="shared" si="36"/>
        <v>0</v>
      </c>
      <c r="T182" s="2">
        <f t="shared" si="36"/>
        <v>0</v>
      </c>
      <c r="U182" s="2">
        <f t="shared" si="36"/>
        <v>0</v>
      </c>
      <c r="V182" s="2">
        <f t="shared" si="36"/>
        <v>0</v>
      </c>
    </row>
    <row r="183" spans="1:22" x14ac:dyDescent="0.35">
      <c r="A183" s="6" t="str">
        <f t="shared" ref="A183:A188" si="37">A145</f>
        <v xml:space="preserve">  Fertilizer application</v>
      </c>
      <c r="B183" s="13">
        <f t="shared" ref="B183:B188" si="38">B90</f>
        <v>2340</v>
      </c>
      <c r="C183" s="2">
        <f t="shared" si="36"/>
        <v>0</v>
      </c>
      <c r="D183" s="2">
        <f t="shared" si="36"/>
        <v>0</v>
      </c>
      <c r="E183" s="2">
        <f t="shared" si="36"/>
        <v>4680</v>
      </c>
      <c r="F183" s="2">
        <f t="shared" si="36"/>
        <v>0</v>
      </c>
      <c r="G183" s="2">
        <f t="shared" si="36"/>
        <v>0</v>
      </c>
      <c r="H183" s="2">
        <f t="shared" si="36"/>
        <v>0</v>
      </c>
      <c r="I183" s="2">
        <f t="shared" si="36"/>
        <v>0</v>
      </c>
      <c r="J183" s="2">
        <f t="shared" si="36"/>
        <v>0</v>
      </c>
      <c r="K183" s="2">
        <f t="shared" si="36"/>
        <v>0</v>
      </c>
      <c r="L183" s="2">
        <f t="shared" si="36"/>
        <v>0</v>
      </c>
      <c r="M183" s="2">
        <f t="shared" si="36"/>
        <v>0</v>
      </c>
      <c r="N183" s="2">
        <f t="shared" si="36"/>
        <v>0</v>
      </c>
      <c r="O183" s="2">
        <f t="shared" si="36"/>
        <v>0</v>
      </c>
      <c r="P183" s="2">
        <f t="shared" si="36"/>
        <v>0</v>
      </c>
      <c r="Q183" s="2">
        <f t="shared" si="36"/>
        <v>0</v>
      </c>
      <c r="R183" s="2">
        <f t="shared" si="36"/>
        <v>0</v>
      </c>
      <c r="S183" s="2">
        <f t="shared" si="36"/>
        <v>0</v>
      </c>
      <c r="T183" s="2">
        <f t="shared" si="36"/>
        <v>0</v>
      </c>
      <c r="U183" s="2">
        <f t="shared" si="36"/>
        <v>0</v>
      </c>
      <c r="V183" s="2">
        <f t="shared" si="36"/>
        <v>0</v>
      </c>
    </row>
    <row r="184" spans="1:22" x14ac:dyDescent="0.35">
      <c r="A184" s="6" t="str">
        <f t="shared" si="37"/>
        <v xml:space="preserve">  Plant protection chemicals application</v>
      </c>
      <c r="B184" s="13">
        <f t="shared" si="38"/>
        <v>3744</v>
      </c>
      <c r="C184" s="2">
        <f t="shared" si="36"/>
        <v>0</v>
      </c>
      <c r="D184" s="2">
        <f t="shared" si="36"/>
        <v>0</v>
      </c>
      <c r="E184" s="2">
        <f t="shared" si="36"/>
        <v>0</v>
      </c>
      <c r="F184" s="2">
        <f t="shared" si="36"/>
        <v>0</v>
      </c>
      <c r="G184" s="2">
        <f t="shared" si="36"/>
        <v>0</v>
      </c>
      <c r="H184" s="2">
        <f t="shared" si="36"/>
        <v>0</v>
      </c>
      <c r="I184" s="2">
        <f t="shared" si="36"/>
        <v>0</v>
      </c>
      <c r="J184" s="2">
        <f t="shared" si="36"/>
        <v>0</v>
      </c>
      <c r="K184" s="2">
        <f t="shared" si="36"/>
        <v>0</v>
      </c>
      <c r="L184" s="2">
        <f t="shared" si="36"/>
        <v>0</v>
      </c>
      <c r="M184" s="2">
        <f t="shared" si="36"/>
        <v>0</v>
      </c>
      <c r="N184" s="2">
        <f t="shared" si="36"/>
        <v>0</v>
      </c>
      <c r="O184" s="2">
        <f t="shared" si="36"/>
        <v>0</v>
      </c>
      <c r="P184" s="2">
        <f t="shared" si="36"/>
        <v>0</v>
      </c>
      <c r="Q184" s="2">
        <f t="shared" si="36"/>
        <v>0</v>
      </c>
      <c r="R184" s="2">
        <f t="shared" si="36"/>
        <v>0</v>
      </c>
      <c r="S184" s="2">
        <f t="shared" si="36"/>
        <v>0</v>
      </c>
      <c r="T184" s="2">
        <f t="shared" si="36"/>
        <v>0</v>
      </c>
      <c r="U184" s="2">
        <f t="shared" si="36"/>
        <v>0</v>
      </c>
      <c r="V184" s="2">
        <f t="shared" si="36"/>
        <v>0</v>
      </c>
    </row>
    <row r="185" spans="1:22" x14ac:dyDescent="0.35">
      <c r="A185" s="6" t="str">
        <f t="shared" si="37"/>
        <v xml:space="preserve">  Harvest</v>
      </c>
      <c r="B185" s="13">
        <f t="shared" si="38"/>
        <v>29.203200000000002</v>
      </c>
      <c r="C185" s="2">
        <f t="shared" si="36"/>
        <v>3942.4320000000002</v>
      </c>
      <c r="D185" s="2">
        <f t="shared" si="36"/>
        <v>2628.288</v>
      </c>
      <c r="E185" s="2">
        <f t="shared" si="36"/>
        <v>1314.144</v>
      </c>
      <c r="F185" s="2">
        <f t="shared" si="36"/>
        <v>2409.2640000000001</v>
      </c>
      <c r="G185" s="2">
        <f t="shared" si="36"/>
        <v>3727.7884800000006</v>
      </c>
      <c r="H185" s="2">
        <f t="shared" si="36"/>
        <v>4174.5974400000005</v>
      </c>
      <c r="I185" s="2">
        <f t="shared" si="36"/>
        <v>4621.4064000000008</v>
      </c>
      <c r="J185" s="2">
        <f t="shared" si="36"/>
        <v>5068.2153600000011</v>
      </c>
      <c r="K185" s="2">
        <f t="shared" si="36"/>
        <v>5515.0243200000014</v>
      </c>
      <c r="L185" s="2">
        <f t="shared" si="36"/>
        <v>5961.8332800000017</v>
      </c>
      <c r="M185" s="2">
        <f t="shared" si="36"/>
        <v>6408.642240000001</v>
      </c>
      <c r="N185" s="2">
        <f t="shared" si="36"/>
        <v>6855.4512000000013</v>
      </c>
      <c r="O185" s="2">
        <f t="shared" si="36"/>
        <v>7302.2601600000016</v>
      </c>
      <c r="P185" s="2">
        <f t="shared" si="36"/>
        <v>7749.069120000001</v>
      </c>
      <c r="Q185" s="2">
        <f t="shared" si="36"/>
        <v>8195.8780800000004</v>
      </c>
      <c r="R185" s="2">
        <f t="shared" si="36"/>
        <v>8195.8780800000004</v>
      </c>
      <c r="S185" s="2">
        <f t="shared" si="36"/>
        <v>7749.069120000001</v>
      </c>
      <c r="T185" s="2">
        <f t="shared" si="36"/>
        <v>7302.2601600000007</v>
      </c>
      <c r="U185" s="2">
        <f t="shared" si="36"/>
        <v>6855.4512000000013</v>
      </c>
      <c r="V185" s="2">
        <f t="shared" si="36"/>
        <v>6408.642240000001</v>
      </c>
    </row>
    <row r="186" spans="1:22" x14ac:dyDescent="0.35">
      <c r="A186" s="6" t="str">
        <f t="shared" si="37"/>
        <v xml:space="preserve">  Post-harvest processes</v>
      </c>
      <c r="B186" s="13">
        <f t="shared" si="38"/>
        <v>46.332000000000001</v>
      </c>
      <c r="C186" s="2">
        <f t="shared" si="36"/>
        <v>6254.82</v>
      </c>
      <c r="D186" s="2">
        <f t="shared" si="36"/>
        <v>4169.88</v>
      </c>
      <c r="E186" s="2">
        <f t="shared" si="36"/>
        <v>2084.94</v>
      </c>
      <c r="F186" s="2">
        <f t="shared" si="36"/>
        <v>3822.39</v>
      </c>
      <c r="G186" s="2">
        <f t="shared" si="36"/>
        <v>5914.2798000000003</v>
      </c>
      <c r="H186" s="2">
        <f t="shared" si="36"/>
        <v>6623.1594000000005</v>
      </c>
      <c r="I186" s="2">
        <f t="shared" si="36"/>
        <v>7332.0389999999998</v>
      </c>
      <c r="J186" s="2">
        <f t="shared" si="36"/>
        <v>8040.9186000000009</v>
      </c>
      <c r="K186" s="2">
        <f t="shared" si="36"/>
        <v>8749.7982000000011</v>
      </c>
      <c r="L186" s="2">
        <f t="shared" si="36"/>
        <v>9458.6778000000013</v>
      </c>
      <c r="M186" s="2">
        <f t="shared" si="36"/>
        <v>10167.557400000002</v>
      </c>
      <c r="N186" s="2">
        <f t="shared" si="36"/>
        <v>10876.437000000002</v>
      </c>
      <c r="O186" s="2">
        <f t="shared" si="36"/>
        <v>11585.316600000002</v>
      </c>
      <c r="P186" s="2">
        <f t="shared" si="36"/>
        <v>12294.196200000002</v>
      </c>
      <c r="Q186" s="2">
        <f t="shared" si="36"/>
        <v>13003.075799999999</v>
      </c>
      <c r="R186" s="2">
        <f t="shared" si="36"/>
        <v>13003.075799999999</v>
      </c>
      <c r="S186" s="2">
        <f t="shared" si="36"/>
        <v>12294.196200000002</v>
      </c>
      <c r="T186" s="2">
        <f t="shared" si="36"/>
        <v>11585.3166</v>
      </c>
      <c r="U186" s="2">
        <f t="shared" si="36"/>
        <v>10876.437000000002</v>
      </c>
      <c r="V186" s="2">
        <f t="shared" si="36"/>
        <v>10167.557400000002</v>
      </c>
    </row>
    <row r="187" spans="1:22" x14ac:dyDescent="0.35">
      <c r="A187" s="6" t="str">
        <f t="shared" si="37"/>
        <v xml:space="preserve">  Transport of beans</v>
      </c>
      <c r="B187" s="13">
        <f t="shared" si="38"/>
        <v>9.9</v>
      </c>
      <c r="C187" s="2">
        <f t="shared" si="36"/>
        <v>1336.5</v>
      </c>
      <c r="D187" s="2">
        <f t="shared" si="36"/>
        <v>891</v>
      </c>
      <c r="E187" s="2">
        <f t="shared" si="36"/>
        <v>445.5</v>
      </c>
      <c r="F187" s="2">
        <f t="shared" si="36"/>
        <v>816.75</v>
      </c>
      <c r="G187" s="2">
        <f t="shared" si="36"/>
        <v>1263.7350000000001</v>
      </c>
      <c r="H187" s="2">
        <f t="shared" si="36"/>
        <v>1415.2050000000002</v>
      </c>
      <c r="I187" s="2">
        <f t="shared" si="36"/>
        <v>1566.675</v>
      </c>
      <c r="J187" s="2">
        <f t="shared" si="36"/>
        <v>1718.1450000000002</v>
      </c>
      <c r="K187" s="2">
        <f t="shared" si="36"/>
        <v>1869.6150000000002</v>
      </c>
      <c r="L187" s="2">
        <f t="shared" si="36"/>
        <v>2021.0850000000005</v>
      </c>
      <c r="M187" s="2">
        <f t="shared" si="36"/>
        <v>2172.5550000000003</v>
      </c>
      <c r="N187" s="2">
        <f t="shared" si="36"/>
        <v>2324.0250000000005</v>
      </c>
      <c r="O187" s="2">
        <f t="shared" si="36"/>
        <v>2475.4950000000003</v>
      </c>
      <c r="P187" s="2">
        <f t="shared" si="36"/>
        <v>2626.9650000000001</v>
      </c>
      <c r="Q187" s="2">
        <f t="shared" si="36"/>
        <v>2778.4349999999999</v>
      </c>
      <c r="R187" s="2">
        <f t="shared" ref="R187:V187" si="39">$B187*R149</f>
        <v>2778.4349999999999</v>
      </c>
      <c r="S187" s="2">
        <f t="shared" si="39"/>
        <v>2626.9650000000001</v>
      </c>
      <c r="T187" s="2">
        <f t="shared" si="39"/>
        <v>2475.4950000000003</v>
      </c>
      <c r="U187" s="2">
        <f t="shared" si="39"/>
        <v>2324.0250000000005</v>
      </c>
      <c r="V187" s="2">
        <f t="shared" si="39"/>
        <v>2172.5550000000003</v>
      </c>
    </row>
    <row r="188" spans="1:22" x14ac:dyDescent="0.35">
      <c r="A188" s="6" t="str">
        <f t="shared" si="37"/>
        <v xml:space="preserve">  Firewood cut</v>
      </c>
      <c r="B188" s="13">
        <f t="shared" si="38"/>
        <v>140.39999999999998</v>
      </c>
      <c r="C188" s="2">
        <f t="shared" ref="C188:V188" si="40">$B188*C150</f>
        <v>0</v>
      </c>
      <c r="D188" s="2">
        <f t="shared" si="40"/>
        <v>0</v>
      </c>
      <c r="E188" s="2">
        <f t="shared" si="40"/>
        <v>0</v>
      </c>
      <c r="F188" s="2">
        <f t="shared" si="40"/>
        <v>0</v>
      </c>
      <c r="G188" s="2">
        <f t="shared" si="40"/>
        <v>0</v>
      </c>
      <c r="H188" s="2">
        <f t="shared" si="40"/>
        <v>0</v>
      </c>
      <c r="I188" s="2">
        <f t="shared" si="40"/>
        <v>2807.9999999999995</v>
      </c>
      <c r="J188" s="2">
        <f t="shared" si="40"/>
        <v>0</v>
      </c>
      <c r="K188" s="2">
        <f t="shared" si="40"/>
        <v>0</v>
      </c>
      <c r="L188" s="2">
        <f t="shared" si="40"/>
        <v>0</v>
      </c>
      <c r="M188" s="2">
        <f t="shared" si="40"/>
        <v>0</v>
      </c>
      <c r="N188" s="2">
        <f t="shared" si="40"/>
        <v>0</v>
      </c>
      <c r="O188" s="2">
        <f t="shared" si="40"/>
        <v>0</v>
      </c>
      <c r="P188" s="2">
        <f t="shared" si="40"/>
        <v>2807.9999999999995</v>
      </c>
      <c r="Q188" s="2">
        <f t="shared" si="40"/>
        <v>0</v>
      </c>
      <c r="R188" s="2">
        <f t="shared" si="40"/>
        <v>0</v>
      </c>
      <c r="S188" s="2">
        <f t="shared" si="40"/>
        <v>0</v>
      </c>
      <c r="T188" s="2">
        <f t="shared" si="40"/>
        <v>0</v>
      </c>
      <c r="U188" s="2">
        <f t="shared" si="40"/>
        <v>0</v>
      </c>
      <c r="V188" s="2">
        <f t="shared" si="40"/>
        <v>0</v>
      </c>
    </row>
    <row r="189" spans="1:22" x14ac:dyDescent="0.35">
      <c r="A189" s="6"/>
      <c r="B189" s="13"/>
    </row>
    <row r="190" spans="1:22" x14ac:dyDescent="0.35">
      <c r="A190" s="6" t="str">
        <f t="shared" ref="A190:A196" si="41">A152</f>
        <v>Inputs</v>
      </c>
      <c r="B190" s="13"/>
    </row>
    <row r="191" spans="1:22" x14ac:dyDescent="0.35">
      <c r="A191" s="7" t="str">
        <f t="shared" si="41"/>
        <v xml:space="preserve">  cocoa seedlings</v>
      </c>
      <c r="B191" s="29">
        <f t="shared" ref="B191:B196" si="42">B98</f>
        <v>147</v>
      </c>
      <c r="C191" s="30">
        <f>$B191*C153</f>
        <v>48987.75</v>
      </c>
      <c r="D191" s="30">
        <f t="shared" ref="D191:V192" si="43">$B191*D153</f>
        <v>48987.75</v>
      </c>
      <c r="E191" s="30">
        <f t="shared" si="43"/>
        <v>48987.75</v>
      </c>
      <c r="F191" s="30">
        <f t="shared" si="43"/>
        <v>0</v>
      </c>
      <c r="G191" s="30">
        <f t="shared" si="43"/>
        <v>0</v>
      </c>
      <c r="H191" s="30">
        <f t="shared" si="43"/>
        <v>0</v>
      </c>
      <c r="I191" s="30">
        <f t="shared" si="43"/>
        <v>0</v>
      </c>
      <c r="J191" s="30">
        <f t="shared" si="43"/>
        <v>0</v>
      </c>
      <c r="K191" s="30">
        <f t="shared" si="43"/>
        <v>0</v>
      </c>
      <c r="L191" s="30">
        <f t="shared" si="43"/>
        <v>0</v>
      </c>
      <c r="M191" s="30">
        <f t="shared" si="43"/>
        <v>0</v>
      </c>
      <c r="N191" s="30">
        <f t="shared" si="43"/>
        <v>0</v>
      </c>
      <c r="O191" s="30">
        <f t="shared" si="43"/>
        <v>0</v>
      </c>
      <c r="P191" s="30">
        <f t="shared" si="43"/>
        <v>0</v>
      </c>
      <c r="Q191" s="30">
        <f t="shared" si="43"/>
        <v>0</v>
      </c>
      <c r="R191" s="30">
        <f t="shared" si="43"/>
        <v>0</v>
      </c>
      <c r="S191" s="30">
        <f t="shared" si="43"/>
        <v>0</v>
      </c>
      <c r="T191" s="30">
        <f t="shared" si="43"/>
        <v>0</v>
      </c>
      <c r="U191" s="30">
        <f t="shared" si="43"/>
        <v>0</v>
      </c>
      <c r="V191" s="30">
        <f t="shared" si="43"/>
        <v>0</v>
      </c>
    </row>
    <row r="192" spans="1:22" x14ac:dyDescent="0.35">
      <c r="A192" s="7" t="str">
        <f t="shared" si="41"/>
        <v xml:space="preserve">  Acacia seedling</v>
      </c>
      <c r="B192" s="29">
        <f t="shared" si="42"/>
        <v>196</v>
      </c>
      <c r="C192" s="30">
        <f>$B192*C154</f>
        <v>3920</v>
      </c>
      <c r="D192" s="30">
        <f t="shared" si="43"/>
        <v>0</v>
      </c>
      <c r="E192" s="30">
        <f t="shared" si="43"/>
        <v>0</v>
      </c>
      <c r="F192" s="30">
        <f t="shared" si="43"/>
        <v>0</v>
      </c>
      <c r="G192" s="30">
        <f t="shared" si="43"/>
        <v>0</v>
      </c>
      <c r="H192" s="30">
        <f t="shared" si="43"/>
        <v>0</v>
      </c>
      <c r="I192" s="30">
        <f t="shared" si="43"/>
        <v>0</v>
      </c>
      <c r="J192" s="30">
        <f t="shared" si="43"/>
        <v>0</v>
      </c>
      <c r="K192" s="30">
        <f t="shared" si="43"/>
        <v>0</v>
      </c>
      <c r="L192" s="30">
        <f t="shared" si="43"/>
        <v>0</v>
      </c>
      <c r="M192" s="30">
        <f t="shared" si="43"/>
        <v>0</v>
      </c>
      <c r="N192" s="30">
        <f t="shared" si="43"/>
        <v>0</v>
      </c>
      <c r="O192" s="30">
        <f t="shared" si="43"/>
        <v>0</v>
      </c>
      <c r="P192" s="30">
        <f t="shared" si="43"/>
        <v>0</v>
      </c>
      <c r="Q192" s="30">
        <f t="shared" si="43"/>
        <v>0</v>
      </c>
      <c r="R192" s="30">
        <f t="shared" si="43"/>
        <v>0</v>
      </c>
      <c r="S192" s="30">
        <f t="shared" si="43"/>
        <v>0</v>
      </c>
      <c r="T192" s="30">
        <f t="shared" si="43"/>
        <v>0</v>
      </c>
      <c r="U192" s="30">
        <f t="shared" si="43"/>
        <v>0</v>
      </c>
      <c r="V192" s="30">
        <f t="shared" si="43"/>
        <v>0</v>
      </c>
    </row>
    <row r="193" spans="1:23" x14ac:dyDescent="0.35">
      <c r="A193" s="7" t="str">
        <f t="shared" si="41"/>
        <v xml:space="preserve">  Akpi seedling</v>
      </c>
      <c r="B193" s="29">
        <f t="shared" si="42"/>
        <v>980</v>
      </c>
      <c r="C193" s="30">
        <f t="shared" ref="C193:V196" si="44">$B193*C155</f>
        <v>34300</v>
      </c>
      <c r="D193" s="30">
        <f t="shared" si="44"/>
        <v>0</v>
      </c>
      <c r="E193" s="30">
        <f t="shared" si="44"/>
        <v>0</v>
      </c>
      <c r="F193" s="30">
        <f t="shared" si="44"/>
        <v>0</v>
      </c>
      <c r="G193" s="30">
        <f t="shared" si="44"/>
        <v>0</v>
      </c>
      <c r="H193" s="30">
        <f t="shared" si="44"/>
        <v>0</v>
      </c>
      <c r="I193" s="30">
        <f t="shared" si="44"/>
        <v>0</v>
      </c>
      <c r="J193" s="30">
        <f t="shared" si="44"/>
        <v>0</v>
      </c>
      <c r="K193" s="30">
        <f t="shared" si="44"/>
        <v>0</v>
      </c>
      <c r="L193" s="30">
        <f t="shared" si="44"/>
        <v>0</v>
      </c>
      <c r="M193" s="30">
        <f t="shared" si="44"/>
        <v>0</v>
      </c>
      <c r="N193" s="30">
        <f t="shared" si="44"/>
        <v>0</v>
      </c>
      <c r="O193" s="30">
        <f t="shared" si="44"/>
        <v>0</v>
      </c>
      <c r="P193" s="30">
        <f t="shared" si="44"/>
        <v>0</v>
      </c>
      <c r="Q193" s="30">
        <f t="shared" si="44"/>
        <v>0</v>
      </c>
      <c r="R193" s="30">
        <f t="shared" si="44"/>
        <v>0</v>
      </c>
      <c r="S193" s="30">
        <f t="shared" si="44"/>
        <v>0</v>
      </c>
      <c r="T193" s="30">
        <f t="shared" si="44"/>
        <v>0</v>
      </c>
      <c r="U193" s="30">
        <f t="shared" si="44"/>
        <v>0</v>
      </c>
      <c r="V193" s="30">
        <f t="shared" si="44"/>
        <v>0</v>
      </c>
    </row>
    <row r="194" spans="1:23" x14ac:dyDescent="0.35">
      <c r="A194" s="7" t="str">
        <f t="shared" si="41"/>
        <v xml:space="preserve">  Teck seedling</v>
      </c>
      <c r="B194" s="29">
        <f t="shared" si="42"/>
        <v>196</v>
      </c>
      <c r="C194" s="30">
        <f t="shared" si="44"/>
        <v>6860</v>
      </c>
      <c r="D194" s="30">
        <f t="shared" si="44"/>
        <v>0</v>
      </c>
      <c r="E194" s="30">
        <f t="shared" si="44"/>
        <v>0</v>
      </c>
      <c r="F194" s="30">
        <f t="shared" si="44"/>
        <v>0</v>
      </c>
      <c r="G194" s="30">
        <f t="shared" si="44"/>
        <v>0</v>
      </c>
      <c r="H194" s="30">
        <f t="shared" si="44"/>
        <v>0</v>
      </c>
      <c r="I194" s="30">
        <f t="shared" si="44"/>
        <v>0</v>
      </c>
      <c r="J194" s="30">
        <f t="shared" si="44"/>
        <v>0</v>
      </c>
      <c r="K194" s="30">
        <f t="shared" si="44"/>
        <v>0</v>
      </c>
      <c r="L194" s="30">
        <f t="shared" si="44"/>
        <v>0</v>
      </c>
      <c r="M194" s="30">
        <f t="shared" si="44"/>
        <v>0</v>
      </c>
      <c r="N194" s="30">
        <f t="shared" si="44"/>
        <v>0</v>
      </c>
      <c r="O194" s="30">
        <f t="shared" si="44"/>
        <v>0</v>
      </c>
      <c r="P194" s="30">
        <f t="shared" si="44"/>
        <v>0</v>
      </c>
      <c r="Q194" s="30">
        <f t="shared" si="44"/>
        <v>0</v>
      </c>
      <c r="R194" s="30">
        <f t="shared" si="44"/>
        <v>0</v>
      </c>
      <c r="S194" s="30">
        <f t="shared" si="44"/>
        <v>0</v>
      </c>
      <c r="T194" s="30">
        <f t="shared" si="44"/>
        <v>0</v>
      </c>
      <c r="U194" s="30">
        <f t="shared" si="44"/>
        <v>0</v>
      </c>
      <c r="V194" s="30">
        <f t="shared" si="44"/>
        <v>0</v>
      </c>
    </row>
    <row r="195" spans="1:23" x14ac:dyDescent="0.35">
      <c r="A195" s="7" t="str">
        <f t="shared" si="41"/>
        <v xml:space="preserve">  Triple phosphate</v>
      </c>
      <c r="B195" s="29">
        <f t="shared" si="42"/>
        <v>490</v>
      </c>
      <c r="C195" s="30">
        <f t="shared" si="44"/>
        <v>0</v>
      </c>
      <c r="D195" s="30">
        <f t="shared" si="44"/>
        <v>0</v>
      </c>
      <c r="E195" s="30">
        <f>$B195*E157</f>
        <v>0</v>
      </c>
      <c r="F195" s="30">
        <f t="shared" si="44"/>
        <v>0</v>
      </c>
      <c r="G195" s="30">
        <f t="shared" si="44"/>
        <v>0</v>
      </c>
      <c r="H195" s="30">
        <f t="shared" si="44"/>
        <v>0</v>
      </c>
      <c r="I195" s="30">
        <f t="shared" si="44"/>
        <v>0</v>
      </c>
      <c r="J195" s="30">
        <f t="shared" si="44"/>
        <v>0</v>
      </c>
      <c r="K195" s="30">
        <f t="shared" si="44"/>
        <v>0</v>
      </c>
      <c r="L195" s="30">
        <f t="shared" si="44"/>
        <v>0</v>
      </c>
      <c r="M195" s="30">
        <f t="shared" si="44"/>
        <v>0</v>
      </c>
      <c r="N195" s="30">
        <f t="shared" si="44"/>
        <v>0</v>
      </c>
      <c r="O195" s="30">
        <f t="shared" si="44"/>
        <v>0</v>
      </c>
      <c r="P195" s="30">
        <f t="shared" si="44"/>
        <v>0</v>
      </c>
      <c r="Q195" s="30">
        <f t="shared" si="44"/>
        <v>0</v>
      </c>
      <c r="R195" s="30">
        <f t="shared" si="44"/>
        <v>0</v>
      </c>
      <c r="S195" s="30">
        <f t="shared" si="44"/>
        <v>0</v>
      </c>
      <c r="T195" s="30">
        <f t="shared" si="44"/>
        <v>0</v>
      </c>
      <c r="U195" s="30">
        <f t="shared" si="44"/>
        <v>0</v>
      </c>
      <c r="V195" s="30">
        <f t="shared" si="44"/>
        <v>0</v>
      </c>
    </row>
    <row r="196" spans="1:23" x14ac:dyDescent="0.35">
      <c r="A196" s="6" t="str">
        <f t="shared" si="41"/>
        <v xml:space="preserve">  Plant protection chemicals</v>
      </c>
      <c r="B196" s="13">
        <f t="shared" si="42"/>
        <v>3430</v>
      </c>
      <c r="C196" s="2">
        <f t="shared" si="44"/>
        <v>0</v>
      </c>
      <c r="D196" s="2">
        <f t="shared" si="44"/>
        <v>0</v>
      </c>
      <c r="E196" s="2">
        <f t="shared" si="44"/>
        <v>0</v>
      </c>
      <c r="F196" s="2">
        <f t="shared" si="44"/>
        <v>0</v>
      </c>
      <c r="G196" s="2">
        <f t="shared" si="44"/>
        <v>0</v>
      </c>
      <c r="H196" s="2">
        <f t="shared" si="44"/>
        <v>0</v>
      </c>
      <c r="I196" s="2">
        <f t="shared" si="44"/>
        <v>0</v>
      </c>
      <c r="J196" s="2">
        <f t="shared" si="44"/>
        <v>0</v>
      </c>
      <c r="K196" s="2">
        <f t="shared" si="44"/>
        <v>0</v>
      </c>
      <c r="L196" s="2">
        <f t="shared" si="44"/>
        <v>0</v>
      </c>
      <c r="M196" s="2">
        <f t="shared" si="44"/>
        <v>0</v>
      </c>
      <c r="N196" s="2">
        <f t="shared" si="44"/>
        <v>0</v>
      </c>
      <c r="O196" s="2">
        <f t="shared" si="44"/>
        <v>0</v>
      </c>
      <c r="P196" s="2">
        <f t="shared" si="44"/>
        <v>0</v>
      </c>
      <c r="Q196" s="2">
        <f t="shared" si="44"/>
        <v>0</v>
      </c>
      <c r="R196" s="2">
        <f t="shared" si="44"/>
        <v>0</v>
      </c>
      <c r="S196" s="2">
        <f t="shared" si="44"/>
        <v>0</v>
      </c>
      <c r="T196" s="2">
        <f t="shared" si="44"/>
        <v>0</v>
      </c>
      <c r="U196" s="2">
        <f t="shared" si="44"/>
        <v>0</v>
      </c>
      <c r="V196" s="2">
        <f t="shared" si="44"/>
        <v>0</v>
      </c>
    </row>
    <row r="197" spans="1:23" x14ac:dyDescent="0.35">
      <c r="A197" s="6"/>
      <c r="B197" s="13"/>
    </row>
    <row r="198" spans="1:23" x14ac:dyDescent="0.35">
      <c r="A198" s="6" t="str">
        <f>A160</f>
        <v>Other</v>
      </c>
      <c r="B198" s="13"/>
    </row>
    <row r="199" spans="1:23" x14ac:dyDescent="0.35">
      <c r="A199" s="7" t="str">
        <f>A161</f>
        <v xml:space="preserve">  Certification</v>
      </c>
      <c r="B199" s="29">
        <f>'Prices &amp; assums'!D90</f>
        <v>7491.3995260663505</v>
      </c>
      <c r="C199" s="30">
        <f t="shared" ref="C199:V199" si="45">$B199*C161</f>
        <v>7491.3995260663505</v>
      </c>
      <c r="D199" s="30">
        <f t="shared" si="45"/>
        <v>7491.3995260663505</v>
      </c>
      <c r="E199" s="30">
        <f t="shared" si="45"/>
        <v>7491.3995260663505</v>
      </c>
      <c r="F199" s="30">
        <f t="shared" si="45"/>
        <v>7491.3995260663505</v>
      </c>
      <c r="G199" s="30">
        <f t="shared" si="45"/>
        <v>7491.3995260663505</v>
      </c>
      <c r="H199" s="30">
        <f t="shared" si="45"/>
        <v>7491.3995260663505</v>
      </c>
      <c r="I199" s="30">
        <f t="shared" si="45"/>
        <v>7491.3995260663505</v>
      </c>
      <c r="J199" s="30">
        <f t="shared" si="45"/>
        <v>7491.3995260663505</v>
      </c>
      <c r="K199" s="30">
        <f t="shared" si="45"/>
        <v>7491.3995260663505</v>
      </c>
      <c r="L199" s="30">
        <f t="shared" si="45"/>
        <v>7491.3995260663505</v>
      </c>
      <c r="M199" s="30">
        <f t="shared" si="45"/>
        <v>7491.3995260663505</v>
      </c>
      <c r="N199" s="30">
        <f t="shared" si="45"/>
        <v>7491.3995260663505</v>
      </c>
      <c r="O199" s="30">
        <f t="shared" si="45"/>
        <v>7491.3995260663505</v>
      </c>
      <c r="P199" s="30">
        <f t="shared" si="45"/>
        <v>7491.3995260663505</v>
      </c>
      <c r="Q199" s="30">
        <f t="shared" si="45"/>
        <v>7491.3995260663505</v>
      </c>
      <c r="R199" s="30">
        <f t="shared" si="45"/>
        <v>7491.3995260663505</v>
      </c>
      <c r="S199" s="30">
        <f t="shared" si="45"/>
        <v>7491.3995260663505</v>
      </c>
      <c r="T199" s="30">
        <f t="shared" si="45"/>
        <v>7491.3995260663505</v>
      </c>
      <c r="U199" s="30">
        <f t="shared" si="45"/>
        <v>7491.3995260663505</v>
      </c>
      <c r="V199" s="30">
        <f t="shared" si="45"/>
        <v>7491.3995260663505</v>
      </c>
    </row>
    <row r="200" spans="1:23" x14ac:dyDescent="0.35">
      <c r="A200" s="6"/>
      <c r="B200" s="13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3" x14ac:dyDescent="0.35">
      <c r="A201" s="6" t="s">
        <v>6</v>
      </c>
      <c r="B201" s="13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3" x14ac:dyDescent="0.35">
      <c r="A202" s="7" t="str">
        <f>A109</f>
        <v xml:space="preserve">  cocoa</v>
      </c>
      <c r="B202" s="29">
        <f>'Prices &amp; assums'!D95</f>
        <v>1275</v>
      </c>
      <c r="C202" s="30">
        <f>$B202*SUM(C164:C167)</f>
        <v>172125</v>
      </c>
      <c r="D202" s="30">
        <f t="shared" ref="D202:V202" si="46">$B202*SUM(D164:D167)</f>
        <v>114750</v>
      </c>
      <c r="E202" s="30">
        <f t="shared" si="46"/>
        <v>57375</v>
      </c>
      <c r="F202" s="30">
        <f t="shared" si="46"/>
        <v>105187.5</v>
      </c>
      <c r="G202" s="30">
        <f t="shared" si="46"/>
        <v>162753.75</v>
      </c>
      <c r="H202" s="30">
        <f t="shared" si="46"/>
        <v>230073.75000000003</v>
      </c>
      <c r="I202" s="30">
        <f t="shared" si="46"/>
        <v>259335</v>
      </c>
      <c r="J202" s="30">
        <f t="shared" si="46"/>
        <v>288596.25</v>
      </c>
      <c r="K202" s="30">
        <f t="shared" si="46"/>
        <v>317857.5</v>
      </c>
      <c r="L202" s="30">
        <f t="shared" si="46"/>
        <v>347118.75000000006</v>
      </c>
      <c r="M202" s="30">
        <f t="shared" si="46"/>
        <v>376380.00000000006</v>
      </c>
      <c r="N202" s="30">
        <f t="shared" si="46"/>
        <v>405641.25000000006</v>
      </c>
      <c r="O202" s="30">
        <f t="shared" si="46"/>
        <v>434902.5</v>
      </c>
      <c r="P202" s="30">
        <f t="shared" si="46"/>
        <v>464163.75000000006</v>
      </c>
      <c r="Q202" s="30">
        <f t="shared" si="46"/>
        <v>493425</v>
      </c>
      <c r="R202" s="30">
        <f t="shared" si="46"/>
        <v>503178.75</v>
      </c>
      <c r="S202" s="30">
        <f t="shared" si="46"/>
        <v>493425</v>
      </c>
      <c r="T202" s="30">
        <f t="shared" si="46"/>
        <v>464163.75</v>
      </c>
      <c r="U202" s="30">
        <f t="shared" si="46"/>
        <v>434902.5</v>
      </c>
      <c r="V202" s="30">
        <f t="shared" si="46"/>
        <v>405641.25000000006</v>
      </c>
    </row>
    <row r="203" spans="1:23" x14ac:dyDescent="0.35">
      <c r="A203" s="7" t="str">
        <f>A110</f>
        <v xml:space="preserve">  Akpi</v>
      </c>
      <c r="B203" s="29">
        <f>B110</f>
        <v>2666.6666666666665</v>
      </c>
      <c r="C203" s="30">
        <f>$B203*C168</f>
        <v>0</v>
      </c>
      <c r="D203" s="30">
        <f t="shared" ref="D203:V205" si="47">$B203*D168</f>
        <v>0</v>
      </c>
      <c r="E203" s="30">
        <f t="shared" si="47"/>
        <v>0</v>
      </c>
      <c r="F203" s="30">
        <f t="shared" si="47"/>
        <v>0</v>
      </c>
      <c r="G203" s="30">
        <f t="shared" si="47"/>
        <v>0</v>
      </c>
      <c r="H203" s="30">
        <f t="shared" si="47"/>
        <v>0</v>
      </c>
      <c r="I203" s="30">
        <f t="shared" si="47"/>
        <v>0</v>
      </c>
      <c r="J203" s="30">
        <f t="shared" si="47"/>
        <v>21354.666666666664</v>
      </c>
      <c r="K203" s="30">
        <f t="shared" si="47"/>
        <v>27925.333333333332</v>
      </c>
      <c r="L203" s="30">
        <f t="shared" si="47"/>
        <v>34495.999999999993</v>
      </c>
      <c r="M203" s="30">
        <f t="shared" si="47"/>
        <v>41066.666666666664</v>
      </c>
      <c r="N203" s="30">
        <f t="shared" si="47"/>
        <v>47637.333333333321</v>
      </c>
      <c r="O203" s="30">
        <f t="shared" si="47"/>
        <v>54207.999999999993</v>
      </c>
      <c r="P203" s="30">
        <f t="shared" si="47"/>
        <v>60778.666666666664</v>
      </c>
      <c r="Q203" s="30">
        <f t="shared" si="47"/>
        <v>67349.333333333314</v>
      </c>
      <c r="R203" s="30">
        <f t="shared" si="47"/>
        <v>67349.333333333314</v>
      </c>
      <c r="S203" s="30">
        <f t="shared" si="47"/>
        <v>67349.333333333314</v>
      </c>
      <c r="T203" s="30">
        <f t="shared" si="47"/>
        <v>67349.333333333314</v>
      </c>
      <c r="U203" s="30">
        <f t="shared" si="47"/>
        <v>67349.333333333314</v>
      </c>
      <c r="V203" s="30">
        <f t="shared" si="47"/>
        <v>67349.333333333314</v>
      </c>
    </row>
    <row r="204" spans="1:23" x14ac:dyDescent="0.35">
      <c r="A204" s="7" t="str">
        <f>A111</f>
        <v xml:space="preserve">  Firewood</v>
      </c>
      <c r="B204" s="29">
        <f>B111</f>
        <v>2800</v>
      </c>
      <c r="C204" s="30">
        <f>$B204*C169</f>
        <v>0</v>
      </c>
      <c r="D204" s="30">
        <f t="shared" si="47"/>
        <v>0</v>
      </c>
      <c r="E204" s="30">
        <f t="shared" si="47"/>
        <v>0</v>
      </c>
      <c r="F204" s="30">
        <f t="shared" si="47"/>
        <v>0</v>
      </c>
      <c r="G204" s="30">
        <f t="shared" si="47"/>
        <v>0</v>
      </c>
      <c r="H204" s="30">
        <f t="shared" si="47"/>
        <v>0</v>
      </c>
      <c r="I204" s="30">
        <f t="shared" si="47"/>
        <v>2800</v>
      </c>
      <c r="J204" s="30">
        <f t="shared" si="47"/>
        <v>0</v>
      </c>
      <c r="K204" s="30">
        <f t="shared" si="47"/>
        <v>0</v>
      </c>
      <c r="L204" s="30">
        <f t="shared" si="47"/>
        <v>0</v>
      </c>
      <c r="M204" s="30">
        <f t="shared" si="47"/>
        <v>0</v>
      </c>
      <c r="N204" s="30">
        <f t="shared" si="47"/>
        <v>0</v>
      </c>
      <c r="O204" s="30">
        <f t="shared" si="47"/>
        <v>0</v>
      </c>
      <c r="P204" s="30">
        <f t="shared" si="47"/>
        <v>2800</v>
      </c>
      <c r="Q204" s="30">
        <f t="shared" si="47"/>
        <v>0</v>
      </c>
      <c r="R204" s="30">
        <f t="shared" si="47"/>
        <v>0</v>
      </c>
      <c r="S204" s="30">
        <f t="shared" si="47"/>
        <v>0</v>
      </c>
      <c r="T204" s="30">
        <f t="shared" si="47"/>
        <v>0</v>
      </c>
      <c r="U204" s="30">
        <f t="shared" si="47"/>
        <v>0</v>
      </c>
      <c r="V204" s="30">
        <f t="shared" si="47"/>
        <v>0</v>
      </c>
    </row>
    <row r="205" spans="1:23" x14ac:dyDescent="0.35">
      <c r="A205" s="31" t="str">
        <f>A112</f>
        <v xml:space="preserve">  Timber</v>
      </c>
      <c r="B205" s="32">
        <f>B112</f>
        <v>22080</v>
      </c>
      <c r="C205" s="33">
        <f>$B205*C170</f>
        <v>0</v>
      </c>
      <c r="D205" s="33">
        <f t="shared" si="47"/>
        <v>0</v>
      </c>
      <c r="E205" s="33">
        <f t="shared" si="47"/>
        <v>0</v>
      </c>
      <c r="F205" s="33">
        <f t="shared" si="47"/>
        <v>0</v>
      </c>
      <c r="G205" s="33">
        <f t="shared" si="47"/>
        <v>0</v>
      </c>
      <c r="H205" s="33">
        <f t="shared" si="47"/>
        <v>0</v>
      </c>
      <c r="I205" s="33">
        <f t="shared" si="47"/>
        <v>0</v>
      </c>
      <c r="J205" s="33">
        <f t="shared" si="47"/>
        <v>0</v>
      </c>
      <c r="K205" s="33">
        <f t="shared" si="47"/>
        <v>0</v>
      </c>
      <c r="L205" s="33">
        <f t="shared" si="47"/>
        <v>0</v>
      </c>
      <c r="M205" s="33">
        <f t="shared" si="47"/>
        <v>0</v>
      </c>
      <c r="N205" s="33">
        <f t="shared" si="47"/>
        <v>0</v>
      </c>
      <c r="O205" s="33">
        <f t="shared" si="47"/>
        <v>0</v>
      </c>
      <c r="P205" s="33">
        <f t="shared" si="47"/>
        <v>0</v>
      </c>
      <c r="Q205" s="33">
        <f t="shared" si="47"/>
        <v>0</v>
      </c>
      <c r="R205" s="33">
        <f t="shared" si="47"/>
        <v>0</v>
      </c>
      <c r="S205" s="33">
        <f t="shared" si="47"/>
        <v>0</v>
      </c>
      <c r="T205" s="33">
        <f t="shared" si="47"/>
        <v>0</v>
      </c>
      <c r="U205" s="33">
        <f t="shared" si="47"/>
        <v>0</v>
      </c>
      <c r="V205" s="33">
        <f t="shared" si="47"/>
        <v>772800</v>
      </c>
    </row>
    <row r="206" spans="1:23" x14ac:dyDescent="0.35">
      <c r="A206" t="s">
        <v>156</v>
      </c>
      <c r="C206" s="5">
        <f>C209/usd</f>
        <v>201.80974576271186</v>
      </c>
      <c r="D206" s="5">
        <f>D209/usd</f>
        <v>125.40296610169491</v>
      </c>
      <c r="E206" s="5">
        <f>E209/usd</f>
        <v>125.40296610169491</v>
      </c>
    </row>
    <row r="207" spans="1:23" x14ac:dyDescent="0.35">
      <c r="A207" t="s">
        <v>157</v>
      </c>
      <c r="C207" s="2">
        <f t="shared" ref="C207:V207" si="48">SUM(C175:C188)+SUM(C191:C196)+C199</f>
        <v>204575.74402606636</v>
      </c>
      <c r="D207" s="2">
        <f t="shared" si="48"/>
        <v>192729.52619147988</v>
      </c>
      <c r="E207" s="2">
        <f t="shared" si="48"/>
        <v>193429.60384561523</v>
      </c>
      <c r="F207" s="2">
        <f t="shared" si="48"/>
        <v>85240.931345615216</v>
      </c>
      <c r="G207" s="2">
        <f t="shared" si="48"/>
        <v>88597.202806066358</v>
      </c>
      <c r="H207" s="2">
        <f t="shared" si="48"/>
        <v>89904.361366066354</v>
      </c>
      <c r="I207" s="2">
        <f t="shared" si="48"/>
        <v>94019.519926066365</v>
      </c>
      <c r="J207" s="2">
        <f t="shared" si="48"/>
        <v>92518.678486066361</v>
      </c>
      <c r="K207" s="2">
        <f t="shared" si="48"/>
        <v>93825.837046066357</v>
      </c>
      <c r="L207" s="2">
        <f t="shared" si="48"/>
        <v>95132.995606066368</v>
      </c>
      <c r="M207" s="2">
        <f t="shared" si="48"/>
        <v>96440.15416606635</v>
      </c>
      <c r="N207" s="2">
        <f t="shared" si="48"/>
        <v>97747.312726066346</v>
      </c>
      <c r="O207" s="2">
        <f t="shared" si="48"/>
        <v>99054.471286066357</v>
      </c>
      <c r="P207" s="2">
        <f t="shared" si="48"/>
        <v>103169.62984606635</v>
      </c>
      <c r="Q207" s="2">
        <f t="shared" si="48"/>
        <v>101668.78840606633</v>
      </c>
      <c r="R207" s="2">
        <f t="shared" si="48"/>
        <v>101668.78840606633</v>
      </c>
      <c r="S207" s="2">
        <f t="shared" si="48"/>
        <v>100361.62984606635</v>
      </c>
      <c r="T207" s="2">
        <f t="shared" si="48"/>
        <v>99054.471286066357</v>
      </c>
      <c r="U207" s="2">
        <f t="shared" si="48"/>
        <v>97747.312726066346</v>
      </c>
      <c r="V207" s="2">
        <f t="shared" si="48"/>
        <v>96440.15416606635</v>
      </c>
      <c r="W207" s="2"/>
    </row>
    <row r="208" spans="1:23" x14ac:dyDescent="0.35">
      <c r="A208" t="s">
        <v>158</v>
      </c>
      <c r="C208" s="2">
        <f>C207-C175-C176-C179/3-C180-C181/3-C183-C185/2-C186-C188</f>
        <v>140723.22802606638</v>
      </c>
      <c r="D208" s="2">
        <f t="shared" ref="D208:V208" si="49">D207-D175-D176-D179/3-D180-D181/3-D183-D185/2-D186-D188</f>
        <v>139668.62219147987</v>
      </c>
      <c r="E208" s="2">
        <f t="shared" si="49"/>
        <v>138430.71184561524</v>
      </c>
      <c r="F208" s="2">
        <f t="shared" si="49"/>
        <v>56813.909345615219</v>
      </c>
      <c r="G208" s="2">
        <f t="shared" si="49"/>
        <v>57419.02876606636</v>
      </c>
      <c r="H208" s="2">
        <f t="shared" si="49"/>
        <v>57793.903246066358</v>
      </c>
      <c r="I208" s="2">
        <f t="shared" si="49"/>
        <v>58168.777726066364</v>
      </c>
      <c r="J208" s="2">
        <f t="shared" si="49"/>
        <v>58543.652206066356</v>
      </c>
      <c r="K208" s="2">
        <f t="shared" si="49"/>
        <v>58918.526686066354</v>
      </c>
      <c r="L208" s="2">
        <f t="shared" si="49"/>
        <v>59293.401166066367</v>
      </c>
      <c r="M208" s="2">
        <f t="shared" si="49"/>
        <v>59668.275646066337</v>
      </c>
      <c r="N208" s="2">
        <f t="shared" si="49"/>
        <v>60043.150126066335</v>
      </c>
      <c r="O208" s="2">
        <f t="shared" si="49"/>
        <v>60418.024606066348</v>
      </c>
      <c r="P208" s="2">
        <f t="shared" si="49"/>
        <v>60792.899086066347</v>
      </c>
      <c r="Q208" s="2">
        <f t="shared" si="49"/>
        <v>61167.773566066338</v>
      </c>
      <c r="R208" s="2">
        <f t="shared" si="49"/>
        <v>61167.773566066338</v>
      </c>
      <c r="S208" s="2">
        <f t="shared" si="49"/>
        <v>60792.899086066347</v>
      </c>
      <c r="T208" s="2">
        <f t="shared" si="49"/>
        <v>60418.024606066356</v>
      </c>
      <c r="U208" s="2">
        <f t="shared" si="49"/>
        <v>60043.150126066335</v>
      </c>
      <c r="V208" s="2">
        <f t="shared" si="49"/>
        <v>59668.275646066337</v>
      </c>
      <c r="W208" s="2"/>
    </row>
    <row r="209" spans="1:23" x14ac:dyDescent="0.35">
      <c r="A209" t="s">
        <v>159</v>
      </c>
      <c r="C209" s="2">
        <f>C178+C191+C192+C193+C194+C195</f>
        <v>119067.75</v>
      </c>
      <c r="D209" s="2">
        <f t="shared" ref="D209:V209" si="50">D178+D191+D192+D193+D194+D195</f>
        <v>73987.75</v>
      </c>
      <c r="E209" s="2">
        <f t="shared" si="50"/>
        <v>73987.75</v>
      </c>
      <c r="F209" s="2">
        <f t="shared" si="50"/>
        <v>0</v>
      </c>
      <c r="G209" s="2">
        <f t="shared" si="50"/>
        <v>0</v>
      </c>
      <c r="H209" s="2">
        <f t="shared" si="50"/>
        <v>0</v>
      </c>
      <c r="I209" s="2">
        <f t="shared" si="50"/>
        <v>0</v>
      </c>
      <c r="J209" s="2">
        <f t="shared" si="50"/>
        <v>0</v>
      </c>
      <c r="K209" s="2">
        <f t="shared" si="50"/>
        <v>0</v>
      </c>
      <c r="L209" s="2">
        <f t="shared" si="50"/>
        <v>0</v>
      </c>
      <c r="M209" s="2">
        <f t="shared" si="50"/>
        <v>0</v>
      </c>
      <c r="N209" s="2">
        <f t="shared" si="50"/>
        <v>0</v>
      </c>
      <c r="O209" s="2">
        <f t="shared" si="50"/>
        <v>0</v>
      </c>
      <c r="P209" s="2">
        <f t="shared" si="50"/>
        <v>0</v>
      </c>
      <c r="Q209" s="2">
        <f t="shared" si="50"/>
        <v>0</v>
      </c>
      <c r="R209" s="2">
        <f t="shared" si="50"/>
        <v>0</v>
      </c>
      <c r="S209" s="2">
        <f t="shared" si="50"/>
        <v>0</v>
      </c>
      <c r="T209" s="2">
        <f t="shared" si="50"/>
        <v>0</v>
      </c>
      <c r="U209" s="2">
        <f t="shared" si="50"/>
        <v>0</v>
      </c>
      <c r="V209" s="2">
        <f t="shared" si="50"/>
        <v>0</v>
      </c>
      <c r="W209" s="2"/>
    </row>
    <row r="210" spans="1:23" x14ac:dyDescent="0.35">
      <c r="A210" s="44" t="s">
        <v>160</v>
      </c>
      <c r="B210" s="44"/>
      <c r="C210" s="30">
        <f>C207-C209</f>
        <v>85507.994026066357</v>
      </c>
      <c r="D210" s="30">
        <f>D207-D209</f>
        <v>118741.77619147988</v>
      </c>
      <c r="E210" s="30">
        <f>E207-E209</f>
        <v>119441.85384561523</v>
      </c>
      <c r="F210" s="30">
        <f>F207-F209</f>
        <v>85240.931345615216</v>
      </c>
      <c r="G210" s="30">
        <f t="shared" ref="G210:V210" si="51">G207-G209</f>
        <v>88597.202806066358</v>
      </c>
      <c r="H210" s="30">
        <f t="shared" si="51"/>
        <v>89904.361366066354</v>
      </c>
      <c r="I210" s="30">
        <f t="shared" si="51"/>
        <v>94019.519926066365</v>
      </c>
      <c r="J210" s="30">
        <f t="shared" si="51"/>
        <v>92518.678486066361</v>
      </c>
      <c r="K210" s="30">
        <f t="shared" si="51"/>
        <v>93825.837046066357</v>
      </c>
      <c r="L210" s="30">
        <f t="shared" si="51"/>
        <v>95132.995606066368</v>
      </c>
      <c r="M210" s="30">
        <f t="shared" si="51"/>
        <v>96440.15416606635</v>
      </c>
      <c r="N210" s="30">
        <f t="shared" si="51"/>
        <v>97747.312726066346</v>
      </c>
      <c r="O210" s="30">
        <f t="shared" si="51"/>
        <v>99054.471286066357</v>
      </c>
      <c r="P210" s="30">
        <f t="shared" si="51"/>
        <v>103169.62984606635</v>
      </c>
      <c r="Q210" s="30">
        <f t="shared" si="51"/>
        <v>101668.78840606633</v>
      </c>
      <c r="R210" s="30">
        <f t="shared" si="51"/>
        <v>101668.78840606633</v>
      </c>
      <c r="S210" s="30">
        <f t="shared" si="51"/>
        <v>100361.62984606635</v>
      </c>
      <c r="T210" s="30">
        <f t="shared" si="51"/>
        <v>99054.471286066357</v>
      </c>
      <c r="U210" s="30">
        <f t="shared" si="51"/>
        <v>97747.312726066346</v>
      </c>
      <c r="V210" s="30">
        <f t="shared" si="51"/>
        <v>96440.15416606635</v>
      </c>
      <c r="W210" s="2"/>
    </row>
    <row r="211" spans="1:23" x14ac:dyDescent="0.35">
      <c r="A211" t="str">
        <f>A118</f>
        <v xml:space="preserve">Revenues </v>
      </c>
      <c r="B211" s="2"/>
      <c r="C211" s="2">
        <f t="shared" ref="C211:V211" si="52">SUM(C202:C205)</f>
        <v>172125</v>
      </c>
      <c r="D211" s="2">
        <f t="shared" si="52"/>
        <v>114750</v>
      </c>
      <c r="E211" s="2">
        <f t="shared" si="52"/>
        <v>57375</v>
      </c>
      <c r="F211" s="2">
        <f t="shared" si="52"/>
        <v>105187.5</v>
      </c>
      <c r="G211" s="2">
        <f t="shared" si="52"/>
        <v>162753.75</v>
      </c>
      <c r="H211" s="2">
        <f t="shared" si="52"/>
        <v>230073.75000000003</v>
      </c>
      <c r="I211" s="2">
        <f t="shared" si="52"/>
        <v>262135</v>
      </c>
      <c r="J211" s="2">
        <f t="shared" si="52"/>
        <v>309950.91666666669</v>
      </c>
      <c r="K211" s="2">
        <f t="shared" si="52"/>
        <v>345782.83333333331</v>
      </c>
      <c r="L211" s="2">
        <f t="shared" si="52"/>
        <v>381614.75000000006</v>
      </c>
      <c r="M211" s="2">
        <f t="shared" si="52"/>
        <v>417446.66666666674</v>
      </c>
      <c r="N211" s="2">
        <f t="shared" si="52"/>
        <v>453278.58333333337</v>
      </c>
      <c r="O211" s="2">
        <f t="shared" si="52"/>
        <v>489110.5</v>
      </c>
      <c r="P211" s="2">
        <f t="shared" si="52"/>
        <v>527742.41666666674</v>
      </c>
      <c r="Q211" s="2">
        <f t="shared" si="52"/>
        <v>560774.33333333326</v>
      </c>
      <c r="R211" s="2">
        <f t="shared" si="52"/>
        <v>570528.08333333326</v>
      </c>
      <c r="S211" s="2">
        <f t="shared" si="52"/>
        <v>560774.33333333326</v>
      </c>
      <c r="T211" s="2">
        <f t="shared" si="52"/>
        <v>531513.08333333326</v>
      </c>
      <c r="U211" s="2">
        <f t="shared" si="52"/>
        <v>502251.83333333331</v>
      </c>
      <c r="V211" s="2">
        <f t="shared" si="52"/>
        <v>1245790.5833333335</v>
      </c>
    </row>
    <row r="212" spans="1:23" x14ac:dyDescent="0.35">
      <c r="A212" s="45" t="s">
        <v>154</v>
      </c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3" x14ac:dyDescent="0.35">
      <c r="A213" t="s">
        <v>151</v>
      </c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3" x14ac:dyDescent="0.35">
      <c r="A214" t="s">
        <v>152</v>
      </c>
      <c r="C214" s="2">
        <f t="shared" ref="C214:V214" si="53">C211-C207</f>
        <v>-32450.744026066357</v>
      </c>
      <c r="D214" s="2">
        <f t="shared" si="53"/>
        <v>-77979.526191479876</v>
      </c>
      <c r="E214" s="2">
        <f t="shared" si="53"/>
        <v>-136054.60384561523</v>
      </c>
      <c r="F214" s="2">
        <f t="shared" si="53"/>
        <v>19946.568654384784</v>
      </c>
      <c r="G214" s="2">
        <f t="shared" si="53"/>
        <v>74156.547193933642</v>
      </c>
      <c r="H214" s="2">
        <f t="shared" si="53"/>
        <v>140169.38863393368</v>
      </c>
      <c r="I214" s="2">
        <f t="shared" si="53"/>
        <v>168115.48007393364</v>
      </c>
      <c r="J214" s="2">
        <f t="shared" si="53"/>
        <v>217432.23818060034</v>
      </c>
      <c r="K214" s="2">
        <f t="shared" si="53"/>
        <v>251956.99628726696</v>
      </c>
      <c r="L214" s="2">
        <f t="shared" si="53"/>
        <v>286481.75439393369</v>
      </c>
      <c r="M214" s="2">
        <f t="shared" si="53"/>
        <v>321006.51250060042</v>
      </c>
      <c r="N214" s="2">
        <f t="shared" si="53"/>
        <v>355531.27060726704</v>
      </c>
      <c r="O214" s="2">
        <f t="shared" si="53"/>
        <v>390056.02871393366</v>
      </c>
      <c r="P214" s="2">
        <f t="shared" si="53"/>
        <v>424572.78682060039</v>
      </c>
      <c r="Q214" s="2">
        <f t="shared" si="53"/>
        <v>459105.54492726689</v>
      </c>
      <c r="R214" s="2">
        <f t="shared" si="53"/>
        <v>468859.29492726689</v>
      </c>
      <c r="S214" s="2">
        <f t="shared" si="53"/>
        <v>460412.7034872669</v>
      </c>
      <c r="T214" s="2">
        <f t="shared" si="53"/>
        <v>432458.61204726691</v>
      </c>
      <c r="U214" s="2">
        <f t="shared" si="53"/>
        <v>404504.52060726698</v>
      </c>
      <c r="V214" s="2">
        <f t="shared" si="53"/>
        <v>1149350.4291672672</v>
      </c>
    </row>
    <row r="215" spans="1:23" x14ac:dyDescent="0.35">
      <c r="A215" t="s">
        <v>153</v>
      </c>
      <c r="C215" s="2">
        <f t="shared" ref="C215:V215" si="54">C211-C208</f>
        <v>31401.771973933617</v>
      </c>
      <c r="D215" s="2">
        <f t="shared" si="54"/>
        <v>-24918.622191479866</v>
      </c>
      <c r="E215" s="2">
        <f t="shared" si="54"/>
        <v>-81055.711845615238</v>
      </c>
      <c r="F215" s="2">
        <f t="shared" si="54"/>
        <v>48373.590654384781</v>
      </c>
      <c r="G215" s="2">
        <f t="shared" si="54"/>
        <v>105334.72123393364</v>
      </c>
      <c r="H215" s="2">
        <f t="shared" si="54"/>
        <v>172279.84675393367</v>
      </c>
      <c r="I215" s="2">
        <f t="shared" si="54"/>
        <v>203966.22227393364</v>
      </c>
      <c r="J215" s="2">
        <f t="shared" si="54"/>
        <v>251407.26446060033</v>
      </c>
      <c r="K215" s="2">
        <f t="shared" si="54"/>
        <v>286864.30664726696</v>
      </c>
      <c r="L215" s="2">
        <f t="shared" si="54"/>
        <v>322321.34883393371</v>
      </c>
      <c r="M215" s="2">
        <f t="shared" si="54"/>
        <v>357778.39102060039</v>
      </c>
      <c r="N215" s="2">
        <f t="shared" si="54"/>
        <v>393235.43320726702</v>
      </c>
      <c r="O215" s="2">
        <f t="shared" si="54"/>
        <v>428692.47539393365</v>
      </c>
      <c r="P215" s="2">
        <f t="shared" si="54"/>
        <v>466949.5175806004</v>
      </c>
      <c r="Q215" s="2">
        <f t="shared" si="54"/>
        <v>499606.55976726691</v>
      </c>
      <c r="R215" s="2">
        <f t="shared" si="54"/>
        <v>509360.30976726691</v>
      </c>
      <c r="S215" s="2">
        <f t="shared" si="54"/>
        <v>499981.43424726691</v>
      </c>
      <c r="T215" s="2">
        <f t="shared" si="54"/>
        <v>471095.05872726691</v>
      </c>
      <c r="U215" s="2">
        <f t="shared" si="54"/>
        <v>442208.68320726696</v>
      </c>
      <c r="V215" s="2">
        <f t="shared" si="54"/>
        <v>1186122.3076872672</v>
      </c>
    </row>
    <row r="216" spans="1:23" x14ac:dyDescent="0.35">
      <c r="A216" t="s">
        <v>215</v>
      </c>
      <c r="C216" s="2">
        <f>C211-C207+C209</f>
        <v>86617.005973933643</v>
      </c>
      <c r="D216" s="2">
        <f t="shared" ref="D216:V216" si="55">D211-D207+D209</f>
        <v>-3991.7761914798757</v>
      </c>
      <c r="E216" s="2">
        <f t="shared" si="55"/>
        <v>-62066.853845615231</v>
      </c>
      <c r="F216" s="2">
        <f t="shared" si="55"/>
        <v>19946.568654384784</v>
      </c>
      <c r="G216" s="2">
        <f t="shared" si="55"/>
        <v>74156.547193933642</v>
      </c>
      <c r="H216" s="2">
        <f t="shared" si="55"/>
        <v>140169.38863393368</v>
      </c>
      <c r="I216" s="2">
        <f t="shared" si="55"/>
        <v>168115.48007393364</v>
      </c>
      <c r="J216" s="2">
        <f t="shared" si="55"/>
        <v>217432.23818060034</v>
      </c>
      <c r="K216" s="2">
        <f t="shared" si="55"/>
        <v>251956.99628726696</v>
      </c>
      <c r="L216" s="2">
        <f t="shared" si="55"/>
        <v>286481.75439393369</v>
      </c>
      <c r="M216" s="2">
        <f t="shared" si="55"/>
        <v>321006.51250060042</v>
      </c>
      <c r="N216" s="2">
        <f t="shared" si="55"/>
        <v>355531.27060726704</v>
      </c>
      <c r="O216" s="2">
        <f t="shared" si="55"/>
        <v>390056.02871393366</v>
      </c>
      <c r="P216" s="2">
        <f t="shared" si="55"/>
        <v>424572.78682060039</v>
      </c>
      <c r="Q216" s="2">
        <f t="shared" si="55"/>
        <v>459105.54492726689</v>
      </c>
      <c r="R216" s="2">
        <f t="shared" si="55"/>
        <v>468859.29492726689</v>
      </c>
      <c r="S216" s="2">
        <f t="shared" si="55"/>
        <v>460412.7034872669</v>
      </c>
      <c r="T216" s="2">
        <f t="shared" si="55"/>
        <v>432458.61204726691</v>
      </c>
      <c r="U216" s="2">
        <f t="shared" si="55"/>
        <v>404504.52060726698</v>
      </c>
      <c r="V216" s="2">
        <f t="shared" si="55"/>
        <v>1149350.4291672672</v>
      </c>
    </row>
    <row r="217" spans="1:23" x14ac:dyDescent="0.35">
      <c r="A217" t="s">
        <v>213</v>
      </c>
      <c r="C217" s="2">
        <f t="shared" ref="C217:V217" si="56">C211-C208+C209</f>
        <v>150469.52197393362</v>
      </c>
      <c r="D217" s="2">
        <f t="shared" si="56"/>
        <v>49069.127808520134</v>
      </c>
      <c r="E217" s="2">
        <f t="shared" si="56"/>
        <v>-7067.9618456152384</v>
      </c>
      <c r="F217" s="2">
        <f t="shared" si="56"/>
        <v>48373.590654384781</v>
      </c>
      <c r="G217" s="2">
        <f t="shared" si="56"/>
        <v>105334.72123393364</v>
      </c>
      <c r="H217" s="2">
        <f t="shared" si="56"/>
        <v>172279.84675393367</v>
      </c>
      <c r="I217" s="2">
        <f t="shared" si="56"/>
        <v>203966.22227393364</v>
      </c>
      <c r="J217" s="2">
        <f t="shared" si="56"/>
        <v>251407.26446060033</v>
      </c>
      <c r="K217" s="2">
        <f t="shared" si="56"/>
        <v>286864.30664726696</v>
      </c>
      <c r="L217" s="2">
        <f t="shared" si="56"/>
        <v>322321.34883393371</v>
      </c>
      <c r="M217" s="2">
        <f t="shared" si="56"/>
        <v>357778.39102060039</v>
      </c>
      <c r="N217" s="2">
        <f t="shared" si="56"/>
        <v>393235.43320726702</v>
      </c>
      <c r="O217" s="2">
        <f t="shared" si="56"/>
        <v>428692.47539393365</v>
      </c>
      <c r="P217" s="2">
        <f t="shared" si="56"/>
        <v>466949.5175806004</v>
      </c>
      <c r="Q217" s="2">
        <f t="shared" si="56"/>
        <v>499606.55976726691</v>
      </c>
      <c r="R217" s="2">
        <f t="shared" si="56"/>
        <v>509360.30976726691</v>
      </c>
      <c r="S217" s="2">
        <f t="shared" si="56"/>
        <v>499981.43424726691</v>
      </c>
      <c r="T217" s="2">
        <f t="shared" si="56"/>
        <v>471095.05872726691</v>
      </c>
      <c r="U217" s="2">
        <f t="shared" si="56"/>
        <v>442208.68320726696</v>
      </c>
      <c r="V217" s="2">
        <f t="shared" si="56"/>
        <v>1186122.3076872672</v>
      </c>
    </row>
    <row r="218" spans="1:23" x14ac:dyDescent="0.35">
      <c r="A218" s="37" t="s">
        <v>145</v>
      </c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3" x14ac:dyDescent="0.35">
      <c r="A219" t="s">
        <v>146</v>
      </c>
      <c r="C219" s="2">
        <f>C214-C$36</f>
        <v>-162302.86745463777</v>
      </c>
      <c r="D219" s="2">
        <f t="shared" ref="D219:V219" si="57">D214-D$36</f>
        <v>-207831.64962005132</v>
      </c>
      <c r="E219" s="2">
        <f t="shared" si="57"/>
        <v>-265906.72727418668</v>
      </c>
      <c r="F219" s="2">
        <f t="shared" si="57"/>
        <v>-109905.55477418665</v>
      </c>
      <c r="G219" s="2">
        <f t="shared" si="57"/>
        <v>-55695.576234637789</v>
      </c>
      <c r="H219" s="2">
        <f t="shared" si="57"/>
        <v>10317.265205362244</v>
      </c>
      <c r="I219" s="2">
        <f t="shared" si="57"/>
        <v>38263.356645362204</v>
      </c>
      <c r="J219" s="2">
        <f t="shared" si="57"/>
        <v>87580.114752028909</v>
      </c>
      <c r="K219" s="2">
        <f t="shared" si="57"/>
        <v>122104.87285869553</v>
      </c>
      <c r="L219" s="2">
        <f t="shared" si="57"/>
        <v>156629.63096536224</v>
      </c>
      <c r="M219" s="2">
        <f t="shared" si="57"/>
        <v>191154.38907202898</v>
      </c>
      <c r="N219" s="2">
        <f t="shared" si="57"/>
        <v>225679.1471786956</v>
      </c>
      <c r="O219" s="2">
        <f t="shared" si="57"/>
        <v>260203.90528536221</v>
      </c>
      <c r="P219" s="2">
        <f t="shared" si="57"/>
        <v>294720.66339202895</v>
      </c>
      <c r="Q219" s="2">
        <f t="shared" si="57"/>
        <v>329253.42149869545</v>
      </c>
      <c r="R219" s="2">
        <f t="shared" si="57"/>
        <v>339007.17149869545</v>
      </c>
      <c r="S219" s="2">
        <f t="shared" si="57"/>
        <v>330560.58005869546</v>
      </c>
      <c r="T219" s="2">
        <f t="shared" si="57"/>
        <v>302606.48861869547</v>
      </c>
      <c r="U219" s="2">
        <f t="shared" si="57"/>
        <v>274652.39717869554</v>
      </c>
      <c r="V219" s="2">
        <f t="shared" si="57"/>
        <v>1019498.3057386958</v>
      </c>
    </row>
    <row r="220" spans="1:23" x14ac:dyDescent="0.35">
      <c r="A220" t="s">
        <v>214</v>
      </c>
      <c r="B220" s="23"/>
      <c r="C220" s="2">
        <f>C215-C$37</f>
        <v>-128674.41545463781</v>
      </c>
      <c r="D220" s="2">
        <f t="shared" ref="D220:V220" si="58">D215-D$37</f>
        <v>-184994.8096200513</v>
      </c>
      <c r="E220" s="2">
        <f t="shared" si="58"/>
        <v>-241131.89927418667</v>
      </c>
      <c r="F220" s="2">
        <f t="shared" si="58"/>
        <v>-111702.59677418665</v>
      </c>
      <c r="G220" s="2">
        <f t="shared" si="58"/>
        <v>-54741.466194637789</v>
      </c>
      <c r="H220" s="2">
        <f t="shared" si="58"/>
        <v>12203.659325362241</v>
      </c>
      <c r="I220" s="2">
        <f t="shared" si="58"/>
        <v>43890.034845362214</v>
      </c>
      <c r="J220" s="2">
        <f t="shared" si="58"/>
        <v>91331.077032028901</v>
      </c>
      <c r="K220" s="2">
        <f t="shared" si="58"/>
        <v>126788.11921869553</v>
      </c>
      <c r="L220" s="2">
        <f t="shared" si="58"/>
        <v>162245.16140536228</v>
      </c>
      <c r="M220" s="2">
        <f t="shared" si="58"/>
        <v>197702.20359202896</v>
      </c>
      <c r="N220" s="2">
        <f t="shared" si="58"/>
        <v>233159.24577869559</v>
      </c>
      <c r="O220" s="2">
        <f t="shared" si="58"/>
        <v>268616.28796536219</v>
      </c>
      <c r="P220" s="2">
        <f t="shared" si="58"/>
        <v>306873.33015202894</v>
      </c>
      <c r="Q220" s="2">
        <f t="shared" si="58"/>
        <v>339530.37233869545</v>
      </c>
      <c r="R220" s="2">
        <f t="shared" si="58"/>
        <v>349284.12233869545</v>
      </c>
      <c r="S220" s="2">
        <f t="shared" si="58"/>
        <v>339905.24681869545</v>
      </c>
      <c r="T220" s="2">
        <f t="shared" si="58"/>
        <v>311018.87129869545</v>
      </c>
      <c r="U220" s="2">
        <f t="shared" si="58"/>
        <v>282132.49577869556</v>
      </c>
      <c r="V220" s="2">
        <f t="shared" si="58"/>
        <v>1026046.1202586958</v>
      </c>
    </row>
    <row r="221" spans="1:23" hidden="1" x14ac:dyDescent="0.35">
      <c r="A221" s="37" t="s">
        <v>150</v>
      </c>
      <c r="B221" s="23"/>
    </row>
    <row r="222" spans="1:23" hidden="1" x14ac:dyDescent="0.35">
      <c r="A222" t="s">
        <v>146</v>
      </c>
      <c r="C222" s="2">
        <f>C216-C$36</f>
        <v>-43235.117454637788</v>
      </c>
      <c r="D222" s="2">
        <f t="shared" ref="D222:V222" si="59">D216-D$36</f>
        <v>-133843.89962005132</v>
      </c>
      <c r="E222" s="2">
        <f t="shared" si="59"/>
        <v>-191918.97727418668</v>
      </c>
      <c r="F222" s="2">
        <f t="shared" si="59"/>
        <v>-109905.55477418665</v>
      </c>
      <c r="G222" s="2">
        <f t="shared" si="59"/>
        <v>-55695.576234637789</v>
      </c>
      <c r="H222" s="2">
        <f t="shared" si="59"/>
        <v>10317.265205362244</v>
      </c>
      <c r="I222" s="2">
        <f t="shared" si="59"/>
        <v>38263.356645362204</v>
      </c>
      <c r="J222" s="2">
        <f t="shared" si="59"/>
        <v>87580.114752028909</v>
      </c>
      <c r="K222" s="2">
        <f t="shared" si="59"/>
        <v>122104.87285869553</v>
      </c>
      <c r="L222" s="2">
        <f t="shared" si="59"/>
        <v>156629.63096536224</v>
      </c>
      <c r="M222" s="2">
        <f t="shared" si="59"/>
        <v>191154.38907202898</v>
      </c>
      <c r="N222" s="2">
        <f t="shared" si="59"/>
        <v>225679.1471786956</v>
      </c>
      <c r="O222" s="2">
        <f t="shared" si="59"/>
        <v>260203.90528536221</v>
      </c>
      <c r="P222" s="2">
        <f t="shared" si="59"/>
        <v>294720.66339202895</v>
      </c>
      <c r="Q222" s="2">
        <f t="shared" si="59"/>
        <v>329253.42149869545</v>
      </c>
      <c r="R222" s="2">
        <f t="shared" si="59"/>
        <v>339007.17149869545</v>
      </c>
      <c r="S222" s="2">
        <f t="shared" si="59"/>
        <v>330560.58005869546</v>
      </c>
      <c r="T222" s="2">
        <f t="shared" si="59"/>
        <v>302606.48861869547</v>
      </c>
      <c r="U222" s="2">
        <f t="shared" si="59"/>
        <v>274652.39717869554</v>
      </c>
      <c r="V222" s="2">
        <f t="shared" si="59"/>
        <v>1019498.3057386958</v>
      </c>
    </row>
    <row r="223" spans="1:23" hidden="1" x14ac:dyDescent="0.35">
      <c r="A223" t="s">
        <v>214</v>
      </c>
      <c r="B223" s="23"/>
      <c r="C223" s="2">
        <f>C217-C$37</f>
        <v>-9606.6654546378122</v>
      </c>
      <c r="D223" s="2">
        <f t="shared" ref="D223:V223" si="60">D217-D$37</f>
        <v>-111007.0596200513</v>
      </c>
      <c r="E223" s="2">
        <f t="shared" si="60"/>
        <v>-167144.14927418667</v>
      </c>
      <c r="F223" s="2">
        <f t="shared" si="60"/>
        <v>-111702.59677418665</v>
      </c>
      <c r="G223" s="2">
        <f t="shared" si="60"/>
        <v>-54741.466194637789</v>
      </c>
      <c r="H223" s="2">
        <f t="shared" si="60"/>
        <v>12203.659325362241</v>
      </c>
      <c r="I223" s="2">
        <f t="shared" si="60"/>
        <v>43890.034845362214</v>
      </c>
      <c r="J223" s="2">
        <f t="shared" si="60"/>
        <v>91331.077032028901</v>
      </c>
      <c r="K223" s="2">
        <f t="shared" si="60"/>
        <v>126788.11921869553</v>
      </c>
      <c r="L223" s="2">
        <f t="shared" si="60"/>
        <v>162245.16140536228</v>
      </c>
      <c r="M223" s="2">
        <f t="shared" si="60"/>
        <v>197702.20359202896</v>
      </c>
      <c r="N223" s="2">
        <f t="shared" si="60"/>
        <v>233159.24577869559</v>
      </c>
      <c r="O223" s="2">
        <f t="shared" si="60"/>
        <v>268616.28796536219</v>
      </c>
      <c r="P223" s="2">
        <f t="shared" si="60"/>
        <v>306873.33015202894</v>
      </c>
      <c r="Q223" s="2">
        <f t="shared" si="60"/>
        <v>339530.37233869545</v>
      </c>
      <c r="R223" s="2">
        <f t="shared" si="60"/>
        <v>349284.12233869545</v>
      </c>
      <c r="S223" s="2">
        <f t="shared" si="60"/>
        <v>339905.24681869545</v>
      </c>
      <c r="T223" s="2">
        <f t="shared" si="60"/>
        <v>311018.87129869545</v>
      </c>
      <c r="U223" s="2">
        <f t="shared" si="60"/>
        <v>282132.49577869556</v>
      </c>
      <c r="V223" s="2">
        <f t="shared" si="60"/>
        <v>1026046.1202586958</v>
      </c>
    </row>
    <row r="224" spans="1:23" x14ac:dyDescent="0.35">
      <c r="B224" s="23"/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135"/>
  <sheetViews>
    <sheetView topLeftCell="A61" workbookViewId="0">
      <selection activeCell="C98" sqref="C98:E98"/>
    </sheetView>
  </sheetViews>
  <sheetFormatPr defaultRowHeight="14.5" x14ac:dyDescent="0.35"/>
  <cols>
    <col min="1" max="1" width="23.7265625" customWidth="1"/>
  </cols>
  <sheetData>
    <row r="2" spans="1:40" x14ac:dyDescent="0.35">
      <c r="A2" s="56" t="s">
        <v>250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</row>
    <row r="3" spans="1:40" s="58" customFormat="1" x14ac:dyDescent="0.35">
      <c r="A3" s="58" t="s">
        <v>253</v>
      </c>
      <c r="B3" s="58" t="s">
        <v>251</v>
      </c>
    </row>
    <row r="4" spans="1:40" s="44" customFormat="1" x14ac:dyDescent="0.35">
      <c r="A4" s="58" t="s">
        <v>186</v>
      </c>
      <c r="B4" s="59">
        <f>10000/(3*2.5)</f>
        <v>1333.3333333333333</v>
      </c>
    </row>
    <row r="5" spans="1:40" s="44" customFormat="1" x14ac:dyDescent="0.35">
      <c r="A5" s="58" t="s">
        <v>252</v>
      </c>
      <c r="B5" s="59">
        <f>10000/(7*2.8)</f>
        <v>510.20408163265313</v>
      </c>
    </row>
    <row r="6" spans="1:40" s="44" customFormat="1" x14ac:dyDescent="0.35">
      <c r="A6" s="58" t="s">
        <v>426</v>
      </c>
    </row>
    <row r="7" spans="1:40" s="44" customFormat="1" x14ac:dyDescent="0.35">
      <c r="A7" s="58" t="s">
        <v>186</v>
      </c>
      <c r="B7" s="44">
        <f>(33*100/(3*2.5))*2.4</f>
        <v>1056</v>
      </c>
    </row>
    <row r="8" spans="1:40" s="44" customFormat="1" x14ac:dyDescent="0.35">
      <c r="A8" s="58" t="s">
        <v>252</v>
      </c>
      <c r="B8" s="59">
        <f>(7*100/(7*2.8))*3</f>
        <v>107.14285714285714</v>
      </c>
    </row>
    <row r="9" spans="1:40" s="44" customFormat="1" x14ac:dyDescent="0.35">
      <c r="A9" s="58"/>
      <c r="B9" s="59"/>
    </row>
    <row r="10" spans="1:40" x14ac:dyDescent="0.35">
      <c r="A10" s="68" t="s">
        <v>398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40" x14ac:dyDescent="0.35">
      <c r="A11" s="9" t="s">
        <v>7</v>
      </c>
      <c r="B11" s="10" t="s">
        <v>11</v>
      </c>
      <c r="C11" s="11" t="s">
        <v>399</v>
      </c>
      <c r="D11" s="11" t="s">
        <v>400</v>
      </c>
      <c r="E11" s="11" t="s">
        <v>401</v>
      </c>
      <c r="F11" s="11" t="s">
        <v>402</v>
      </c>
      <c r="G11" s="11" t="s">
        <v>403</v>
      </c>
      <c r="H11" s="11" t="s">
        <v>404</v>
      </c>
      <c r="I11" s="11" t="s">
        <v>405</v>
      </c>
      <c r="J11" s="11" t="s">
        <v>406</v>
      </c>
      <c r="K11" s="11" t="s">
        <v>407</v>
      </c>
      <c r="L11" s="11" t="s">
        <v>408</v>
      </c>
      <c r="M11" s="11" t="s">
        <v>409</v>
      </c>
      <c r="N11" s="11" t="s">
        <v>410</v>
      </c>
      <c r="O11" s="11" t="s">
        <v>411</v>
      </c>
      <c r="P11" s="11" t="s">
        <v>412</v>
      </c>
      <c r="Q11" s="11" t="s">
        <v>413</v>
      </c>
      <c r="R11" s="11" t="s">
        <v>414</v>
      </c>
      <c r="S11" s="11" t="s">
        <v>415</v>
      </c>
      <c r="T11" s="11" t="s">
        <v>416</v>
      </c>
      <c r="U11" s="11" t="s">
        <v>417</v>
      </c>
      <c r="V11" s="11" t="s">
        <v>418</v>
      </c>
    </row>
    <row r="12" spans="1:40" x14ac:dyDescent="0.35">
      <c r="A12" s="50" t="s">
        <v>2</v>
      </c>
      <c r="B12" s="15"/>
    </row>
    <row r="13" spans="1:40" x14ac:dyDescent="0.35">
      <c r="A13" s="19" t="s">
        <v>33</v>
      </c>
      <c r="B13" s="8" t="s">
        <v>1</v>
      </c>
      <c r="C13">
        <f>0.21</f>
        <v>0.21</v>
      </c>
    </row>
    <row r="14" spans="1:40" x14ac:dyDescent="0.35">
      <c r="A14" t="s">
        <v>35</v>
      </c>
      <c r="B14" s="8" t="s">
        <v>1</v>
      </c>
      <c r="C14">
        <f>0.21</f>
        <v>0.21</v>
      </c>
    </row>
    <row r="15" spans="1:40" x14ac:dyDescent="0.35">
      <c r="A15" s="19" t="s">
        <v>70</v>
      </c>
      <c r="B15" s="8" t="s">
        <v>254</v>
      </c>
      <c r="C15" s="5">
        <f>C37</f>
        <v>107.14285714285714</v>
      </c>
    </row>
    <row r="16" spans="1:40" x14ac:dyDescent="0.35">
      <c r="A16" s="19" t="s">
        <v>31</v>
      </c>
      <c r="B16" s="8" t="s">
        <v>1</v>
      </c>
      <c r="C16" s="21">
        <f>C37/(1333/4)</f>
        <v>0.32150894866573787</v>
      </c>
    </row>
    <row r="17" spans="1:22" x14ac:dyDescent="0.35">
      <c r="A17" s="19" t="s">
        <v>49</v>
      </c>
      <c r="B17" s="8" t="s">
        <v>11</v>
      </c>
      <c r="C17" s="5">
        <f>C37</f>
        <v>107.14285714285714</v>
      </c>
    </row>
    <row r="18" spans="1:22" x14ac:dyDescent="0.35">
      <c r="A18" s="19" t="s">
        <v>274</v>
      </c>
      <c r="B18" s="8" t="s">
        <v>42</v>
      </c>
      <c r="C18" s="21">
        <f>2*0.2</f>
        <v>0.4</v>
      </c>
    </row>
    <row r="19" spans="1:22" x14ac:dyDescent="0.35">
      <c r="A19" s="19" t="s">
        <v>50</v>
      </c>
      <c r="B19" s="8" t="s">
        <v>11</v>
      </c>
      <c r="C19" s="5">
        <f>C37</f>
        <v>107.14285714285714</v>
      </c>
    </row>
    <row r="20" spans="1:22" x14ac:dyDescent="0.35">
      <c r="A20" s="19" t="s">
        <v>263</v>
      </c>
      <c r="B20" s="8" t="s">
        <v>11</v>
      </c>
      <c r="C20" s="5">
        <f>C37</f>
        <v>107.14285714285714</v>
      </c>
    </row>
    <row r="21" spans="1:22" x14ac:dyDescent="0.35">
      <c r="A21" s="19" t="s">
        <v>8</v>
      </c>
      <c r="B21" s="8" t="s">
        <v>1</v>
      </c>
      <c r="C21">
        <f>4*B7/B4</f>
        <v>3.1680000000000001</v>
      </c>
      <c r="D21">
        <f>C21</f>
        <v>3.1680000000000001</v>
      </c>
      <c r="E21">
        <f>D21</f>
        <v>3.1680000000000001</v>
      </c>
      <c r="F21">
        <f t="shared" ref="F21:V21" si="0">E21</f>
        <v>3.1680000000000001</v>
      </c>
      <c r="G21">
        <f t="shared" si="0"/>
        <v>3.1680000000000001</v>
      </c>
      <c r="H21">
        <f t="shared" si="0"/>
        <v>3.1680000000000001</v>
      </c>
      <c r="I21">
        <f t="shared" si="0"/>
        <v>3.1680000000000001</v>
      </c>
      <c r="J21">
        <f t="shared" si="0"/>
        <v>3.1680000000000001</v>
      </c>
      <c r="K21">
        <f t="shared" si="0"/>
        <v>3.1680000000000001</v>
      </c>
      <c r="L21">
        <f t="shared" si="0"/>
        <v>3.1680000000000001</v>
      </c>
      <c r="M21">
        <f t="shared" si="0"/>
        <v>3.1680000000000001</v>
      </c>
      <c r="N21">
        <f t="shared" si="0"/>
        <v>3.1680000000000001</v>
      </c>
      <c r="O21">
        <f t="shared" si="0"/>
        <v>3.1680000000000001</v>
      </c>
      <c r="P21">
        <f t="shared" si="0"/>
        <v>3.1680000000000001</v>
      </c>
      <c r="Q21">
        <f t="shared" si="0"/>
        <v>3.1680000000000001</v>
      </c>
      <c r="R21">
        <f t="shared" si="0"/>
        <v>3.1680000000000001</v>
      </c>
      <c r="S21">
        <f t="shared" si="0"/>
        <v>3.1680000000000001</v>
      </c>
      <c r="T21">
        <f t="shared" si="0"/>
        <v>3.1680000000000001</v>
      </c>
      <c r="U21">
        <f t="shared" si="0"/>
        <v>3.1680000000000001</v>
      </c>
      <c r="V21">
        <f t="shared" si="0"/>
        <v>3.1680000000000001</v>
      </c>
    </row>
    <row r="22" spans="1:22" x14ac:dyDescent="0.35">
      <c r="A22" s="19" t="s">
        <v>266</v>
      </c>
      <c r="B22" s="8" t="s">
        <v>1</v>
      </c>
      <c r="C22" s="21">
        <f>B8/1100</f>
        <v>9.7402597402597393E-2</v>
      </c>
      <c r="D22" s="21">
        <f>C22</f>
        <v>9.7402597402597393E-2</v>
      </c>
    </row>
    <row r="23" spans="1:22" x14ac:dyDescent="0.35">
      <c r="A23" t="s">
        <v>267</v>
      </c>
      <c r="B23" s="8" t="s">
        <v>1</v>
      </c>
      <c r="C23" s="21">
        <f>C22</f>
        <v>9.7402597402597393E-2</v>
      </c>
    </row>
    <row r="24" spans="1:22" x14ac:dyDescent="0.35">
      <c r="A24" t="s">
        <v>268</v>
      </c>
      <c r="B24" s="8" t="s">
        <v>1</v>
      </c>
      <c r="C24">
        <f>0.5*6</f>
        <v>3</v>
      </c>
      <c r="D24">
        <f>0.5*12</f>
        <v>6</v>
      </c>
      <c r="E24">
        <f>0.5*6</f>
        <v>3</v>
      </c>
      <c r="F24">
        <f>0.5*3</f>
        <v>1.5</v>
      </c>
    </row>
    <row r="25" spans="1:22" x14ac:dyDescent="0.35">
      <c r="A25" t="s">
        <v>41</v>
      </c>
      <c r="B25" s="8" t="s">
        <v>42</v>
      </c>
      <c r="C25">
        <v>0.5</v>
      </c>
      <c r="D25">
        <f>C25</f>
        <v>0.5</v>
      </c>
      <c r="E25">
        <f>D25</f>
        <v>0.5</v>
      </c>
      <c r="F25">
        <f t="shared" ref="F25:V25" si="1">E25</f>
        <v>0.5</v>
      </c>
      <c r="G25">
        <f t="shared" si="1"/>
        <v>0.5</v>
      </c>
      <c r="H25">
        <f t="shared" si="1"/>
        <v>0.5</v>
      </c>
      <c r="I25">
        <f t="shared" si="1"/>
        <v>0.5</v>
      </c>
      <c r="J25">
        <f t="shared" si="1"/>
        <v>0.5</v>
      </c>
      <c r="K25">
        <f t="shared" si="1"/>
        <v>0.5</v>
      </c>
      <c r="L25">
        <f t="shared" si="1"/>
        <v>0.5</v>
      </c>
      <c r="M25">
        <f t="shared" si="1"/>
        <v>0.5</v>
      </c>
      <c r="N25">
        <f t="shared" si="1"/>
        <v>0.5</v>
      </c>
      <c r="O25">
        <f t="shared" si="1"/>
        <v>0.5</v>
      </c>
      <c r="P25">
        <f t="shared" si="1"/>
        <v>0.5</v>
      </c>
      <c r="Q25">
        <f t="shared" si="1"/>
        <v>0.5</v>
      </c>
      <c r="R25">
        <f t="shared" si="1"/>
        <v>0.5</v>
      </c>
      <c r="S25">
        <f t="shared" si="1"/>
        <v>0.5</v>
      </c>
      <c r="T25">
        <f t="shared" si="1"/>
        <v>0.5</v>
      </c>
      <c r="U25">
        <f t="shared" si="1"/>
        <v>0.5</v>
      </c>
      <c r="V25">
        <f t="shared" si="1"/>
        <v>0.5</v>
      </c>
    </row>
    <row r="26" spans="1:22" x14ac:dyDescent="0.35">
      <c r="A26" t="s">
        <v>270</v>
      </c>
      <c r="B26" s="8" t="s">
        <v>1</v>
      </c>
      <c r="C26">
        <v>0.2</v>
      </c>
      <c r="D26">
        <v>0.4</v>
      </c>
      <c r="E26">
        <v>0.4</v>
      </c>
      <c r="F26">
        <v>0.4</v>
      </c>
    </row>
    <row r="27" spans="1:22" x14ac:dyDescent="0.35">
      <c r="A27" t="s">
        <v>275</v>
      </c>
      <c r="B27" s="8" t="s">
        <v>254</v>
      </c>
      <c r="D27" s="5">
        <f>D37</f>
        <v>21.428571428571431</v>
      </c>
    </row>
    <row r="28" spans="1:22" x14ac:dyDescent="0.35">
      <c r="A28" t="s">
        <v>82</v>
      </c>
      <c r="B28" s="8" t="s">
        <v>42</v>
      </c>
      <c r="D28" s="5"/>
      <c r="E28">
        <v>0.5</v>
      </c>
      <c r="F28">
        <v>0.5</v>
      </c>
      <c r="G28">
        <v>0.5</v>
      </c>
      <c r="H28">
        <v>0.5</v>
      </c>
      <c r="I28">
        <v>0.5</v>
      </c>
      <c r="J28">
        <v>0.5</v>
      </c>
      <c r="K28">
        <v>0.5</v>
      </c>
      <c r="L28">
        <v>0.5</v>
      </c>
      <c r="M28">
        <v>0.5</v>
      </c>
      <c r="N28">
        <v>0.5</v>
      </c>
      <c r="O28">
        <v>0.5</v>
      </c>
      <c r="P28">
        <v>0.5</v>
      </c>
      <c r="Q28">
        <v>0.5</v>
      </c>
      <c r="R28">
        <v>0.5</v>
      </c>
      <c r="S28">
        <v>0.5</v>
      </c>
      <c r="T28">
        <v>0.5</v>
      </c>
      <c r="U28">
        <v>0.5</v>
      </c>
      <c r="V28">
        <v>0.5</v>
      </c>
    </row>
    <row r="29" spans="1:22" x14ac:dyDescent="0.35">
      <c r="A29" t="s">
        <v>286</v>
      </c>
      <c r="B29" s="8" t="s">
        <v>10</v>
      </c>
      <c r="C29" s="5">
        <f>C50</f>
        <v>0</v>
      </c>
      <c r="D29" s="5">
        <f t="shared" ref="D29:V29" si="2">D50</f>
        <v>0</v>
      </c>
      <c r="E29" s="5">
        <f t="shared" si="2"/>
        <v>0</v>
      </c>
      <c r="F29" s="5">
        <f t="shared" si="2"/>
        <v>0</v>
      </c>
      <c r="G29" s="5">
        <f t="shared" si="2"/>
        <v>0</v>
      </c>
      <c r="H29" s="5">
        <f t="shared" si="2"/>
        <v>0</v>
      </c>
      <c r="I29" s="5">
        <f t="shared" si="2"/>
        <v>482.62548262548262</v>
      </c>
      <c r="J29" s="5">
        <f t="shared" si="2"/>
        <v>482.62548262548262</v>
      </c>
      <c r="K29" s="5">
        <f t="shared" si="2"/>
        <v>530.88803088803081</v>
      </c>
      <c r="L29" s="5">
        <f t="shared" si="2"/>
        <v>530.88803088803081</v>
      </c>
      <c r="M29" s="5">
        <f t="shared" si="2"/>
        <v>579.15057915057912</v>
      </c>
      <c r="N29" s="5">
        <f t="shared" si="2"/>
        <v>579.15057915057912</v>
      </c>
      <c r="O29" s="5">
        <f t="shared" si="2"/>
        <v>579.15057915057912</v>
      </c>
      <c r="P29" s="5">
        <f t="shared" si="2"/>
        <v>579.15057915057912</v>
      </c>
      <c r="Q29" s="5">
        <f t="shared" si="2"/>
        <v>579.15057915057912</v>
      </c>
      <c r="R29" s="5">
        <f t="shared" si="2"/>
        <v>579.15057915057912</v>
      </c>
      <c r="S29" s="5">
        <f t="shared" si="2"/>
        <v>579.15057915057912</v>
      </c>
      <c r="T29" s="5">
        <f t="shared" si="2"/>
        <v>579.15057915057912</v>
      </c>
      <c r="U29" s="5">
        <f t="shared" si="2"/>
        <v>579.15057915057912</v>
      </c>
      <c r="V29" s="5">
        <f t="shared" si="2"/>
        <v>579.15057915057912</v>
      </c>
    </row>
    <row r="30" spans="1:22" x14ac:dyDescent="0.35">
      <c r="A30" t="s">
        <v>291</v>
      </c>
      <c r="B30" s="8" t="s">
        <v>10</v>
      </c>
      <c r="C30" s="5">
        <f>C50</f>
        <v>0</v>
      </c>
      <c r="D30" s="5">
        <f t="shared" ref="D30:V30" si="3">D50</f>
        <v>0</v>
      </c>
      <c r="E30" s="5">
        <f t="shared" si="3"/>
        <v>0</v>
      </c>
      <c r="F30" s="5">
        <f t="shared" si="3"/>
        <v>0</v>
      </c>
      <c r="G30" s="5">
        <f t="shared" si="3"/>
        <v>0</v>
      </c>
      <c r="H30" s="5">
        <f t="shared" si="3"/>
        <v>0</v>
      </c>
      <c r="I30" s="5">
        <f t="shared" si="3"/>
        <v>482.62548262548262</v>
      </c>
      <c r="J30" s="5">
        <f t="shared" si="3"/>
        <v>482.62548262548262</v>
      </c>
      <c r="K30" s="5">
        <f t="shared" si="3"/>
        <v>530.88803088803081</v>
      </c>
      <c r="L30" s="5">
        <f t="shared" si="3"/>
        <v>530.88803088803081</v>
      </c>
      <c r="M30" s="5">
        <f t="shared" si="3"/>
        <v>579.15057915057912</v>
      </c>
      <c r="N30" s="5">
        <f t="shared" si="3"/>
        <v>579.15057915057912</v>
      </c>
      <c r="O30" s="5">
        <f t="shared" si="3"/>
        <v>579.15057915057912</v>
      </c>
      <c r="P30" s="5">
        <f t="shared" si="3"/>
        <v>579.15057915057912</v>
      </c>
      <c r="Q30" s="5">
        <f t="shared" si="3"/>
        <v>579.15057915057912</v>
      </c>
      <c r="R30" s="5">
        <f t="shared" si="3"/>
        <v>579.15057915057912</v>
      </c>
      <c r="S30" s="5">
        <f t="shared" si="3"/>
        <v>579.15057915057912</v>
      </c>
      <c r="T30" s="5">
        <f t="shared" si="3"/>
        <v>579.15057915057912</v>
      </c>
      <c r="U30" s="5">
        <f t="shared" si="3"/>
        <v>579.15057915057912</v>
      </c>
      <c r="V30" s="5">
        <f t="shared" si="3"/>
        <v>579.15057915057912</v>
      </c>
    </row>
    <row r="31" spans="1:22" x14ac:dyDescent="0.35">
      <c r="A31" t="s">
        <v>201</v>
      </c>
      <c r="B31" s="8" t="s">
        <v>42</v>
      </c>
      <c r="C31" s="5">
        <f>C51*0.08</f>
        <v>19.012753188297076</v>
      </c>
      <c r="D31" s="5">
        <f t="shared" ref="D31:V31" si="4">D51*0.08</f>
        <v>19.012753188297076</v>
      </c>
      <c r="E31" s="5">
        <f t="shared" si="4"/>
        <v>19.012753188297076</v>
      </c>
      <c r="F31" s="5">
        <f t="shared" si="4"/>
        <v>19.012753188297076</v>
      </c>
      <c r="G31" s="5">
        <f t="shared" si="4"/>
        <v>19.012753188297076</v>
      </c>
      <c r="H31" s="5">
        <f t="shared" si="4"/>
        <v>19.012753188297076</v>
      </c>
      <c r="I31" s="5">
        <f t="shared" si="4"/>
        <v>19.012753188297076</v>
      </c>
      <c r="J31" s="5">
        <f t="shared" si="4"/>
        <v>19.012753188297076</v>
      </c>
      <c r="K31" s="5">
        <f t="shared" si="4"/>
        <v>19.012753188297076</v>
      </c>
      <c r="L31" s="5">
        <f t="shared" si="4"/>
        <v>19.012753188297076</v>
      </c>
      <c r="M31" s="5">
        <f t="shared" si="4"/>
        <v>19.012753188297076</v>
      </c>
      <c r="N31" s="5">
        <f t="shared" si="4"/>
        <v>19.012753188297076</v>
      </c>
      <c r="O31" s="5">
        <f t="shared" si="4"/>
        <v>19.012753188297076</v>
      </c>
      <c r="P31" s="5">
        <f t="shared" si="4"/>
        <v>19.012753188297076</v>
      </c>
      <c r="Q31" s="5">
        <f t="shared" si="4"/>
        <v>19.012753188297076</v>
      </c>
      <c r="R31" s="5">
        <f t="shared" si="4"/>
        <v>19.012753188297076</v>
      </c>
      <c r="S31" s="5">
        <f t="shared" si="4"/>
        <v>19.012753188297076</v>
      </c>
      <c r="T31" s="5">
        <f t="shared" si="4"/>
        <v>19.012753188297076</v>
      </c>
      <c r="U31" s="5">
        <f t="shared" si="4"/>
        <v>19.012753188297076</v>
      </c>
      <c r="V31" s="5">
        <f t="shared" si="4"/>
        <v>19.012753188297076</v>
      </c>
    </row>
    <row r="32" spans="1:22" x14ac:dyDescent="0.35">
      <c r="A32" t="s">
        <v>290</v>
      </c>
      <c r="B32" s="8" t="s">
        <v>10</v>
      </c>
      <c r="C32" s="5">
        <f>C51</f>
        <v>237.65941485371343</v>
      </c>
      <c r="D32" s="5">
        <f t="shared" ref="D32:V32" si="5">D51</f>
        <v>237.65941485371343</v>
      </c>
      <c r="E32" s="5">
        <f t="shared" si="5"/>
        <v>237.65941485371343</v>
      </c>
      <c r="F32" s="5">
        <f t="shared" si="5"/>
        <v>237.65941485371343</v>
      </c>
      <c r="G32" s="5">
        <f t="shared" si="5"/>
        <v>237.65941485371343</v>
      </c>
      <c r="H32" s="5">
        <f t="shared" si="5"/>
        <v>237.65941485371343</v>
      </c>
      <c r="I32" s="5">
        <f t="shared" si="5"/>
        <v>237.65941485371343</v>
      </c>
      <c r="J32" s="5">
        <f t="shared" si="5"/>
        <v>237.65941485371343</v>
      </c>
      <c r="K32" s="5">
        <f t="shared" si="5"/>
        <v>237.65941485371343</v>
      </c>
      <c r="L32" s="5">
        <f t="shared" si="5"/>
        <v>237.65941485371343</v>
      </c>
      <c r="M32" s="5">
        <f t="shared" si="5"/>
        <v>237.65941485371343</v>
      </c>
      <c r="N32" s="5">
        <f t="shared" si="5"/>
        <v>237.65941485371343</v>
      </c>
      <c r="O32" s="5">
        <f t="shared" si="5"/>
        <v>237.65941485371343</v>
      </c>
      <c r="P32" s="5">
        <f t="shared" si="5"/>
        <v>237.65941485371343</v>
      </c>
      <c r="Q32" s="5">
        <f t="shared" si="5"/>
        <v>237.65941485371343</v>
      </c>
      <c r="R32" s="5">
        <f t="shared" si="5"/>
        <v>237.65941485371343</v>
      </c>
      <c r="S32" s="5">
        <f t="shared" si="5"/>
        <v>237.65941485371343</v>
      </c>
      <c r="T32" s="5">
        <f t="shared" si="5"/>
        <v>237.65941485371343</v>
      </c>
      <c r="U32" s="5">
        <f t="shared" si="5"/>
        <v>237.65941485371343</v>
      </c>
      <c r="V32" s="5">
        <f t="shared" si="5"/>
        <v>237.65941485371343</v>
      </c>
    </row>
    <row r="33" spans="1:22" x14ac:dyDescent="0.35">
      <c r="A33" t="s">
        <v>292</v>
      </c>
      <c r="B33" s="8" t="s">
        <v>42</v>
      </c>
      <c r="C33" s="5">
        <f>C51*0.01</f>
        <v>2.3765941485371345</v>
      </c>
      <c r="D33" s="5">
        <f t="shared" ref="D33:V33" si="6">D51*0.01</f>
        <v>2.3765941485371345</v>
      </c>
      <c r="E33" s="5">
        <f t="shared" si="6"/>
        <v>2.3765941485371345</v>
      </c>
      <c r="F33" s="5">
        <f t="shared" si="6"/>
        <v>2.3765941485371345</v>
      </c>
      <c r="G33" s="5">
        <f t="shared" si="6"/>
        <v>2.3765941485371345</v>
      </c>
      <c r="H33" s="5">
        <f t="shared" si="6"/>
        <v>2.3765941485371345</v>
      </c>
      <c r="I33" s="5">
        <f t="shared" si="6"/>
        <v>2.3765941485371345</v>
      </c>
      <c r="J33" s="5">
        <f t="shared" si="6"/>
        <v>2.3765941485371345</v>
      </c>
      <c r="K33" s="5">
        <f t="shared" si="6"/>
        <v>2.3765941485371345</v>
      </c>
      <c r="L33" s="5">
        <f t="shared" si="6"/>
        <v>2.3765941485371345</v>
      </c>
      <c r="M33" s="5">
        <f t="shared" si="6"/>
        <v>2.3765941485371345</v>
      </c>
      <c r="N33" s="5">
        <f t="shared" si="6"/>
        <v>2.3765941485371345</v>
      </c>
      <c r="O33" s="5">
        <f t="shared" si="6"/>
        <v>2.3765941485371345</v>
      </c>
      <c r="P33" s="5">
        <f t="shared" si="6"/>
        <v>2.3765941485371345</v>
      </c>
      <c r="Q33" s="5">
        <f t="shared" si="6"/>
        <v>2.3765941485371345</v>
      </c>
      <c r="R33" s="5">
        <f t="shared" si="6"/>
        <v>2.3765941485371345</v>
      </c>
      <c r="S33" s="5">
        <f t="shared" si="6"/>
        <v>2.3765941485371345</v>
      </c>
      <c r="T33" s="5">
        <f t="shared" si="6"/>
        <v>2.3765941485371345</v>
      </c>
      <c r="U33" s="5">
        <f t="shared" si="6"/>
        <v>2.3765941485371345</v>
      </c>
      <c r="V33" s="5">
        <f t="shared" si="6"/>
        <v>2.3765941485371345</v>
      </c>
    </row>
    <row r="34" spans="1:22" x14ac:dyDescent="0.35">
      <c r="A34" t="s">
        <v>294</v>
      </c>
      <c r="B34" s="8" t="s">
        <v>10</v>
      </c>
      <c r="C34" s="5">
        <f>C51</f>
        <v>237.65941485371343</v>
      </c>
      <c r="D34" s="5">
        <f t="shared" ref="D34:V34" si="7">D51</f>
        <v>237.65941485371343</v>
      </c>
      <c r="E34" s="5">
        <f t="shared" si="7"/>
        <v>237.65941485371343</v>
      </c>
      <c r="F34" s="5">
        <f t="shared" si="7"/>
        <v>237.65941485371343</v>
      </c>
      <c r="G34" s="5">
        <f t="shared" si="7"/>
        <v>237.65941485371343</v>
      </c>
      <c r="H34" s="5">
        <f t="shared" si="7"/>
        <v>237.65941485371343</v>
      </c>
      <c r="I34" s="5">
        <f t="shared" si="7"/>
        <v>237.65941485371343</v>
      </c>
      <c r="J34" s="5">
        <f t="shared" si="7"/>
        <v>237.65941485371343</v>
      </c>
      <c r="K34" s="5">
        <f t="shared" si="7"/>
        <v>237.65941485371343</v>
      </c>
      <c r="L34" s="5">
        <f t="shared" si="7"/>
        <v>237.65941485371343</v>
      </c>
      <c r="M34" s="5">
        <f t="shared" si="7"/>
        <v>237.65941485371343</v>
      </c>
      <c r="N34" s="5">
        <f t="shared" si="7"/>
        <v>237.65941485371343</v>
      </c>
      <c r="O34" s="5">
        <f t="shared" si="7"/>
        <v>237.65941485371343</v>
      </c>
      <c r="P34" s="5">
        <f t="shared" si="7"/>
        <v>237.65941485371343</v>
      </c>
      <c r="Q34" s="5">
        <f t="shared" si="7"/>
        <v>237.65941485371343</v>
      </c>
      <c r="R34" s="5">
        <f t="shared" si="7"/>
        <v>237.65941485371343</v>
      </c>
      <c r="S34" s="5">
        <f t="shared" si="7"/>
        <v>237.65941485371343</v>
      </c>
      <c r="T34" s="5">
        <f t="shared" si="7"/>
        <v>237.65941485371343</v>
      </c>
      <c r="U34" s="5">
        <f t="shared" si="7"/>
        <v>237.65941485371343</v>
      </c>
      <c r="V34" s="5">
        <f t="shared" si="7"/>
        <v>237.65941485371343</v>
      </c>
    </row>
    <row r="35" spans="1:22" x14ac:dyDescent="0.35">
      <c r="B35" s="8"/>
      <c r="D35" s="5"/>
    </row>
    <row r="36" spans="1:22" x14ac:dyDescent="0.35">
      <c r="A36" t="s">
        <v>16</v>
      </c>
      <c r="B36" s="8"/>
    </row>
    <row r="37" spans="1:22" x14ac:dyDescent="0.35">
      <c r="A37" t="s">
        <v>259</v>
      </c>
      <c r="B37" s="8" t="s">
        <v>11</v>
      </c>
      <c r="C37" s="5">
        <f>B8</f>
        <v>107.14285714285714</v>
      </c>
      <c r="D37" s="5">
        <f>C37*0.2</f>
        <v>21.428571428571431</v>
      </c>
    </row>
    <row r="38" spans="1:22" x14ac:dyDescent="0.35">
      <c r="A38" t="s">
        <v>272</v>
      </c>
      <c r="B38" s="8" t="s">
        <v>10</v>
      </c>
      <c r="C38" s="21">
        <v>0.2</v>
      </c>
    </row>
    <row r="39" spans="1:22" x14ac:dyDescent="0.35">
      <c r="A39" t="s">
        <v>427</v>
      </c>
      <c r="B39" s="8" t="s">
        <v>10</v>
      </c>
      <c r="C39" s="5">
        <f>125*C37/1000</f>
        <v>13.392857142857142</v>
      </c>
      <c r="D39" s="5">
        <f>C39</f>
        <v>13.392857142857142</v>
      </c>
      <c r="E39">
        <f>175*C37/1000</f>
        <v>18.75</v>
      </c>
    </row>
    <row r="40" spans="1:22" x14ac:dyDescent="0.35">
      <c r="A40" t="s">
        <v>133</v>
      </c>
      <c r="B40" s="8" t="s">
        <v>10</v>
      </c>
      <c r="C40" s="5">
        <f>110*C37/1000</f>
        <v>11.785714285714285</v>
      </c>
      <c r="D40" s="5">
        <f>C40</f>
        <v>11.785714285714285</v>
      </c>
      <c r="E40" s="5">
        <f>151*C37/1000</f>
        <v>16.178571428571427</v>
      </c>
    </row>
    <row r="41" spans="1:22" x14ac:dyDescent="0.35">
      <c r="A41" t="s">
        <v>269</v>
      </c>
      <c r="B41" s="8" t="s">
        <v>10</v>
      </c>
      <c r="C41" s="5">
        <f>138*C37/1000</f>
        <v>14.785714285714285</v>
      </c>
      <c r="D41" s="5">
        <f>105*C37/1000</f>
        <v>11.25</v>
      </c>
      <c r="E41" s="5">
        <f>D41</f>
        <v>11.25</v>
      </c>
      <c r="F41" s="5">
        <f t="shared" ref="F41:V41" si="8">E41</f>
        <v>11.25</v>
      </c>
      <c r="G41" s="5">
        <f t="shared" si="8"/>
        <v>11.25</v>
      </c>
      <c r="H41" s="5">
        <f t="shared" si="8"/>
        <v>11.25</v>
      </c>
      <c r="I41" s="5">
        <f t="shared" si="8"/>
        <v>11.25</v>
      </c>
      <c r="J41" s="5">
        <f t="shared" si="8"/>
        <v>11.25</v>
      </c>
      <c r="K41" s="5">
        <f t="shared" si="8"/>
        <v>11.25</v>
      </c>
      <c r="L41" s="5">
        <f t="shared" si="8"/>
        <v>11.25</v>
      </c>
      <c r="M41" s="5">
        <f t="shared" si="8"/>
        <v>11.25</v>
      </c>
      <c r="N41" s="5">
        <f t="shared" si="8"/>
        <v>11.25</v>
      </c>
      <c r="O41" s="5">
        <f t="shared" si="8"/>
        <v>11.25</v>
      </c>
      <c r="P41" s="5">
        <f t="shared" si="8"/>
        <v>11.25</v>
      </c>
      <c r="Q41" s="5">
        <f t="shared" si="8"/>
        <v>11.25</v>
      </c>
      <c r="R41" s="5">
        <f t="shared" si="8"/>
        <v>11.25</v>
      </c>
      <c r="S41" s="5">
        <f t="shared" si="8"/>
        <v>11.25</v>
      </c>
      <c r="T41" s="5">
        <f t="shared" si="8"/>
        <v>11.25</v>
      </c>
      <c r="U41" s="5">
        <f t="shared" si="8"/>
        <v>11.25</v>
      </c>
      <c r="V41" s="5">
        <f t="shared" si="8"/>
        <v>11.25</v>
      </c>
    </row>
    <row r="42" spans="1:22" x14ac:dyDescent="0.35">
      <c r="A42" t="s">
        <v>276</v>
      </c>
      <c r="B42" s="8" t="s">
        <v>279</v>
      </c>
      <c r="C42" s="5"/>
      <c r="D42" s="5"/>
      <c r="E42" s="5">
        <f>C37</f>
        <v>107.14285714285714</v>
      </c>
      <c r="F42" s="5">
        <f>E42</f>
        <v>107.14285714285714</v>
      </c>
      <c r="G42" s="5">
        <f t="shared" ref="G42:V42" si="9">F42</f>
        <v>107.14285714285714</v>
      </c>
      <c r="H42" s="5">
        <f t="shared" si="9"/>
        <v>107.14285714285714</v>
      </c>
      <c r="I42" s="5">
        <f t="shared" si="9"/>
        <v>107.14285714285714</v>
      </c>
      <c r="J42" s="5">
        <f t="shared" si="9"/>
        <v>107.14285714285714</v>
      </c>
      <c r="K42" s="5">
        <f t="shared" si="9"/>
        <v>107.14285714285714</v>
      </c>
      <c r="L42" s="5">
        <f t="shared" si="9"/>
        <v>107.14285714285714</v>
      </c>
      <c r="M42" s="5">
        <f t="shared" si="9"/>
        <v>107.14285714285714</v>
      </c>
      <c r="N42" s="5">
        <f t="shared" si="9"/>
        <v>107.14285714285714</v>
      </c>
      <c r="O42" s="5">
        <f t="shared" si="9"/>
        <v>107.14285714285714</v>
      </c>
      <c r="P42" s="5">
        <f t="shared" si="9"/>
        <v>107.14285714285714</v>
      </c>
      <c r="Q42" s="5">
        <f t="shared" si="9"/>
        <v>107.14285714285714</v>
      </c>
      <c r="R42" s="5">
        <f t="shared" si="9"/>
        <v>107.14285714285714</v>
      </c>
      <c r="S42" s="5">
        <f t="shared" si="9"/>
        <v>107.14285714285714</v>
      </c>
      <c r="T42" s="5">
        <f t="shared" si="9"/>
        <v>107.14285714285714</v>
      </c>
      <c r="U42" s="5">
        <f t="shared" si="9"/>
        <v>107.14285714285714</v>
      </c>
      <c r="V42" s="5">
        <f t="shared" si="9"/>
        <v>107.14285714285714</v>
      </c>
    </row>
    <row r="43" spans="1:22" x14ac:dyDescent="0.35">
      <c r="A43" t="s">
        <v>280</v>
      </c>
      <c r="B43" s="8" t="s">
        <v>11</v>
      </c>
      <c r="C43" s="5"/>
      <c r="D43" s="5"/>
      <c r="E43" s="5"/>
      <c r="F43" s="5"/>
      <c r="G43" s="5"/>
      <c r="H43" s="5"/>
      <c r="I43" s="5">
        <f>C37</f>
        <v>107.14285714285714</v>
      </c>
      <c r="J43" s="5"/>
      <c r="K43" s="5"/>
      <c r="L43" s="5"/>
      <c r="M43" s="5"/>
      <c r="N43" s="5">
        <f>I43</f>
        <v>107.14285714285714</v>
      </c>
      <c r="O43" s="5">
        <f t="shared" ref="O43:V43" si="10">J43</f>
        <v>0</v>
      </c>
      <c r="P43" s="5">
        <f t="shared" si="10"/>
        <v>0</v>
      </c>
      <c r="Q43" s="5">
        <f t="shared" si="10"/>
        <v>0</v>
      </c>
      <c r="R43" s="5">
        <f t="shared" si="10"/>
        <v>0</v>
      </c>
      <c r="S43" s="5">
        <f t="shared" si="10"/>
        <v>107.14285714285714</v>
      </c>
      <c r="T43" s="5">
        <f t="shared" si="10"/>
        <v>0</v>
      </c>
      <c r="U43" s="5">
        <f t="shared" si="10"/>
        <v>0</v>
      </c>
      <c r="V43" s="5">
        <f t="shared" si="10"/>
        <v>0</v>
      </c>
    </row>
    <row r="44" spans="1:22" x14ac:dyDescent="0.35">
      <c r="A44" t="s">
        <v>283</v>
      </c>
      <c r="B44" s="8" t="s">
        <v>11</v>
      </c>
      <c r="C44" s="5"/>
      <c r="D44" s="5"/>
      <c r="E44" s="5"/>
      <c r="F44" s="5"/>
      <c r="G44" s="5"/>
      <c r="H44" s="5"/>
      <c r="I44" s="5">
        <f>I43</f>
        <v>107.14285714285714</v>
      </c>
      <c r="J44" s="5"/>
      <c r="K44" s="5"/>
      <c r="L44" s="5"/>
      <c r="M44" s="5"/>
      <c r="N44" s="5">
        <f>I44</f>
        <v>107.14285714285714</v>
      </c>
      <c r="O44" s="5">
        <f t="shared" ref="O44" si="11">J44</f>
        <v>0</v>
      </c>
      <c r="P44" s="5">
        <f t="shared" ref="P44" si="12">K44</f>
        <v>0</v>
      </c>
      <c r="Q44" s="5">
        <f t="shared" ref="Q44" si="13">L44</f>
        <v>0</v>
      </c>
      <c r="R44" s="5">
        <f t="shared" ref="R44" si="14">M44</f>
        <v>0</v>
      </c>
      <c r="S44" s="5">
        <f t="shared" ref="S44" si="15">N44</f>
        <v>107.14285714285714</v>
      </c>
      <c r="T44" s="5">
        <f t="shared" ref="T44" si="16">O44</f>
        <v>0</v>
      </c>
      <c r="U44" s="5">
        <f t="shared" ref="U44" si="17">P44</f>
        <v>0</v>
      </c>
      <c r="V44" s="5">
        <f t="shared" ref="V44" si="18">Q44</f>
        <v>0</v>
      </c>
    </row>
    <row r="45" spans="1:22" x14ac:dyDescent="0.35">
      <c r="A45" t="s">
        <v>289</v>
      </c>
      <c r="B45" s="8" t="s">
        <v>11</v>
      </c>
      <c r="C45" s="5"/>
      <c r="D45" s="5"/>
      <c r="E45" s="5"/>
      <c r="F45" s="5"/>
      <c r="G45" s="5"/>
      <c r="H45" s="5"/>
      <c r="I45" s="5">
        <f>I44</f>
        <v>107.14285714285714</v>
      </c>
      <c r="J45" s="5"/>
      <c r="K45" s="5"/>
      <c r="L45" s="5"/>
      <c r="M45" s="5"/>
      <c r="N45" s="5">
        <f>I45</f>
        <v>107.14285714285714</v>
      </c>
      <c r="O45" s="5">
        <f t="shared" ref="O45" si="19">J45</f>
        <v>0</v>
      </c>
      <c r="P45" s="5">
        <f t="shared" ref="P45" si="20">K45</f>
        <v>0</v>
      </c>
      <c r="Q45" s="5">
        <f t="shared" ref="Q45" si="21">L45</f>
        <v>0</v>
      </c>
      <c r="R45" s="5">
        <f t="shared" ref="R45" si="22">M45</f>
        <v>0</v>
      </c>
      <c r="S45" s="5">
        <f t="shared" ref="S45" si="23">N45</f>
        <v>107.14285714285714</v>
      </c>
      <c r="T45" s="5">
        <f t="shared" ref="T45" si="24">O45</f>
        <v>0</v>
      </c>
      <c r="U45" s="5">
        <f t="shared" ref="U45" si="25">P45</f>
        <v>0</v>
      </c>
      <c r="V45" s="5">
        <f t="shared" ref="V45" si="26">Q45</f>
        <v>0</v>
      </c>
    </row>
    <row r="46" spans="1:22" x14ac:dyDescent="0.35">
      <c r="A46" t="s">
        <v>288</v>
      </c>
      <c r="B46" s="8" t="s">
        <v>11</v>
      </c>
      <c r="C46" s="5"/>
      <c r="D46" s="5"/>
      <c r="E46" s="5"/>
      <c r="F46" s="5"/>
      <c r="G46" s="5"/>
      <c r="H46" s="5"/>
      <c r="I46" s="5">
        <f>I45</f>
        <v>107.14285714285714</v>
      </c>
      <c r="J46" s="5"/>
      <c r="K46" s="5"/>
      <c r="L46" s="5"/>
      <c r="M46" s="5"/>
      <c r="N46" s="5">
        <f>I46</f>
        <v>107.14285714285714</v>
      </c>
      <c r="O46" s="5">
        <f t="shared" ref="O46" si="27">J46</f>
        <v>0</v>
      </c>
      <c r="P46" s="5">
        <f t="shared" ref="P46" si="28">K46</f>
        <v>0</v>
      </c>
      <c r="Q46" s="5">
        <f t="shared" ref="Q46" si="29">L46</f>
        <v>0</v>
      </c>
      <c r="R46" s="5">
        <f t="shared" ref="R46" si="30">M46</f>
        <v>0</v>
      </c>
      <c r="S46" s="5">
        <f t="shared" ref="S46" si="31">N46</f>
        <v>107.14285714285714</v>
      </c>
      <c r="T46" s="5">
        <f t="shared" ref="T46" si="32">O46</f>
        <v>0</v>
      </c>
      <c r="U46" s="5">
        <f t="shared" ref="U46" si="33">P46</f>
        <v>0</v>
      </c>
      <c r="V46" s="5">
        <f t="shared" ref="V46" si="34">Q46</f>
        <v>0</v>
      </c>
    </row>
    <row r="47" spans="1:22" x14ac:dyDescent="0.35">
      <c r="A47" t="s">
        <v>293</v>
      </c>
      <c r="B47" s="8" t="s">
        <v>11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</row>
    <row r="48" spans="1:22" x14ac:dyDescent="0.35"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</row>
    <row r="49" spans="1:23" x14ac:dyDescent="0.35">
      <c r="A49" t="s">
        <v>6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</row>
    <row r="50" spans="1:23" x14ac:dyDescent="0.35">
      <c r="A50" t="s">
        <v>252</v>
      </c>
      <c r="B50" s="54" t="s">
        <v>10</v>
      </c>
      <c r="C50" s="59"/>
      <c r="D50" s="59"/>
      <c r="E50" s="59"/>
      <c r="F50" s="59"/>
      <c r="G50" s="59"/>
      <c r="H50" s="59"/>
      <c r="I50" s="61">
        <f>C37*10*250/555</f>
        <v>482.62548262548262</v>
      </c>
      <c r="J50" s="59">
        <f>I50</f>
        <v>482.62548262548262</v>
      </c>
      <c r="K50" s="59">
        <f>C37*10*275/555</f>
        <v>530.88803088803081</v>
      </c>
      <c r="L50" s="59">
        <f>K50</f>
        <v>530.88803088803081</v>
      </c>
      <c r="M50" s="59">
        <f>C37*10*300/555</f>
        <v>579.15057915057912</v>
      </c>
      <c r="N50" s="59">
        <f>M50</f>
        <v>579.15057915057912</v>
      </c>
      <c r="O50" s="59">
        <f t="shared" ref="O50:V50" si="35">N50</f>
        <v>579.15057915057912</v>
      </c>
      <c r="P50" s="59">
        <f t="shared" si="35"/>
        <v>579.15057915057912</v>
      </c>
      <c r="Q50" s="59">
        <f t="shared" si="35"/>
        <v>579.15057915057912</v>
      </c>
      <c r="R50" s="59">
        <f t="shared" si="35"/>
        <v>579.15057915057912</v>
      </c>
      <c r="S50" s="59">
        <f t="shared" si="35"/>
        <v>579.15057915057912</v>
      </c>
      <c r="T50" s="59">
        <f t="shared" si="35"/>
        <v>579.15057915057912</v>
      </c>
      <c r="U50" s="59">
        <f t="shared" si="35"/>
        <v>579.15057915057912</v>
      </c>
      <c r="V50" s="59">
        <f t="shared" si="35"/>
        <v>579.15057915057912</v>
      </c>
      <c r="W50" s="5"/>
    </row>
    <row r="51" spans="1:23" x14ac:dyDescent="0.35">
      <c r="A51" s="11" t="s">
        <v>186</v>
      </c>
      <c r="B51" s="64" t="s">
        <v>10</v>
      </c>
      <c r="C51" s="63">
        <f>300*$B$7/1333</f>
        <v>237.65941485371343</v>
      </c>
      <c r="D51" s="63">
        <f t="shared" ref="D51:V51" si="36">300*$B$7/1333</f>
        <v>237.65941485371343</v>
      </c>
      <c r="E51" s="63">
        <f t="shared" si="36"/>
        <v>237.65941485371343</v>
      </c>
      <c r="F51" s="63">
        <f t="shared" si="36"/>
        <v>237.65941485371343</v>
      </c>
      <c r="G51" s="63">
        <f t="shared" si="36"/>
        <v>237.65941485371343</v>
      </c>
      <c r="H51" s="63">
        <f t="shared" si="36"/>
        <v>237.65941485371343</v>
      </c>
      <c r="I51" s="63">
        <f t="shared" si="36"/>
        <v>237.65941485371343</v>
      </c>
      <c r="J51" s="63">
        <f t="shared" si="36"/>
        <v>237.65941485371343</v>
      </c>
      <c r="K51" s="63">
        <f t="shared" si="36"/>
        <v>237.65941485371343</v>
      </c>
      <c r="L51" s="63">
        <f t="shared" si="36"/>
        <v>237.65941485371343</v>
      </c>
      <c r="M51" s="63">
        <f t="shared" si="36"/>
        <v>237.65941485371343</v>
      </c>
      <c r="N51" s="63">
        <f t="shared" si="36"/>
        <v>237.65941485371343</v>
      </c>
      <c r="O51" s="63">
        <f t="shared" si="36"/>
        <v>237.65941485371343</v>
      </c>
      <c r="P51" s="63">
        <f t="shared" si="36"/>
        <v>237.65941485371343</v>
      </c>
      <c r="Q51" s="63">
        <f t="shared" si="36"/>
        <v>237.65941485371343</v>
      </c>
      <c r="R51" s="63">
        <f t="shared" si="36"/>
        <v>237.65941485371343</v>
      </c>
      <c r="S51" s="63">
        <f t="shared" si="36"/>
        <v>237.65941485371343</v>
      </c>
      <c r="T51" s="63">
        <f t="shared" si="36"/>
        <v>237.65941485371343</v>
      </c>
      <c r="U51" s="63">
        <f t="shared" si="36"/>
        <v>237.65941485371343</v>
      </c>
      <c r="V51" s="63">
        <f t="shared" si="36"/>
        <v>237.65941485371343</v>
      </c>
      <c r="W51" s="5"/>
    </row>
    <row r="53" spans="1:23" x14ac:dyDescent="0.35">
      <c r="A53" s="68" t="s">
        <v>304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</row>
    <row r="54" spans="1:23" x14ac:dyDescent="0.35">
      <c r="A54" s="12" t="s">
        <v>302</v>
      </c>
      <c r="B54" s="10" t="s">
        <v>12</v>
      </c>
      <c r="C54" s="11" t="s">
        <v>399</v>
      </c>
      <c r="D54" s="11" t="s">
        <v>400</v>
      </c>
      <c r="E54" s="11" t="s">
        <v>401</v>
      </c>
      <c r="F54" s="11" t="s">
        <v>402</v>
      </c>
      <c r="G54" s="11" t="s">
        <v>403</v>
      </c>
      <c r="H54" s="11" t="s">
        <v>404</v>
      </c>
      <c r="I54" s="11" t="s">
        <v>405</v>
      </c>
      <c r="J54" s="11" t="s">
        <v>406</v>
      </c>
      <c r="K54" s="11" t="s">
        <v>407</v>
      </c>
      <c r="L54" s="11" t="s">
        <v>408</v>
      </c>
      <c r="M54" s="11" t="s">
        <v>409</v>
      </c>
      <c r="N54" s="11" t="s">
        <v>410</v>
      </c>
      <c r="O54" s="11" t="s">
        <v>411</v>
      </c>
      <c r="P54" s="11" t="s">
        <v>412</v>
      </c>
      <c r="Q54" s="11" t="s">
        <v>413</v>
      </c>
      <c r="R54" s="11" t="s">
        <v>414</v>
      </c>
      <c r="S54" s="11" t="s">
        <v>415</v>
      </c>
      <c r="T54" s="11" t="s">
        <v>416</v>
      </c>
      <c r="U54" s="11" t="s">
        <v>417</v>
      </c>
      <c r="V54" s="11" t="s">
        <v>418</v>
      </c>
    </row>
    <row r="55" spans="1:23" x14ac:dyDescent="0.35">
      <c r="A55" s="6" t="s">
        <v>2</v>
      </c>
      <c r="B55" s="8"/>
    </row>
    <row r="56" spans="1:23" x14ac:dyDescent="0.35">
      <c r="A56" t="str">
        <f t="shared" ref="A56:A77" si="37">A13</f>
        <v xml:space="preserve">  Undergrowth clearing</v>
      </c>
      <c r="B56" s="13">
        <f>'Prices &amp; assums'!C10</f>
        <v>30000</v>
      </c>
      <c r="C56" s="2">
        <f t="shared" ref="C56:V56" si="38">$B56*C13</f>
        <v>6300</v>
      </c>
      <c r="D56" s="2">
        <f t="shared" si="38"/>
        <v>0</v>
      </c>
      <c r="E56" s="2">
        <f t="shared" si="38"/>
        <v>0</v>
      </c>
      <c r="F56" s="2">
        <f t="shared" si="38"/>
        <v>0</v>
      </c>
      <c r="G56" s="2">
        <f t="shared" si="38"/>
        <v>0</v>
      </c>
      <c r="H56" s="2">
        <f t="shared" si="38"/>
        <v>0</v>
      </c>
      <c r="I56" s="2">
        <f t="shared" si="38"/>
        <v>0</v>
      </c>
      <c r="J56" s="2">
        <f t="shared" si="38"/>
        <v>0</v>
      </c>
      <c r="K56" s="2">
        <f t="shared" si="38"/>
        <v>0</v>
      </c>
      <c r="L56" s="2">
        <f t="shared" si="38"/>
        <v>0</v>
      </c>
      <c r="M56" s="2">
        <f t="shared" si="38"/>
        <v>0</v>
      </c>
      <c r="N56" s="2">
        <f t="shared" si="38"/>
        <v>0</v>
      </c>
      <c r="O56" s="2">
        <f t="shared" si="38"/>
        <v>0</v>
      </c>
      <c r="P56" s="2">
        <f t="shared" si="38"/>
        <v>0</v>
      </c>
      <c r="Q56" s="2">
        <f t="shared" si="38"/>
        <v>0</v>
      </c>
      <c r="R56" s="2">
        <f t="shared" si="38"/>
        <v>0</v>
      </c>
      <c r="S56" s="2">
        <f t="shared" si="38"/>
        <v>0</v>
      </c>
      <c r="T56" s="2">
        <f t="shared" si="38"/>
        <v>0</v>
      </c>
      <c r="U56" s="2">
        <f t="shared" si="38"/>
        <v>0</v>
      </c>
      <c r="V56" s="2">
        <f t="shared" si="38"/>
        <v>0</v>
      </c>
    </row>
    <row r="57" spans="1:23" x14ac:dyDescent="0.35">
      <c r="A57" t="str">
        <f t="shared" si="37"/>
        <v xml:space="preserve">  Cutting old trees</v>
      </c>
      <c r="B57" s="13">
        <f>'Prices &amp; assums'!C11</f>
        <v>50000</v>
      </c>
      <c r="C57" s="2">
        <f t="shared" ref="C57:V57" si="39">$B57*C14</f>
        <v>10500</v>
      </c>
      <c r="D57" s="2">
        <f t="shared" si="39"/>
        <v>0</v>
      </c>
      <c r="E57" s="2">
        <f t="shared" si="39"/>
        <v>0</v>
      </c>
      <c r="F57" s="2">
        <f t="shared" si="39"/>
        <v>0</v>
      </c>
      <c r="G57" s="2">
        <f t="shared" si="39"/>
        <v>0</v>
      </c>
      <c r="H57" s="2">
        <f t="shared" si="39"/>
        <v>0</v>
      </c>
      <c r="I57" s="2">
        <f t="shared" si="39"/>
        <v>0</v>
      </c>
      <c r="J57" s="2">
        <f t="shared" si="39"/>
        <v>0</v>
      </c>
      <c r="K57" s="2">
        <f t="shared" si="39"/>
        <v>0</v>
      </c>
      <c r="L57" s="2">
        <f t="shared" si="39"/>
        <v>0</v>
      </c>
      <c r="M57" s="2">
        <f t="shared" si="39"/>
        <v>0</v>
      </c>
      <c r="N57" s="2">
        <f t="shared" si="39"/>
        <v>0</v>
      </c>
      <c r="O57" s="2">
        <f t="shared" si="39"/>
        <v>0</v>
      </c>
      <c r="P57" s="2">
        <f t="shared" si="39"/>
        <v>0</v>
      </c>
      <c r="Q57" s="2">
        <f t="shared" si="39"/>
        <v>0</v>
      </c>
      <c r="R57" s="2">
        <f t="shared" si="39"/>
        <v>0</v>
      </c>
      <c r="S57" s="2">
        <f t="shared" si="39"/>
        <v>0</v>
      </c>
      <c r="T57" s="2">
        <f t="shared" si="39"/>
        <v>0</v>
      </c>
      <c r="U57" s="2">
        <f t="shared" si="39"/>
        <v>0</v>
      </c>
      <c r="V57" s="2">
        <f t="shared" si="39"/>
        <v>0</v>
      </c>
    </row>
    <row r="58" spans="1:23" x14ac:dyDescent="0.35">
      <c r="A58" t="str">
        <f t="shared" si="37"/>
        <v xml:space="preserve">  Transport of seedlings</v>
      </c>
      <c r="B58" s="13">
        <f>'Prices &amp; assums'!C27</f>
        <v>7</v>
      </c>
      <c r="C58" s="2">
        <f t="shared" ref="C58:V58" si="40">$B58*C15</f>
        <v>750</v>
      </c>
      <c r="D58" s="2">
        <f t="shared" si="40"/>
        <v>0</v>
      </c>
      <c r="E58" s="2">
        <f t="shared" si="40"/>
        <v>0</v>
      </c>
      <c r="F58" s="2">
        <f t="shared" si="40"/>
        <v>0</v>
      </c>
      <c r="G58" s="2">
        <f t="shared" si="40"/>
        <v>0</v>
      </c>
      <c r="H58" s="2">
        <f t="shared" si="40"/>
        <v>0</v>
      </c>
      <c r="I58" s="2">
        <f t="shared" si="40"/>
        <v>0</v>
      </c>
      <c r="J58" s="2">
        <f t="shared" si="40"/>
        <v>0</v>
      </c>
      <c r="K58" s="2">
        <f t="shared" si="40"/>
        <v>0</v>
      </c>
      <c r="L58" s="2">
        <f t="shared" si="40"/>
        <v>0</v>
      </c>
      <c r="M58" s="2">
        <f t="shared" si="40"/>
        <v>0</v>
      </c>
      <c r="N58" s="2">
        <f t="shared" si="40"/>
        <v>0</v>
      </c>
      <c r="O58" s="2">
        <f t="shared" si="40"/>
        <v>0</v>
      </c>
      <c r="P58" s="2">
        <f t="shared" si="40"/>
        <v>0</v>
      </c>
      <c r="Q58" s="2">
        <f t="shared" si="40"/>
        <v>0</v>
      </c>
      <c r="R58" s="2">
        <f t="shared" si="40"/>
        <v>0</v>
      </c>
      <c r="S58" s="2">
        <f t="shared" si="40"/>
        <v>0</v>
      </c>
      <c r="T58" s="2">
        <f t="shared" si="40"/>
        <v>0</v>
      </c>
      <c r="U58" s="2">
        <f t="shared" si="40"/>
        <v>0</v>
      </c>
      <c r="V58" s="2">
        <f t="shared" si="40"/>
        <v>0</v>
      </c>
    </row>
    <row r="59" spans="1:23" x14ac:dyDescent="0.35">
      <c r="A59" t="str">
        <f t="shared" si="37"/>
        <v xml:space="preserve">  Marking out</v>
      </c>
      <c r="B59" s="13">
        <f>'Prices &amp; assums'!C7</f>
        <v>25000</v>
      </c>
      <c r="C59" s="2">
        <f t="shared" ref="C59:V59" si="41">$B59*C16</f>
        <v>8037.723716643447</v>
      </c>
      <c r="D59" s="2">
        <f t="shared" si="41"/>
        <v>0</v>
      </c>
      <c r="E59" s="2">
        <f t="shared" si="41"/>
        <v>0</v>
      </c>
      <c r="F59" s="2">
        <f t="shared" si="41"/>
        <v>0</v>
      </c>
      <c r="G59" s="2">
        <f t="shared" si="41"/>
        <v>0</v>
      </c>
      <c r="H59" s="2">
        <f t="shared" si="41"/>
        <v>0</v>
      </c>
      <c r="I59" s="2">
        <f t="shared" si="41"/>
        <v>0</v>
      </c>
      <c r="J59" s="2">
        <f t="shared" si="41"/>
        <v>0</v>
      </c>
      <c r="K59" s="2">
        <f t="shared" si="41"/>
        <v>0</v>
      </c>
      <c r="L59" s="2">
        <f t="shared" si="41"/>
        <v>0</v>
      </c>
      <c r="M59" s="2">
        <f t="shared" si="41"/>
        <v>0</v>
      </c>
      <c r="N59" s="2">
        <f t="shared" si="41"/>
        <v>0</v>
      </c>
      <c r="O59" s="2">
        <f t="shared" si="41"/>
        <v>0</v>
      </c>
      <c r="P59" s="2">
        <f t="shared" si="41"/>
        <v>0</v>
      </c>
      <c r="Q59" s="2">
        <f t="shared" si="41"/>
        <v>0</v>
      </c>
      <c r="R59" s="2">
        <f t="shared" si="41"/>
        <v>0</v>
      </c>
      <c r="S59" s="2">
        <f t="shared" si="41"/>
        <v>0</v>
      </c>
      <c r="T59" s="2">
        <f t="shared" si="41"/>
        <v>0</v>
      </c>
      <c r="U59" s="2">
        <f t="shared" si="41"/>
        <v>0</v>
      </c>
      <c r="V59" s="2">
        <f t="shared" si="41"/>
        <v>0</v>
      </c>
    </row>
    <row r="60" spans="1:23" x14ac:dyDescent="0.35">
      <c r="A60" t="str">
        <f t="shared" si="37"/>
        <v xml:space="preserve">  Digging holes</v>
      </c>
      <c r="B60" s="13">
        <f>'Prices &amp; assums'!C8</f>
        <v>30</v>
      </c>
      <c r="C60" s="2">
        <f t="shared" ref="C60:V60" si="42">$B60*C17</f>
        <v>3214.2857142857142</v>
      </c>
      <c r="D60" s="2">
        <f t="shared" si="42"/>
        <v>0</v>
      </c>
      <c r="E60" s="2">
        <f t="shared" si="42"/>
        <v>0</v>
      </c>
      <c r="F60" s="2">
        <f t="shared" si="42"/>
        <v>0</v>
      </c>
      <c r="G60" s="2">
        <f t="shared" si="42"/>
        <v>0</v>
      </c>
      <c r="H60" s="2">
        <f t="shared" si="42"/>
        <v>0</v>
      </c>
      <c r="I60" s="2">
        <f t="shared" si="42"/>
        <v>0</v>
      </c>
      <c r="J60" s="2">
        <f t="shared" si="42"/>
        <v>0</v>
      </c>
      <c r="K60" s="2">
        <f t="shared" si="42"/>
        <v>0</v>
      </c>
      <c r="L60" s="2">
        <f t="shared" si="42"/>
        <v>0</v>
      </c>
      <c r="M60" s="2">
        <f t="shared" si="42"/>
        <v>0</v>
      </c>
      <c r="N60" s="2">
        <f t="shared" si="42"/>
        <v>0</v>
      </c>
      <c r="O60" s="2">
        <f t="shared" si="42"/>
        <v>0</v>
      </c>
      <c r="P60" s="2">
        <f t="shared" si="42"/>
        <v>0</v>
      </c>
      <c r="Q60" s="2">
        <f t="shared" si="42"/>
        <v>0</v>
      </c>
      <c r="R60" s="2">
        <f t="shared" si="42"/>
        <v>0</v>
      </c>
      <c r="S60" s="2">
        <f t="shared" si="42"/>
        <v>0</v>
      </c>
      <c r="T60" s="2">
        <f t="shared" si="42"/>
        <v>0</v>
      </c>
      <c r="U60" s="2">
        <f t="shared" si="42"/>
        <v>0</v>
      </c>
      <c r="V60" s="2">
        <f t="shared" si="42"/>
        <v>0</v>
      </c>
    </row>
    <row r="61" spans="1:23" x14ac:dyDescent="0.35">
      <c r="A61" t="str">
        <f t="shared" si="37"/>
        <v xml:space="preserve">  Seeding pueraria</v>
      </c>
      <c r="B61" s="13">
        <f>'Prices &amp; assums'!C3</f>
        <v>2500</v>
      </c>
      <c r="C61" s="2">
        <f t="shared" ref="C61:V61" si="43">$B61*C18</f>
        <v>1000</v>
      </c>
      <c r="D61" s="2">
        <f t="shared" si="43"/>
        <v>0</v>
      </c>
      <c r="E61" s="2">
        <f t="shared" si="43"/>
        <v>0</v>
      </c>
      <c r="F61" s="2">
        <f t="shared" si="43"/>
        <v>0</v>
      </c>
      <c r="G61" s="2">
        <f t="shared" si="43"/>
        <v>0</v>
      </c>
      <c r="H61" s="2">
        <f t="shared" si="43"/>
        <v>0</v>
      </c>
      <c r="I61" s="2">
        <f t="shared" si="43"/>
        <v>0</v>
      </c>
      <c r="J61" s="2">
        <f t="shared" si="43"/>
        <v>0</v>
      </c>
      <c r="K61" s="2">
        <f t="shared" si="43"/>
        <v>0</v>
      </c>
      <c r="L61" s="2">
        <f t="shared" si="43"/>
        <v>0</v>
      </c>
      <c r="M61" s="2">
        <f t="shared" si="43"/>
        <v>0</v>
      </c>
      <c r="N61" s="2">
        <f t="shared" si="43"/>
        <v>0</v>
      </c>
      <c r="O61" s="2">
        <f t="shared" si="43"/>
        <v>0</v>
      </c>
      <c r="P61" s="2">
        <f t="shared" si="43"/>
        <v>0</v>
      </c>
      <c r="Q61" s="2">
        <f t="shared" si="43"/>
        <v>0</v>
      </c>
      <c r="R61" s="2">
        <f t="shared" si="43"/>
        <v>0</v>
      </c>
      <c r="S61" s="2">
        <f t="shared" si="43"/>
        <v>0</v>
      </c>
      <c r="T61" s="2">
        <f t="shared" si="43"/>
        <v>0</v>
      </c>
      <c r="U61" s="2">
        <f t="shared" si="43"/>
        <v>0</v>
      </c>
      <c r="V61" s="2">
        <f t="shared" si="43"/>
        <v>0</v>
      </c>
    </row>
    <row r="62" spans="1:23" x14ac:dyDescent="0.35">
      <c r="A62" t="str">
        <f t="shared" si="37"/>
        <v xml:space="preserve">  Planting seedlings</v>
      </c>
      <c r="B62" s="13">
        <f>'Prices &amp; assums'!C9</f>
        <v>30</v>
      </c>
      <c r="C62" s="2">
        <f t="shared" ref="C62:V62" si="44">$B62*C19</f>
        <v>3214.2857142857142</v>
      </c>
      <c r="D62" s="2">
        <f t="shared" si="44"/>
        <v>0</v>
      </c>
      <c r="E62" s="2">
        <f t="shared" si="44"/>
        <v>0</v>
      </c>
      <c r="F62" s="2">
        <f t="shared" si="44"/>
        <v>0</v>
      </c>
      <c r="G62" s="2">
        <f t="shared" si="44"/>
        <v>0</v>
      </c>
      <c r="H62" s="2">
        <f t="shared" si="44"/>
        <v>0</v>
      </c>
      <c r="I62" s="2">
        <f t="shared" si="44"/>
        <v>0</v>
      </c>
      <c r="J62" s="2">
        <f t="shared" si="44"/>
        <v>0</v>
      </c>
      <c r="K62" s="2">
        <f t="shared" si="44"/>
        <v>0</v>
      </c>
      <c r="L62" s="2">
        <f t="shared" si="44"/>
        <v>0</v>
      </c>
      <c r="M62" s="2">
        <f t="shared" si="44"/>
        <v>0</v>
      </c>
      <c r="N62" s="2">
        <f t="shared" si="44"/>
        <v>0</v>
      </c>
      <c r="O62" s="2">
        <f t="shared" si="44"/>
        <v>0</v>
      </c>
      <c r="P62" s="2">
        <f t="shared" si="44"/>
        <v>0</v>
      </c>
      <c r="Q62" s="2">
        <f t="shared" si="44"/>
        <v>0</v>
      </c>
      <c r="R62" s="2">
        <f t="shared" si="44"/>
        <v>0</v>
      </c>
      <c r="S62" s="2">
        <f t="shared" si="44"/>
        <v>0</v>
      </c>
      <c r="T62" s="2">
        <f t="shared" si="44"/>
        <v>0</v>
      </c>
      <c r="U62" s="2">
        <f t="shared" si="44"/>
        <v>0</v>
      </c>
      <c r="V62" s="2">
        <f t="shared" si="44"/>
        <v>0</v>
      </c>
    </row>
    <row r="63" spans="1:23" x14ac:dyDescent="0.35">
      <c r="A63" t="str">
        <f t="shared" si="37"/>
        <v xml:space="preserve">  Shaping basins around seedlings</v>
      </c>
      <c r="B63" s="13">
        <f>'Prices &amp; assums'!C12</f>
        <v>25</v>
      </c>
      <c r="C63" s="2">
        <f t="shared" ref="C63:V63" si="45">$B63*C20</f>
        <v>2678.5714285714284</v>
      </c>
      <c r="D63" s="2">
        <f t="shared" si="45"/>
        <v>0</v>
      </c>
      <c r="E63" s="2">
        <f t="shared" si="45"/>
        <v>0</v>
      </c>
      <c r="F63" s="2">
        <f t="shared" si="45"/>
        <v>0</v>
      </c>
      <c r="G63" s="2">
        <f t="shared" si="45"/>
        <v>0</v>
      </c>
      <c r="H63" s="2">
        <f t="shared" si="45"/>
        <v>0</v>
      </c>
      <c r="I63" s="2">
        <f t="shared" si="45"/>
        <v>0</v>
      </c>
      <c r="J63" s="2">
        <f t="shared" si="45"/>
        <v>0</v>
      </c>
      <c r="K63" s="2">
        <f t="shared" si="45"/>
        <v>0</v>
      </c>
      <c r="L63" s="2">
        <f t="shared" si="45"/>
        <v>0</v>
      </c>
      <c r="M63" s="2">
        <f t="shared" si="45"/>
        <v>0</v>
      </c>
      <c r="N63" s="2">
        <f t="shared" si="45"/>
        <v>0</v>
      </c>
      <c r="O63" s="2">
        <f t="shared" si="45"/>
        <v>0</v>
      </c>
      <c r="P63" s="2">
        <f t="shared" si="45"/>
        <v>0</v>
      </c>
      <c r="Q63" s="2">
        <f t="shared" si="45"/>
        <v>0</v>
      </c>
      <c r="R63" s="2">
        <f t="shared" si="45"/>
        <v>0</v>
      </c>
      <c r="S63" s="2">
        <f t="shared" si="45"/>
        <v>0</v>
      </c>
      <c r="T63" s="2">
        <f t="shared" si="45"/>
        <v>0</v>
      </c>
      <c r="U63" s="2">
        <f t="shared" si="45"/>
        <v>0</v>
      </c>
      <c r="V63" s="2">
        <f t="shared" si="45"/>
        <v>0</v>
      </c>
    </row>
    <row r="64" spans="1:23" x14ac:dyDescent="0.35">
      <c r="A64" t="str">
        <f t="shared" si="37"/>
        <v xml:space="preserve">  Weeding</v>
      </c>
      <c r="B64" s="13">
        <f>'Prices &amp; assums'!C5</f>
        <v>25000</v>
      </c>
      <c r="C64" s="2">
        <f t="shared" ref="C64:V64" si="46">$B64*C21</f>
        <v>79200</v>
      </c>
      <c r="D64" s="2">
        <f t="shared" si="46"/>
        <v>79200</v>
      </c>
      <c r="E64" s="2">
        <f t="shared" si="46"/>
        <v>79200</v>
      </c>
      <c r="F64" s="2">
        <f t="shared" si="46"/>
        <v>79200</v>
      </c>
      <c r="G64" s="2">
        <f t="shared" si="46"/>
        <v>79200</v>
      </c>
      <c r="H64" s="2">
        <f t="shared" si="46"/>
        <v>79200</v>
      </c>
      <c r="I64" s="2">
        <f t="shared" si="46"/>
        <v>79200</v>
      </c>
      <c r="J64" s="2">
        <f t="shared" si="46"/>
        <v>79200</v>
      </c>
      <c r="K64" s="2">
        <f t="shared" si="46"/>
        <v>79200</v>
      </c>
      <c r="L64" s="2">
        <f t="shared" si="46"/>
        <v>79200</v>
      </c>
      <c r="M64" s="2">
        <f t="shared" si="46"/>
        <v>79200</v>
      </c>
      <c r="N64" s="2">
        <f t="shared" si="46"/>
        <v>79200</v>
      </c>
      <c r="O64" s="2">
        <f t="shared" si="46"/>
        <v>79200</v>
      </c>
      <c r="P64" s="2">
        <f t="shared" si="46"/>
        <v>79200</v>
      </c>
      <c r="Q64" s="2">
        <f t="shared" si="46"/>
        <v>79200</v>
      </c>
      <c r="R64" s="2">
        <f t="shared" si="46"/>
        <v>79200</v>
      </c>
      <c r="S64" s="2">
        <f t="shared" si="46"/>
        <v>79200</v>
      </c>
      <c r="T64" s="2">
        <f t="shared" si="46"/>
        <v>79200</v>
      </c>
      <c r="U64" s="2">
        <f t="shared" si="46"/>
        <v>79200</v>
      </c>
      <c r="V64" s="2">
        <f t="shared" si="46"/>
        <v>79200</v>
      </c>
    </row>
    <row r="65" spans="1:22" x14ac:dyDescent="0.35">
      <c r="A65" t="str">
        <f t="shared" si="37"/>
        <v xml:space="preserve">  Weeding rubber over lines</v>
      </c>
      <c r="B65" s="13">
        <f>'Prices &amp; assums'!C36</f>
        <v>15000</v>
      </c>
      <c r="C65" s="2">
        <f t="shared" ref="C65:V65" si="47">$B65*C22</f>
        <v>1461.0389610389609</v>
      </c>
      <c r="D65" s="2">
        <f t="shared" si="47"/>
        <v>1461.0389610389609</v>
      </c>
      <c r="E65" s="2">
        <f t="shared" si="47"/>
        <v>0</v>
      </c>
      <c r="F65" s="2">
        <f t="shared" si="47"/>
        <v>0</v>
      </c>
      <c r="G65" s="2">
        <f t="shared" si="47"/>
        <v>0</v>
      </c>
      <c r="H65" s="2">
        <f t="shared" si="47"/>
        <v>0</v>
      </c>
      <c r="I65" s="2">
        <f t="shared" si="47"/>
        <v>0</v>
      </c>
      <c r="J65" s="2">
        <f t="shared" si="47"/>
        <v>0</v>
      </c>
      <c r="K65" s="2">
        <f t="shared" si="47"/>
        <v>0</v>
      </c>
      <c r="L65" s="2">
        <f t="shared" si="47"/>
        <v>0</v>
      </c>
      <c r="M65" s="2">
        <f t="shared" si="47"/>
        <v>0</v>
      </c>
      <c r="N65" s="2">
        <f t="shared" si="47"/>
        <v>0</v>
      </c>
      <c r="O65" s="2">
        <f t="shared" si="47"/>
        <v>0</v>
      </c>
      <c r="P65" s="2">
        <f t="shared" si="47"/>
        <v>0</v>
      </c>
      <c r="Q65" s="2">
        <f t="shared" si="47"/>
        <v>0</v>
      </c>
      <c r="R65" s="2">
        <f t="shared" si="47"/>
        <v>0</v>
      </c>
      <c r="S65" s="2">
        <f t="shared" si="47"/>
        <v>0</v>
      </c>
      <c r="T65" s="2">
        <f t="shared" si="47"/>
        <v>0</v>
      </c>
      <c r="U65" s="2">
        <f t="shared" si="47"/>
        <v>0</v>
      </c>
      <c r="V65" s="2">
        <f t="shared" si="47"/>
        <v>0</v>
      </c>
    </row>
    <row r="66" spans="1:22" x14ac:dyDescent="0.35">
      <c r="A66" t="str">
        <f t="shared" si="37"/>
        <v xml:space="preserve">  Weeding rubber within lines</v>
      </c>
      <c r="B66" s="13">
        <f>'Prices &amp; assums'!C35</f>
        <v>25000</v>
      </c>
      <c r="C66" s="2">
        <f t="shared" ref="C66:V66" si="48">$B66*C23</f>
        <v>2435.0649350649346</v>
      </c>
      <c r="D66" s="2">
        <f t="shared" si="48"/>
        <v>0</v>
      </c>
      <c r="E66" s="2">
        <f t="shared" si="48"/>
        <v>0</v>
      </c>
      <c r="F66" s="2">
        <f t="shared" si="48"/>
        <v>0</v>
      </c>
      <c r="G66" s="2">
        <f t="shared" si="48"/>
        <v>0</v>
      </c>
      <c r="H66" s="2">
        <f t="shared" si="48"/>
        <v>0</v>
      </c>
      <c r="I66" s="2">
        <f t="shared" si="48"/>
        <v>0</v>
      </c>
      <c r="J66" s="2">
        <f t="shared" si="48"/>
        <v>0</v>
      </c>
      <c r="K66" s="2">
        <f t="shared" si="48"/>
        <v>0</v>
      </c>
      <c r="L66" s="2">
        <f t="shared" si="48"/>
        <v>0</v>
      </c>
      <c r="M66" s="2">
        <f t="shared" si="48"/>
        <v>0</v>
      </c>
      <c r="N66" s="2">
        <f t="shared" si="48"/>
        <v>0</v>
      </c>
      <c r="O66" s="2">
        <f t="shared" si="48"/>
        <v>0</v>
      </c>
      <c r="P66" s="2">
        <f t="shared" si="48"/>
        <v>0</v>
      </c>
      <c r="Q66" s="2">
        <f t="shared" si="48"/>
        <v>0</v>
      </c>
      <c r="R66" s="2">
        <f t="shared" si="48"/>
        <v>0</v>
      </c>
      <c r="S66" s="2">
        <f t="shared" si="48"/>
        <v>0</v>
      </c>
      <c r="T66" s="2">
        <f t="shared" si="48"/>
        <v>0</v>
      </c>
      <c r="U66" s="2">
        <f t="shared" si="48"/>
        <v>0</v>
      </c>
      <c r="V66" s="2">
        <f t="shared" si="48"/>
        <v>0</v>
      </c>
    </row>
    <row r="67" spans="1:22" x14ac:dyDescent="0.35">
      <c r="A67" t="str">
        <f t="shared" si="37"/>
        <v xml:space="preserve">  Bud pruning</v>
      </c>
      <c r="B67" s="13">
        <f>'Prices &amp; assums'!C13</f>
        <v>2000</v>
      </c>
      <c r="C67" s="2">
        <f t="shared" ref="C67:V67" si="49">$B67*C24</f>
        <v>6000</v>
      </c>
      <c r="D67" s="2">
        <f t="shared" si="49"/>
        <v>12000</v>
      </c>
      <c r="E67" s="2">
        <f t="shared" si="49"/>
        <v>6000</v>
      </c>
      <c r="F67" s="2">
        <f t="shared" si="49"/>
        <v>3000</v>
      </c>
      <c r="G67" s="2">
        <f t="shared" si="49"/>
        <v>0</v>
      </c>
      <c r="H67" s="2">
        <f t="shared" si="49"/>
        <v>0</v>
      </c>
      <c r="I67" s="2">
        <f t="shared" si="49"/>
        <v>0</v>
      </c>
      <c r="J67" s="2">
        <f t="shared" si="49"/>
        <v>0</v>
      </c>
      <c r="K67" s="2">
        <f t="shared" si="49"/>
        <v>0</v>
      </c>
      <c r="L67" s="2">
        <f t="shared" si="49"/>
        <v>0</v>
      </c>
      <c r="M67" s="2">
        <f t="shared" si="49"/>
        <v>0</v>
      </c>
      <c r="N67" s="2">
        <f t="shared" si="49"/>
        <v>0</v>
      </c>
      <c r="O67" s="2">
        <f t="shared" si="49"/>
        <v>0</v>
      </c>
      <c r="P67" s="2">
        <f t="shared" si="49"/>
        <v>0</v>
      </c>
      <c r="Q67" s="2">
        <f t="shared" si="49"/>
        <v>0</v>
      </c>
      <c r="R67" s="2">
        <f t="shared" si="49"/>
        <v>0</v>
      </c>
      <c r="S67" s="2">
        <f t="shared" si="49"/>
        <v>0</v>
      </c>
      <c r="T67" s="2">
        <f t="shared" si="49"/>
        <v>0</v>
      </c>
      <c r="U67" s="2">
        <f t="shared" si="49"/>
        <v>0</v>
      </c>
      <c r="V67" s="2">
        <f t="shared" si="49"/>
        <v>0</v>
      </c>
    </row>
    <row r="68" spans="1:22" x14ac:dyDescent="0.35">
      <c r="A68" t="str">
        <f t="shared" si="37"/>
        <v xml:space="preserve">  Fertilizer application</v>
      </c>
      <c r="B68" s="13">
        <f>'Prices &amp; assums'!C3</f>
        <v>2500</v>
      </c>
      <c r="C68" s="2">
        <f t="shared" ref="C68:V68" si="50">$B68*C25</f>
        <v>1250</v>
      </c>
      <c r="D68" s="2">
        <f t="shared" si="50"/>
        <v>1250</v>
      </c>
      <c r="E68" s="2">
        <f t="shared" si="50"/>
        <v>1250</v>
      </c>
      <c r="F68" s="2">
        <f t="shared" si="50"/>
        <v>1250</v>
      </c>
      <c r="G68" s="2">
        <f t="shared" si="50"/>
        <v>1250</v>
      </c>
      <c r="H68" s="2">
        <f t="shared" si="50"/>
        <v>1250</v>
      </c>
      <c r="I68" s="2">
        <f t="shared" si="50"/>
        <v>1250</v>
      </c>
      <c r="J68" s="2">
        <f t="shared" si="50"/>
        <v>1250</v>
      </c>
      <c r="K68" s="2">
        <f t="shared" si="50"/>
        <v>1250</v>
      </c>
      <c r="L68" s="2">
        <f t="shared" si="50"/>
        <v>1250</v>
      </c>
      <c r="M68" s="2">
        <f t="shared" si="50"/>
        <v>1250</v>
      </c>
      <c r="N68" s="2">
        <f t="shared" si="50"/>
        <v>1250</v>
      </c>
      <c r="O68" s="2">
        <f t="shared" si="50"/>
        <v>1250</v>
      </c>
      <c r="P68" s="2">
        <f t="shared" si="50"/>
        <v>1250</v>
      </c>
      <c r="Q68" s="2">
        <f t="shared" si="50"/>
        <v>1250</v>
      </c>
      <c r="R68" s="2">
        <f t="shared" si="50"/>
        <v>1250</v>
      </c>
      <c r="S68" s="2">
        <f t="shared" si="50"/>
        <v>1250</v>
      </c>
      <c r="T68" s="2">
        <f t="shared" si="50"/>
        <v>1250</v>
      </c>
      <c r="U68" s="2">
        <f t="shared" si="50"/>
        <v>1250</v>
      </c>
      <c r="V68" s="2">
        <f t="shared" si="50"/>
        <v>1250</v>
      </c>
    </row>
    <row r="69" spans="1:22" x14ac:dyDescent="0.35">
      <c r="A69" t="str">
        <f t="shared" si="37"/>
        <v xml:space="preserve">  Cleaning from pueraria (delianage)</v>
      </c>
      <c r="B69" s="13">
        <f>'Prices &amp; assums'!C6</f>
        <v>5000</v>
      </c>
      <c r="C69" s="2">
        <f t="shared" ref="C69:K69" si="51">$B69*C26</f>
        <v>1000</v>
      </c>
      <c r="D69" s="2">
        <f t="shared" si="51"/>
        <v>2000</v>
      </c>
      <c r="E69" s="2">
        <f t="shared" si="51"/>
        <v>2000</v>
      </c>
      <c r="F69" s="2">
        <f t="shared" si="51"/>
        <v>2000</v>
      </c>
      <c r="G69" s="2">
        <f t="shared" si="51"/>
        <v>0</v>
      </c>
      <c r="H69" s="2">
        <f t="shared" si="51"/>
        <v>0</v>
      </c>
      <c r="I69" s="2">
        <f t="shared" si="51"/>
        <v>0</v>
      </c>
      <c r="J69" s="2">
        <f t="shared" si="51"/>
        <v>0</v>
      </c>
      <c r="K69" s="2">
        <f t="shared" si="51"/>
        <v>0</v>
      </c>
      <c r="L69" s="2">
        <f t="shared" ref="L69:V69" si="52">$B69*L26</f>
        <v>0</v>
      </c>
      <c r="M69" s="2">
        <f t="shared" si="52"/>
        <v>0</v>
      </c>
      <c r="N69" s="2">
        <f t="shared" si="52"/>
        <v>0</v>
      </c>
      <c r="O69" s="2">
        <f t="shared" si="52"/>
        <v>0</v>
      </c>
      <c r="P69" s="2">
        <f t="shared" si="52"/>
        <v>0</v>
      </c>
      <c r="Q69" s="2">
        <f t="shared" si="52"/>
        <v>0</v>
      </c>
      <c r="R69" s="2">
        <f t="shared" si="52"/>
        <v>0</v>
      </c>
      <c r="S69" s="2">
        <f t="shared" si="52"/>
        <v>0</v>
      </c>
      <c r="T69" s="2">
        <f t="shared" si="52"/>
        <v>0</v>
      </c>
      <c r="U69" s="2">
        <f t="shared" si="52"/>
        <v>0</v>
      </c>
      <c r="V69" s="2">
        <f t="shared" si="52"/>
        <v>0</v>
      </c>
    </row>
    <row r="70" spans="1:22" x14ac:dyDescent="0.35">
      <c r="A70" t="str">
        <f t="shared" si="37"/>
        <v xml:space="preserve">  Compensatory planting</v>
      </c>
      <c r="B70" s="13">
        <f>(B62+B4398+B58)</f>
        <v>37</v>
      </c>
      <c r="C70" s="2">
        <f t="shared" ref="C70:K70" si="53">$B70*C27</f>
        <v>0</v>
      </c>
      <c r="D70" s="2">
        <f t="shared" si="53"/>
        <v>792.85714285714289</v>
      </c>
      <c r="E70" s="2">
        <f t="shared" si="53"/>
        <v>0</v>
      </c>
      <c r="F70" s="2">
        <f t="shared" si="53"/>
        <v>0</v>
      </c>
      <c r="G70" s="2">
        <f t="shared" si="53"/>
        <v>0</v>
      </c>
      <c r="H70" s="2">
        <f t="shared" si="53"/>
        <v>0</v>
      </c>
      <c r="I70" s="2">
        <f t="shared" si="53"/>
        <v>0</v>
      </c>
      <c r="J70" s="2">
        <f t="shared" si="53"/>
        <v>0</v>
      </c>
      <c r="K70" s="2">
        <f t="shared" si="53"/>
        <v>0</v>
      </c>
      <c r="L70" s="2">
        <f t="shared" ref="L70:V70" si="54">$B70*L27</f>
        <v>0</v>
      </c>
      <c r="M70" s="2">
        <f t="shared" si="54"/>
        <v>0</v>
      </c>
      <c r="N70" s="2">
        <f t="shared" si="54"/>
        <v>0</v>
      </c>
      <c r="O70" s="2">
        <f t="shared" si="54"/>
        <v>0</v>
      </c>
      <c r="P70" s="2">
        <f t="shared" si="54"/>
        <v>0</v>
      </c>
      <c r="Q70" s="2">
        <f t="shared" si="54"/>
        <v>0</v>
      </c>
      <c r="R70" s="2">
        <f t="shared" si="54"/>
        <v>0</v>
      </c>
      <c r="S70" s="2">
        <f t="shared" si="54"/>
        <v>0</v>
      </c>
      <c r="T70" s="2">
        <f t="shared" si="54"/>
        <v>0</v>
      </c>
      <c r="U70" s="2">
        <f t="shared" si="54"/>
        <v>0</v>
      </c>
      <c r="V70" s="2">
        <f t="shared" si="54"/>
        <v>0</v>
      </c>
    </row>
    <row r="71" spans="1:22" x14ac:dyDescent="0.35">
      <c r="A71" t="str">
        <f t="shared" si="37"/>
        <v xml:space="preserve">  Plant protection chemicals application</v>
      </c>
      <c r="B71" s="13">
        <f>'Prices &amp; assums'!C4</f>
        <v>4000</v>
      </c>
      <c r="C71" s="2">
        <f t="shared" ref="C71:K71" si="55">$B71*C28</f>
        <v>0</v>
      </c>
      <c r="D71" s="2">
        <f t="shared" si="55"/>
        <v>0</v>
      </c>
      <c r="E71" s="2">
        <f t="shared" si="55"/>
        <v>2000</v>
      </c>
      <c r="F71" s="2">
        <f t="shared" si="55"/>
        <v>2000</v>
      </c>
      <c r="G71" s="2">
        <f t="shared" si="55"/>
        <v>2000</v>
      </c>
      <c r="H71" s="2">
        <f t="shared" si="55"/>
        <v>2000</v>
      </c>
      <c r="I71" s="2">
        <f t="shared" si="55"/>
        <v>2000</v>
      </c>
      <c r="J71" s="2">
        <f t="shared" si="55"/>
        <v>2000</v>
      </c>
      <c r="K71" s="2">
        <f t="shared" si="55"/>
        <v>2000</v>
      </c>
      <c r="L71" s="2">
        <f t="shared" ref="L71:V71" si="56">$B71*L28</f>
        <v>2000</v>
      </c>
      <c r="M71" s="2">
        <f t="shared" si="56"/>
        <v>2000</v>
      </c>
      <c r="N71" s="2">
        <f t="shared" si="56"/>
        <v>2000</v>
      </c>
      <c r="O71" s="2">
        <f t="shared" si="56"/>
        <v>2000</v>
      </c>
      <c r="P71" s="2">
        <f t="shared" si="56"/>
        <v>2000</v>
      </c>
      <c r="Q71" s="2">
        <f t="shared" si="56"/>
        <v>2000</v>
      </c>
      <c r="R71" s="2">
        <f t="shared" si="56"/>
        <v>2000</v>
      </c>
      <c r="S71" s="2">
        <f t="shared" si="56"/>
        <v>2000</v>
      </c>
      <c r="T71" s="2">
        <f t="shared" si="56"/>
        <v>2000</v>
      </c>
      <c r="U71" s="2">
        <f t="shared" si="56"/>
        <v>2000</v>
      </c>
      <c r="V71" s="2">
        <f t="shared" si="56"/>
        <v>2000</v>
      </c>
    </row>
    <row r="72" spans="1:22" x14ac:dyDescent="0.35">
      <c r="A72" t="str">
        <f t="shared" si="37"/>
        <v xml:space="preserve">  Rubber harvest</v>
      </c>
      <c r="B72" s="13">
        <f>'Prices &amp; assums'!C21</f>
        <v>50</v>
      </c>
      <c r="C72" s="2">
        <f t="shared" ref="C72:K72" si="57">$B72*C29</f>
        <v>0</v>
      </c>
      <c r="D72" s="2">
        <f t="shared" si="57"/>
        <v>0</v>
      </c>
      <c r="E72" s="2">
        <f t="shared" si="57"/>
        <v>0</v>
      </c>
      <c r="F72" s="2">
        <f t="shared" si="57"/>
        <v>0</v>
      </c>
      <c r="G72" s="2">
        <f t="shared" si="57"/>
        <v>0</v>
      </c>
      <c r="H72" s="2">
        <f t="shared" si="57"/>
        <v>0</v>
      </c>
      <c r="I72" s="2">
        <f t="shared" si="57"/>
        <v>24131.274131274131</v>
      </c>
      <c r="J72" s="2">
        <f t="shared" si="57"/>
        <v>24131.274131274131</v>
      </c>
      <c r="K72" s="2">
        <f t="shared" si="57"/>
        <v>26544.401544401542</v>
      </c>
      <c r="L72" s="2">
        <f t="shared" ref="L72:V72" si="58">$B72*L29</f>
        <v>26544.401544401542</v>
      </c>
      <c r="M72" s="2">
        <f t="shared" si="58"/>
        <v>28957.528957528957</v>
      </c>
      <c r="N72" s="2">
        <f t="shared" si="58"/>
        <v>28957.528957528957</v>
      </c>
      <c r="O72" s="2">
        <f t="shared" si="58"/>
        <v>28957.528957528957</v>
      </c>
      <c r="P72" s="2">
        <f t="shared" si="58"/>
        <v>28957.528957528957</v>
      </c>
      <c r="Q72" s="2">
        <f t="shared" si="58"/>
        <v>28957.528957528957</v>
      </c>
      <c r="R72" s="2">
        <f t="shared" si="58"/>
        <v>28957.528957528957</v>
      </c>
      <c r="S72" s="2">
        <f t="shared" si="58"/>
        <v>28957.528957528957</v>
      </c>
      <c r="T72" s="2">
        <f t="shared" si="58"/>
        <v>28957.528957528957</v>
      </c>
      <c r="U72" s="2">
        <f t="shared" si="58"/>
        <v>28957.528957528957</v>
      </c>
      <c r="V72" s="2">
        <f t="shared" si="58"/>
        <v>28957.528957528957</v>
      </c>
    </row>
    <row r="73" spans="1:22" x14ac:dyDescent="0.35">
      <c r="A73" t="str">
        <f t="shared" si="37"/>
        <v xml:space="preserve">  Rubber transport </v>
      </c>
      <c r="B73" s="13">
        <f>'Prices &amp; assums'!C26/1000</f>
        <v>10</v>
      </c>
      <c r="C73" s="2">
        <f t="shared" ref="C73:K73" si="59">$B73*C30</f>
        <v>0</v>
      </c>
      <c r="D73" s="2">
        <f t="shared" si="59"/>
        <v>0</v>
      </c>
      <c r="E73" s="2">
        <f t="shared" si="59"/>
        <v>0</v>
      </c>
      <c r="F73" s="2">
        <f t="shared" si="59"/>
        <v>0</v>
      </c>
      <c r="G73" s="2">
        <f t="shared" si="59"/>
        <v>0</v>
      </c>
      <c r="H73" s="2">
        <f t="shared" si="59"/>
        <v>0</v>
      </c>
      <c r="I73" s="2">
        <f t="shared" si="59"/>
        <v>4826.2548262548262</v>
      </c>
      <c r="J73" s="2">
        <f t="shared" si="59"/>
        <v>4826.2548262548262</v>
      </c>
      <c r="K73" s="2">
        <f t="shared" si="59"/>
        <v>5308.8803088803079</v>
      </c>
      <c r="L73" s="2">
        <f t="shared" ref="L73:V73" si="60">$B73*L30</f>
        <v>5308.8803088803079</v>
      </c>
      <c r="M73" s="2">
        <f t="shared" si="60"/>
        <v>5791.5057915057914</v>
      </c>
      <c r="N73" s="2">
        <f t="shared" si="60"/>
        <v>5791.5057915057914</v>
      </c>
      <c r="O73" s="2">
        <f t="shared" si="60"/>
        <v>5791.5057915057914</v>
      </c>
      <c r="P73" s="2">
        <f t="shared" si="60"/>
        <v>5791.5057915057914</v>
      </c>
      <c r="Q73" s="2">
        <f t="shared" si="60"/>
        <v>5791.5057915057914</v>
      </c>
      <c r="R73" s="2">
        <f t="shared" si="60"/>
        <v>5791.5057915057914</v>
      </c>
      <c r="S73" s="2">
        <f t="shared" si="60"/>
        <v>5791.5057915057914</v>
      </c>
      <c r="T73" s="2">
        <f t="shared" si="60"/>
        <v>5791.5057915057914</v>
      </c>
      <c r="U73" s="2">
        <f t="shared" si="60"/>
        <v>5791.5057915057914</v>
      </c>
      <c r="V73" s="2">
        <f t="shared" si="60"/>
        <v>5791.5057915057914</v>
      </c>
    </row>
    <row r="74" spans="1:22" x14ac:dyDescent="0.35">
      <c r="A74" t="str">
        <f t="shared" si="37"/>
        <v xml:space="preserve">  Coffee harvest and drying</v>
      </c>
      <c r="B74" s="13">
        <f>'Prices &amp; assums'!C3</f>
        <v>2500</v>
      </c>
      <c r="C74" s="2">
        <f t="shared" ref="C74:K74" si="61">$B74*C31</f>
        <v>47531.882970742692</v>
      </c>
      <c r="D74" s="2">
        <f t="shared" si="61"/>
        <v>47531.882970742692</v>
      </c>
      <c r="E74" s="2">
        <f t="shared" si="61"/>
        <v>47531.882970742692</v>
      </c>
      <c r="F74" s="2">
        <f t="shared" si="61"/>
        <v>47531.882970742692</v>
      </c>
      <c r="G74" s="2">
        <f t="shared" si="61"/>
        <v>47531.882970742692</v>
      </c>
      <c r="H74" s="2">
        <f t="shared" si="61"/>
        <v>47531.882970742692</v>
      </c>
      <c r="I74" s="2">
        <f t="shared" si="61"/>
        <v>47531.882970742692</v>
      </c>
      <c r="J74" s="2">
        <f t="shared" si="61"/>
        <v>47531.882970742692</v>
      </c>
      <c r="K74" s="2">
        <f t="shared" si="61"/>
        <v>47531.882970742692</v>
      </c>
      <c r="L74" s="2">
        <f t="shared" ref="L74:V74" si="62">$B74*L31</f>
        <v>47531.882970742692</v>
      </c>
      <c r="M74" s="2">
        <f t="shared" si="62"/>
        <v>47531.882970742692</v>
      </c>
      <c r="N74" s="2">
        <f t="shared" si="62"/>
        <v>47531.882970742692</v>
      </c>
      <c r="O74" s="2">
        <f t="shared" si="62"/>
        <v>47531.882970742692</v>
      </c>
      <c r="P74" s="2">
        <f t="shared" si="62"/>
        <v>47531.882970742692</v>
      </c>
      <c r="Q74" s="2">
        <f t="shared" si="62"/>
        <v>47531.882970742692</v>
      </c>
      <c r="R74" s="2">
        <f t="shared" si="62"/>
        <v>47531.882970742692</v>
      </c>
      <c r="S74" s="2">
        <f t="shared" si="62"/>
        <v>47531.882970742692</v>
      </c>
      <c r="T74" s="2">
        <f t="shared" si="62"/>
        <v>47531.882970742692</v>
      </c>
      <c r="U74" s="2">
        <f t="shared" si="62"/>
        <v>47531.882970742692</v>
      </c>
      <c r="V74" s="2">
        <f t="shared" si="62"/>
        <v>47531.882970742692</v>
      </c>
    </row>
    <row r="75" spans="1:22" x14ac:dyDescent="0.35">
      <c r="A75" t="str">
        <f t="shared" si="37"/>
        <v xml:space="preserve">  Coffee husking</v>
      </c>
      <c r="B75" s="13">
        <f>'Prices &amp; assums'!C19</f>
        <v>60</v>
      </c>
      <c r="C75" s="2">
        <f t="shared" ref="C75:K75" si="63">$B75*C32</f>
        <v>14259.564891222806</v>
      </c>
      <c r="D75" s="2">
        <f t="shared" si="63"/>
        <v>14259.564891222806</v>
      </c>
      <c r="E75" s="2">
        <f t="shared" si="63"/>
        <v>14259.564891222806</v>
      </c>
      <c r="F75" s="2">
        <f t="shared" si="63"/>
        <v>14259.564891222806</v>
      </c>
      <c r="G75" s="2">
        <f t="shared" si="63"/>
        <v>14259.564891222806</v>
      </c>
      <c r="H75" s="2">
        <f t="shared" si="63"/>
        <v>14259.564891222806</v>
      </c>
      <c r="I75" s="2">
        <f t="shared" si="63"/>
        <v>14259.564891222806</v>
      </c>
      <c r="J75" s="2">
        <f t="shared" si="63"/>
        <v>14259.564891222806</v>
      </c>
      <c r="K75" s="2">
        <f t="shared" si="63"/>
        <v>14259.564891222806</v>
      </c>
      <c r="L75" s="2">
        <f t="shared" ref="L75:V75" si="64">$B75*L32</f>
        <v>14259.564891222806</v>
      </c>
      <c r="M75" s="2">
        <f t="shared" si="64"/>
        <v>14259.564891222806</v>
      </c>
      <c r="N75" s="2">
        <f t="shared" si="64"/>
        <v>14259.564891222806</v>
      </c>
      <c r="O75" s="2">
        <f t="shared" si="64"/>
        <v>14259.564891222806</v>
      </c>
      <c r="P75" s="2">
        <f t="shared" si="64"/>
        <v>14259.564891222806</v>
      </c>
      <c r="Q75" s="2">
        <f t="shared" si="64"/>
        <v>14259.564891222806</v>
      </c>
      <c r="R75" s="2">
        <f t="shared" si="64"/>
        <v>14259.564891222806</v>
      </c>
      <c r="S75" s="2">
        <f t="shared" si="64"/>
        <v>14259.564891222806</v>
      </c>
      <c r="T75" s="2">
        <f t="shared" si="64"/>
        <v>14259.564891222806</v>
      </c>
      <c r="U75" s="2">
        <f t="shared" si="64"/>
        <v>14259.564891222806</v>
      </c>
      <c r="V75" s="2">
        <f t="shared" si="64"/>
        <v>14259.564891222806</v>
      </c>
    </row>
    <row r="76" spans="1:22" x14ac:dyDescent="0.35">
      <c r="A76" t="str">
        <f t="shared" si="37"/>
        <v xml:space="preserve">  Coffee transport and marketing</v>
      </c>
      <c r="B76" s="13">
        <f>'Prices &amp; assums'!C3</f>
        <v>2500</v>
      </c>
      <c r="C76" s="2">
        <f t="shared" ref="C76:K76" si="65">$B76*C33</f>
        <v>5941.4853713428365</v>
      </c>
      <c r="D76" s="2">
        <f t="shared" si="65"/>
        <v>5941.4853713428365</v>
      </c>
      <c r="E76" s="2">
        <f t="shared" si="65"/>
        <v>5941.4853713428365</v>
      </c>
      <c r="F76" s="2">
        <f t="shared" si="65"/>
        <v>5941.4853713428365</v>
      </c>
      <c r="G76" s="2">
        <f t="shared" si="65"/>
        <v>5941.4853713428365</v>
      </c>
      <c r="H76" s="2">
        <f t="shared" si="65"/>
        <v>5941.4853713428365</v>
      </c>
      <c r="I76" s="2">
        <f t="shared" si="65"/>
        <v>5941.4853713428365</v>
      </c>
      <c r="J76" s="2">
        <f t="shared" si="65"/>
        <v>5941.4853713428365</v>
      </c>
      <c r="K76" s="2">
        <f t="shared" si="65"/>
        <v>5941.4853713428365</v>
      </c>
      <c r="L76" s="2">
        <f t="shared" ref="L76:V76" si="66">$B76*L33</f>
        <v>5941.4853713428365</v>
      </c>
      <c r="M76" s="2">
        <f t="shared" si="66"/>
        <v>5941.4853713428365</v>
      </c>
      <c r="N76" s="2">
        <f t="shared" si="66"/>
        <v>5941.4853713428365</v>
      </c>
      <c r="O76" s="2">
        <f t="shared" si="66"/>
        <v>5941.4853713428365</v>
      </c>
      <c r="P76" s="2">
        <f t="shared" si="66"/>
        <v>5941.4853713428365</v>
      </c>
      <c r="Q76" s="2">
        <f t="shared" si="66"/>
        <v>5941.4853713428365</v>
      </c>
      <c r="R76" s="2">
        <f t="shared" si="66"/>
        <v>5941.4853713428365</v>
      </c>
      <c r="S76" s="2">
        <f t="shared" si="66"/>
        <v>5941.4853713428365</v>
      </c>
      <c r="T76" s="2">
        <f t="shared" si="66"/>
        <v>5941.4853713428365</v>
      </c>
      <c r="U76" s="2">
        <f t="shared" si="66"/>
        <v>5941.4853713428365</v>
      </c>
      <c r="V76" s="2">
        <f t="shared" si="66"/>
        <v>5941.4853713428365</v>
      </c>
    </row>
    <row r="77" spans="1:22" x14ac:dyDescent="0.35">
      <c r="A77" t="str">
        <f t="shared" si="37"/>
        <v xml:space="preserve">  Coffee transport</v>
      </c>
      <c r="B77" s="13">
        <f>'Prices &amp; assums'!C18</f>
        <v>10</v>
      </c>
      <c r="C77" s="2">
        <f t="shared" ref="C77:K77" si="67">$B77*C34</f>
        <v>2376.5941485371341</v>
      </c>
      <c r="D77" s="2">
        <f t="shared" si="67"/>
        <v>2376.5941485371341</v>
      </c>
      <c r="E77" s="2">
        <f t="shared" si="67"/>
        <v>2376.5941485371341</v>
      </c>
      <c r="F77" s="2">
        <f t="shared" si="67"/>
        <v>2376.5941485371341</v>
      </c>
      <c r="G77" s="2">
        <f t="shared" si="67"/>
        <v>2376.5941485371341</v>
      </c>
      <c r="H77" s="2">
        <f t="shared" si="67"/>
        <v>2376.5941485371341</v>
      </c>
      <c r="I77" s="2">
        <f t="shared" si="67"/>
        <v>2376.5941485371341</v>
      </c>
      <c r="J77" s="2">
        <f t="shared" si="67"/>
        <v>2376.5941485371341</v>
      </c>
      <c r="K77" s="2">
        <f t="shared" si="67"/>
        <v>2376.5941485371341</v>
      </c>
      <c r="L77" s="2">
        <f t="shared" ref="L77:V77" si="68">$B77*L34</f>
        <v>2376.5941485371341</v>
      </c>
      <c r="M77" s="2">
        <f t="shared" si="68"/>
        <v>2376.5941485371341</v>
      </c>
      <c r="N77" s="2">
        <f t="shared" si="68"/>
        <v>2376.5941485371341</v>
      </c>
      <c r="O77" s="2">
        <f t="shared" si="68"/>
        <v>2376.5941485371341</v>
      </c>
      <c r="P77" s="2">
        <f t="shared" si="68"/>
        <v>2376.5941485371341</v>
      </c>
      <c r="Q77" s="2">
        <f t="shared" si="68"/>
        <v>2376.5941485371341</v>
      </c>
      <c r="R77" s="2">
        <f t="shared" si="68"/>
        <v>2376.5941485371341</v>
      </c>
      <c r="S77" s="2">
        <f t="shared" si="68"/>
        <v>2376.5941485371341</v>
      </c>
      <c r="T77" s="2">
        <f t="shared" si="68"/>
        <v>2376.5941485371341</v>
      </c>
      <c r="U77" s="2">
        <f t="shared" si="68"/>
        <v>2376.5941485371341</v>
      </c>
      <c r="V77" s="2">
        <f t="shared" si="68"/>
        <v>2376.5941485371341</v>
      </c>
    </row>
    <row r="78" spans="1:22" x14ac:dyDescent="0.35">
      <c r="B78" s="13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x14ac:dyDescent="0.35">
      <c r="A79" t="str">
        <f t="shared" ref="A79:A89" si="69">A36</f>
        <v>Inputs</v>
      </c>
      <c r="B79" s="8"/>
    </row>
    <row r="80" spans="1:22" x14ac:dyDescent="0.35">
      <c r="A80" t="str">
        <f t="shared" si="69"/>
        <v xml:space="preserve">  Rubber seedlings</v>
      </c>
      <c r="B80" s="13">
        <f>'Prices &amp; assums'!C85</f>
        <v>300</v>
      </c>
      <c r="C80" s="2">
        <f t="shared" ref="C80:V80" si="70">$B80*C37</f>
        <v>32142.857142857141</v>
      </c>
      <c r="D80" s="2">
        <f t="shared" si="70"/>
        <v>6428.5714285714294</v>
      </c>
      <c r="E80" s="2">
        <f t="shared" si="70"/>
        <v>0</v>
      </c>
      <c r="F80" s="2">
        <f t="shared" si="70"/>
        <v>0</v>
      </c>
      <c r="G80" s="2">
        <f t="shared" si="70"/>
        <v>0</v>
      </c>
      <c r="H80" s="2">
        <f t="shared" si="70"/>
        <v>0</v>
      </c>
      <c r="I80" s="2">
        <f t="shared" si="70"/>
        <v>0</v>
      </c>
      <c r="J80" s="2">
        <f t="shared" si="70"/>
        <v>0</v>
      </c>
      <c r="K80" s="2">
        <f t="shared" si="70"/>
        <v>0</v>
      </c>
      <c r="L80" s="2">
        <f t="shared" si="70"/>
        <v>0</v>
      </c>
      <c r="M80" s="2">
        <f t="shared" si="70"/>
        <v>0</v>
      </c>
      <c r="N80" s="2">
        <f t="shared" si="70"/>
        <v>0</v>
      </c>
      <c r="O80" s="2">
        <f t="shared" si="70"/>
        <v>0</v>
      </c>
      <c r="P80" s="2">
        <f t="shared" si="70"/>
        <v>0</v>
      </c>
      <c r="Q80" s="2">
        <f t="shared" si="70"/>
        <v>0</v>
      </c>
      <c r="R80" s="2">
        <f t="shared" si="70"/>
        <v>0</v>
      </c>
      <c r="S80" s="2">
        <f t="shared" si="70"/>
        <v>0</v>
      </c>
      <c r="T80" s="2">
        <f t="shared" si="70"/>
        <v>0</v>
      </c>
      <c r="U80" s="2">
        <f t="shared" si="70"/>
        <v>0</v>
      </c>
      <c r="V80" s="2">
        <f t="shared" si="70"/>
        <v>0</v>
      </c>
    </row>
    <row r="81" spans="1:22" x14ac:dyDescent="0.35">
      <c r="A81" t="str">
        <f t="shared" si="69"/>
        <v xml:space="preserve">  Pueraria seeds</v>
      </c>
      <c r="B81" s="13">
        <f>'Prices &amp; assums'!C67</f>
        <v>1500</v>
      </c>
      <c r="C81" s="2">
        <f t="shared" ref="C81:V81" si="71">$B81*C38</f>
        <v>300</v>
      </c>
      <c r="D81" s="2">
        <f t="shared" si="71"/>
        <v>0</v>
      </c>
      <c r="E81" s="2">
        <f t="shared" si="71"/>
        <v>0</v>
      </c>
      <c r="F81" s="2">
        <f t="shared" si="71"/>
        <v>0</v>
      </c>
      <c r="G81" s="2">
        <f t="shared" si="71"/>
        <v>0</v>
      </c>
      <c r="H81" s="2">
        <f t="shared" si="71"/>
        <v>0</v>
      </c>
      <c r="I81" s="2">
        <f t="shared" si="71"/>
        <v>0</v>
      </c>
      <c r="J81" s="2">
        <f t="shared" si="71"/>
        <v>0</v>
      </c>
      <c r="K81" s="2">
        <f t="shared" si="71"/>
        <v>0</v>
      </c>
      <c r="L81" s="2">
        <f t="shared" si="71"/>
        <v>0</v>
      </c>
      <c r="M81" s="2">
        <f t="shared" si="71"/>
        <v>0</v>
      </c>
      <c r="N81" s="2">
        <f t="shared" si="71"/>
        <v>0</v>
      </c>
      <c r="O81" s="2">
        <f t="shared" si="71"/>
        <v>0</v>
      </c>
      <c r="P81" s="2">
        <f t="shared" si="71"/>
        <v>0</v>
      </c>
      <c r="Q81" s="2">
        <f t="shared" si="71"/>
        <v>0</v>
      </c>
      <c r="R81" s="2">
        <f t="shared" si="71"/>
        <v>0</v>
      </c>
      <c r="S81" s="2">
        <f t="shared" si="71"/>
        <v>0</v>
      </c>
      <c r="T81" s="2">
        <f t="shared" si="71"/>
        <v>0</v>
      </c>
      <c r="U81" s="2">
        <f t="shared" si="71"/>
        <v>0</v>
      </c>
      <c r="V81" s="2">
        <f t="shared" si="71"/>
        <v>0</v>
      </c>
    </row>
    <row r="82" spans="1:22" x14ac:dyDescent="0.35">
      <c r="A82" t="str">
        <f t="shared" si="69"/>
        <v xml:space="preserve">  Superphosphate</v>
      </c>
      <c r="B82" s="8">
        <f>'Prices &amp; assums'!C57</f>
        <v>500</v>
      </c>
      <c r="C82" s="2">
        <f t="shared" ref="C82:V82" si="72">$B82*C39</f>
        <v>6696.4285714285716</v>
      </c>
      <c r="D82" s="2">
        <f t="shared" si="72"/>
        <v>6696.4285714285716</v>
      </c>
      <c r="E82" s="2">
        <f t="shared" si="72"/>
        <v>9375</v>
      </c>
      <c r="F82" s="2">
        <f t="shared" si="72"/>
        <v>0</v>
      </c>
      <c r="G82" s="2">
        <f t="shared" si="72"/>
        <v>0</v>
      </c>
      <c r="H82" s="2">
        <f t="shared" si="72"/>
        <v>0</v>
      </c>
      <c r="I82" s="2">
        <f t="shared" si="72"/>
        <v>0</v>
      </c>
      <c r="J82" s="2">
        <f t="shared" si="72"/>
        <v>0</v>
      </c>
      <c r="K82" s="2">
        <f t="shared" si="72"/>
        <v>0</v>
      </c>
      <c r="L82" s="2">
        <f t="shared" si="72"/>
        <v>0</v>
      </c>
      <c r="M82" s="2">
        <f t="shared" si="72"/>
        <v>0</v>
      </c>
      <c r="N82" s="2">
        <f t="shared" si="72"/>
        <v>0</v>
      </c>
      <c r="O82" s="2">
        <f t="shared" si="72"/>
        <v>0</v>
      </c>
      <c r="P82" s="2">
        <f t="shared" si="72"/>
        <v>0</v>
      </c>
      <c r="Q82" s="2">
        <f t="shared" si="72"/>
        <v>0</v>
      </c>
      <c r="R82" s="2">
        <f t="shared" si="72"/>
        <v>0</v>
      </c>
      <c r="S82" s="2">
        <f t="shared" si="72"/>
        <v>0</v>
      </c>
      <c r="T82" s="2">
        <f t="shared" si="72"/>
        <v>0</v>
      </c>
      <c r="U82" s="2">
        <f t="shared" si="72"/>
        <v>0</v>
      </c>
      <c r="V82" s="2">
        <f t="shared" si="72"/>
        <v>0</v>
      </c>
    </row>
    <row r="83" spans="1:22" x14ac:dyDescent="0.35">
      <c r="A83" t="str">
        <f t="shared" si="69"/>
        <v xml:space="preserve">  Urea</v>
      </c>
      <c r="B83" s="13">
        <f>'Prices &amp; assums'!C56</f>
        <v>500</v>
      </c>
      <c r="C83" s="2">
        <f t="shared" ref="C83:V83" si="73">$B83*C40</f>
        <v>5892.8571428571422</v>
      </c>
      <c r="D83" s="2">
        <f t="shared" si="73"/>
        <v>5892.8571428571422</v>
      </c>
      <c r="E83" s="2">
        <f t="shared" si="73"/>
        <v>8089.2857142857138</v>
      </c>
      <c r="F83" s="2">
        <f t="shared" si="73"/>
        <v>0</v>
      </c>
      <c r="G83" s="2">
        <f t="shared" si="73"/>
        <v>0</v>
      </c>
      <c r="H83" s="2">
        <f t="shared" si="73"/>
        <v>0</v>
      </c>
      <c r="I83" s="2">
        <f t="shared" si="73"/>
        <v>0</v>
      </c>
      <c r="J83" s="2">
        <f t="shared" si="73"/>
        <v>0</v>
      </c>
      <c r="K83" s="2">
        <f t="shared" si="73"/>
        <v>0</v>
      </c>
      <c r="L83" s="2">
        <f t="shared" si="73"/>
        <v>0</v>
      </c>
      <c r="M83" s="2">
        <f t="shared" si="73"/>
        <v>0</v>
      </c>
      <c r="N83" s="2">
        <f t="shared" si="73"/>
        <v>0</v>
      </c>
      <c r="O83" s="2">
        <f t="shared" si="73"/>
        <v>0</v>
      </c>
      <c r="P83" s="2">
        <f t="shared" si="73"/>
        <v>0</v>
      </c>
      <c r="Q83" s="2">
        <f t="shared" si="73"/>
        <v>0</v>
      </c>
      <c r="R83" s="2">
        <f t="shared" si="73"/>
        <v>0</v>
      </c>
      <c r="S83" s="2">
        <f t="shared" si="73"/>
        <v>0</v>
      </c>
      <c r="T83" s="2">
        <f t="shared" si="73"/>
        <v>0</v>
      </c>
      <c r="U83" s="2">
        <f t="shared" si="73"/>
        <v>0</v>
      </c>
      <c r="V83" s="2">
        <f t="shared" si="73"/>
        <v>0</v>
      </c>
    </row>
    <row r="84" spans="1:22" x14ac:dyDescent="0.35">
      <c r="A84" t="str">
        <f t="shared" si="69"/>
        <v xml:space="preserve">  Potassium chloride</v>
      </c>
      <c r="B84" s="13">
        <f>'Prices &amp; assums'!C58</f>
        <v>400</v>
      </c>
      <c r="C84" s="2">
        <f t="shared" ref="C84:V84" si="74">$B84*C41</f>
        <v>5914.2857142857138</v>
      </c>
      <c r="D84" s="2">
        <f t="shared" si="74"/>
        <v>4500</v>
      </c>
      <c r="E84" s="2">
        <f t="shared" si="74"/>
        <v>4500</v>
      </c>
      <c r="F84" s="2">
        <f t="shared" si="74"/>
        <v>4500</v>
      </c>
      <c r="G84" s="2">
        <f t="shared" si="74"/>
        <v>4500</v>
      </c>
      <c r="H84" s="2">
        <f t="shared" si="74"/>
        <v>4500</v>
      </c>
      <c r="I84" s="2">
        <f t="shared" si="74"/>
        <v>4500</v>
      </c>
      <c r="J84" s="2">
        <f t="shared" si="74"/>
        <v>4500</v>
      </c>
      <c r="K84" s="2">
        <f t="shared" si="74"/>
        <v>4500</v>
      </c>
      <c r="L84" s="2">
        <f t="shared" si="74"/>
        <v>4500</v>
      </c>
      <c r="M84" s="2">
        <f t="shared" si="74"/>
        <v>4500</v>
      </c>
      <c r="N84" s="2">
        <f t="shared" si="74"/>
        <v>4500</v>
      </c>
      <c r="O84" s="2">
        <f t="shared" si="74"/>
        <v>4500</v>
      </c>
      <c r="P84" s="2">
        <f t="shared" si="74"/>
        <v>4500</v>
      </c>
      <c r="Q84" s="2">
        <f t="shared" si="74"/>
        <v>4500</v>
      </c>
      <c r="R84" s="2">
        <f t="shared" si="74"/>
        <v>4500</v>
      </c>
      <c r="S84" s="2">
        <f t="shared" si="74"/>
        <v>4500</v>
      </c>
      <c r="T84" s="2">
        <f t="shared" si="74"/>
        <v>4500</v>
      </c>
      <c r="U84" s="2">
        <f t="shared" si="74"/>
        <v>4500</v>
      </c>
      <c r="V84" s="2">
        <f t="shared" si="74"/>
        <v>4500</v>
      </c>
    </row>
    <row r="85" spans="1:22" x14ac:dyDescent="0.35">
      <c r="A85" t="str">
        <f t="shared" si="69"/>
        <v xml:space="preserve">  Fungicide</v>
      </c>
      <c r="B85" s="13">
        <f>'Prices &amp; assums'!C49</f>
        <v>30</v>
      </c>
      <c r="C85" s="2">
        <f t="shared" ref="C85:V85" si="75">$B85*C42</f>
        <v>0</v>
      </c>
      <c r="D85" s="2">
        <f t="shared" si="75"/>
        <v>0</v>
      </c>
      <c r="E85" s="2">
        <f t="shared" si="75"/>
        <v>3214.2857142857142</v>
      </c>
      <c r="F85" s="2">
        <f t="shared" si="75"/>
        <v>3214.2857142857142</v>
      </c>
      <c r="G85" s="2">
        <f t="shared" si="75"/>
        <v>3214.2857142857142</v>
      </c>
      <c r="H85" s="2">
        <f t="shared" si="75"/>
        <v>3214.2857142857142</v>
      </c>
      <c r="I85" s="2">
        <f t="shared" si="75"/>
        <v>3214.2857142857142</v>
      </c>
      <c r="J85" s="2">
        <f t="shared" si="75"/>
        <v>3214.2857142857142</v>
      </c>
      <c r="K85" s="2">
        <f t="shared" si="75"/>
        <v>3214.2857142857142</v>
      </c>
      <c r="L85" s="2">
        <f t="shared" si="75"/>
        <v>3214.2857142857142</v>
      </c>
      <c r="M85" s="2">
        <f t="shared" si="75"/>
        <v>3214.2857142857142</v>
      </c>
      <c r="N85" s="2">
        <f t="shared" si="75"/>
        <v>3214.2857142857142</v>
      </c>
      <c r="O85" s="2">
        <f t="shared" si="75"/>
        <v>3214.2857142857142</v>
      </c>
      <c r="P85" s="2">
        <f t="shared" si="75"/>
        <v>3214.2857142857142</v>
      </c>
      <c r="Q85" s="2">
        <f t="shared" si="75"/>
        <v>3214.2857142857142</v>
      </c>
      <c r="R85" s="2">
        <f t="shared" si="75"/>
        <v>3214.2857142857142</v>
      </c>
      <c r="S85" s="2">
        <f t="shared" si="75"/>
        <v>3214.2857142857142</v>
      </c>
      <c r="T85" s="2">
        <f t="shared" si="75"/>
        <v>3214.2857142857142</v>
      </c>
      <c r="U85" s="2">
        <f t="shared" si="75"/>
        <v>3214.2857142857142</v>
      </c>
      <c r="V85" s="2">
        <f t="shared" si="75"/>
        <v>3214.2857142857142</v>
      </c>
    </row>
    <row r="86" spans="1:22" x14ac:dyDescent="0.35">
      <c r="A86" t="str">
        <f t="shared" si="69"/>
        <v xml:space="preserve">  Cups</v>
      </c>
      <c r="B86" s="13">
        <f>'Prices &amp; assums'!C51</f>
        <v>100</v>
      </c>
      <c r="C86" s="2">
        <f t="shared" ref="C86:V86" si="76">$B86*C43</f>
        <v>0</v>
      </c>
      <c r="D86" s="2">
        <f t="shared" si="76"/>
        <v>0</v>
      </c>
      <c r="E86" s="2">
        <f t="shared" si="76"/>
        <v>0</v>
      </c>
      <c r="F86" s="2">
        <f t="shared" si="76"/>
        <v>0</v>
      </c>
      <c r="G86" s="2">
        <f t="shared" si="76"/>
        <v>0</v>
      </c>
      <c r="H86" s="2">
        <f t="shared" si="76"/>
        <v>0</v>
      </c>
      <c r="I86" s="2">
        <f t="shared" si="76"/>
        <v>10714.285714285714</v>
      </c>
      <c r="J86" s="2">
        <f t="shared" si="76"/>
        <v>0</v>
      </c>
      <c r="K86" s="2">
        <f t="shared" si="76"/>
        <v>0</v>
      </c>
      <c r="L86" s="2">
        <f t="shared" si="76"/>
        <v>0</v>
      </c>
      <c r="M86" s="2">
        <f t="shared" si="76"/>
        <v>0</v>
      </c>
      <c r="N86" s="2">
        <f t="shared" si="76"/>
        <v>10714.285714285714</v>
      </c>
      <c r="O86" s="2">
        <f t="shared" si="76"/>
        <v>0</v>
      </c>
      <c r="P86" s="2">
        <f t="shared" si="76"/>
        <v>0</v>
      </c>
      <c r="Q86" s="2">
        <f t="shared" si="76"/>
        <v>0</v>
      </c>
      <c r="R86" s="2">
        <f t="shared" si="76"/>
        <v>0</v>
      </c>
      <c r="S86" s="2">
        <f t="shared" si="76"/>
        <v>10714.285714285714</v>
      </c>
      <c r="T86" s="2">
        <f t="shared" si="76"/>
        <v>0</v>
      </c>
      <c r="U86" s="2">
        <f t="shared" si="76"/>
        <v>0</v>
      </c>
      <c r="V86" s="2">
        <f t="shared" si="76"/>
        <v>0</v>
      </c>
    </row>
    <row r="87" spans="1:22" x14ac:dyDescent="0.35">
      <c r="A87" t="str">
        <f t="shared" si="69"/>
        <v xml:space="preserve">  Strings fro rubber harvest</v>
      </c>
      <c r="B87" s="13">
        <f>'Prices &amp; assums'!C52</f>
        <v>40</v>
      </c>
      <c r="C87" s="2">
        <f t="shared" ref="C87:V87" si="77">$B87*C44</f>
        <v>0</v>
      </c>
      <c r="D87" s="2">
        <f t="shared" si="77"/>
        <v>0</v>
      </c>
      <c r="E87" s="2">
        <f t="shared" si="77"/>
        <v>0</v>
      </c>
      <c r="F87" s="2">
        <f t="shared" si="77"/>
        <v>0</v>
      </c>
      <c r="G87" s="2">
        <f t="shared" si="77"/>
        <v>0</v>
      </c>
      <c r="H87" s="2">
        <f t="shared" si="77"/>
        <v>0</v>
      </c>
      <c r="I87" s="2">
        <f t="shared" si="77"/>
        <v>4285.7142857142853</v>
      </c>
      <c r="J87" s="2">
        <f t="shared" si="77"/>
        <v>0</v>
      </c>
      <c r="K87" s="2">
        <f t="shared" si="77"/>
        <v>0</v>
      </c>
      <c r="L87" s="2">
        <f t="shared" si="77"/>
        <v>0</v>
      </c>
      <c r="M87" s="2">
        <f t="shared" si="77"/>
        <v>0</v>
      </c>
      <c r="N87" s="2">
        <f t="shared" si="77"/>
        <v>4285.7142857142853</v>
      </c>
      <c r="O87" s="2">
        <f t="shared" si="77"/>
        <v>0</v>
      </c>
      <c r="P87" s="2">
        <f t="shared" si="77"/>
        <v>0</v>
      </c>
      <c r="Q87" s="2">
        <f t="shared" si="77"/>
        <v>0</v>
      </c>
      <c r="R87" s="2">
        <f t="shared" si="77"/>
        <v>0</v>
      </c>
      <c r="S87" s="2">
        <f t="shared" si="77"/>
        <v>4285.7142857142853</v>
      </c>
      <c r="T87" s="2">
        <f t="shared" si="77"/>
        <v>0</v>
      </c>
      <c r="U87" s="2">
        <f t="shared" si="77"/>
        <v>0</v>
      </c>
      <c r="V87" s="2">
        <f t="shared" si="77"/>
        <v>0</v>
      </c>
    </row>
    <row r="88" spans="1:22" x14ac:dyDescent="0.35">
      <c r="A88" t="str">
        <f t="shared" si="69"/>
        <v xml:space="preserve">  Supports for cups</v>
      </c>
      <c r="B88" s="13">
        <f>'Prices &amp; assums'!C53</f>
        <v>50</v>
      </c>
      <c r="C88" s="2">
        <f t="shared" ref="C88:V88" si="78">$B88*C45</f>
        <v>0</v>
      </c>
      <c r="D88" s="2">
        <f t="shared" si="78"/>
        <v>0</v>
      </c>
      <c r="E88" s="2">
        <f t="shared" si="78"/>
        <v>0</v>
      </c>
      <c r="F88" s="2">
        <f t="shared" si="78"/>
        <v>0</v>
      </c>
      <c r="G88" s="2">
        <f t="shared" si="78"/>
        <v>0</v>
      </c>
      <c r="H88" s="2">
        <f t="shared" si="78"/>
        <v>0</v>
      </c>
      <c r="I88" s="2">
        <f t="shared" si="78"/>
        <v>5357.1428571428569</v>
      </c>
      <c r="J88" s="2">
        <f t="shared" si="78"/>
        <v>0</v>
      </c>
      <c r="K88" s="2">
        <f t="shared" si="78"/>
        <v>0</v>
      </c>
      <c r="L88" s="2">
        <f t="shared" si="78"/>
        <v>0</v>
      </c>
      <c r="M88" s="2">
        <f t="shared" si="78"/>
        <v>0</v>
      </c>
      <c r="N88" s="2">
        <f t="shared" si="78"/>
        <v>5357.1428571428569</v>
      </c>
      <c r="O88" s="2">
        <f t="shared" si="78"/>
        <v>0</v>
      </c>
      <c r="P88" s="2">
        <f t="shared" si="78"/>
        <v>0</v>
      </c>
      <c r="Q88" s="2">
        <f t="shared" si="78"/>
        <v>0</v>
      </c>
      <c r="R88" s="2">
        <f t="shared" si="78"/>
        <v>0</v>
      </c>
      <c r="S88" s="2">
        <f t="shared" si="78"/>
        <v>5357.1428571428569</v>
      </c>
      <c r="T88" s="2">
        <f t="shared" si="78"/>
        <v>0</v>
      </c>
      <c r="U88" s="2">
        <f t="shared" si="78"/>
        <v>0</v>
      </c>
      <c r="V88" s="2">
        <f t="shared" si="78"/>
        <v>0</v>
      </c>
    </row>
    <row r="89" spans="1:22" x14ac:dyDescent="0.35">
      <c r="A89" t="str">
        <f t="shared" si="69"/>
        <v xml:space="preserve">  Gutters</v>
      </c>
      <c r="B89" s="13">
        <f>'Prices &amp; assums'!C54</f>
        <v>20</v>
      </c>
      <c r="C89" s="2">
        <f t="shared" ref="C89:V89" si="79">$B89*C46</f>
        <v>0</v>
      </c>
      <c r="D89" s="2">
        <f t="shared" si="79"/>
        <v>0</v>
      </c>
      <c r="E89" s="2">
        <f t="shared" si="79"/>
        <v>0</v>
      </c>
      <c r="F89" s="2">
        <f t="shared" si="79"/>
        <v>0</v>
      </c>
      <c r="G89" s="2">
        <f t="shared" si="79"/>
        <v>0</v>
      </c>
      <c r="H89" s="2">
        <f t="shared" si="79"/>
        <v>0</v>
      </c>
      <c r="I89" s="2">
        <f t="shared" si="79"/>
        <v>2142.8571428571427</v>
      </c>
      <c r="J89" s="2">
        <f t="shared" si="79"/>
        <v>0</v>
      </c>
      <c r="K89" s="2">
        <f t="shared" si="79"/>
        <v>0</v>
      </c>
      <c r="L89" s="2">
        <f t="shared" si="79"/>
        <v>0</v>
      </c>
      <c r="M89" s="2">
        <f t="shared" si="79"/>
        <v>0</v>
      </c>
      <c r="N89" s="2">
        <f t="shared" si="79"/>
        <v>2142.8571428571427</v>
      </c>
      <c r="O89" s="2">
        <f t="shared" si="79"/>
        <v>0</v>
      </c>
      <c r="P89" s="2">
        <f t="shared" si="79"/>
        <v>0</v>
      </c>
      <c r="Q89" s="2">
        <f t="shared" si="79"/>
        <v>0</v>
      </c>
      <c r="R89" s="2">
        <f t="shared" si="79"/>
        <v>0</v>
      </c>
      <c r="S89" s="2">
        <f t="shared" si="79"/>
        <v>2142.8571428571427</v>
      </c>
      <c r="T89" s="2">
        <f t="shared" si="79"/>
        <v>0</v>
      </c>
      <c r="U89" s="2">
        <f t="shared" si="79"/>
        <v>0</v>
      </c>
      <c r="V89" s="2">
        <f t="shared" si="79"/>
        <v>0</v>
      </c>
    </row>
    <row r="90" spans="1:22" x14ac:dyDescent="0.35">
      <c r="B90" s="13"/>
    </row>
    <row r="91" spans="1:22" x14ac:dyDescent="0.35">
      <c r="A91" t="str">
        <f>A49</f>
        <v>Production</v>
      </c>
      <c r="B91" s="13"/>
    </row>
    <row r="92" spans="1:22" x14ac:dyDescent="0.35">
      <c r="A92" s="3" t="str">
        <f>A50</f>
        <v xml:space="preserve">  Rubber</v>
      </c>
      <c r="B92" s="13">
        <f>'Prices &amp; assums'!C98</f>
        <v>275</v>
      </c>
      <c r="C92" s="62">
        <f t="shared" ref="C92:V92" si="80">$B92*C50</f>
        <v>0</v>
      </c>
      <c r="D92" s="62">
        <f t="shared" si="80"/>
        <v>0</v>
      </c>
      <c r="E92" s="62">
        <f t="shared" si="80"/>
        <v>0</v>
      </c>
      <c r="F92" s="62">
        <f t="shared" si="80"/>
        <v>0</v>
      </c>
      <c r="G92" s="62">
        <f t="shared" si="80"/>
        <v>0</v>
      </c>
      <c r="H92" s="62">
        <f t="shared" si="80"/>
        <v>0</v>
      </c>
      <c r="I92" s="62">
        <f t="shared" si="80"/>
        <v>132722.00772200772</v>
      </c>
      <c r="J92" s="62">
        <f t="shared" si="80"/>
        <v>132722.00772200772</v>
      </c>
      <c r="K92" s="62">
        <f t="shared" si="80"/>
        <v>145994.20849420846</v>
      </c>
      <c r="L92" s="62">
        <f t="shared" si="80"/>
        <v>145994.20849420846</v>
      </c>
      <c r="M92" s="62">
        <f t="shared" si="80"/>
        <v>159266.40926640926</v>
      </c>
      <c r="N92" s="62">
        <f t="shared" si="80"/>
        <v>159266.40926640926</v>
      </c>
      <c r="O92" s="62">
        <f t="shared" si="80"/>
        <v>159266.40926640926</v>
      </c>
      <c r="P92" s="62">
        <f t="shared" si="80"/>
        <v>159266.40926640926</v>
      </c>
      <c r="Q92" s="62">
        <f t="shared" si="80"/>
        <v>159266.40926640926</v>
      </c>
      <c r="R92" s="62">
        <f t="shared" si="80"/>
        <v>159266.40926640926</v>
      </c>
      <c r="S92" s="62">
        <f t="shared" si="80"/>
        <v>159266.40926640926</v>
      </c>
      <c r="T92" s="62">
        <f t="shared" si="80"/>
        <v>159266.40926640926</v>
      </c>
      <c r="U92" s="62">
        <f t="shared" si="80"/>
        <v>159266.40926640926</v>
      </c>
      <c r="V92" s="62">
        <f t="shared" si="80"/>
        <v>159266.40926640926</v>
      </c>
    </row>
    <row r="93" spans="1:22" x14ac:dyDescent="0.35">
      <c r="A93" s="11" t="s">
        <v>186</v>
      </c>
      <c r="B93" s="22">
        <f>'Prices &amp; assums'!C96</f>
        <v>700</v>
      </c>
      <c r="C93" s="14">
        <f t="shared" ref="C93:V93" si="81">$B93*C51</f>
        <v>166361.59039759939</v>
      </c>
      <c r="D93" s="14">
        <f t="shared" si="81"/>
        <v>166361.59039759939</v>
      </c>
      <c r="E93" s="14">
        <f t="shared" si="81"/>
        <v>166361.59039759939</v>
      </c>
      <c r="F93" s="14">
        <f t="shared" si="81"/>
        <v>166361.59039759939</v>
      </c>
      <c r="G93" s="14">
        <f t="shared" si="81"/>
        <v>166361.59039759939</v>
      </c>
      <c r="H93" s="14">
        <f t="shared" si="81"/>
        <v>166361.59039759939</v>
      </c>
      <c r="I93" s="14">
        <f t="shared" si="81"/>
        <v>166361.59039759939</v>
      </c>
      <c r="J93" s="14">
        <f t="shared" si="81"/>
        <v>166361.59039759939</v>
      </c>
      <c r="K93" s="14">
        <f t="shared" si="81"/>
        <v>166361.59039759939</v>
      </c>
      <c r="L93" s="14">
        <f t="shared" si="81"/>
        <v>166361.59039759939</v>
      </c>
      <c r="M93" s="14">
        <f t="shared" si="81"/>
        <v>166361.59039759939</v>
      </c>
      <c r="N93" s="14">
        <f t="shared" si="81"/>
        <v>166361.59039759939</v>
      </c>
      <c r="O93" s="14">
        <f t="shared" si="81"/>
        <v>166361.59039759939</v>
      </c>
      <c r="P93" s="14">
        <f t="shared" si="81"/>
        <v>166361.59039759939</v>
      </c>
      <c r="Q93" s="14">
        <f t="shared" si="81"/>
        <v>166361.59039759939</v>
      </c>
      <c r="R93" s="14">
        <f t="shared" si="81"/>
        <v>166361.59039759939</v>
      </c>
      <c r="S93" s="14">
        <f t="shared" si="81"/>
        <v>166361.59039759939</v>
      </c>
      <c r="T93" s="14">
        <f t="shared" si="81"/>
        <v>166361.59039759939</v>
      </c>
      <c r="U93" s="14">
        <f t="shared" si="81"/>
        <v>166361.59039759939</v>
      </c>
      <c r="V93" s="14">
        <f t="shared" si="81"/>
        <v>166361.59039759939</v>
      </c>
    </row>
    <row r="94" spans="1:22" x14ac:dyDescent="0.35">
      <c r="C94" s="5"/>
      <c r="D94" s="5"/>
      <c r="E94" s="5"/>
    </row>
    <row r="95" spans="1:22" x14ac:dyDescent="0.35">
      <c r="A95" t="s">
        <v>156</v>
      </c>
    </row>
    <row r="96" spans="1:22" x14ac:dyDescent="0.35">
      <c r="A96" t="s">
        <v>157</v>
      </c>
      <c r="C96" s="2">
        <f>SUM(C56:C77)+SUM(C80:C89)</f>
        <v>248096.9264231642</v>
      </c>
      <c r="D96" s="2">
        <f t="shared" ref="D96:V96" si="82">SUM(D56:D77)+SUM(D80:D89)</f>
        <v>190331.2806285987</v>
      </c>
      <c r="E96" s="2">
        <f t="shared" si="82"/>
        <v>185738.09881041691</v>
      </c>
      <c r="F96" s="2">
        <f t="shared" si="82"/>
        <v>165273.8130961312</v>
      </c>
      <c r="G96" s="2">
        <f t="shared" si="82"/>
        <v>160273.8130961312</v>
      </c>
      <c r="H96" s="2">
        <f t="shared" si="82"/>
        <v>160273.8130961312</v>
      </c>
      <c r="I96" s="2">
        <f t="shared" si="82"/>
        <v>211731.34205366013</v>
      </c>
      <c r="J96" s="2">
        <f t="shared" si="82"/>
        <v>189231.34205366013</v>
      </c>
      <c r="K96" s="2">
        <f t="shared" si="82"/>
        <v>192127.09494941303</v>
      </c>
      <c r="L96" s="2">
        <f t="shared" si="82"/>
        <v>192127.09494941303</v>
      </c>
      <c r="M96" s="2">
        <f t="shared" si="82"/>
        <v>195022.84784516593</v>
      </c>
      <c r="N96" s="2">
        <f t="shared" si="82"/>
        <v>217522.84784516593</v>
      </c>
      <c r="O96" s="2">
        <f t="shared" si="82"/>
        <v>195022.84784516593</v>
      </c>
      <c r="P96" s="2">
        <f t="shared" si="82"/>
        <v>195022.84784516593</v>
      </c>
      <c r="Q96" s="2">
        <f t="shared" si="82"/>
        <v>195022.84784516593</v>
      </c>
      <c r="R96" s="2">
        <f t="shared" si="82"/>
        <v>195022.84784516593</v>
      </c>
      <c r="S96" s="2">
        <f t="shared" si="82"/>
        <v>217522.84784516593</v>
      </c>
      <c r="T96" s="2">
        <f t="shared" si="82"/>
        <v>195022.84784516593</v>
      </c>
      <c r="U96" s="2">
        <f t="shared" si="82"/>
        <v>195022.84784516593</v>
      </c>
      <c r="V96" s="2">
        <f t="shared" si="82"/>
        <v>195022.84784516593</v>
      </c>
    </row>
    <row r="97" spans="1:22" x14ac:dyDescent="0.35">
      <c r="A97" t="s">
        <v>158</v>
      </c>
      <c r="C97" s="2">
        <f>C96-C56-C57-C60/3-C61-C62-C63-C64/3-C65/3-C66/3-C68-C70-C71-C74/2</f>
        <v>170617.99792480585</v>
      </c>
      <c r="D97" s="2">
        <f t="shared" ref="D97:V97" si="83">D96-D56-D57-D60/3-D61-D62-D63-D64/3-D65/3-D66/3-D68-D70-D71-D74/2</f>
        <v>137635.46901335724</v>
      </c>
      <c r="E97" s="2">
        <f t="shared" si="83"/>
        <v>132322.15732504555</v>
      </c>
      <c r="F97" s="2">
        <f t="shared" si="83"/>
        <v>111857.87161075984</v>
      </c>
      <c r="G97" s="2">
        <f t="shared" si="83"/>
        <v>106857.87161075984</v>
      </c>
      <c r="H97" s="2">
        <f t="shared" si="83"/>
        <v>106857.87161075984</v>
      </c>
      <c r="I97" s="2">
        <f t="shared" si="83"/>
        <v>158315.40056828878</v>
      </c>
      <c r="J97" s="2">
        <f t="shared" si="83"/>
        <v>135815.40056828878</v>
      </c>
      <c r="K97" s="2">
        <f t="shared" si="83"/>
        <v>138711.15346404168</v>
      </c>
      <c r="L97" s="2">
        <f t="shared" si="83"/>
        <v>138711.15346404168</v>
      </c>
      <c r="M97" s="2">
        <f t="shared" si="83"/>
        <v>141606.90635979458</v>
      </c>
      <c r="N97" s="2">
        <f t="shared" si="83"/>
        <v>164106.90635979458</v>
      </c>
      <c r="O97" s="2">
        <f t="shared" si="83"/>
        <v>141606.90635979458</v>
      </c>
      <c r="P97" s="2">
        <f t="shared" si="83"/>
        <v>141606.90635979458</v>
      </c>
      <c r="Q97" s="2">
        <f t="shared" si="83"/>
        <v>141606.90635979458</v>
      </c>
      <c r="R97" s="2">
        <f t="shared" si="83"/>
        <v>141606.90635979458</v>
      </c>
      <c r="S97" s="2">
        <f t="shared" si="83"/>
        <v>164106.90635979458</v>
      </c>
      <c r="T97" s="2">
        <f t="shared" si="83"/>
        <v>141606.90635979458</v>
      </c>
      <c r="U97" s="2">
        <f t="shared" si="83"/>
        <v>141606.90635979458</v>
      </c>
      <c r="V97" s="2">
        <f t="shared" si="83"/>
        <v>141606.90635979458</v>
      </c>
    </row>
    <row r="98" spans="1:22" x14ac:dyDescent="0.35">
      <c r="A98" t="s">
        <v>159</v>
      </c>
      <c r="C98" s="2">
        <f>C59+C67+C80+C81+C82+C83+C84</f>
        <v>64984.152288072015</v>
      </c>
      <c r="D98" s="2">
        <f>D59+D67+D80+D81+D82+D83+D84</f>
        <v>35517.857142857145</v>
      </c>
      <c r="E98" s="2">
        <f>E59+E67+E80+E81+E82+E83+E84</f>
        <v>27964.285714285714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</row>
    <row r="99" spans="1:22" x14ac:dyDescent="0.35">
      <c r="A99" s="44" t="s">
        <v>160</v>
      </c>
      <c r="C99" s="2">
        <f>C96-C98</f>
        <v>183112.77413509219</v>
      </c>
      <c r="D99" s="2">
        <f t="shared" ref="D99:V99" si="84">D96-D98</f>
        <v>154813.42348574154</v>
      </c>
      <c r="E99" s="2">
        <f t="shared" si="84"/>
        <v>157773.8130961312</v>
      </c>
      <c r="F99" s="2">
        <f t="shared" si="84"/>
        <v>165273.8130961312</v>
      </c>
      <c r="G99" s="2">
        <f t="shared" si="84"/>
        <v>160273.8130961312</v>
      </c>
      <c r="H99" s="2">
        <f t="shared" si="84"/>
        <v>160273.8130961312</v>
      </c>
      <c r="I99" s="2">
        <f t="shared" si="84"/>
        <v>211731.34205366013</v>
      </c>
      <c r="J99" s="2">
        <f t="shared" si="84"/>
        <v>189231.34205366013</v>
      </c>
      <c r="K99" s="2">
        <f t="shared" si="84"/>
        <v>192127.09494941303</v>
      </c>
      <c r="L99" s="2">
        <f t="shared" si="84"/>
        <v>192127.09494941303</v>
      </c>
      <c r="M99" s="2">
        <f t="shared" si="84"/>
        <v>195022.84784516593</v>
      </c>
      <c r="N99" s="2">
        <f t="shared" si="84"/>
        <v>217522.84784516593</v>
      </c>
      <c r="O99" s="2">
        <f t="shared" si="84"/>
        <v>195022.84784516593</v>
      </c>
      <c r="P99" s="2">
        <f t="shared" si="84"/>
        <v>195022.84784516593</v>
      </c>
      <c r="Q99" s="2">
        <f t="shared" si="84"/>
        <v>195022.84784516593</v>
      </c>
      <c r="R99" s="2">
        <f t="shared" si="84"/>
        <v>195022.84784516593</v>
      </c>
      <c r="S99" s="2">
        <f t="shared" si="84"/>
        <v>217522.84784516593</v>
      </c>
      <c r="T99" s="2">
        <f t="shared" si="84"/>
        <v>195022.84784516593</v>
      </c>
      <c r="U99" s="2">
        <f t="shared" si="84"/>
        <v>195022.84784516593</v>
      </c>
      <c r="V99" s="2">
        <f t="shared" si="84"/>
        <v>195022.84784516593</v>
      </c>
    </row>
    <row r="100" spans="1:22" x14ac:dyDescent="0.35">
      <c r="A100" t="s">
        <v>79</v>
      </c>
      <c r="C100" s="2">
        <f>SUM(C92:C93)</f>
        <v>166361.59039759939</v>
      </c>
      <c r="D100" s="2">
        <f t="shared" ref="D100:V100" si="85">SUM(D92:D93)</f>
        <v>166361.59039759939</v>
      </c>
      <c r="E100" s="2">
        <f t="shared" si="85"/>
        <v>166361.59039759939</v>
      </c>
      <c r="F100" s="2">
        <f t="shared" si="85"/>
        <v>166361.59039759939</v>
      </c>
      <c r="G100" s="2">
        <f t="shared" si="85"/>
        <v>166361.59039759939</v>
      </c>
      <c r="H100" s="2">
        <f t="shared" si="85"/>
        <v>166361.59039759939</v>
      </c>
      <c r="I100" s="2">
        <f t="shared" si="85"/>
        <v>299083.59811960708</v>
      </c>
      <c r="J100" s="2">
        <f t="shared" si="85"/>
        <v>299083.59811960708</v>
      </c>
      <c r="K100" s="2">
        <f t="shared" si="85"/>
        <v>312355.79889180785</v>
      </c>
      <c r="L100" s="2">
        <f t="shared" si="85"/>
        <v>312355.79889180785</v>
      </c>
      <c r="M100" s="2">
        <f t="shared" si="85"/>
        <v>325627.99966400862</v>
      </c>
      <c r="N100" s="2">
        <f t="shared" si="85"/>
        <v>325627.99966400862</v>
      </c>
      <c r="O100" s="2">
        <f t="shared" si="85"/>
        <v>325627.99966400862</v>
      </c>
      <c r="P100" s="2">
        <f t="shared" si="85"/>
        <v>325627.99966400862</v>
      </c>
      <c r="Q100" s="2">
        <f t="shared" si="85"/>
        <v>325627.99966400862</v>
      </c>
      <c r="R100" s="2">
        <f t="shared" si="85"/>
        <v>325627.99966400862</v>
      </c>
      <c r="S100" s="2">
        <f t="shared" si="85"/>
        <v>325627.99966400862</v>
      </c>
      <c r="T100" s="2">
        <f t="shared" si="85"/>
        <v>325627.99966400862</v>
      </c>
      <c r="U100" s="2">
        <f t="shared" si="85"/>
        <v>325627.99966400862</v>
      </c>
      <c r="V100" s="2">
        <f t="shared" si="85"/>
        <v>325627.99966400862</v>
      </c>
    </row>
    <row r="101" spans="1:22" x14ac:dyDescent="0.35">
      <c r="A101" s="45" t="s">
        <v>154</v>
      </c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x14ac:dyDescent="0.35">
      <c r="A102" t="s">
        <v>151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x14ac:dyDescent="0.35">
      <c r="A103" t="s">
        <v>152</v>
      </c>
      <c r="C103" s="2">
        <f t="shared" ref="C103:V103" si="86">C100-C96</f>
        <v>-81735.336025564815</v>
      </c>
      <c r="D103" s="2">
        <f t="shared" si="86"/>
        <v>-23969.690230999317</v>
      </c>
      <c r="E103" s="2">
        <f t="shared" si="86"/>
        <v>-19376.508412817522</v>
      </c>
      <c r="F103" s="2">
        <f t="shared" si="86"/>
        <v>1087.7773014681879</v>
      </c>
      <c r="G103" s="2">
        <f t="shared" si="86"/>
        <v>6087.7773014681879</v>
      </c>
      <c r="H103" s="2">
        <f t="shared" si="86"/>
        <v>6087.7773014681879</v>
      </c>
      <c r="I103" s="2">
        <f t="shared" si="86"/>
        <v>87352.256065946945</v>
      </c>
      <c r="J103" s="2">
        <f t="shared" si="86"/>
        <v>109852.25606594695</v>
      </c>
      <c r="K103" s="2">
        <f t="shared" si="86"/>
        <v>120228.70394239482</v>
      </c>
      <c r="L103" s="2">
        <f t="shared" si="86"/>
        <v>120228.70394239482</v>
      </c>
      <c r="M103" s="2">
        <f t="shared" si="86"/>
        <v>130605.15181884269</v>
      </c>
      <c r="N103" s="2">
        <f t="shared" si="86"/>
        <v>108105.15181884269</v>
      </c>
      <c r="O103" s="2">
        <f t="shared" si="86"/>
        <v>130605.15181884269</v>
      </c>
      <c r="P103" s="2">
        <f t="shared" si="86"/>
        <v>130605.15181884269</v>
      </c>
      <c r="Q103" s="2">
        <f t="shared" si="86"/>
        <v>130605.15181884269</v>
      </c>
      <c r="R103" s="2">
        <f t="shared" si="86"/>
        <v>130605.15181884269</v>
      </c>
      <c r="S103" s="2">
        <f t="shared" si="86"/>
        <v>108105.15181884269</v>
      </c>
      <c r="T103" s="2">
        <f t="shared" si="86"/>
        <v>130605.15181884269</v>
      </c>
      <c r="U103" s="2">
        <f t="shared" si="86"/>
        <v>130605.15181884269</v>
      </c>
      <c r="V103" s="2">
        <f t="shared" si="86"/>
        <v>130605.15181884269</v>
      </c>
    </row>
    <row r="104" spans="1:22" x14ac:dyDescent="0.35">
      <c r="A104" t="s">
        <v>153</v>
      </c>
      <c r="C104" s="2">
        <f>C100-C97</f>
        <v>-4256.4075272064656</v>
      </c>
      <c r="D104" s="2">
        <f t="shared" ref="D104:V104" si="87">D100-D97</f>
        <v>28726.121384242142</v>
      </c>
      <c r="E104" s="2">
        <f t="shared" si="87"/>
        <v>34039.433072553831</v>
      </c>
      <c r="F104" s="2">
        <f t="shared" si="87"/>
        <v>54503.718786839541</v>
      </c>
      <c r="G104" s="2">
        <f t="shared" si="87"/>
        <v>59503.718786839541</v>
      </c>
      <c r="H104" s="2">
        <f t="shared" si="87"/>
        <v>59503.718786839541</v>
      </c>
      <c r="I104" s="2">
        <f t="shared" si="87"/>
        <v>140768.1975513183</v>
      </c>
      <c r="J104" s="2">
        <f t="shared" si="87"/>
        <v>163268.1975513183</v>
      </c>
      <c r="K104" s="2">
        <f t="shared" si="87"/>
        <v>173644.64542776617</v>
      </c>
      <c r="L104" s="2">
        <f t="shared" si="87"/>
        <v>173644.64542776617</v>
      </c>
      <c r="M104" s="2">
        <f t="shared" si="87"/>
        <v>184021.09330421404</v>
      </c>
      <c r="N104" s="2">
        <f t="shared" si="87"/>
        <v>161521.09330421404</v>
      </c>
      <c r="O104" s="2">
        <f t="shared" si="87"/>
        <v>184021.09330421404</v>
      </c>
      <c r="P104" s="2">
        <f t="shared" si="87"/>
        <v>184021.09330421404</v>
      </c>
      <c r="Q104" s="2">
        <f t="shared" si="87"/>
        <v>184021.09330421404</v>
      </c>
      <c r="R104" s="2">
        <f t="shared" si="87"/>
        <v>184021.09330421404</v>
      </c>
      <c r="S104" s="2">
        <f t="shared" si="87"/>
        <v>161521.09330421404</v>
      </c>
      <c r="T104" s="2">
        <f t="shared" si="87"/>
        <v>184021.09330421404</v>
      </c>
      <c r="U104" s="2">
        <f t="shared" si="87"/>
        <v>184021.09330421404</v>
      </c>
      <c r="V104" s="2">
        <f t="shared" si="87"/>
        <v>184021.09330421404</v>
      </c>
    </row>
    <row r="105" spans="1:22" x14ac:dyDescent="0.35">
      <c r="A105" t="s">
        <v>215</v>
      </c>
      <c r="C105" s="2">
        <f>C100-C96+C98</f>
        <v>-16751.1837374928</v>
      </c>
      <c r="D105" s="2">
        <f t="shared" ref="D105:V105" si="88">D100-D96+D98</f>
        <v>11548.166911857828</v>
      </c>
      <c r="E105" s="2">
        <f t="shared" si="88"/>
        <v>8587.7773014681916</v>
      </c>
      <c r="F105" s="2">
        <f t="shared" si="88"/>
        <v>1087.7773014681879</v>
      </c>
      <c r="G105" s="2">
        <f t="shared" si="88"/>
        <v>6087.7773014681879</v>
      </c>
      <c r="H105" s="2">
        <f t="shared" si="88"/>
        <v>6087.7773014681879</v>
      </c>
      <c r="I105" s="2">
        <f t="shared" si="88"/>
        <v>87352.256065946945</v>
      </c>
      <c r="J105" s="2">
        <f t="shared" si="88"/>
        <v>109852.25606594695</v>
      </c>
      <c r="K105" s="2">
        <f t="shared" si="88"/>
        <v>120228.70394239482</v>
      </c>
      <c r="L105" s="2">
        <f t="shared" si="88"/>
        <v>120228.70394239482</v>
      </c>
      <c r="M105" s="2">
        <f t="shared" si="88"/>
        <v>130605.15181884269</v>
      </c>
      <c r="N105" s="2">
        <f t="shared" si="88"/>
        <v>108105.15181884269</v>
      </c>
      <c r="O105" s="2">
        <f t="shared" si="88"/>
        <v>130605.15181884269</v>
      </c>
      <c r="P105" s="2">
        <f t="shared" si="88"/>
        <v>130605.15181884269</v>
      </c>
      <c r="Q105" s="2">
        <f t="shared" si="88"/>
        <v>130605.15181884269</v>
      </c>
      <c r="R105" s="2">
        <f t="shared" si="88"/>
        <v>130605.15181884269</v>
      </c>
      <c r="S105" s="2">
        <f t="shared" si="88"/>
        <v>108105.15181884269</v>
      </c>
      <c r="T105" s="2">
        <f t="shared" si="88"/>
        <v>130605.15181884269</v>
      </c>
      <c r="U105" s="2">
        <f t="shared" si="88"/>
        <v>130605.15181884269</v>
      </c>
      <c r="V105" s="2">
        <f t="shared" si="88"/>
        <v>130605.15181884269</v>
      </c>
    </row>
    <row r="106" spans="1:22" x14ac:dyDescent="0.35">
      <c r="A106" t="s">
        <v>213</v>
      </c>
      <c r="C106" s="2">
        <f>C100-C97+C98</f>
        <v>60727.744760865549</v>
      </c>
      <c r="D106" s="2">
        <f t="shared" ref="D106:V106" si="89">D100-D97+D98</f>
        <v>64243.978527099287</v>
      </c>
      <c r="E106" s="2">
        <f t="shared" si="89"/>
        <v>62003.718786839541</v>
      </c>
      <c r="F106" s="2">
        <f t="shared" si="89"/>
        <v>54503.718786839541</v>
      </c>
      <c r="G106" s="2">
        <f t="shared" si="89"/>
        <v>59503.718786839541</v>
      </c>
      <c r="H106" s="2">
        <f t="shared" si="89"/>
        <v>59503.718786839541</v>
      </c>
      <c r="I106" s="2">
        <f t="shared" si="89"/>
        <v>140768.1975513183</v>
      </c>
      <c r="J106" s="2">
        <f t="shared" si="89"/>
        <v>163268.1975513183</v>
      </c>
      <c r="K106" s="2">
        <f t="shared" si="89"/>
        <v>173644.64542776617</v>
      </c>
      <c r="L106" s="2">
        <f t="shared" si="89"/>
        <v>173644.64542776617</v>
      </c>
      <c r="M106" s="2">
        <f t="shared" si="89"/>
        <v>184021.09330421404</v>
      </c>
      <c r="N106" s="2">
        <f t="shared" si="89"/>
        <v>161521.09330421404</v>
      </c>
      <c r="O106" s="2">
        <f t="shared" si="89"/>
        <v>184021.09330421404</v>
      </c>
      <c r="P106" s="2">
        <f t="shared" si="89"/>
        <v>184021.09330421404</v>
      </c>
      <c r="Q106" s="2">
        <f t="shared" si="89"/>
        <v>184021.09330421404</v>
      </c>
      <c r="R106" s="2">
        <f t="shared" si="89"/>
        <v>184021.09330421404</v>
      </c>
      <c r="S106" s="2">
        <f t="shared" si="89"/>
        <v>161521.09330421404</v>
      </c>
      <c r="T106" s="2">
        <f t="shared" si="89"/>
        <v>184021.09330421404</v>
      </c>
      <c r="U106" s="2">
        <f t="shared" si="89"/>
        <v>184021.09330421404</v>
      </c>
      <c r="V106" s="2">
        <f t="shared" si="89"/>
        <v>184021.09330421404</v>
      </c>
    </row>
    <row r="107" spans="1:22" x14ac:dyDescent="0.35">
      <c r="A107" s="37" t="s">
        <v>145</v>
      </c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x14ac:dyDescent="0.35">
      <c r="A108" t="s">
        <v>146</v>
      </c>
      <c r="C108" s="2">
        <f>C103-'Coffee FIN'!C38</f>
        <v>-126949.62173985053</v>
      </c>
      <c r="D108" s="2">
        <f>D103-'Coffee FIN'!D38</f>
        <v>-69183.975945285027</v>
      </c>
      <c r="E108" s="2">
        <f>E103-'Coffee FIN'!E38</f>
        <v>-64590.794127103232</v>
      </c>
      <c r="F108" s="2">
        <f>F103-'Coffee FIN'!F38</f>
        <v>-44126.508412817522</v>
      </c>
      <c r="G108" s="2">
        <f>G103-'Coffee FIN'!G38</f>
        <v>-39126.508412817522</v>
      </c>
      <c r="H108" s="2">
        <f>H103-'Coffee FIN'!H38</f>
        <v>-39126.508412817522</v>
      </c>
      <c r="I108" s="2">
        <f>I103-'Coffee FIN'!I38</f>
        <v>42137.970351661235</v>
      </c>
      <c r="J108" s="2">
        <f>J103-'Coffee FIN'!J38</f>
        <v>64637.970351661235</v>
      </c>
      <c r="K108" s="2">
        <f>K103-'Coffee FIN'!K38</f>
        <v>75014.418228109105</v>
      </c>
      <c r="L108" s="2">
        <f>L103-'Coffee FIN'!L38</f>
        <v>75014.418228109105</v>
      </c>
      <c r="M108" s="2">
        <f>M103-'Coffee FIN'!M38</f>
        <v>85390.866104556975</v>
      </c>
      <c r="N108" s="2">
        <f>N103-'Coffee FIN'!N38</f>
        <v>62890.866104556975</v>
      </c>
      <c r="O108" s="2">
        <f>O103-'Coffee FIN'!O38</f>
        <v>85390.866104556975</v>
      </c>
      <c r="P108" s="2">
        <f>P103-'Coffee FIN'!P38</f>
        <v>85390.866104556975</v>
      </c>
      <c r="Q108" s="2">
        <f>Q103-'Coffee FIN'!Q38</f>
        <v>85390.866104556975</v>
      </c>
      <c r="R108" s="2">
        <f>R103-'Coffee FIN'!R38</f>
        <v>85390.866104556975</v>
      </c>
      <c r="S108" s="2">
        <f>S103-'Coffee FIN'!S38</f>
        <v>62890.866104556975</v>
      </c>
      <c r="T108" s="2">
        <f>T103-'Coffee FIN'!T38</f>
        <v>85390.866104556975</v>
      </c>
      <c r="U108" s="2">
        <f>U103-'Coffee FIN'!U38</f>
        <v>85390.866104556975</v>
      </c>
      <c r="V108" s="2">
        <f>V103-'Coffee FIN'!V38</f>
        <v>85390.866104556975</v>
      </c>
    </row>
    <row r="109" spans="1:22" hidden="1" x14ac:dyDescent="0.35">
      <c r="A109" t="s">
        <v>147</v>
      </c>
      <c r="B109" s="24">
        <f>NPV(disc_rate_fin,C108:V108)</f>
        <v>-31367.465192416326</v>
      </c>
    </row>
    <row r="110" spans="1:22" hidden="1" x14ac:dyDescent="0.35">
      <c r="A110" t="s">
        <v>148</v>
      </c>
      <c r="B110" s="21">
        <f>B109/usd</f>
        <v>-53.165195241383607</v>
      </c>
    </row>
    <row r="111" spans="1:22" hidden="1" x14ac:dyDescent="0.35">
      <c r="A111" t="s">
        <v>149</v>
      </c>
      <c r="B111" s="23">
        <f>IRR(C108:V108)</f>
        <v>0.10204317113906947</v>
      </c>
    </row>
    <row r="112" spans="1:22" x14ac:dyDescent="0.35">
      <c r="A112" t="s">
        <v>214</v>
      </c>
      <c r="B112" s="23"/>
      <c r="C112" s="2">
        <f>C104-'Coffee FIN'!C39</f>
        <v>-104470.69324149218</v>
      </c>
      <c r="D112" s="2">
        <f>D104-'Coffee FIN'!D39</f>
        <v>-71488.164330043568</v>
      </c>
      <c r="E112" s="2">
        <f>E104-'Coffee FIN'!E39</f>
        <v>-66174.852641731879</v>
      </c>
      <c r="F112" s="2">
        <f>F104-'Coffee FIN'!F39</f>
        <v>-45710.566927446169</v>
      </c>
      <c r="G112" s="2">
        <f>G104-'Coffee FIN'!G39</f>
        <v>-40710.566927446169</v>
      </c>
      <c r="H112" s="2">
        <f>H104-'Coffee FIN'!H39</f>
        <v>-40710.566927446169</v>
      </c>
      <c r="I112" s="2">
        <f>I104-'Coffee FIN'!I39</f>
        <v>40553.911837032589</v>
      </c>
      <c r="J112" s="2">
        <f>J104-'Coffee FIN'!J39</f>
        <v>63053.911837032589</v>
      </c>
      <c r="K112" s="2">
        <f>K104-'Coffee FIN'!K39</f>
        <v>73430.359713480459</v>
      </c>
      <c r="L112" s="2">
        <f>L104-'Coffee FIN'!L39</f>
        <v>73430.359713480459</v>
      </c>
      <c r="M112" s="2">
        <f>M104-'Coffee FIN'!M39</f>
        <v>83806.807589928329</v>
      </c>
      <c r="N112" s="2">
        <f>N104-'Coffee FIN'!N39</f>
        <v>61306.807589928329</v>
      </c>
      <c r="O112" s="2">
        <f>O104-'Coffee FIN'!O39</f>
        <v>83806.807589928329</v>
      </c>
      <c r="P112" s="2">
        <f>P104-'Coffee FIN'!P39</f>
        <v>83806.807589928329</v>
      </c>
      <c r="Q112" s="2">
        <f>Q104-'Coffee FIN'!Q39</f>
        <v>83806.807589928329</v>
      </c>
      <c r="R112" s="2">
        <f>R104-'Coffee FIN'!R39</f>
        <v>83806.807589928329</v>
      </c>
      <c r="S112" s="2">
        <f>S104-'Coffee FIN'!S39</f>
        <v>61306.807589928329</v>
      </c>
      <c r="T112" s="2">
        <f>T104-'Coffee FIN'!T39</f>
        <v>83806.807589928329</v>
      </c>
      <c r="U112" s="2">
        <f>U104-'Coffee FIN'!U39</f>
        <v>83806.807589928329</v>
      </c>
      <c r="V112" s="2">
        <f>V104-'Coffee FIN'!V39</f>
        <v>83806.807589928329</v>
      </c>
    </row>
    <row r="113" spans="1:22" x14ac:dyDescent="0.35">
      <c r="A113" t="s">
        <v>147</v>
      </c>
      <c r="B113" s="24">
        <f>NPV(disc_rate_fin,C112:V112)</f>
        <v>-22578.353774038023</v>
      </c>
    </row>
    <row r="114" spans="1:22" x14ac:dyDescent="0.35">
      <c r="A114" t="s">
        <v>148</v>
      </c>
      <c r="B114" s="21">
        <f>B113/usd</f>
        <v>-38.268396227183089</v>
      </c>
    </row>
    <row r="115" spans="1:22" x14ac:dyDescent="0.35">
      <c r="A115" t="s">
        <v>149</v>
      </c>
      <c r="B115" s="23">
        <f>IRR(C112:V112)</f>
        <v>0.10517077218643345</v>
      </c>
    </row>
    <row r="116" spans="1:22" x14ac:dyDescent="0.35">
      <c r="A116" s="37" t="s">
        <v>150</v>
      </c>
      <c r="B116" s="23"/>
    </row>
    <row r="117" spans="1:22" x14ac:dyDescent="0.35">
      <c r="A117" t="s">
        <v>146</v>
      </c>
      <c r="C117" s="2">
        <f>C105-'Coffee FIN'!C38</f>
        <v>-61965.46945177851</v>
      </c>
      <c r="D117" s="2">
        <f>D105-'Coffee FIN'!D38</f>
        <v>-33666.118802427882</v>
      </c>
      <c r="E117" s="2">
        <f>E105-'Coffee FIN'!E38</f>
        <v>-36626.508412817522</v>
      </c>
      <c r="F117" s="2">
        <f>F105-'Coffee FIN'!F38</f>
        <v>-44126.508412817522</v>
      </c>
      <c r="G117" s="2">
        <f>G105-'Coffee FIN'!G38</f>
        <v>-39126.508412817522</v>
      </c>
      <c r="H117" s="2">
        <f>H105-'Coffee FIN'!H38</f>
        <v>-39126.508412817522</v>
      </c>
      <c r="I117" s="2">
        <f>I105-'Coffee FIN'!I38</f>
        <v>42137.970351661235</v>
      </c>
      <c r="J117" s="2">
        <f>J105-'Coffee FIN'!J38</f>
        <v>64637.970351661235</v>
      </c>
      <c r="K117" s="2">
        <f>K105-'Coffee FIN'!K38</f>
        <v>75014.418228109105</v>
      </c>
      <c r="L117" s="2">
        <f>L105-'Coffee FIN'!L38</f>
        <v>75014.418228109105</v>
      </c>
      <c r="M117" s="2">
        <f>M105-'Coffee FIN'!M38</f>
        <v>85390.866104556975</v>
      </c>
      <c r="N117" s="2">
        <f>N105-'Coffee FIN'!N38</f>
        <v>62890.866104556975</v>
      </c>
      <c r="O117" s="2">
        <f>O105-'Coffee FIN'!O38</f>
        <v>85390.866104556975</v>
      </c>
      <c r="P117" s="2">
        <f>P105-'Coffee FIN'!P38</f>
        <v>85390.866104556975</v>
      </c>
      <c r="Q117" s="2">
        <f>Q105-'Coffee FIN'!Q38</f>
        <v>85390.866104556975</v>
      </c>
      <c r="R117" s="2">
        <f>R105-'Coffee FIN'!R38</f>
        <v>85390.866104556975</v>
      </c>
      <c r="S117" s="2">
        <f>S105-'Coffee FIN'!S38</f>
        <v>62890.866104556975</v>
      </c>
      <c r="T117" s="2">
        <f>T105-'Coffee FIN'!T38</f>
        <v>85390.866104556975</v>
      </c>
      <c r="U117" s="2">
        <f>U105-'Coffee FIN'!U38</f>
        <v>85390.866104556975</v>
      </c>
      <c r="V117" s="2">
        <f>V105-'Coffee FIN'!V38</f>
        <v>85390.866104556975</v>
      </c>
    </row>
    <row r="118" spans="1:22" hidden="1" x14ac:dyDescent="0.35">
      <c r="A118" t="s">
        <v>147</v>
      </c>
      <c r="B118" s="24">
        <f>NPV(disc_rate_fin,C117:V117)</f>
        <v>75656.817473920251</v>
      </c>
    </row>
    <row r="119" spans="1:22" hidden="1" x14ac:dyDescent="0.35">
      <c r="A119" t="s">
        <v>148</v>
      </c>
      <c r="B119" s="21">
        <f>B118/usd</f>
        <v>128.23189402359364</v>
      </c>
    </row>
    <row r="120" spans="1:22" hidden="1" x14ac:dyDescent="0.35">
      <c r="A120" t="s">
        <v>149</v>
      </c>
      <c r="B120" s="23">
        <f>IRR(C117:V117)</f>
        <v>0.15866149423501974</v>
      </c>
    </row>
    <row r="121" spans="1:22" x14ac:dyDescent="0.35">
      <c r="A121" t="s">
        <v>214</v>
      </c>
      <c r="B121" s="23"/>
      <c r="C121" s="2">
        <f>C106-'Coffee FIN'!C39</f>
        <v>-39486.540953420161</v>
      </c>
      <c r="D121" s="2">
        <f>D106-'Coffee FIN'!D39</f>
        <v>-35970.307187186423</v>
      </c>
      <c r="E121" s="2">
        <f>E106-'Coffee FIN'!E39</f>
        <v>-38210.566927446169</v>
      </c>
      <c r="F121" s="2">
        <f>F106-'Coffee FIN'!F39</f>
        <v>-45710.566927446169</v>
      </c>
      <c r="G121" s="2">
        <f>G106-'Coffee FIN'!G39</f>
        <v>-40710.566927446169</v>
      </c>
      <c r="H121" s="2">
        <f>H106-'Coffee FIN'!H39</f>
        <v>-40710.566927446169</v>
      </c>
      <c r="I121" s="2">
        <f>I106-'Coffee FIN'!I39</f>
        <v>40553.911837032589</v>
      </c>
      <c r="J121" s="2">
        <f>J106-'Coffee FIN'!J39</f>
        <v>63053.911837032589</v>
      </c>
      <c r="K121" s="2">
        <f>K106-'Coffee FIN'!K39</f>
        <v>73430.359713480459</v>
      </c>
      <c r="L121" s="2">
        <f>L106-'Coffee FIN'!L39</f>
        <v>73430.359713480459</v>
      </c>
      <c r="M121" s="2">
        <f>M106-'Coffee FIN'!M39</f>
        <v>83806.807589928329</v>
      </c>
      <c r="N121" s="2">
        <f>N106-'Coffee FIN'!N39</f>
        <v>61306.807589928329</v>
      </c>
      <c r="O121" s="2">
        <f>O106-'Coffee FIN'!O39</f>
        <v>83806.807589928329</v>
      </c>
      <c r="P121" s="2">
        <f>P106-'Coffee FIN'!P39</f>
        <v>83806.807589928329</v>
      </c>
      <c r="Q121" s="2">
        <f>Q106-'Coffee FIN'!Q39</f>
        <v>83806.807589928329</v>
      </c>
      <c r="R121" s="2">
        <f>R106-'Coffee FIN'!R39</f>
        <v>83806.807589928329</v>
      </c>
      <c r="S121" s="2">
        <f>S106-'Coffee FIN'!S39</f>
        <v>61306.807589928329</v>
      </c>
      <c r="T121" s="2">
        <f>T106-'Coffee FIN'!T39</f>
        <v>83806.807589928329</v>
      </c>
      <c r="U121" s="2">
        <f>U106-'Coffee FIN'!U39</f>
        <v>83806.807589928329</v>
      </c>
      <c r="V121" s="2">
        <f>V106-'Coffee FIN'!V39</f>
        <v>83806.807589928329</v>
      </c>
    </row>
    <row r="122" spans="1:22" x14ac:dyDescent="0.35">
      <c r="A122" t="s">
        <v>147</v>
      </c>
      <c r="B122" s="24">
        <f>NPV(disc_rate_fin,C121:V121)</f>
        <v>84445.928892298558</v>
      </c>
    </row>
    <row r="123" spans="1:22" x14ac:dyDescent="0.35">
      <c r="A123" t="s">
        <v>148</v>
      </c>
      <c r="B123" s="21">
        <f>B122/usd</f>
        <v>143.12869303779416</v>
      </c>
    </row>
    <row r="124" spans="1:22" x14ac:dyDescent="0.35">
      <c r="A124" t="s">
        <v>149</v>
      </c>
      <c r="B124" s="23">
        <f>IRR(C121:V121)</f>
        <v>0.16821360496293836</v>
      </c>
    </row>
    <row r="127" spans="1:22" x14ac:dyDescent="0.35">
      <c r="A127" s="1" t="s">
        <v>475</v>
      </c>
    </row>
    <row r="128" spans="1:22" x14ac:dyDescent="0.35">
      <c r="A128" t="s">
        <v>386</v>
      </c>
      <c r="B128" s="66">
        <v>0.44</v>
      </c>
      <c r="C128" s="2">
        <f>C100*(1-$B128)-(C97-C98)</f>
        <v>-12471.355014078174</v>
      </c>
      <c r="D128" s="2">
        <f t="shared" ref="D128:V128" si="90">D100*(1-$B128)-(D97-D98)</f>
        <v>-8955.1212478444359</v>
      </c>
      <c r="E128" s="2">
        <f t="shared" si="90"/>
        <v>-11195.380988104182</v>
      </c>
      <c r="F128" s="2">
        <f t="shared" si="90"/>
        <v>-18695.380988104182</v>
      </c>
      <c r="G128" s="2">
        <f t="shared" si="90"/>
        <v>-13695.380988104182</v>
      </c>
      <c r="H128" s="2">
        <f t="shared" si="90"/>
        <v>-13695.380988104182</v>
      </c>
      <c r="I128" s="2">
        <f t="shared" si="90"/>
        <v>9171.4143786912027</v>
      </c>
      <c r="J128" s="2">
        <f t="shared" si="90"/>
        <v>31671.414378691203</v>
      </c>
      <c r="K128" s="2">
        <f t="shared" si="90"/>
        <v>36208.09391537073</v>
      </c>
      <c r="L128" s="2">
        <f t="shared" si="90"/>
        <v>36208.09391537073</v>
      </c>
      <c r="M128" s="2">
        <f t="shared" si="90"/>
        <v>40744.773452050256</v>
      </c>
      <c r="N128" s="2">
        <f t="shared" si="90"/>
        <v>18244.773452050256</v>
      </c>
      <c r="O128" s="2">
        <f t="shared" si="90"/>
        <v>40744.773452050256</v>
      </c>
      <c r="P128" s="2">
        <f t="shared" si="90"/>
        <v>40744.773452050256</v>
      </c>
      <c r="Q128" s="2">
        <f t="shared" si="90"/>
        <v>40744.773452050256</v>
      </c>
      <c r="R128" s="2">
        <f t="shared" si="90"/>
        <v>40744.773452050256</v>
      </c>
      <c r="S128" s="2">
        <f t="shared" si="90"/>
        <v>18244.773452050256</v>
      </c>
      <c r="T128" s="2">
        <f t="shared" si="90"/>
        <v>40744.773452050256</v>
      </c>
      <c r="U128" s="2">
        <f t="shared" si="90"/>
        <v>40744.773452050256</v>
      </c>
      <c r="V128" s="2">
        <f t="shared" si="90"/>
        <v>40744.773452050256</v>
      </c>
    </row>
    <row r="129" spans="1:22" x14ac:dyDescent="0.35">
      <c r="A129" t="s">
        <v>383</v>
      </c>
      <c r="C129" s="2">
        <f>'Coffee FIN'!C36*(1-$B128)-('Coffee FIN'!C35)</f>
        <v>7814.2857142857247</v>
      </c>
      <c r="D129" s="2">
        <f>'Coffee FIN'!D36*(1-$B128)-('Coffee FIN'!D35)</f>
        <v>7814.2857142857247</v>
      </c>
      <c r="E129" s="2">
        <f>'Coffee FIN'!E36*(1-$B128)-('Coffee FIN'!E35)</f>
        <v>7814.2857142857247</v>
      </c>
      <c r="F129" s="2">
        <f>'Coffee FIN'!F36*(1-$B128)-('Coffee FIN'!F35)</f>
        <v>7814.2857142857247</v>
      </c>
      <c r="G129" s="2">
        <f>'Coffee FIN'!G36*(1-$B128)-('Coffee FIN'!G35)</f>
        <v>7814.2857142857247</v>
      </c>
      <c r="H129" s="2">
        <f>'Coffee FIN'!H36*(1-$B128)-('Coffee FIN'!H35)</f>
        <v>7814.2857142857247</v>
      </c>
      <c r="I129" s="2">
        <f>'Coffee FIN'!I36*(1-$B128)-('Coffee FIN'!I35)</f>
        <v>7814.2857142857247</v>
      </c>
      <c r="J129" s="2">
        <f>'Coffee FIN'!J36*(1-$B128)-('Coffee FIN'!J35)</f>
        <v>7814.2857142857247</v>
      </c>
      <c r="K129" s="2">
        <f>'Coffee FIN'!K36*(1-$B128)-('Coffee FIN'!K35)</f>
        <v>7814.2857142857247</v>
      </c>
      <c r="L129" s="2">
        <f>'Coffee FIN'!L36*(1-$B128)-('Coffee FIN'!L35)</f>
        <v>7814.2857142857247</v>
      </c>
      <c r="M129" s="2">
        <f>'Coffee FIN'!M36*(1-$B128)-('Coffee FIN'!M35)</f>
        <v>7814.2857142857247</v>
      </c>
      <c r="N129" s="2">
        <f>'Coffee FIN'!N36*(1-$B128)-('Coffee FIN'!N35)</f>
        <v>7814.2857142857247</v>
      </c>
      <c r="O129" s="2">
        <f>'Coffee FIN'!O36*(1-$B128)-('Coffee FIN'!O35)</f>
        <v>7814.2857142857247</v>
      </c>
      <c r="P129" s="2">
        <f>'Coffee FIN'!P36*(1-$B128)-('Coffee FIN'!P35)</f>
        <v>7814.2857142857247</v>
      </c>
      <c r="Q129" s="2">
        <f>'Coffee FIN'!Q36*(1-$B128)-('Coffee FIN'!Q35)</f>
        <v>7814.2857142857247</v>
      </c>
      <c r="R129" s="2">
        <f>'Coffee FIN'!R36*(1-$B128)-('Coffee FIN'!R35)</f>
        <v>7814.2857142857247</v>
      </c>
      <c r="S129" s="2">
        <f>'Coffee FIN'!S36*(1-$B128)-('Coffee FIN'!S35)</f>
        <v>7814.2857142857247</v>
      </c>
      <c r="T129" s="2">
        <f>'Coffee FIN'!T36*(1-$B128)-('Coffee FIN'!T35)</f>
        <v>7814.2857142857247</v>
      </c>
      <c r="U129" s="2">
        <f>'Coffee FIN'!U36*(1-$B128)-('Coffee FIN'!U35)</f>
        <v>7814.2857142857247</v>
      </c>
      <c r="V129" s="2">
        <f>'Coffee FIN'!V36*(1-$B128)-('Coffee FIN'!V35)</f>
        <v>7814.2857142857247</v>
      </c>
    </row>
    <row r="130" spans="1:22" x14ac:dyDescent="0.35">
      <c r="A130" t="s">
        <v>384</v>
      </c>
      <c r="C130" s="2">
        <f>C128-C129</f>
        <v>-20285.640728363898</v>
      </c>
      <c r="D130" s="2">
        <f t="shared" ref="D130:V130" si="91">D128-D129</f>
        <v>-16769.406962130161</v>
      </c>
      <c r="E130" s="2">
        <f t="shared" si="91"/>
        <v>-19009.666702389906</v>
      </c>
      <c r="F130" s="2">
        <f t="shared" si="91"/>
        <v>-26509.666702389906</v>
      </c>
      <c r="G130" s="2">
        <f t="shared" si="91"/>
        <v>-21509.666702389906</v>
      </c>
      <c r="H130" s="2">
        <f t="shared" si="91"/>
        <v>-21509.666702389906</v>
      </c>
      <c r="I130" s="2">
        <f t="shared" si="91"/>
        <v>1357.128664405478</v>
      </c>
      <c r="J130" s="2">
        <f t="shared" si="91"/>
        <v>23857.128664405478</v>
      </c>
      <c r="K130" s="2">
        <f t="shared" si="91"/>
        <v>28393.808201085005</v>
      </c>
      <c r="L130" s="2">
        <f t="shared" si="91"/>
        <v>28393.808201085005</v>
      </c>
      <c r="M130" s="2">
        <f t="shared" si="91"/>
        <v>32930.487737764532</v>
      </c>
      <c r="N130" s="2">
        <f t="shared" si="91"/>
        <v>10430.487737764532</v>
      </c>
      <c r="O130" s="2">
        <f t="shared" si="91"/>
        <v>32930.487737764532</v>
      </c>
      <c r="P130" s="2">
        <f t="shared" si="91"/>
        <v>32930.487737764532</v>
      </c>
      <c r="Q130" s="2">
        <f t="shared" si="91"/>
        <v>32930.487737764532</v>
      </c>
      <c r="R130" s="2">
        <f t="shared" si="91"/>
        <v>32930.487737764532</v>
      </c>
      <c r="S130" s="2">
        <f t="shared" si="91"/>
        <v>10430.487737764532</v>
      </c>
      <c r="T130" s="2">
        <f t="shared" si="91"/>
        <v>32930.487737764532</v>
      </c>
      <c r="U130" s="2">
        <f t="shared" si="91"/>
        <v>32930.487737764532</v>
      </c>
      <c r="V130" s="2">
        <f t="shared" si="91"/>
        <v>32930.487737764532</v>
      </c>
    </row>
    <row r="131" spans="1:22" x14ac:dyDescent="0.35">
      <c r="A131" t="s">
        <v>125</v>
      </c>
      <c r="B131" s="24">
        <f>NPV(disc_rate_fin,C130:V130)</f>
        <v>-1059.4255902259579</v>
      </c>
    </row>
    <row r="132" spans="1:22" x14ac:dyDescent="0.35">
      <c r="A132" t="s">
        <v>387</v>
      </c>
      <c r="B132" s="66">
        <v>0.77</v>
      </c>
      <c r="C132" s="2">
        <f>C100-(C97-C98)*(1+$B132)</f>
        <v>-20610.316379419499</v>
      </c>
      <c r="D132" s="2">
        <f t="shared" ref="D132:V132" si="92">D100-(D97-D98)*(1+$B132)</f>
        <v>-14386.582613185805</v>
      </c>
      <c r="E132" s="2">
        <f t="shared" si="92"/>
        <v>-18351.842353445536</v>
      </c>
      <c r="F132" s="2">
        <f t="shared" si="92"/>
        <v>-31626.842353445536</v>
      </c>
      <c r="G132" s="2">
        <f t="shared" si="92"/>
        <v>-22776.842353445536</v>
      </c>
      <c r="H132" s="2">
        <f t="shared" si="92"/>
        <v>-22776.842353445536</v>
      </c>
      <c r="I132" s="2">
        <f t="shared" si="92"/>
        <v>18865.339113735943</v>
      </c>
      <c r="J132" s="2">
        <f t="shared" si="92"/>
        <v>58690.339113735943</v>
      </c>
      <c r="K132" s="2">
        <f t="shared" si="92"/>
        <v>66837.057260454079</v>
      </c>
      <c r="L132" s="2">
        <f t="shared" si="92"/>
        <v>66837.057260454079</v>
      </c>
      <c r="M132" s="2">
        <f t="shared" si="92"/>
        <v>74983.775407172216</v>
      </c>
      <c r="N132" s="2">
        <f t="shared" si="92"/>
        <v>35158.775407172216</v>
      </c>
      <c r="O132" s="2">
        <f t="shared" si="92"/>
        <v>74983.775407172216</v>
      </c>
      <c r="P132" s="2">
        <f t="shared" si="92"/>
        <v>74983.775407172216</v>
      </c>
      <c r="Q132" s="2">
        <f t="shared" si="92"/>
        <v>74983.775407172216</v>
      </c>
      <c r="R132" s="2">
        <f t="shared" si="92"/>
        <v>74983.775407172216</v>
      </c>
      <c r="S132" s="2">
        <f t="shared" si="92"/>
        <v>35158.775407172216</v>
      </c>
      <c r="T132" s="2">
        <f t="shared" si="92"/>
        <v>74983.775407172216</v>
      </c>
      <c r="U132" s="2">
        <f t="shared" si="92"/>
        <v>74983.775407172216</v>
      </c>
      <c r="V132" s="2">
        <f t="shared" si="92"/>
        <v>74983.775407172216</v>
      </c>
    </row>
    <row r="133" spans="1:22" x14ac:dyDescent="0.35">
      <c r="A133" t="s">
        <v>385</v>
      </c>
      <c r="C133" s="2">
        <f>'Coffee FIN'!C36-('Coffee FIN'!C35)*(1+$B132)</f>
        <v>15679.28571428571</v>
      </c>
      <c r="D133" s="2">
        <f>'Coffee FIN'!D36-('Coffee FIN'!D35)*(1+$B132)</f>
        <v>15679.28571428571</v>
      </c>
      <c r="E133" s="2">
        <f>'Coffee FIN'!E36-('Coffee FIN'!E35)*(1+$B132)</f>
        <v>15679.28571428571</v>
      </c>
      <c r="F133" s="2">
        <f>'Coffee FIN'!F36-('Coffee FIN'!F35)*(1+$B132)</f>
        <v>15679.28571428571</v>
      </c>
      <c r="G133" s="2">
        <f>'Coffee FIN'!G36-('Coffee FIN'!G35)*(1+$B132)</f>
        <v>15679.28571428571</v>
      </c>
      <c r="H133" s="2">
        <f>'Coffee FIN'!H36-('Coffee FIN'!H35)*(1+$B132)</f>
        <v>15679.28571428571</v>
      </c>
      <c r="I133" s="2">
        <f>'Coffee FIN'!I36-('Coffee FIN'!I35)*(1+$B132)</f>
        <v>15679.28571428571</v>
      </c>
      <c r="J133" s="2">
        <f>'Coffee FIN'!J36-('Coffee FIN'!J35)*(1+$B132)</f>
        <v>15679.28571428571</v>
      </c>
      <c r="K133" s="2">
        <f>'Coffee FIN'!K36-('Coffee FIN'!K35)*(1+$B132)</f>
        <v>15679.28571428571</v>
      </c>
      <c r="L133" s="2">
        <f>'Coffee FIN'!L36-('Coffee FIN'!L35)*(1+$B132)</f>
        <v>15679.28571428571</v>
      </c>
      <c r="M133" s="2">
        <f>'Coffee FIN'!M36-('Coffee FIN'!M35)*(1+$B132)</f>
        <v>15679.28571428571</v>
      </c>
      <c r="N133" s="2">
        <f>'Coffee FIN'!N36-('Coffee FIN'!N35)*(1+$B132)</f>
        <v>15679.28571428571</v>
      </c>
      <c r="O133" s="2">
        <f>'Coffee FIN'!O36-('Coffee FIN'!O35)*(1+$B132)</f>
        <v>15679.28571428571</v>
      </c>
      <c r="P133" s="2">
        <f>'Coffee FIN'!P36-('Coffee FIN'!P35)*(1+$B132)</f>
        <v>15679.28571428571</v>
      </c>
      <c r="Q133" s="2">
        <f>'Coffee FIN'!Q36-('Coffee FIN'!Q35)*(1+$B132)</f>
        <v>15679.28571428571</v>
      </c>
      <c r="R133" s="2">
        <f>'Coffee FIN'!R36-('Coffee FIN'!R35)*(1+$B132)</f>
        <v>15679.28571428571</v>
      </c>
      <c r="S133" s="2">
        <f>'Coffee FIN'!S36-('Coffee FIN'!S35)*(1+$B132)</f>
        <v>15679.28571428571</v>
      </c>
      <c r="T133" s="2">
        <f>'Coffee FIN'!T36-('Coffee FIN'!T35)*(1+$B132)</f>
        <v>15679.28571428571</v>
      </c>
      <c r="U133" s="2">
        <f>'Coffee FIN'!U36-('Coffee FIN'!U35)*(1+$B132)</f>
        <v>15679.28571428571</v>
      </c>
      <c r="V133" s="2">
        <f>'Coffee FIN'!V36-('Coffee FIN'!V35)*(1+$B132)</f>
        <v>15679.28571428571</v>
      </c>
    </row>
    <row r="134" spans="1:22" x14ac:dyDescent="0.35">
      <c r="A134" t="s">
        <v>384</v>
      </c>
      <c r="C134" s="2">
        <f>C132-C133</f>
        <v>-36289.602093705209</v>
      </c>
      <c r="D134" s="2">
        <f t="shared" ref="D134:V134" si="93">D132-D133</f>
        <v>-30065.868327471515</v>
      </c>
      <c r="E134" s="2">
        <f t="shared" si="93"/>
        <v>-34031.128067731246</v>
      </c>
      <c r="F134" s="2">
        <f t="shared" si="93"/>
        <v>-47306.128067731246</v>
      </c>
      <c r="G134" s="2">
        <f t="shared" si="93"/>
        <v>-38456.128067731246</v>
      </c>
      <c r="H134" s="2">
        <f t="shared" si="93"/>
        <v>-38456.128067731246</v>
      </c>
      <c r="I134" s="2">
        <f t="shared" si="93"/>
        <v>3186.053399450233</v>
      </c>
      <c r="J134" s="2">
        <f t="shared" si="93"/>
        <v>43011.053399450233</v>
      </c>
      <c r="K134" s="2">
        <f t="shared" si="93"/>
        <v>51157.771546168369</v>
      </c>
      <c r="L134" s="2">
        <f t="shared" si="93"/>
        <v>51157.771546168369</v>
      </c>
      <c r="M134" s="2">
        <f t="shared" si="93"/>
        <v>59304.489692886506</v>
      </c>
      <c r="N134" s="2">
        <f t="shared" si="93"/>
        <v>19479.489692886506</v>
      </c>
      <c r="O134" s="2">
        <f t="shared" si="93"/>
        <v>59304.489692886506</v>
      </c>
      <c r="P134" s="2">
        <f t="shared" si="93"/>
        <v>59304.489692886506</v>
      </c>
      <c r="Q134" s="2">
        <f t="shared" si="93"/>
        <v>59304.489692886506</v>
      </c>
      <c r="R134" s="2">
        <f t="shared" si="93"/>
        <v>59304.489692886506</v>
      </c>
      <c r="S134" s="2">
        <f t="shared" si="93"/>
        <v>19479.489692886506</v>
      </c>
      <c r="T134" s="2">
        <f t="shared" si="93"/>
        <v>59304.489692886506</v>
      </c>
      <c r="U134" s="2">
        <f t="shared" si="93"/>
        <v>59304.489692886506</v>
      </c>
      <c r="V134" s="2">
        <f t="shared" si="93"/>
        <v>59304.489692886506</v>
      </c>
    </row>
    <row r="135" spans="1:22" x14ac:dyDescent="0.35">
      <c r="A135" t="s">
        <v>125</v>
      </c>
      <c r="B135" s="24">
        <f>NPV(disc_rate_fin,C134:V134)</f>
        <v>-165.07620504940093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112"/>
  <sheetViews>
    <sheetView topLeftCell="A22" workbookViewId="0">
      <selection activeCell="A110" sqref="A110:XFD112"/>
    </sheetView>
  </sheetViews>
  <sheetFormatPr defaultRowHeight="14.5" x14ac:dyDescent="0.35"/>
  <cols>
    <col min="1" max="1" width="25.54296875" customWidth="1"/>
  </cols>
  <sheetData>
    <row r="2" spans="1:40" x14ac:dyDescent="0.35">
      <c r="A2" s="56" t="s">
        <v>250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</row>
    <row r="3" spans="1:40" s="58" customFormat="1" x14ac:dyDescent="0.35">
      <c r="A3" s="58" t="s">
        <v>253</v>
      </c>
      <c r="B3" s="58" t="s">
        <v>251</v>
      </c>
    </row>
    <row r="4" spans="1:40" s="44" customFormat="1" x14ac:dyDescent="0.35">
      <c r="A4" s="58" t="s">
        <v>186</v>
      </c>
      <c r="B4" s="59">
        <f>10000/(3*2.5)</f>
        <v>1333.3333333333333</v>
      </c>
    </row>
    <row r="5" spans="1:40" s="44" customFormat="1" x14ac:dyDescent="0.35">
      <c r="A5" s="58" t="s">
        <v>252</v>
      </c>
      <c r="B5" s="59">
        <f>10000/(7*2.8)</f>
        <v>510.20408163265313</v>
      </c>
    </row>
    <row r="6" spans="1:40" s="44" customFormat="1" x14ac:dyDescent="0.35">
      <c r="A6" s="58" t="s">
        <v>426</v>
      </c>
    </row>
    <row r="7" spans="1:40" s="44" customFormat="1" x14ac:dyDescent="0.35">
      <c r="A7" s="58" t="s">
        <v>186</v>
      </c>
      <c r="B7" s="44">
        <f>(33*100/(3*2.5))*2.4</f>
        <v>1056</v>
      </c>
    </row>
    <row r="8" spans="1:40" s="44" customFormat="1" x14ac:dyDescent="0.35">
      <c r="A8" s="58" t="s">
        <v>252</v>
      </c>
      <c r="B8" s="59">
        <f>(7*100/(7*2.8))*3</f>
        <v>107.14285714285714</v>
      </c>
    </row>
    <row r="9" spans="1:40" s="44" customFormat="1" x14ac:dyDescent="0.35">
      <c r="A9" s="58"/>
      <c r="B9" s="59"/>
    </row>
    <row r="10" spans="1:40" x14ac:dyDescent="0.35">
      <c r="A10" s="68" t="s">
        <v>398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40" x14ac:dyDescent="0.35">
      <c r="A11" s="9" t="s">
        <v>7</v>
      </c>
      <c r="B11" s="10" t="s">
        <v>11</v>
      </c>
      <c r="C11" s="11" t="s">
        <v>399</v>
      </c>
      <c r="D11" s="11" t="s">
        <v>400</v>
      </c>
      <c r="E11" s="11" t="s">
        <v>401</v>
      </c>
      <c r="F11" s="11" t="s">
        <v>402</v>
      </c>
      <c r="G11" s="11" t="s">
        <v>403</v>
      </c>
      <c r="H11" s="11" t="s">
        <v>404</v>
      </c>
      <c r="I11" s="11" t="s">
        <v>405</v>
      </c>
      <c r="J11" s="11" t="s">
        <v>406</v>
      </c>
      <c r="K11" s="11" t="s">
        <v>407</v>
      </c>
      <c r="L11" s="11" t="s">
        <v>408</v>
      </c>
      <c r="M11" s="11" t="s">
        <v>409</v>
      </c>
      <c r="N11" s="11" t="s">
        <v>410</v>
      </c>
      <c r="O11" s="11" t="s">
        <v>411</v>
      </c>
      <c r="P11" s="11" t="s">
        <v>412</v>
      </c>
      <c r="Q11" s="11" t="s">
        <v>413</v>
      </c>
      <c r="R11" s="11" t="s">
        <v>414</v>
      </c>
      <c r="S11" s="11" t="s">
        <v>415</v>
      </c>
      <c r="T11" s="11" t="s">
        <v>416</v>
      </c>
      <c r="U11" s="11" t="s">
        <v>417</v>
      </c>
      <c r="V11" s="11" t="s">
        <v>418</v>
      </c>
    </row>
    <row r="12" spans="1:40" x14ac:dyDescent="0.35">
      <c r="A12" s="50" t="s">
        <v>2</v>
      </c>
      <c r="B12" s="15"/>
    </row>
    <row r="13" spans="1:40" x14ac:dyDescent="0.35">
      <c r="A13" s="19" t="s">
        <v>33</v>
      </c>
      <c r="B13" s="8" t="s">
        <v>1</v>
      </c>
      <c r="C13" s="21">
        <f>'Rubber FIN'!C13</f>
        <v>0.21</v>
      </c>
    </row>
    <row r="14" spans="1:40" x14ac:dyDescent="0.35">
      <c r="A14" t="s">
        <v>35</v>
      </c>
      <c r="B14" s="8" t="s">
        <v>1</v>
      </c>
      <c r="C14" s="21">
        <f>'Rubber FIN'!C14</f>
        <v>0.21</v>
      </c>
    </row>
    <row r="15" spans="1:40" x14ac:dyDescent="0.35">
      <c r="A15" s="19" t="s">
        <v>70</v>
      </c>
      <c r="B15" s="8" t="s">
        <v>254</v>
      </c>
      <c r="C15" s="5">
        <f>'Rubber FIN'!C15</f>
        <v>107.14285714285714</v>
      </c>
    </row>
    <row r="16" spans="1:40" x14ac:dyDescent="0.35">
      <c r="A16" s="19" t="s">
        <v>31</v>
      </c>
      <c r="B16" s="8" t="s">
        <v>1</v>
      </c>
      <c r="C16" s="5">
        <f>'Rubber FIN'!C16</f>
        <v>0.32150894866573787</v>
      </c>
    </row>
    <row r="17" spans="1:22" x14ac:dyDescent="0.35">
      <c r="A17" s="19" t="s">
        <v>49</v>
      </c>
      <c r="B17" s="8" t="s">
        <v>11</v>
      </c>
      <c r="C17" s="5">
        <f>'Rubber FIN'!C17</f>
        <v>107.14285714285714</v>
      </c>
    </row>
    <row r="18" spans="1:22" x14ac:dyDescent="0.35">
      <c r="A18" s="19" t="s">
        <v>274</v>
      </c>
      <c r="B18" s="8" t="s">
        <v>42</v>
      </c>
      <c r="C18" s="5">
        <f>'Rubber FIN'!C18</f>
        <v>0.4</v>
      </c>
    </row>
    <row r="19" spans="1:22" x14ac:dyDescent="0.35">
      <c r="A19" s="19" t="s">
        <v>50</v>
      </c>
      <c r="B19" s="8" t="s">
        <v>11</v>
      </c>
      <c r="C19" s="5">
        <f>'Rubber FIN'!C19</f>
        <v>107.14285714285714</v>
      </c>
    </row>
    <row r="20" spans="1:22" x14ac:dyDescent="0.35">
      <c r="A20" s="19" t="s">
        <v>263</v>
      </c>
      <c r="B20" s="8" t="s">
        <v>11</v>
      </c>
      <c r="C20" s="5">
        <f>'Rubber FIN'!C20</f>
        <v>107.14285714285714</v>
      </c>
    </row>
    <row r="21" spans="1:22" x14ac:dyDescent="0.35">
      <c r="A21" s="19" t="s">
        <v>8</v>
      </c>
      <c r="B21" s="8" t="s">
        <v>1</v>
      </c>
      <c r="C21" s="21">
        <f>'Rubber FIN'!C21</f>
        <v>3.1680000000000001</v>
      </c>
      <c r="D21" s="21">
        <f>'Rubber FIN'!D21</f>
        <v>3.1680000000000001</v>
      </c>
      <c r="E21" s="21">
        <f>'Rubber FIN'!E21</f>
        <v>3.1680000000000001</v>
      </c>
      <c r="F21" s="21">
        <f>'Rubber FIN'!F21</f>
        <v>3.1680000000000001</v>
      </c>
      <c r="G21" s="21">
        <f>'Rubber FIN'!G21</f>
        <v>3.1680000000000001</v>
      </c>
      <c r="H21" s="21">
        <f>'Rubber FIN'!H21</f>
        <v>3.1680000000000001</v>
      </c>
      <c r="I21" s="21">
        <f>'Rubber FIN'!I21</f>
        <v>3.1680000000000001</v>
      </c>
      <c r="J21" s="21">
        <f>'Rubber FIN'!J21</f>
        <v>3.1680000000000001</v>
      </c>
      <c r="K21" s="21">
        <f>'Rubber FIN'!K21</f>
        <v>3.1680000000000001</v>
      </c>
      <c r="L21" s="21">
        <f>'Rubber FIN'!L21</f>
        <v>3.1680000000000001</v>
      </c>
      <c r="M21" s="21">
        <f>'Rubber FIN'!M21</f>
        <v>3.1680000000000001</v>
      </c>
      <c r="N21" s="21">
        <f>'Rubber FIN'!N21</f>
        <v>3.1680000000000001</v>
      </c>
      <c r="O21" s="21">
        <f>'Rubber FIN'!O21</f>
        <v>3.1680000000000001</v>
      </c>
      <c r="P21" s="21">
        <f>'Rubber FIN'!P21</f>
        <v>3.1680000000000001</v>
      </c>
      <c r="Q21" s="21">
        <f>'Rubber FIN'!Q21</f>
        <v>3.1680000000000001</v>
      </c>
      <c r="R21" s="21">
        <f>'Rubber FIN'!R21</f>
        <v>3.1680000000000001</v>
      </c>
      <c r="S21" s="21">
        <f>'Rubber FIN'!S21</f>
        <v>3.1680000000000001</v>
      </c>
      <c r="T21" s="21">
        <f>'Rubber FIN'!T21</f>
        <v>3.1680000000000001</v>
      </c>
      <c r="U21" s="21">
        <f>'Rubber FIN'!U21</f>
        <v>3.1680000000000001</v>
      </c>
      <c r="V21" s="21">
        <f>'Rubber FIN'!V21</f>
        <v>3.1680000000000001</v>
      </c>
    </row>
    <row r="22" spans="1:22" x14ac:dyDescent="0.35">
      <c r="A22" s="19" t="s">
        <v>266</v>
      </c>
      <c r="B22" s="8" t="s">
        <v>1</v>
      </c>
      <c r="C22" s="21">
        <f>'Rubber FIN'!C22</f>
        <v>9.7402597402597393E-2</v>
      </c>
      <c r="D22" s="21">
        <f>'Rubber FIN'!D22</f>
        <v>9.7402597402597393E-2</v>
      </c>
    </row>
    <row r="23" spans="1:22" x14ac:dyDescent="0.35">
      <c r="A23" t="s">
        <v>267</v>
      </c>
      <c r="B23" s="8" t="s">
        <v>1</v>
      </c>
      <c r="C23" s="21">
        <f>'Rubber FIN'!C23</f>
        <v>9.7402597402597393E-2</v>
      </c>
    </row>
    <row r="24" spans="1:22" x14ac:dyDescent="0.35">
      <c r="A24" t="s">
        <v>268</v>
      </c>
      <c r="B24" s="8" t="s">
        <v>1</v>
      </c>
      <c r="C24" s="5">
        <f>'Rubber FIN'!C24</f>
        <v>3</v>
      </c>
      <c r="D24" s="5">
        <f>'Rubber FIN'!D24</f>
        <v>6</v>
      </c>
      <c r="E24" s="5">
        <f>'Rubber FIN'!E24</f>
        <v>3</v>
      </c>
      <c r="F24" s="5">
        <f>'Rubber FIN'!F24</f>
        <v>1.5</v>
      </c>
    </row>
    <row r="25" spans="1:22" x14ac:dyDescent="0.35">
      <c r="A25" t="s">
        <v>41</v>
      </c>
      <c r="B25" s="8" t="s">
        <v>42</v>
      </c>
      <c r="C25" s="21">
        <f>'Rubber FIN'!C25</f>
        <v>0.5</v>
      </c>
      <c r="D25" s="21">
        <f>'Rubber FIN'!D25</f>
        <v>0.5</v>
      </c>
      <c r="E25" s="21">
        <f>'Rubber FIN'!E25</f>
        <v>0.5</v>
      </c>
      <c r="F25" s="21">
        <f>'Rubber FIN'!F25</f>
        <v>0.5</v>
      </c>
      <c r="G25" s="21">
        <f>'Rubber FIN'!G25</f>
        <v>0.5</v>
      </c>
      <c r="H25" s="21">
        <f>'Rubber FIN'!H25</f>
        <v>0.5</v>
      </c>
      <c r="I25" s="21">
        <f>'Rubber FIN'!I25</f>
        <v>0.5</v>
      </c>
      <c r="J25" s="21">
        <f>'Rubber FIN'!J25</f>
        <v>0.5</v>
      </c>
      <c r="K25" s="21">
        <f>'Rubber FIN'!K25</f>
        <v>0.5</v>
      </c>
      <c r="L25" s="21">
        <f>'Rubber FIN'!L25</f>
        <v>0.5</v>
      </c>
      <c r="M25" s="21">
        <f>'Rubber FIN'!M25</f>
        <v>0.5</v>
      </c>
      <c r="N25" s="21">
        <f>'Rubber FIN'!N25</f>
        <v>0.5</v>
      </c>
      <c r="O25" s="21">
        <f>'Rubber FIN'!O25</f>
        <v>0.5</v>
      </c>
      <c r="P25" s="21">
        <f>'Rubber FIN'!P25</f>
        <v>0.5</v>
      </c>
      <c r="Q25" s="21">
        <f>'Rubber FIN'!Q25</f>
        <v>0.5</v>
      </c>
      <c r="R25" s="21">
        <f>'Rubber FIN'!R25</f>
        <v>0.5</v>
      </c>
      <c r="S25" s="21">
        <f>'Rubber FIN'!S25</f>
        <v>0.5</v>
      </c>
      <c r="T25" s="21">
        <f>'Rubber FIN'!T25</f>
        <v>0.5</v>
      </c>
      <c r="U25" s="21">
        <f>'Rubber FIN'!U25</f>
        <v>0.5</v>
      </c>
      <c r="V25" s="21">
        <f>'Rubber FIN'!V25</f>
        <v>0.5</v>
      </c>
    </row>
    <row r="26" spans="1:22" x14ac:dyDescent="0.35">
      <c r="A26" t="s">
        <v>270</v>
      </c>
      <c r="B26" s="8" t="s">
        <v>1</v>
      </c>
      <c r="C26" s="21">
        <f>'Rubber FIN'!C26</f>
        <v>0.2</v>
      </c>
      <c r="D26" s="21">
        <f>'Rubber FIN'!D26</f>
        <v>0.4</v>
      </c>
      <c r="E26" s="21">
        <f>'Rubber FIN'!E26</f>
        <v>0.4</v>
      </c>
      <c r="F26" s="21">
        <f>'Rubber FIN'!F26</f>
        <v>0.4</v>
      </c>
    </row>
    <row r="27" spans="1:22" x14ac:dyDescent="0.35">
      <c r="A27" t="s">
        <v>275</v>
      </c>
      <c r="B27" s="8" t="s">
        <v>254</v>
      </c>
      <c r="D27" s="21">
        <f>'Rubber FIN'!D27</f>
        <v>21.428571428571431</v>
      </c>
    </row>
    <row r="28" spans="1:22" x14ac:dyDescent="0.35">
      <c r="A28" t="s">
        <v>82</v>
      </c>
      <c r="B28" s="8" t="s">
        <v>42</v>
      </c>
      <c r="D28" s="5"/>
      <c r="E28" s="21">
        <f>'Rubber FIN'!E28</f>
        <v>0.5</v>
      </c>
      <c r="F28" s="21">
        <f>'Rubber FIN'!F28</f>
        <v>0.5</v>
      </c>
      <c r="G28" s="21">
        <f>'Rubber FIN'!G28</f>
        <v>0.5</v>
      </c>
      <c r="H28" s="21">
        <f>'Rubber FIN'!H28</f>
        <v>0.5</v>
      </c>
      <c r="I28" s="21">
        <f>'Rubber FIN'!I28</f>
        <v>0.5</v>
      </c>
      <c r="J28" s="21">
        <f>'Rubber FIN'!J28</f>
        <v>0.5</v>
      </c>
      <c r="K28" s="21">
        <f>'Rubber FIN'!K28</f>
        <v>0.5</v>
      </c>
      <c r="L28" s="21">
        <f>'Rubber FIN'!L28</f>
        <v>0.5</v>
      </c>
      <c r="M28" s="21">
        <f>'Rubber FIN'!M28</f>
        <v>0.5</v>
      </c>
      <c r="N28" s="21">
        <f>'Rubber FIN'!N28</f>
        <v>0.5</v>
      </c>
      <c r="O28" s="21">
        <f>'Rubber FIN'!O28</f>
        <v>0.5</v>
      </c>
      <c r="P28" s="21">
        <f>'Rubber FIN'!P28</f>
        <v>0.5</v>
      </c>
      <c r="Q28" s="21">
        <f>'Rubber FIN'!Q28</f>
        <v>0.5</v>
      </c>
      <c r="R28" s="21">
        <f>'Rubber FIN'!R28</f>
        <v>0.5</v>
      </c>
      <c r="S28" s="21">
        <f>'Rubber FIN'!S28</f>
        <v>0.5</v>
      </c>
      <c r="T28" s="21">
        <f>'Rubber FIN'!T28</f>
        <v>0.5</v>
      </c>
      <c r="U28" s="21">
        <f>'Rubber FIN'!U28</f>
        <v>0.5</v>
      </c>
      <c r="V28" s="21">
        <f>'Rubber FIN'!V28</f>
        <v>0.5</v>
      </c>
    </row>
    <row r="29" spans="1:22" x14ac:dyDescent="0.35">
      <c r="A29" t="s">
        <v>286</v>
      </c>
      <c r="B29" s="8" t="s">
        <v>10</v>
      </c>
      <c r="C29" s="5">
        <f>'Rubber FIN'!C29</f>
        <v>0</v>
      </c>
      <c r="D29" s="5">
        <f>'Rubber FIN'!D29</f>
        <v>0</v>
      </c>
      <c r="E29" s="5">
        <f>'Rubber FIN'!E29</f>
        <v>0</v>
      </c>
      <c r="F29" s="5">
        <f>'Rubber FIN'!F29</f>
        <v>0</v>
      </c>
      <c r="G29" s="5">
        <f>'Rubber FIN'!G29</f>
        <v>0</v>
      </c>
      <c r="H29" s="5">
        <f>'Rubber FIN'!H29</f>
        <v>0</v>
      </c>
      <c r="I29" s="5">
        <f>'Rubber FIN'!I29</f>
        <v>482.62548262548262</v>
      </c>
      <c r="J29" s="5">
        <f>'Rubber FIN'!J29</f>
        <v>482.62548262548262</v>
      </c>
      <c r="K29" s="5">
        <f>'Rubber FIN'!K29</f>
        <v>530.88803088803081</v>
      </c>
      <c r="L29" s="5">
        <f>'Rubber FIN'!L29</f>
        <v>530.88803088803081</v>
      </c>
      <c r="M29" s="5">
        <f>'Rubber FIN'!M29</f>
        <v>579.15057915057912</v>
      </c>
      <c r="N29" s="5">
        <f>'Rubber FIN'!N29</f>
        <v>579.15057915057912</v>
      </c>
      <c r="O29" s="5">
        <f>'Rubber FIN'!O29</f>
        <v>579.15057915057912</v>
      </c>
      <c r="P29" s="5">
        <f>'Rubber FIN'!P29</f>
        <v>579.15057915057912</v>
      </c>
      <c r="Q29" s="5">
        <f>'Rubber FIN'!Q29</f>
        <v>579.15057915057912</v>
      </c>
      <c r="R29" s="5">
        <f>'Rubber FIN'!R29</f>
        <v>579.15057915057912</v>
      </c>
      <c r="S29" s="5">
        <f>'Rubber FIN'!S29</f>
        <v>579.15057915057912</v>
      </c>
      <c r="T29" s="5">
        <f>'Rubber FIN'!T29</f>
        <v>579.15057915057912</v>
      </c>
      <c r="U29" s="5">
        <f>'Rubber FIN'!U29</f>
        <v>579.15057915057912</v>
      </c>
      <c r="V29" s="5">
        <f>'Rubber FIN'!V29</f>
        <v>579.15057915057912</v>
      </c>
    </row>
    <row r="30" spans="1:22" x14ac:dyDescent="0.35">
      <c r="A30" t="s">
        <v>291</v>
      </c>
      <c r="B30" s="8" t="s">
        <v>10</v>
      </c>
      <c r="C30" s="5">
        <f>'Rubber FIN'!C30</f>
        <v>0</v>
      </c>
      <c r="D30" s="5">
        <f>'Rubber FIN'!D30</f>
        <v>0</v>
      </c>
      <c r="E30" s="5">
        <f>'Rubber FIN'!E30</f>
        <v>0</v>
      </c>
      <c r="F30" s="5">
        <f>'Rubber FIN'!F30</f>
        <v>0</v>
      </c>
      <c r="G30" s="5">
        <f>'Rubber FIN'!G30</f>
        <v>0</v>
      </c>
      <c r="H30" s="5">
        <f>'Rubber FIN'!H30</f>
        <v>0</v>
      </c>
      <c r="I30" s="5">
        <f>'Rubber FIN'!I30</f>
        <v>482.62548262548262</v>
      </c>
      <c r="J30" s="5">
        <f>'Rubber FIN'!J30</f>
        <v>482.62548262548262</v>
      </c>
      <c r="K30" s="5">
        <f>'Rubber FIN'!K30</f>
        <v>530.88803088803081</v>
      </c>
      <c r="L30" s="5">
        <f>'Rubber FIN'!L30</f>
        <v>530.88803088803081</v>
      </c>
      <c r="M30" s="5">
        <f>'Rubber FIN'!M30</f>
        <v>579.15057915057912</v>
      </c>
      <c r="N30" s="5">
        <f>'Rubber FIN'!N30</f>
        <v>579.15057915057912</v>
      </c>
      <c r="O30" s="5">
        <f>'Rubber FIN'!O30</f>
        <v>579.15057915057912</v>
      </c>
      <c r="P30" s="5">
        <f>'Rubber FIN'!P30</f>
        <v>579.15057915057912</v>
      </c>
      <c r="Q30" s="5">
        <f>'Rubber FIN'!Q30</f>
        <v>579.15057915057912</v>
      </c>
      <c r="R30" s="5">
        <f>'Rubber FIN'!R30</f>
        <v>579.15057915057912</v>
      </c>
      <c r="S30" s="5">
        <f>'Rubber FIN'!S30</f>
        <v>579.15057915057912</v>
      </c>
      <c r="T30" s="5">
        <f>'Rubber FIN'!T30</f>
        <v>579.15057915057912</v>
      </c>
      <c r="U30" s="5">
        <f>'Rubber FIN'!U30</f>
        <v>579.15057915057912</v>
      </c>
      <c r="V30" s="5">
        <f>'Rubber FIN'!V30</f>
        <v>579.15057915057912</v>
      </c>
    </row>
    <row r="31" spans="1:22" x14ac:dyDescent="0.35">
      <c r="A31" t="s">
        <v>201</v>
      </c>
      <c r="B31" s="8" t="s">
        <v>42</v>
      </c>
      <c r="C31" s="5">
        <f>'Rubber FIN'!C31</f>
        <v>19.012753188297076</v>
      </c>
      <c r="D31" s="5">
        <f>'Rubber FIN'!D31</f>
        <v>19.012753188297076</v>
      </c>
      <c r="E31" s="5">
        <f>'Rubber FIN'!E31</f>
        <v>19.012753188297076</v>
      </c>
      <c r="F31" s="5">
        <f>'Rubber FIN'!F31</f>
        <v>19.012753188297076</v>
      </c>
      <c r="G31" s="5">
        <f>'Rubber FIN'!G31</f>
        <v>19.012753188297076</v>
      </c>
      <c r="H31" s="5">
        <f>'Rubber FIN'!H31</f>
        <v>19.012753188297076</v>
      </c>
      <c r="I31" s="5">
        <f>'Rubber FIN'!I31</f>
        <v>19.012753188297076</v>
      </c>
      <c r="J31" s="5">
        <f>'Rubber FIN'!J31</f>
        <v>19.012753188297076</v>
      </c>
      <c r="K31" s="5">
        <f>'Rubber FIN'!K31</f>
        <v>19.012753188297076</v>
      </c>
      <c r="L31" s="5">
        <f>'Rubber FIN'!L31</f>
        <v>19.012753188297076</v>
      </c>
      <c r="M31" s="5">
        <f>'Rubber FIN'!M31</f>
        <v>19.012753188297076</v>
      </c>
      <c r="N31" s="5">
        <f>'Rubber FIN'!N31</f>
        <v>19.012753188297076</v>
      </c>
      <c r="O31" s="5">
        <f>'Rubber FIN'!O31</f>
        <v>19.012753188297076</v>
      </c>
      <c r="P31" s="5">
        <f>'Rubber FIN'!P31</f>
        <v>19.012753188297076</v>
      </c>
      <c r="Q31" s="5">
        <f>'Rubber FIN'!Q31</f>
        <v>19.012753188297076</v>
      </c>
      <c r="R31" s="5">
        <f>'Rubber FIN'!R31</f>
        <v>19.012753188297076</v>
      </c>
      <c r="S31" s="5">
        <f>'Rubber FIN'!S31</f>
        <v>19.012753188297076</v>
      </c>
      <c r="T31" s="5">
        <f>'Rubber FIN'!T31</f>
        <v>19.012753188297076</v>
      </c>
      <c r="U31" s="5">
        <f>'Rubber FIN'!U31</f>
        <v>19.012753188297076</v>
      </c>
      <c r="V31" s="5">
        <f>'Rubber FIN'!V31</f>
        <v>19.012753188297076</v>
      </c>
    </row>
    <row r="32" spans="1:22" x14ac:dyDescent="0.35">
      <c r="A32" t="s">
        <v>290</v>
      </c>
      <c r="B32" s="8" t="s">
        <v>10</v>
      </c>
      <c r="C32" s="5">
        <f>'Rubber FIN'!C32</f>
        <v>237.65941485371343</v>
      </c>
      <c r="D32" s="5">
        <f>'Rubber FIN'!D32</f>
        <v>237.65941485371343</v>
      </c>
      <c r="E32" s="5">
        <f>'Rubber FIN'!E32</f>
        <v>237.65941485371343</v>
      </c>
      <c r="F32" s="5">
        <f>'Rubber FIN'!F32</f>
        <v>237.65941485371343</v>
      </c>
      <c r="G32" s="5">
        <f>'Rubber FIN'!G32</f>
        <v>237.65941485371343</v>
      </c>
      <c r="H32" s="5">
        <f>'Rubber FIN'!H32</f>
        <v>237.65941485371343</v>
      </c>
      <c r="I32" s="5">
        <f>'Rubber FIN'!I32</f>
        <v>237.65941485371343</v>
      </c>
      <c r="J32" s="5">
        <f>'Rubber FIN'!J32</f>
        <v>237.65941485371343</v>
      </c>
      <c r="K32" s="5">
        <f>'Rubber FIN'!K32</f>
        <v>237.65941485371343</v>
      </c>
      <c r="L32" s="5">
        <f>'Rubber FIN'!L32</f>
        <v>237.65941485371343</v>
      </c>
      <c r="M32" s="5">
        <f>'Rubber FIN'!M32</f>
        <v>237.65941485371343</v>
      </c>
      <c r="N32" s="5">
        <f>'Rubber FIN'!N32</f>
        <v>237.65941485371343</v>
      </c>
      <c r="O32" s="5">
        <f>'Rubber FIN'!O32</f>
        <v>237.65941485371343</v>
      </c>
      <c r="P32" s="5">
        <f>'Rubber FIN'!P32</f>
        <v>237.65941485371343</v>
      </c>
      <c r="Q32" s="5">
        <f>'Rubber FIN'!Q32</f>
        <v>237.65941485371343</v>
      </c>
      <c r="R32" s="5">
        <f>'Rubber FIN'!R32</f>
        <v>237.65941485371343</v>
      </c>
      <c r="S32" s="5">
        <f>'Rubber FIN'!S32</f>
        <v>237.65941485371343</v>
      </c>
      <c r="T32" s="5">
        <f>'Rubber FIN'!T32</f>
        <v>237.65941485371343</v>
      </c>
      <c r="U32" s="5">
        <f>'Rubber FIN'!U32</f>
        <v>237.65941485371343</v>
      </c>
      <c r="V32" s="5">
        <f>'Rubber FIN'!V32</f>
        <v>237.65941485371343</v>
      </c>
    </row>
    <row r="33" spans="1:22" x14ac:dyDescent="0.35">
      <c r="A33" t="s">
        <v>292</v>
      </c>
      <c r="B33" s="8" t="s">
        <v>42</v>
      </c>
      <c r="C33" s="5">
        <f>'Rubber FIN'!C33</f>
        <v>2.3765941485371345</v>
      </c>
      <c r="D33" s="5">
        <f>'Rubber FIN'!D33</f>
        <v>2.3765941485371345</v>
      </c>
      <c r="E33" s="5">
        <f>'Rubber FIN'!E33</f>
        <v>2.3765941485371345</v>
      </c>
      <c r="F33" s="5">
        <f>'Rubber FIN'!F33</f>
        <v>2.3765941485371345</v>
      </c>
      <c r="G33" s="5">
        <f>'Rubber FIN'!G33</f>
        <v>2.3765941485371345</v>
      </c>
      <c r="H33" s="5">
        <f>'Rubber FIN'!H33</f>
        <v>2.3765941485371345</v>
      </c>
      <c r="I33" s="5">
        <f>'Rubber FIN'!I33</f>
        <v>2.3765941485371345</v>
      </c>
      <c r="J33" s="5">
        <f>'Rubber FIN'!J33</f>
        <v>2.3765941485371345</v>
      </c>
      <c r="K33" s="5">
        <f>'Rubber FIN'!K33</f>
        <v>2.3765941485371345</v>
      </c>
      <c r="L33" s="5">
        <f>'Rubber FIN'!L33</f>
        <v>2.3765941485371345</v>
      </c>
      <c r="M33" s="5">
        <f>'Rubber FIN'!M33</f>
        <v>2.3765941485371345</v>
      </c>
      <c r="N33" s="5">
        <f>'Rubber FIN'!N33</f>
        <v>2.3765941485371345</v>
      </c>
      <c r="O33" s="5">
        <f>'Rubber FIN'!O33</f>
        <v>2.3765941485371345</v>
      </c>
      <c r="P33" s="5">
        <f>'Rubber FIN'!P33</f>
        <v>2.3765941485371345</v>
      </c>
      <c r="Q33" s="5">
        <f>'Rubber FIN'!Q33</f>
        <v>2.3765941485371345</v>
      </c>
      <c r="R33" s="5">
        <f>'Rubber FIN'!R33</f>
        <v>2.3765941485371345</v>
      </c>
      <c r="S33" s="5">
        <f>'Rubber FIN'!S33</f>
        <v>2.3765941485371345</v>
      </c>
      <c r="T33" s="5">
        <f>'Rubber FIN'!T33</f>
        <v>2.3765941485371345</v>
      </c>
      <c r="U33" s="5">
        <f>'Rubber FIN'!U33</f>
        <v>2.3765941485371345</v>
      </c>
      <c r="V33" s="5">
        <f>'Rubber FIN'!V33</f>
        <v>2.3765941485371345</v>
      </c>
    </row>
    <row r="34" spans="1:22" x14ac:dyDescent="0.35">
      <c r="A34" t="s">
        <v>294</v>
      </c>
      <c r="B34" s="8" t="s">
        <v>10</v>
      </c>
      <c r="C34" s="5">
        <f>'Rubber FIN'!C34</f>
        <v>237.65941485371343</v>
      </c>
      <c r="D34" s="5">
        <f>'Rubber FIN'!D34</f>
        <v>237.65941485371343</v>
      </c>
      <c r="E34" s="5">
        <f>'Rubber FIN'!E34</f>
        <v>237.65941485371343</v>
      </c>
      <c r="F34" s="5">
        <f>'Rubber FIN'!F34</f>
        <v>237.65941485371343</v>
      </c>
      <c r="G34" s="5">
        <f>'Rubber FIN'!G34</f>
        <v>237.65941485371343</v>
      </c>
      <c r="H34" s="5">
        <f>'Rubber FIN'!H34</f>
        <v>237.65941485371343</v>
      </c>
      <c r="I34" s="5">
        <f>'Rubber FIN'!I34</f>
        <v>237.65941485371343</v>
      </c>
      <c r="J34" s="5">
        <f>'Rubber FIN'!J34</f>
        <v>237.65941485371343</v>
      </c>
      <c r="K34" s="5">
        <f>'Rubber FIN'!K34</f>
        <v>237.65941485371343</v>
      </c>
      <c r="L34" s="5">
        <f>'Rubber FIN'!L34</f>
        <v>237.65941485371343</v>
      </c>
      <c r="M34" s="5">
        <f>'Rubber FIN'!M34</f>
        <v>237.65941485371343</v>
      </c>
      <c r="N34" s="5">
        <f>'Rubber FIN'!N34</f>
        <v>237.65941485371343</v>
      </c>
      <c r="O34" s="5">
        <f>'Rubber FIN'!O34</f>
        <v>237.65941485371343</v>
      </c>
      <c r="P34" s="5">
        <f>'Rubber FIN'!P34</f>
        <v>237.65941485371343</v>
      </c>
      <c r="Q34" s="5">
        <f>'Rubber FIN'!Q34</f>
        <v>237.65941485371343</v>
      </c>
      <c r="R34" s="5">
        <f>'Rubber FIN'!R34</f>
        <v>237.65941485371343</v>
      </c>
      <c r="S34" s="5">
        <f>'Rubber FIN'!S34</f>
        <v>237.65941485371343</v>
      </c>
      <c r="T34" s="5">
        <f>'Rubber FIN'!T34</f>
        <v>237.65941485371343</v>
      </c>
      <c r="U34" s="5">
        <f>'Rubber FIN'!U34</f>
        <v>237.65941485371343</v>
      </c>
      <c r="V34" s="5">
        <f>'Rubber FIN'!V34</f>
        <v>237.65941485371343</v>
      </c>
    </row>
    <row r="35" spans="1:22" x14ac:dyDescent="0.35">
      <c r="B35" s="8"/>
      <c r="D35" s="5"/>
    </row>
    <row r="36" spans="1:22" x14ac:dyDescent="0.35">
      <c r="A36" t="s">
        <v>16</v>
      </c>
      <c r="B36" s="8"/>
    </row>
    <row r="37" spans="1:22" x14ac:dyDescent="0.35">
      <c r="A37" t="s">
        <v>259</v>
      </c>
      <c r="B37" s="8" t="s">
        <v>11</v>
      </c>
      <c r="C37" s="5">
        <f>'Rubber FIN'!C37</f>
        <v>107.14285714285714</v>
      </c>
      <c r="D37" s="5">
        <f>'Rubber FIN'!D37</f>
        <v>21.428571428571431</v>
      </c>
    </row>
    <row r="38" spans="1:22" x14ac:dyDescent="0.35">
      <c r="A38" t="s">
        <v>272</v>
      </c>
      <c r="B38" s="8" t="s">
        <v>10</v>
      </c>
      <c r="C38" s="21">
        <f>'Rubber FIN'!C38</f>
        <v>0.2</v>
      </c>
    </row>
    <row r="39" spans="1:22" x14ac:dyDescent="0.35">
      <c r="A39" t="s">
        <v>427</v>
      </c>
      <c r="B39" s="8" t="s">
        <v>10</v>
      </c>
      <c r="C39" s="5">
        <f>'Rubber FIN'!C39</f>
        <v>13.392857142857142</v>
      </c>
      <c r="D39" s="5">
        <f>'Rubber FIN'!D39</f>
        <v>13.392857142857142</v>
      </c>
      <c r="E39" s="5">
        <f>'Rubber FIN'!E39</f>
        <v>18.75</v>
      </c>
    </row>
    <row r="40" spans="1:22" x14ac:dyDescent="0.35">
      <c r="A40" t="s">
        <v>133</v>
      </c>
      <c r="B40" s="8" t="s">
        <v>10</v>
      </c>
      <c r="C40" s="5">
        <f>'Rubber FIN'!C40</f>
        <v>11.785714285714285</v>
      </c>
      <c r="D40" s="5">
        <f>'Rubber FIN'!D40</f>
        <v>11.785714285714285</v>
      </c>
      <c r="E40" s="5">
        <f>'Rubber FIN'!E40</f>
        <v>16.178571428571427</v>
      </c>
    </row>
    <row r="41" spans="1:22" x14ac:dyDescent="0.35">
      <c r="A41" t="s">
        <v>269</v>
      </c>
      <c r="B41" s="8" t="s">
        <v>10</v>
      </c>
      <c r="C41" s="5">
        <f>'Rubber FIN'!C41</f>
        <v>14.785714285714285</v>
      </c>
      <c r="D41" s="5">
        <f>'Rubber FIN'!D41</f>
        <v>11.25</v>
      </c>
      <c r="E41" s="5">
        <f>'Rubber FIN'!E41</f>
        <v>11.25</v>
      </c>
      <c r="F41" s="5">
        <f>'Rubber FIN'!F41</f>
        <v>11.25</v>
      </c>
      <c r="G41" s="5">
        <f>'Rubber FIN'!G41</f>
        <v>11.25</v>
      </c>
      <c r="H41" s="5">
        <f>'Rubber FIN'!H41</f>
        <v>11.25</v>
      </c>
      <c r="I41" s="5">
        <f>'Rubber FIN'!I41</f>
        <v>11.25</v>
      </c>
      <c r="J41" s="5">
        <f>'Rubber FIN'!J41</f>
        <v>11.25</v>
      </c>
      <c r="K41" s="5">
        <f>'Rubber FIN'!K41</f>
        <v>11.25</v>
      </c>
      <c r="L41" s="5">
        <f>'Rubber FIN'!L41</f>
        <v>11.25</v>
      </c>
      <c r="M41" s="5">
        <f>'Rubber FIN'!M41</f>
        <v>11.25</v>
      </c>
      <c r="N41" s="5">
        <f>'Rubber FIN'!N41</f>
        <v>11.25</v>
      </c>
      <c r="O41" s="5">
        <f>'Rubber FIN'!O41</f>
        <v>11.25</v>
      </c>
      <c r="P41" s="5">
        <f>'Rubber FIN'!P41</f>
        <v>11.25</v>
      </c>
      <c r="Q41" s="5">
        <f>'Rubber FIN'!Q41</f>
        <v>11.25</v>
      </c>
      <c r="R41" s="5">
        <f>'Rubber FIN'!R41</f>
        <v>11.25</v>
      </c>
      <c r="S41" s="5">
        <f>'Rubber FIN'!S41</f>
        <v>11.25</v>
      </c>
      <c r="T41" s="5">
        <f>'Rubber FIN'!T41</f>
        <v>11.25</v>
      </c>
      <c r="U41" s="5">
        <f>'Rubber FIN'!U41</f>
        <v>11.25</v>
      </c>
      <c r="V41" s="5">
        <f>'Rubber FIN'!V41</f>
        <v>11.25</v>
      </c>
    </row>
    <row r="42" spans="1:22" x14ac:dyDescent="0.35">
      <c r="A42" t="s">
        <v>276</v>
      </c>
      <c r="B42" s="8" t="s">
        <v>279</v>
      </c>
      <c r="C42" s="5"/>
      <c r="D42" s="5"/>
      <c r="E42" s="5">
        <f>'Rubber FIN'!E42</f>
        <v>107.14285714285714</v>
      </c>
      <c r="F42" s="5">
        <f>'Rubber FIN'!F42</f>
        <v>107.14285714285714</v>
      </c>
      <c r="G42" s="5">
        <f>'Rubber FIN'!G42</f>
        <v>107.14285714285714</v>
      </c>
      <c r="H42" s="5">
        <f>'Rubber FIN'!H42</f>
        <v>107.14285714285714</v>
      </c>
      <c r="I42" s="5">
        <f>'Rubber FIN'!I42</f>
        <v>107.14285714285714</v>
      </c>
      <c r="J42" s="5">
        <f>'Rubber FIN'!J42</f>
        <v>107.14285714285714</v>
      </c>
      <c r="K42" s="5">
        <f>'Rubber FIN'!K42</f>
        <v>107.14285714285714</v>
      </c>
      <c r="L42" s="5">
        <f>'Rubber FIN'!L42</f>
        <v>107.14285714285714</v>
      </c>
      <c r="M42" s="5">
        <f>'Rubber FIN'!M42</f>
        <v>107.14285714285714</v>
      </c>
      <c r="N42" s="5">
        <f>'Rubber FIN'!N42</f>
        <v>107.14285714285714</v>
      </c>
      <c r="O42" s="5">
        <f>'Rubber FIN'!O42</f>
        <v>107.14285714285714</v>
      </c>
      <c r="P42" s="5">
        <f>'Rubber FIN'!P42</f>
        <v>107.14285714285714</v>
      </c>
      <c r="Q42" s="5">
        <f>'Rubber FIN'!Q42</f>
        <v>107.14285714285714</v>
      </c>
      <c r="R42" s="5">
        <f>'Rubber FIN'!R42</f>
        <v>107.14285714285714</v>
      </c>
      <c r="S42" s="5">
        <f>'Rubber FIN'!S42</f>
        <v>107.14285714285714</v>
      </c>
      <c r="T42" s="5">
        <f>'Rubber FIN'!T42</f>
        <v>107.14285714285714</v>
      </c>
      <c r="U42" s="5">
        <f>'Rubber FIN'!U42</f>
        <v>107.14285714285714</v>
      </c>
      <c r="V42" s="5">
        <f>'Rubber FIN'!V42</f>
        <v>107.14285714285714</v>
      </c>
    </row>
    <row r="43" spans="1:22" x14ac:dyDescent="0.35">
      <c r="A43" t="s">
        <v>280</v>
      </c>
      <c r="B43" s="8" t="s">
        <v>11</v>
      </c>
      <c r="C43" s="5"/>
      <c r="D43" s="5"/>
      <c r="E43" s="5"/>
      <c r="F43" s="5"/>
      <c r="G43" s="5"/>
      <c r="H43" s="5"/>
      <c r="I43" s="5">
        <f>'Rubber FIN'!I43</f>
        <v>107.14285714285714</v>
      </c>
      <c r="J43" s="5"/>
      <c r="K43" s="5"/>
      <c r="L43" s="5"/>
      <c r="M43" s="5"/>
      <c r="N43" s="5">
        <f>'Rubber FIN'!N43</f>
        <v>107.14285714285714</v>
      </c>
      <c r="O43" s="5">
        <f>'Rubber FIN'!O43</f>
        <v>0</v>
      </c>
      <c r="P43" s="5">
        <f>'Rubber FIN'!P43</f>
        <v>0</v>
      </c>
      <c r="Q43" s="5">
        <f>'Rubber FIN'!Q43</f>
        <v>0</v>
      </c>
      <c r="R43" s="5">
        <f>'Rubber FIN'!R43</f>
        <v>0</v>
      </c>
      <c r="S43" s="5">
        <f>'Rubber FIN'!S43</f>
        <v>107.14285714285714</v>
      </c>
      <c r="T43" s="5">
        <f>'Rubber FIN'!T43</f>
        <v>0</v>
      </c>
      <c r="U43" s="5">
        <f>'Rubber FIN'!U43</f>
        <v>0</v>
      </c>
      <c r="V43" s="5">
        <f>'Rubber FIN'!V43</f>
        <v>0</v>
      </c>
    </row>
    <row r="44" spans="1:22" x14ac:dyDescent="0.35">
      <c r="A44" t="s">
        <v>283</v>
      </c>
      <c r="B44" s="8" t="s">
        <v>11</v>
      </c>
      <c r="C44" s="5"/>
      <c r="D44" s="5"/>
      <c r="E44" s="5"/>
      <c r="F44" s="5"/>
      <c r="G44" s="5"/>
      <c r="H44" s="5"/>
      <c r="I44" s="5">
        <f>'Rubber FIN'!I44</f>
        <v>107.14285714285714</v>
      </c>
      <c r="J44" s="5"/>
      <c r="K44" s="5"/>
      <c r="L44" s="5"/>
      <c r="M44" s="5"/>
      <c r="N44" s="5">
        <f>'Rubber FIN'!N44</f>
        <v>107.14285714285714</v>
      </c>
      <c r="O44" s="5">
        <f>'Rubber FIN'!O44</f>
        <v>0</v>
      </c>
      <c r="P44" s="5">
        <f>'Rubber FIN'!P44</f>
        <v>0</v>
      </c>
      <c r="Q44" s="5">
        <f>'Rubber FIN'!Q44</f>
        <v>0</v>
      </c>
      <c r="R44" s="5">
        <f>'Rubber FIN'!R44</f>
        <v>0</v>
      </c>
      <c r="S44" s="5">
        <f>'Rubber FIN'!S44</f>
        <v>107.14285714285714</v>
      </c>
      <c r="T44" s="5">
        <f>'Rubber FIN'!T44</f>
        <v>0</v>
      </c>
      <c r="U44" s="5">
        <f>'Rubber FIN'!U44</f>
        <v>0</v>
      </c>
      <c r="V44" s="5">
        <f>'Rubber FIN'!V44</f>
        <v>0</v>
      </c>
    </row>
    <row r="45" spans="1:22" x14ac:dyDescent="0.35">
      <c r="A45" t="s">
        <v>289</v>
      </c>
      <c r="B45" s="8" t="s">
        <v>11</v>
      </c>
      <c r="C45" s="5"/>
      <c r="D45" s="5"/>
      <c r="E45" s="5"/>
      <c r="F45" s="5"/>
      <c r="G45" s="5"/>
      <c r="H45" s="5"/>
      <c r="I45" s="5">
        <f>'Rubber FIN'!I45</f>
        <v>107.14285714285714</v>
      </c>
      <c r="J45" s="5"/>
      <c r="K45" s="5"/>
      <c r="L45" s="5"/>
      <c r="M45" s="5"/>
      <c r="N45" s="5">
        <f>'Rubber FIN'!N45</f>
        <v>107.14285714285714</v>
      </c>
      <c r="O45" s="5">
        <f>'Rubber FIN'!O45</f>
        <v>0</v>
      </c>
      <c r="P45" s="5">
        <f>'Rubber FIN'!P45</f>
        <v>0</v>
      </c>
      <c r="Q45" s="5">
        <f>'Rubber FIN'!Q45</f>
        <v>0</v>
      </c>
      <c r="R45" s="5">
        <f>'Rubber FIN'!R45</f>
        <v>0</v>
      </c>
      <c r="S45" s="5">
        <f>'Rubber FIN'!S45</f>
        <v>107.14285714285714</v>
      </c>
      <c r="T45" s="5">
        <f>'Rubber FIN'!T45</f>
        <v>0</v>
      </c>
      <c r="U45" s="5">
        <f>'Rubber FIN'!U45</f>
        <v>0</v>
      </c>
      <c r="V45" s="5">
        <f>'Rubber FIN'!V45</f>
        <v>0</v>
      </c>
    </row>
    <row r="46" spans="1:22" x14ac:dyDescent="0.35">
      <c r="A46" t="s">
        <v>288</v>
      </c>
      <c r="B46" s="8" t="s">
        <v>11</v>
      </c>
      <c r="C46" s="5"/>
      <c r="D46" s="5"/>
      <c r="E46" s="5"/>
      <c r="F46" s="5"/>
      <c r="G46" s="5"/>
      <c r="H46" s="5"/>
      <c r="I46" s="5">
        <f>'Rubber FIN'!I46</f>
        <v>107.14285714285714</v>
      </c>
      <c r="J46" s="5"/>
      <c r="K46" s="5"/>
      <c r="L46" s="5"/>
      <c r="M46" s="5"/>
      <c r="N46" s="5">
        <f>'Rubber FIN'!N46</f>
        <v>107.14285714285714</v>
      </c>
      <c r="O46" s="5">
        <f>'Rubber FIN'!O46</f>
        <v>0</v>
      </c>
      <c r="P46" s="5">
        <f>'Rubber FIN'!P46</f>
        <v>0</v>
      </c>
      <c r="Q46" s="5">
        <f>'Rubber FIN'!Q46</f>
        <v>0</v>
      </c>
      <c r="R46" s="5">
        <f>'Rubber FIN'!R46</f>
        <v>0</v>
      </c>
      <c r="S46" s="5">
        <f>'Rubber FIN'!S46</f>
        <v>107.14285714285714</v>
      </c>
      <c r="T46" s="5">
        <f>'Rubber FIN'!T46</f>
        <v>0</v>
      </c>
      <c r="U46" s="5">
        <f>'Rubber FIN'!U46</f>
        <v>0</v>
      </c>
      <c r="V46" s="5">
        <f>'Rubber FIN'!V46</f>
        <v>0</v>
      </c>
    </row>
    <row r="47" spans="1:22" x14ac:dyDescent="0.35">
      <c r="A47" t="s">
        <v>293</v>
      </c>
      <c r="B47" s="8" t="s">
        <v>11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</row>
    <row r="48" spans="1:22" x14ac:dyDescent="0.35">
      <c r="B48" s="8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</row>
    <row r="49" spans="1:23" x14ac:dyDescent="0.35">
      <c r="A49" t="s">
        <v>6</v>
      </c>
      <c r="B49" s="8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</row>
    <row r="50" spans="1:23" x14ac:dyDescent="0.35">
      <c r="A50" t="s">
        <v>252</v>
      </c>
      <c r="B50" s="54" t="s">
        <v>10</v>
      </c>
      <c r="C50" s="59"/>
      <c r="D50" s="59"/>
      <c r="E50" s="59"/>
      <c r="F50" s="59"/>
      <c r="G50" s="59"/>
      <c r="H50" s="59"/>
      <c r="I50" s="5">
        <f>'Rubber FIN'!I50</f>
        <v>482.62548262548262</v>
      </c>
      <c r="J50" s="5">
        <f>'Rubber FIN'!J50</f>
        <v>482.62548262548262</v>
      </c>
      <c r="K50" s="5">
        <f>'Rubber FIN'!K50</f>
        <v>530.88803088803081</v>
      </c>
      <c r="L50" s="5">
        <f>'Rubber FIN'!L50</f>
        <v>530.88803088803081</v>
      </c>
      <c r="M50" s="5">
        <f>'Rubber FIN'!M50</f>
        <v>579.15057915057912</v>
      </c>
      <c r="N50" s="5">
        <f>'Rubber FIN'!N50</f>
        <v>579.15057915057912</v>
      </c>
      <c r="O50" s="5">
        <f>'Rubber FIN'!O50</f>
        <v>579.15057915057912</v>
      </c>
      <c r="P50" s="5">
        <f>'Rubber FIN'!P50</f>
        <v>579.15057915057912</v>
      </c>
      <c r="Q50" s="5">
        <f>'Rubber FIN'!Q50</f>
        <v>579.15057915057912</v>
      </c>
      <c r="R50" s="5">
        <f>'Rubber FIN'!R50</f>
        <v>579.15057915057912</v>
      </c>
      <c r="S50" s="5">
        <f>'Rubber FIN'!S50</f>
        <v>579.15057915057912</v>
      </c>
      <c r="T50" s="5">
        <f>'Rubber FIN'!T50</f>
        <v>579.15057915057912</v>
      </c>
      <c r="U50" s="5">
        <f>'Rubber FIN'!U50</f>
        <v>579.15057915057912</v>
      </c>
      <c r="V50" s="5">
        <f>'Rubber FIN'!V50</f>
        <v>579.15057915057912</v>
      </c>
      <c r="W50" s="5"/>
    </row>
    <row r="51" spans="1:23" x14ac:dyDescent="0.35">
      <c r="A51" s="11" t="s">
        <v>186</v>
      </c>
      <c r="B51" s="64" t="s">
        <v>10</v>
      </c>
      <c r="C51" s="73">
        <f>'Rubber FIN'!C51</f>
        <v>237.65941485371343</v>
      </c>
      <c r="D51" s="74">
        <f>'Rubber FIN'!D51</f>
        <v>237.65941485371343</v>
      </c>
      <c r="E51" s="74">
        <f>'Rubber FIN'!E51</f>
        <v>237.65941485371343</v>
      </c>
      <c r="F51" s="74">
        <f>'Rubber FIN'!F51</f>
        <v>237.65941485371343</v>
      </c>
      <c r="G51" s="74">
        <f>'Rubber FIN'!G51</f>
        <v>237.65941485371343</v>
      </c>
      <c r="H51" s="74">
        <f>'Rubber FIN'!H51</f>
        <v>237.65941485371343</v>
      </c>
      <c r="I51" s="74">
        <f>'Rubber FIN'!I51</f>
        <v>237.65941485371343</v>
      </c>
      <c r="J51" s="74">
        <f>'Rubber FIN'!J51</f>
        <v>237.65941485371343</v>
      </c>
      <c r="K51" s="74">
        <f>'Rubber FIN'!K51</f>
        <v>237.65941485371343</v>
      </c>
      <c r="L51" s="74">
        <f>'Rubber FIN'!L51</f>
        <v>237.65941485371343</v>
      </c>
      <c r="M51" s="74">
        <f>'Rubber FIN'!M51</f>
        <v>237.65941485371343</v>
      </c>
      <c r="N51" s="74">
        <f>'Rubber FIN'!N51</f>
        <v>237.65941485371343</v>
      </c>
      <c r="O51" s="74">
        <f>'Rubber FIN'!O51</f>
        <v>237.65941485371343</v>
      </c>
      <c r="P51" s="74">
        <f>'Rubber FIN'!P51</f>
        <v>237.65941485371343</v>
      </c>
      <c r="Q51" s="74">
        <f>'Rubber FIN'!Q51</f>
        <v>237.65941485371343</v>
      </c>
      <c r="R51" s="74">
        <f>'Rubber FIN'!R51</f>
        <v>237.65941485371343</v>
      </c>
      <c r="S51" s="74">
        <f>'Rubber FIN'!S51</f>
        <v>237.65941485371343</v>
      </c>
      <c r="T51" s="74">
        <f>'Rubber FIN'!T51</f>
        <v>237.65941485371343</v>
      </c>
      <c r="U51" s="74">
        <f>'Rubber FIN'!U51</f>
        <v>237.65941485371343</v>
      </c>
      <c r="V51" s="74">
        <f>'Rubber FIN'!V51</f>
        <v>237.65941485371343</v>
      </c>
      <c r="W51" s="5"/>
    </row>
    <row r="53" spans="1:23" x14ac:dyDescent="0.35">
      <c r="A53" s="68" t="s">
        <v>303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</row>
    <row r="54" spans="1:23" x14ac:dyDescent="0.35">
      <c r="A54" s="12" t="s">
        <v>302</v>
      </c>
      <c r="B54" s="10" t="s">
        <v>12</v>
      </c>
      <c r="C54" s="11" t="s">
        <v>399</v>
      </c>
      <c r="D54" s="11" t="s">
        <v>400</v>
      </c>
      <c r="E54" s="11" t="s">
        <v>401</v>
      </c>
      <c r="F54" s="11" t="s">
        <v>402</v>
      </c>
      <c r="G54" s="11" t="s">
        <v>403</v>
      </c>
      <c r="H54" s="11" t="s">
        <v>404</v>
      </c>
      <c r="I54" s="11" t="s">
        <v>405</v>
      </c>
      <c r="J54" s="11" t="s">
        <v>406</v>
      </c>
      <c r="K54" s="11" t="s">
        <v>407</v>
      </c>
      <c r="L54" s="11" t="s">
        <v>408</v>
      </c>
      <c r="M54" s="11" t="s">
        <v>409</v>
      </c>
      <c r="N54" s="11" t="s">
        <v>410</v>
      </c>
      <c r="O54" s="11" t="s">
        <v>411</v>
      </c>
      <c r="P54" s="11" t="s">
        <v>412</v>
      </c>
      <c r="Q54" s="11" t="s">
        <v>413</v>
      </c>
      <c r="R54" s="11" t="s">
        <v>414</v>
      </c>
      <c r="S54" s="11" t="s">
        <v>415</v>
      </c>
      <c r="T54" s="11" t="s">
        <v>416</v>
      </c>
      <c r="U54" s="11" t="s">
        <v>417</v>
      </c>
      <c r="V54" s="11" t="s">
        <v>418</v>
      </c>
    </row>
    <row r="55" spans="1:23" x14ac:dyDescent="0.35">
      <c r="A55" s="6" t="s">
        <v>2</v>
      </c>
      <c r="B55" s="8"/>
    </row>
    <row r="56" spans="1:23" x14ac:dyDescent="0.35">
      <c r="A56" t="str">
        <f t="shared" ref="A56:A77" si="0">A13</f>
        <v xml:space="preserve">  Undergrowth clearing</v>
      </c>
      <c r="B56" s="13">
        <f>'Prices &amp; assums'!D10</f>
        <v>28080</v>
      </c>
      <c r="C56" s="2">
        <f t="shared" ref="C56:V68" si="1">$B56*C13</f>
        <v>5896.8</v>
      </c>
      <c r="D56" s="2">
        <f t="shared" si="1"/>
        <v>0</v>
      </c>
      <c r="E56" s="2">
        <f t="shared" si="1"/>
        <v>0</v>
      </c>
      <c r="F56" s="2">
        <f t="shared" si="1"/>
        <v>0</v>
      </c>
      <c r="G56" s="2">
        <f t="shared" si="1"/>
        <v>0</v>
      </c>
      <c r="H56" s="2">
        <f t="shared" si="1"/>
        <v>0</v>
      </c>
      <c r="I56" s="2">
        <f t="shared" si="1"/>
        <v>0</v>
      </c>
      <c r="J56" s="2">
        <f t="shared" si="1"/>
        <v>0</v>
      </c>
      <c r="K56" s="2">
        <f t="shared" si="1"/>
        <v>0</v>
      </c>
      <c r="L56" s="2">
        <f t="shared" si="1"/>
        <v>0</v>
      </c>
      <c r="M56" s="2">
        <f t="shared" si="1"/>
        <v>0</v>
      </c>
      <c r="N56" s="2">
        <f t="shared" si="1"/>
        <v>0</v>
      </c>
      <c r="O56" s="2">
        <f t="shared" si="1"/>
        <v>0</v>
      </c>
      <c r="P56" s="2">
        <f t="shared" si="1"/>
        <v>0</v>
      </c>
      <c r="Q56" s="2">
        <f t="shared" si="1"/>
        <v>0</v>
      </c>
      <c r="R56" s="2">
        <f t="shared" si="1"/>
        <v>0</v>
      </c>
      <c r="S56" s="2">
        <f t="shared" si="1"/>
        <v>0</v>
      </c>
      <c r="T56" s="2">
        <f t="shared" si="1"/>
        <v>0</v>
      </c>
      <c r="U56" s="2">
        <f t="shared" si="1"/>
        <v>0</v>
      </c>
      <c r="V56" s="2">
        <f t="shared" si="1"/>
        <v>0</v>
      </c>
    </row>
    <row r="57" spans="1:23" x14ac:dyDescent="0.35">
      <c r="A57" t="str">
        <f t="shared" si="0"/>
        <v xml:space="preserve">  Cutting old trees</v>
      </c>
      <c r="B57" s="13">
        <f>'Prices &amp; assums'!D11</f>
        <v>46800</v>
      </c>
      <c r="C57" s="2">
        <f t="shared" si="1"/>
        <v>9828</v>
      </c>
      <c r="D57" s="2">
        <f t="shared" si="1"/>
        <v>0</v>
      </c>
      <c r="E57" s="2">
        <f t="shared" si="1"/>
        <v>0</v>
      </c>
      <c r="F57" s="2">
        <f t="shared" si="1"/>
        <v>0</v>
      </c>
      <c r="G57" s="2">
        <f t="shared" si="1"/>
        <v>0</v>
      </c>
      <c r="H57" s="2">
        <f t="shared" si="1"/>
        <v>0</v>
      </c>
      <c r="I57" s="2">
        <f t="shared" si="1"/>
        <v>0</v>
      </c>
      <c r="J57" s="2">
        <f t="shared" si="1"/>
        <v>0</v>
      </c>
      <c r="K57" s="2">
        <f t="shared" si="1"/>
        <v>0</v>
      </c>
      <c r="L57" s="2">
        <f t="shared" si="1"/>
        <v>0</v>
      </c>
      <c r="M57" s="2">
        <f t="shared" si="1"/>
        <v>0</v>
      </c>
      <c r="N57" s="2">
        <f t="shared" si="1"/>
        <v>0</v>
      </c>
      <c r="O57" s="2">
        <f t="shared" si="1"/>
        <v>0</v>
      </c>
      <c r="P57" s="2">
        <f t="shared" si="1"/>
        <v>0</v>
      </c>
      <c r="Q57" s="2">
        <f t="shared" si="1"/>
        <v>0</v>
      </c>
      <c r="R57" s="2">
        <f t="shared" si="1"/>
        <v>0</v>
      </c>
      <c r="S57" s="2">
        <f t="shared" si="1"/>
        <v>0</v>
      </c>
      <c r="T57" s="2">
        <f t="shared" si="1"/>
        <v>0</v>
      </c>
      <c r="U57" s="2">
        <f t="shared" si="1"/>
        <v>0</v>
      </c>
      <c r="V57" s="2">
        <f t="shared" si="1"/>
        <v>0</v>
      </c>
    </row>
    <row r="58" spans="1:23" x14ac:dyDescent="0.35">
      <c r="A58" t="str">
        <f t="shared" si="0"/>
        <v xml:space="preserve">  Transport of seedlings</v>
      </c>
      <c r="B58" s="13">
        <f>'Prices &amp; assums'!D27</f>
        <v>6.93</v>
      </c>
      <c r="C58" s="2">
        <f t="shared" si="1"/>
        <v>742.49999999999989</v>
      </c>
      <c r="D58" s="2">
        <f t="shared" si="1"/>
        <v>0</v>
      </c>
      <c r="E58" s="2">
        <f t="shared" si="1"/>
        <v>0</v>
      </c>
      <c r="F58" s="2">
        <f t="shared" si="1"/>
        <v>0</v>
      </c>
      <c r="G58" s="2">
        <f t="shared" si="1"/>
        <v>0</v>
      </c>
      <c r="H58" s="2">
        <f t="shared" si="1"/>
        <v>0</v>
      </c>
      <c r="I58" s="2">
        <f t="shared" si="1"/>
        <v>0</v>
      </c>
      <c r="J58" s="2">
        <f t="shared" si="1"/>
        <v>0</v>
      </c>
      <c r="K58" s="2">
        <f t="shared" si="1"/>
        <v>0</v>
      </c>
      <c r="L58" s="2">
        <f t="shared" si="1"/>
        <v>0</v>
      </c>
      <c r="M58" s="2">
        <f t="shared" si="1"/>
        <v>0</v>
      </c>
      <c r="N58" s="2">
        <f t="shared" si="1"/>
        <v>0</v>
      </c>
      <c r="O58" s="2">
        <f t="shared" si="1"/>
        <v>0</v>
      </c>
      <c r="P58" s="2">
        <f t="shared" si="1"/>
        <v>0</v>
      </c>
      <c r="Q58" s="2">
        <f t="shared" si="1"/>
        <v>0</v>
      </c>
      <c r="R58" s="2">
        <f t="shared" si="1"/>
        <v>0</v>
      </c>
      <c r="S58" s="2">
        <f t="shared" si="1"/>
        <v>0</v>
      </c>
      <c r="T58" s="2">
        <f t="shared" si="1"/>
        <v>0</v>
      </c>
      <c r="U58" s="2">
        <f t="shared" si="1"/>
        <v>0</v>
      </c>
      <c r="V58" s="2">
        <f t="shared" si="1"/>
        <v>0</v>
      </c>
    </row>
    <row r="59" spans="1:23" x14ac:dyDescent="0.35">
      <c r="A59" t="str">
        <f t="shared" si="0"/>
        <v xml:space="preserve">  Marking out</v>
      </c>
      <c r="B59" s="13">
        <f>'Prices &amp; assums'!D7</f>
        <v>25000</v>
      </c>
      <c r="C59" s="2">
        <f t="shared" si="1"/>
        <v>8037.723716643447</v>
      </c>
      <c r="D59" s="2">
        <f t="shared" si="1"/>
        <v>0</v>
      </c>
      <c r="E59" s="2">
        <f t="shared" si="1"/>
        <v>0</v>
      </c>
      <c r="F59" s="2">
        <f t="shared" si="1"/>
        <v>0</v>
      </c>
      <c r="G59" s="2">
        <f t="shared" si="1"/>
        <v>0</v>
      </c>
      <c r="H59" s="2">
        <f t="shared" si="1"/>
        <v>0</v>
      </c>
      <c r="I59" s="2">
        <f t="shared" si="1"/>
        <v>0</v>
      </c>
      <c r="J59" s="2">
        <f t="shared" si="1"/>
        <v>0</v>
      </c>
      <c r="K59" s="2">
        <f t="shared" si="1"/>
        <v>0</v>
      </c>
      <c r="L59" s="2">
        <f t="shared" si="1"/>
        <v>0</v>
      </c>
      <c r="M59" s="2">
        <f t="shared" si="1"/>
        <v>0</v>
      </c>
      <c r="N59" s="2">
        <f t="shared" si="1"/>
        <v>0</v>
      </c>
      <c r="O59" s="2">
        <f t="shared" si="1"/>
        <v>0</v>
      </c>
      <c r="P59" s="2">
        <f t="shared" si="1"/>
        <v>0</v>
      </c>
      <c r="Q59" s="2">
        <f t="shared" si="1"/>
        <v>0</v>
      </c>
      <c r="R59" s="2">
        <f t="shared" si="1"/>
        <v>0</v>
      </c>
      <c r="S59" s="2">
        <f t="shared" si="1"/>
        <v>0</v>
      </c>
      <c r="T59" s="2">
        <f t="shared" si="1"/>
        <v>0</v>
      </c>
      <c r="U59" s="2">
        <f t="shared" si="1"/>
        <v>0</v>
      </c>
      <c r="V59" s="2">
        <f t="shared" si="1"/>
        <v>0</v>
      </c>
    </row>
    <row r="60" spans="1:23" x14ac:dyDescent="0.35">
      <c r="A60" t="str">
        <f t="shared" si="0"/>
        <v xml:space="preserve">  Digging holes</v>
      </c>
      <c r="B60" s="13">
        <f>'Prices &amp; assums'!D8</f>
        <v>28.08</v>
      </c>
      <c r="C60" s="2">
        <f t="shared" si="1"/>
        <v>3008.5714285714284</v>
      </c>
      <c r="D60" s="2">
        <f t="shared" si="1"/>
        <v>0</v>
      </c>
      <c r="E60" s="2">
        <f t="shared" si="1"/>
        <v>0</v>
      </c>
      <c r="F60" s="2">
        <f t="shared" si="1"/>
        <v>0</v>
      </c>
      <c r="G60" s="2">
        <f t="shared" si="1"/>
        <v>0</v>
      </c>
      <c r="H60" s="2">
        <f t="shared" si="1"/>
        <v>0</v>
      </c>
      <c r="I60" s="2">
        <f t="shared" si="1"/>
        <v>0</v>
      </c>
      <c r="J60" s="2">
        <f t="shared" si="1"/>
        <v>0</v>
      </c>
      <c r="K60" s="2">
        <f t="shared" si="1"/>
        <v>0</v>
      </c>
      <c r="L60" s="2">
        <f t="shared" si="1"/>
        <v>0</v>
      </c>
      <c r="M60" s="2">
        <f t="shared" si="1"/>
        <v>0</v>
      </c>
      <c r="N60" s="2">
        <f t="shared" si="1"/>
        <v>0</v>
      </c>
      <c r="O60" s="2">
        <f t="shared" si="1"/>
        <v>0</v>
      </c>
      <c r="P60" s="2">
        <f t="shared" si="1"/>
        <v>0</v>
      </c>
      <c r="Q60" s="2">
        <f t="shared" si="1"/>
        <v>0</v>
      </c>
      <c r="R60" s="2">
        <f t="shared" si="1"/>
        <v>0</v>
      </c>
      <c r="S60" s="2">
        <f t="shared" si="1"/>
        <v>0</v>
      </c>
      <c r="T60" s="2">
        <f t="shared" si="1"/>
        <v>0</v>
      </c>
      <c r="U60" s="2">
        <f t="shared" si="1"/>
        <v>0</v>
      </c>
      <c r="V60" s="2">
        <f t="shared" si="1"/>
        <v>0</v>
      </c>
    </row>
    <row r="61" spans="1:23" x14ac:dyDescent="0.35">
      <c r="A61" t="str">
        <f t="shared" si="0"/>
        <v xml:space="preserve">  Seeding pueraria</v>
      </c>
      <c r="B61" s="13">
        <f>'Prices &amp; assums'!D3</f>
        <v>2340</v>
      </c>
      <c r="C61" s="2">
        <f t="shared" si="1"/>
        <v>936</v>
      </c>
      <c r="D61" s="2">
        <f t="shared" si="1"/>
        <v>0</v>
      </c>
      <c r="E61" s="2">
        <f t="shared" si="1"/>
        <v>0</v>
      </c>
      <c r="F61" s="2">
        <f t="shared" si="1"/>
        <v>0</v>
      </c>
      <c r="G61" s="2">
        <f t="shared" si="1"/>
        <v>0</v>
      </c>
      <c r="H61" s="2">
        <f t="shared" si="1"/>
        <v>0</v>
      </c>
      <c r="I61" s="2">
        <f t="shared" si="1"/>
        <v>0</v>
      </c>
      <c r="J61" s="2">
        <f t="shared" si="1"/>
        <v>0</v>
      </c>
      <c r="K61" s="2">
        <f t="shared" si="1"/>
        <v>0</v>
      </c>
      <c r="L61" s="2">
        <f t="shared" si="1"/>
        <v>0</v>
      </c>
      <c r="M61" s="2">
        <f t="shared" si="1"/>
        <v>0</v>
      </c>
      <c r="N61" s="2">
        <f t="shared" si="1"/>
        <v>0</v>
      </c>
      <c r="O61" s="2">
        <f t="shared" si="1"/>
        <v>0</v>
      </c>
      <c r="P61" s="2">
        <f t="shared" si="1"/>
        <v>0</v>
      </c>
      <c r="Q61" s="2">
        <f t="shared" si="1"/>
        <v>0</v>
      </c>
      <c r="R61" s="2">
        <f t="shared" si="1"/>
        <v>0</v>
      </c>
      <c r="S61" s="2">
        <f t="shared" si="1"/>
        <v>0</v>
      </c>
      <c r="T61" s="2">
        <f t="shared" si="1"/>
        <v>0</v>
      </c>
      <c r="U61" s="2">
        <f t="shared" si="1"/>
        <v>0</v>
      </c>
      <c r="V61" s="2">
        <f t="shared" si="1"/>
        <v>0</v>
      </c>
    </row>
    <row r="62" spans="1:23" x14ac:dyDescent="0.35">
      <c r="A62" t="str">
        <f t="shared" si="0"/>
        <v xml:space="preserve">  Planting seedlings</v>
      </c>
      <c r="B62" s="13">
        <f>'Prices &amp; assums'!D9</f>
        <v>28.08</v>
      </c>
      <c r="C62" s="2">
        <f t="shared" si="1"/>
        <v>3008.5714285714284</v>
      </c>
      <c r="D62" s="2">
        <f t="shared" si="1"/>
        <v>0</v>
      </c>
      <c r="E62" s="2">
        <f t="shared" si="1"/>
        <v>0</v>
      </c>
      <c r="F62" s="2">
        <f t="shared" si="1"/>
        <v>0</v>
      </c>
      <c r="G62" s="2">
        <f t="shared" si="1"/>
        <v>0</v>
      </c>
      <c r="H62" s="2">
        <f t="shared" si="1"/>
        <v>0</v>
      </c>
      <c r="I62" s="2">
        <f t="shared" si="1"/>
        <v>0</v>
      </c>
      <c r="J62" s="2">
        <f t="shared" si="1"/>
        <v>0</v>
      </c>
      <c r="K62" s="2">
        <f t="shared" si="1"/>
        <v>0</v>
      </c>
      <c r="L62" s="2">
        <f t="shared" si="1"/>
        <v>0</v>
      </c>
      <c r="M62" s="2">
        <f t="shared" si="1"/>
        <v>0</v>
      </c>
      <c r="N62" s="2">
        <f t="shared" si="1"/>
        <v>0</v>
      </c>
      <c r="O62" s="2">
        <f t="shared" si="1"/>
        <v>0</v>
      </c>
      <c r="P62" s="2">
        <f t="shared" si="1"/>
        <v>0</v>
      </c>
      <c r="Q62" s="2">
        <f t="shared" si="1"/>
        <v>0</v>
      </c>
      <c r="R62" s="2">
        <f t="shared" si="1"/>
        <v>0</v>
      </c>
      <c r="S62" s="2">
        <f t="shared" si="1"/>
        <v>0</v>
      </c>
      <c r="T62" s="2">
        <f t="shared" si="1"/>
        <v>0</v>
      </c>
      <c r="U62" s="2">
        <f t="shared" si="1"/>
        <v>0</v>
      </c>
      <c r="V62" s="2">
        <f t="shared" si="1"/>
        <v>0</v>
      </c>
    </row>
    <row r="63" spans="1:23" x14ac:dyDescent="0.35">
      <c r="A63" t="str">
        <f t="shared" si="0"/>
        <v xml:space="preserve">  Shaping basins around seedlings</v>
      </c>
      <c r="B63" s="13">
        <f>'Prices &amp; assums'!D12</f>
        <v>23.4</v>
      </c>
      <c r="C63" s="2">
        <f t="shared" si="1"/>
        <v>2507.1428571428569</v>
      </c>
      <c r="D63" s="2">
        <f t="shared" si="1"/>
        <v>0</v>
      </c>
      <c r="E63" s="2">
        <f t="shared" si="1"/>
        <v>0</v>
      </c>
      <c r="F63" s="2">
        <f t="shared" si="1"/>
        <v>0</v>
      </c>
      <c r="G63" s="2">
        <f t="shared" si="1"/>
        <v>0</v>
      </c>
      <c r="H63" s="2">
        <f t="shared" si="1"/>
        <v>0</v>
      </c>
      <c r="I63" s="2">
        <f t="shared" si="1"/>
        <v>0</v>
      </c>
      <c r="J63" s="2">
        <f t="shared" si="1"/>
        <v>0</v>
      </c>
      <c r="K63" s="2">
        <f t="shared" si="1"/>
        <v>0</v>
      </c>
      <c r="L63" s="2">
        <f t="shared" si="1"/>
        <v>0</v>
      </c>
      <c r="M63" s="2">
        <f t="shared" si="1"/>
        <v>0</v>
      </c>
      <c r="N63" s="2">
        <f t="shared" si="1"/>
        <v>0</v>
      </c>
      <c r="O63" s="2">
        <f t="shared" si="1"/>
        <v>0</v>
      </c>
      <c r="P63" s="2">
        <f t="shared" si="1"/>
        <v>0</v>
      </c>
      <c r="Q63" s="2">
        <f t="shared" si="1"/>
        <v>0</v>
      </c>
      <c r="R63" s="2">
        <f t="shared" si="1"/>
        <v>0</v>
      </c>
      <c r="S63" s="2">
        <f t="shared" si="1"/>
        <v>0</v>
      </c>
      <c r="T63" s="2">
        <f t="shared" si="1"/>
        <v>0</v>
      </c>
      <c r="U63" s="2">
        <f t="shared" si="1"/>
        <v>0</v>
      </c>
      <c r="V63" s="2">
        <f t="shared" si="1"/>
        <v>0</v>
      </c>
    </row>
    <row r="64" spans="1:23" x14ac:dyDescent="0.35">
      <c r="A64" t="str">
        <f t="shared" si="0"/>
        <v xml:space="preserve">  Weeding</v>
      </c>
      <c r="B64" s="13">
        <f>'Prices &amp; assums'!D5</f>
        <v>23400</v>
      </c>
      <c r="C64" s="2">
        <f t="shared" si="1"/>
        <v>74131.199999999997</v>
      </c>
      <c r="D64" s="2">
        <f t="shared" si="1"/>
        <v>74131.199999999997</v>
      </c>
      <c r="E64" s="2">
        <f t="shared" si="1"/>
        <v>74131.199999999997</v>
      </c>
      <c r="F64" s="2">
        <f t="shared" si="1"/>
        <v>74131.199999999997</v>
      </c>
      <c r="G64" s="2">
        <f t="shared" si="1"/>
        <v>74131.199999999997</v>
      </c>
      <c r="H64" s="2">
        <f t="shared" si="1"/>
        <v>74131.199999999997</v>
      </c>
      <c r="I64" s="2">
        <f t="shared" si="1"/>
        <v>74131.199999999997</v>
      </c>
      <c r="J64" s="2">
        <f t="shared" si="1"/>
        <v>74131.199999999997</v>
      </c>
      <c r="K64" s="2">
        <f t="shared" si="1"/>
        <v>74131.199999999997</v>
      </c>
      <c r="L64" s="2">
        <f t="shared" si="1"/>
        <v>74131.199999999997</v>
      </c>
      <c r="M64" s="2">
        <f t="shared" si="1"/>
        <v>74131.199999999997</v>
      </c>
      <c r="N64" s="2">
        <f t="shared" si="1"/>
        <v>74131.199999999997</v>
      </c>
      <c r="O64" s="2">
        <f t="shared" si="1"/>
        <v>74131.199999999997</v>
      </c>
      <c r="P64" s="2">
        <f t="shared" si="1"/>
        <v>74131.199999999997</v>
      </c>
      <c r="Q64" s="2">
        <f t="shared" si="1"/>
        <v>74131.199999999997</v>
      </c>
      <c r="R64" s="2">
        <f t="shared" si="1"/>
        <v>74131.199999999997</v>
      </c>
      <c r="S64" s="2">
        <f t="shared" si="1"/>
        <v>74131.199999999997</v>
      </c>
      <c r="T64" s="2">
        <f t="shared" si="1"/>
        <v>74131.199999999997</v>
      </c>
      <c r="U64" s="2">
        <f t="shared" si="1"/>
        <v>74131.199999999997</v>
      </c>
      <c r="V64" s="2">
        <f t="shared" si="1"/>
        <v>74131.199999999997</v>
      </c>
    </row>
    <row r="65" spans="1:22" x14ac:dyDescent="0.35">
      <c r="A65" t="str">
        <f t="shared" si="0"/>
        <v xml:space="preserve">  Weeding rubber over lines</v>
      </c>
      <c r="B65" s="13">
        <f>'Prices &amp; assums'!D36</f>
        <v>14040</v>
      </c>
      <c r="C65" s="2">
        <f t="shared" si="1"/>
        <v>1367.5324675324673</v>
      </c>
      <c r="D65" s="2">
        <f t="shared" si="1"/>
        <v>1367.5324675324673</v>
      </c>
      <c r="E65" s="2">
        <f t="shared" si="1"/>
        <v>0</v>
      </c>
      <c r="F65" s="2">
        <f t="shared" si="1"/>
        <v>0</v>
      </c>
      <c r="G65" s="2">
        <f t="shared" si="1"/>
        <v>0</v>
      </c>
      <c r="H65" s="2">
        <f t="shared" si="1"/>
        <v>0</v>
      </c>
      <c r="I65" s="2">
        <f t="shared" si="1"/>
        <v>0</v>
      </c>
      <c r="J65" s="2">
        <f t="shared" si="1"/>
        <v>0</v>
      </c>
      <c r="K65" s="2">
        <f t="shared" si="1"/>
        <v>0</v>
      </c>
      <c r="L65" s="2">
        <f t="shared" si="1"/>
        <v>0</v>
      </c>
      <c r="M65" s="2">
        <f t="shared" si="1"/>
        <v>0</v>
      </c>
      <c r="N65" s="2">
        <f t="shared" si="1"/>
        <v>0</v>
      </c>
      <c r="O65" s="2">
        <f t="shared" si="1"/>
        <v>0</v>
      </c>
      <c r="P65" s="2">
        <f t="shared" si="1"/>
        <v>0</v>
      </c>
      <c r="Q65" s="2">
        <f t="shared" si="1"/>
        <v>0</v>
      </c>
      <c r="R65" s="2">
        <f t="shared" si="1"/>
        <v>0</v>
      </c>
      <c r="S65" s="2">
        <f t="shared" si="1"/>
        <v>0</v>
      </c>
      <c r="T65" s="2">
        <f t="shared" si="1"/>
        <v>0</v>
      </c>
      <c r="U65" s="2">
        <f t="shared" si="1"/>
        <v>0</v>
      </c>
      <c r="V65" s="2">
        <f t="shared" si="1"/>
        <v>0</v>
      </c>
    </row>
    <row r="66" spans="1:22" x14ac:dyDescent="0.35">
      <c r="A66" t="str">
        <f t="shared" si="0"/>
        <v xml:space="preserve">  Weeding rubber within lines</v>
      </c>
      <c r="B66" s="13">
        <f>'Prices &amp; assums'!D35</f>
        <v>23400</v>
      </c>
      <c r="C66" s="2">
        <f t="shared" si="1"/>
        <v>2279.2207792207791</v>
      </c>
      <c r="D66" s="2">
        <f t="shared" si="1"/>
        <v>0</v>
      </c>
      <c r="E66" s="2">
        <f t="shared" si="1"/>
        <v>0</v>
      </c>
      <c r="F66" s="2">
        <f t="shared" si="1"/>
        <v>0</v>
      </c>
      <c r="G66" s="2">
        <f t="shared" si="1"/>
        <v>0</v>
      </c>
      <c r="H66" s="2">
        <f t="shared" si="1"/>
        <v>0</v>
      </c>
      <c r="I66" s="2">
        <f t="shared" si="1"/>
        <v>0</v>
      </c>
      <c r="J66" s="2">
        <f t="shared" si="1"/>
        <v>0</v>
      </c>
      <c r="K66" s="2">
        <f t="shared" si="1"/>
        <v>0</v>
      </c>
      <c r="L66" s="2">
        <f t="shared" si="1"/>
        <v>0</v>
      </c>
      <c r="M66" s="2">
        <f t="shared" si="1"/>
        <v>0</v>
      </c>
      <c r="N66" s="2">
        <f t="shared" si="1"/>
        <v>0</v>
      </c>
      <c r="O66" s="2">
        <f t="shared" si="1"/>
        <v>0</v>
      </c>
      <c r="P66" s="2">
        <f t="shared" si="1"/>
        <v>0</v>
      </c>
      <c r="Q66" s="2">
        <f t="shared" si="1"/>
        <v>0</v>
      </c>
      <c r="R66" s="2">
        <f t="shared" si="1"/>
        <v>0</v>
      </c>
      <c r="S66" s="2">
        <f t="shared" si="1"/>
        <v>0</v>
      </c>
      <c r="T66" s="2">
        <f t="shared" si="1"/>
        <v>0</v>
      </c>
      <c r="U66" s="2">
        <f t="shared" si="1"/>
        <v>0</v>
      </c>
      <c r="V66" s="2">
        <f t="shared" si="1"/>
        <v>0</v>
      </c>
    </row>
    <row r="67" spans="1:22" x14ac:dyDescent="0.35">
      <c r="A67" t="str">
        <f t="shared" si="0"/>
        <v xml:space="preserve">  Bud pruning</v>
      </c>
      <c r="B67" s="13">
        <f>'Prices &amp; assums'!D13</f>
        <v>2000</v>
      </c>
      <c r="C67" s="2">
        <f t="shared" si="1"/>
        <v>6000</v>
      </c>
      <c r="D67" s="2">
        <f t="shared" si="1"/>
        <v>12000</v>
      </c>
      <c r="E67" s="2">
        <f t="shared" si="1"/>
        <v>6000</v>
      </c>
      <c r="F67" s="2">
        <f t="shared" si="1"/>
        <v>3000</v>
      </c>
      <c r="G67" s="2">
        <f t="shared" si="1"/>
        <v>0</v>
      </c>
      <c r="H67" s="2">
        <f t="shared" si="1"/>
        <v>0</v>
      </c>
      <c r="I67" s="2">
        <f t="shared" si="1"/>
        <v>0</v>
      </c>
      <c r="J67" s="2">
        <f t="shared" si="1"/>
        <v>0</v>
      </c>
      <c r="K67" s="2">
        <f t="shared" si="1"/>
        <v>0</v>
      </c>
      <c r="L67" s="2">
        <f t="shared" si="1"/>
        <v>0</v>
      </c>
      <c r="M67" s="2">
        <f t="shared" si="1"/>
        <v>0</v>
      </c>
      <c r="N67" s="2">
        <f t="shared" si="1"/>
        <v>0</v>
      </c>
      <c r="O67" s="2">
        <f t="shared" si="1"/>
        <v>0</v>
      </c>
      <c r="P67" s="2">
        <f t="shared" si="1"/>
        <v>0</v>
      </c>
      <c r="Q67" s="2">
        <f t="shared" si="1"/>
        <v>0</v>
      </c>
      <c r="R67" s="2">
        <f t="shared" si="1"/>
        <v>0</v>
      </c>
      <c r="S67" s="2">
        <f t="shared" si="1"/>
        <v>0</v>
      </c>
      <c r="T67" s="2">
        <f t="shared" si="1"/>
        <v>0</v>
      </c>
      <c r="U67" s="2">
        <f t="shared" si="1"/>
        <v>0</v>
      </c>
      <c r="V67" s="2">
        <f t="shared" si="1"/>
        <v>0</v>
      </c>
    </row>
    <row r="68" spans="1:22" x14ac:dyDescent="0.35">
      <c r="A68" t="str">
        <f t="shared" si="0"/>
        <v xml:space="preserve">  Fertilizer application</v>
      </c>
      <c r="B68" s="13">
        <f>'Prices &amp; assums'!D3</f>
        <v>2340</v>
      </c>
      <c r="C68" s="2">
        <f t="shared" si="1"/>
        <v>1170</v>
      </c>
      <c r="D68" s="2">
        <f t="shared" si="1"/>
        <v>1170</v>
      </c>
      <c r="E68" s="2">
        <f t="shared" si="1"/>
        <v>1170</v>
      </c>
      <c r="F68" s="2">
        <f t="shared" si="1"/>
        <v>1170</v>
      </c>
      <c r="G68" s="2">
        <f t="shared" si="1"/>
        <v>1170</v>
      </c>
      <c r="H68" s="2">
        <f t="shared" si="1"/>
        <v>1170</v>
      </c>
      <c r="I68" s="2">
        <f t="shared" si="1"/>
        <v>1170</v>
      </c>
      <c r="J68" s="2">
        <f t="shared" si="1"/>
        <v>1170</v>
      </c>
      <c r="K68" s="2">
        <f t="shared" si="1"/>
        <v>1170</v>
      </c>
      <c r="L68" s="2">
        <f t="shared" si="1"/>
        <v>1170</v>
      </c>
      <c r="M68" s="2">
        <f t="shared" si="1"/>
        <v>1170</v>
      </c>
      <c r="N68" s="2">
        <f t="shared" si="1"/>
        <v>1170</v>
      </c>
      <c r="O68" s="2">
        <f t="shared" si="1"/>
        <v>1170</v>
      </c>
      <c r="P68" s="2">
        <f t="shared" si="1"/>
        <v>1170</v>
      </c>
      <c r="Q68" s="2">
        <f t="shared" si="1"/>
        <v>1170</v>
      </c>
      <c r="R68" s="2">
        <f t="shared" ref="R68:V68" si="2">$B68*R25</f>
        <v>1170</v>
      </c>
      <c r="S68" s="2">
        <f t="shared" si="2"/>
        <v>1170</v>
      </c>
      <c r="T68" s="2">
        <f t="shared" si="2"/>
        <v>1170</v>
      </c>
      <c r="U68" s="2">
        <f t="shared" si="2"/>
        <v>1170</v>
      </c>
      <c r="V68" s="2">
        <f t="shared" si="2"/>
        <v>1170</v>
      </c>
    </row>
    <row r="69" spans="1:22" x14ac:dyDescent="0.35">
      <c r="A69" t="str">
        <f t="shared" si="0"/>
        <v xml:space="preserve">  Cleaning from pueraria (delianage)</v>
      </c>
      <c r="B69" s="13">
        <f>'Prices &amp; assums'!D6</f>
        <v>4680</v>
      </c>
      <c r="C69" s="2">
        <f t="shared" ref="C69:V77" si="3">$B69*C26</f>
        <v>936</v>
      </c>
      <c r="D69" s="2">
        <f t="shared" si="3"/>
        <v>1872</v>
      </c>
      <c r="E69" s="2">
        <f t="shared" si="3"/>
        <v>1872</v>
      </c>
      <c r="F69" s="2">
        <f t="shared" si="3"/>
        <v>1872</v>
      </c>
      <c r="G69" s="2">
        <f t="shared" si="3"/>
        <v>0</v>
      </c>
      <c r="H69" s="2">
        <f t="shared" si="3"/>
        <v>0</v>
      </c>
      <c r="I69" s="2">
        <f t="shared" si="3"/>
        <v>0</v>
      </c>
      <c r="J69" s="2">
        <f t="shared" si="3"/>
        <v>0</v>
      </c>
      <c r="K69" s="2">
        <f t="shared" si="3"/>
        <v>0</v>
      </c>
      <c r="L69" s="2">
        <f t="shared" si="3"/>
        <v>0</v>
      </c>
      <c r="M69" s="2">
        <f t="shared" si="3"/>
        <v>0</v>
      </c>
      <c r="N69" s="2">
        <f t="shared" si="3"/>
        <v>0</v>
      </c>
      <c r="O69" s="2">
        <f t="shared" si="3"/>
        <v>0</v>
      </c>
      <c r="P69" s="2">
        <f t="shared" si="3"/>
        <v>0</v>
      </c>
      <c r="Q69" s="2">
        <f t="shared" si="3"/>
        <v>0</v>
      </c>
      <c r="R69" s="2">
        <f t="shared" si="3"/>
        <v>0</v>
      </c>
      <c r="S69" s="2">
        <f t="shared" si="3"/>
        <v>0</v>
      </c>
      <c r="T69" s="2">
        <f t="shared" si="3"/>
        <v>0</v>
      </c>
      <c r="U69" s="2">
        <f t="shared" si="3"/>
        <v>0</v>
      </c>
      <c r="V69" s="2">
        <f t="shared" si="3"/>
        <v>0</v>
      </c>
    </row>
    <row r="70" spans="1:22" x14ac:dyDescent="0.35">
      <c r="A70" t="str">
        <f t="shared" si="0"/>
        <v xml:space="preserve">  Compensatory planting</v>
      </c>
      <c r="B70" s="13">
        <f>(B62+B4386+B58)</f>
        <v>35.01</v>
      </c>
      <c r="C70" s="2">
        <f t="shared" si="3"/>
        <v>0</v>
      </c>
      <c r="D70" s="2">
        <f t="shared" si="3"/>
        <v>750.21428571428578</v>
      </c>
      <c r="E70" s="2">
        <f t="shared" si="3"/>
        <v>0</v>
      </c>
      <c r="F70" s="2">
        <f t="shared" si="3"/>
        <v>0</v>
      </c>
      <c r="G70" s="2">
        <f t="shared" si="3"/>
        <v>0</v>
      </c>
      <c r="H70" s="2">
        <f t="shared" si="3"/>
        <v>0</v>
      </c>
      <c r="I70" s="2">
        <f t="shared" si="3"/>
        <v>0</v>
      </c>
      <c r="J70" s="2">
        <f t="shared" si="3"/>
        <v>0</v>
      </c>
      <c r="K70" s="2">
        <f t="shared" si="3"/>
        <v>0</v>
      </c>
      <c r="L70" s="2">
        <f t="shared" si="3"/>
        <v>0</v>
      </c>
      <c r="M70" s="2">
        <f t="shared" si="3"/>
        <v>0</v>
      </c>
      <c r="N70" s="2">
        <f t="shared" si="3"/>
        <v>0</v>
      </c>
      <c r="O70" s="2">
        <f t="shared" si="3"/>
        <v>0</v>
      </c>
      <c r="P70" s="2">
        <f t="shared" si="3"/>
        <v>0</v>
      </c>
      <c r="Q70" s="2">
        <f t="shared" si="3"/>
        <v>0</v>
      </c>
      <c r="R70" s="2">
        <f t="shared" si="3"/>
        <v>0</v>
      </c>
      <c r="S70" s="2">
        <f t="shared" si="3"/>
        <v>0</v>
      </c>
      <c r="T70" s="2">
        <f t="shared" si="3"/>
        <v>0</v>
      </c>
      <c r="U70" s="2">
        <f t="shared" si="3"/>
        <v>0</v>
      </c>
      <c r="V70" s="2">
        <f t="shared" si="3"/>
        <v>0</v>
      </c>
    </row>
    <row r="71" spans="1:22" x14ac:dyDescent="0.35">
      <c r="A71" t="str">
        <f t="shared" si="0"/>
        <v xml:space="preserve">  Plant protection chemicals application</v>
      </c>
      <c r="B71" s="13">
        <f>'Prices &amp; assums'!D4</f>
        <v>3744</v>
      </c>
      <c r="C71" s="2">
        <f t="shared" si="3"/>
        <v>0</v>
      </c>
      <c r="D71" s="2">
        <f t="shared" si="3"/>
        <v>0</v>
      </c>
      <c r="E71" s="2">
        <f t="shared" si="3"/>
        <v>1872</v>
      </c>
      <c r="F71" s="2">
        <f t="shared" si="3"/>
        <v>1872</v>
      </c>
      <c r="G71" s="2">
        <f t="shared" si="3"/>
        <v>1872</v>
      </c>
      <c r="H71" s="2">
        <f t="shared" si="3"/>
        <v>1872</v>
      </c>
      <c r="I71" s="2">
        <f t="shared" si="3"/>
        <v>1872</v>
      </c>
      <c r="J71" s="2">
        <f t="shared" si="3"/>
        <v>1872</v>
      </c>
      <c r="K71" s="2">
        <f t="shared" si="3"/>
        <v>1872</v>
      </c>
      <c r="L71" s="2">
        <f t="shared" si="3"/>
        <v>1872</v>
      </c>
      <c r="M71" s="2">
        <f t="shared" si="3"/>
        <v>1872</v>
      </c>
      <c r="N71" s="2">
        <f t="shared" si="3"/>
        <v>1872</v>
      </c>
      <c r="O71" s="2">
        <f t="shared" si="3"/>
        <v>1872</v>
      </c>
      <c r="P71" s="2">
        <f t="shared" si="3"/>
        <v>1872</v>
      </c>
      <c r="Q71" s="2">
        <f t="shared" si="3"/>
        <v>1872</v>
      </c>
      <c r="R71" s="2">
        <f t="shared" si="3"/>
        <v>1872</v>
      </c>
      <c r="S71" s="2">
        <f t="shared" si="3"/>
        <v>1872</v>
      </c>
      <c r="T71" s="2">
        <f t="shared" si="3"/>
        <v>1872</v>
      </c>
      <c r="U71" s="2">
        <f t="shared" si="3"/>
        <v>1872</v>
      </c>
      <c r="V71" s="2">
        <f t="shared" si="3"/>
        <v>1872</v>
      </c>
    </row>
    <row r="72" spans="1:22" x14ac:dyDescent="0.35">
      <c r="A72" t="str">
        <f t="shared" si="0"/>
        <v xml:space="preserve">  Rubber harvest</v>
      </c>
      <c r="B72" s="13">
        <f>'Prices &amp; assums'!D21</f>
        <v>46.8</v>
      </c>
      <c r="C72" s="2">
        <f t="shared" si="3"/>
        <v>0</v>
      </c>
      <c r="D72" s="2">
        <f t="shared" si="3"/>
        <v>0</v>
      </c>
      <c r="E72" s="2">
        <f t="shared" si="3"/>
        <v>0</v>
      </c>
      <c r="F72" s="2">
        <f t="shared" si="3"/>
        <v>0</v>
      </c>
      <c r="G72" s="2">
        <f t="shared" si="3"/>
        <v>0</v>
      </c>
      <c r="H72" s="2">
        <f t="shared" si="3"/>
        <v>0</v>
      </c>
      <c r="I72" s="2">
        <f t="shared" si="3"/>
        <v>22586.872586872585</v>
      </c>
      <c r="J72" s="2">
        <f t="shared" si="3"/>
        <v>22586.872586872585</v>
      </c>
      <c r="K72" s="2">
        <f t="shared" si="3"/>
        <v>24845.559845559841</v>
      </c>
      <c r="L72" s="2">
        <f t="shared" si="3"/>
        <v>24845.559845559841</v>
      </c>
      <c r="M72" s="2">
        <f t="shared" si="3"/>
        <v>27104.247104247101</v>
      </c>
      <c r="N72" s="2">
        <f t="shared" si="3"/>
        <v>27104.247104247101</v>
      </c>
      <c r="O72" s="2">
        <f t="shared" si="3"/>
        <v>27104.247104247101</v>
      </c>
      <c r="P72" s="2">
        <f t="shared" si="3"/>
        <v>27104.247104247101</v>
      </c>
      <c r="Q72" s="2">
        <f t="shared" si="3"/>
        <v>27104.247104247101</v>
      </c>
      <c r="R72" s="2">
        <f t="shared" si="3"/>
        <v>27104.247104247101</v>
      </c>
      <c r="S72" s="2">
        <f t="shared" si="3"/>
        <v>27104.247104247101</v>
      </c>
      <c r="T72" s="2">
        <f t="shared" si="3"/>
        <v>27104.247104247101</v>
      </c>
      <c r="U72" s="2">
        <f t="shared" si="3"/>
        <v>27104.247104247101</v>
      </c>
      <c r="V72" s="2">
        <f t="shared" si="3"/>
        <v>27104.247104247101</v>
      </c>
    </row>
    <row r="73" spans="1:22" x14ac:dyDescent="0.35">
      <c r="A73" t="str">
        <f t="shared" si="0"/>
        <v xml:space="preserve">  Rubber transport </v>
      </c>
      <c r="B73" s="13">
        <f>'Prices &amp; assums'!D26/1000</f>
        <v>9.9</v>
      </c>
      <c r="C73" s="2">
        <f t="shared" si="3"/>
        <v>0</v>
      </c>
      <c r="D73" s="2">
        <f t="shared" si="3"/>
        <v>0</v>
      </c>
      <c r="E73" s="2">
        <f t="shared" si="3"/>
        <v>0</v>
      </c>
      <c r="F73" s="2">
        <f t="shared" si="3"/>
        <v>0</v>
      </c>
      <c r="G73" s="2">
        <f t="shared" si="3"/>
        <v>0</v>
      </c>
      <c r="H73" s="2">
        <f t="shared" si="3"/>
        <v>0</v>
      </c>
      <c r="I73" s="2">
        <f t="shared" si="3"/>
        <v>4777.9922779922781</v>
      </c>
      <c r="J73" s="2">
        <f t="shared" si="3"/>
        <v>4777.9922779922781</v>
      </c>
      <c r="K73" s="2">
        <f t="shared" si="3"/>
        <v>5255.7915057915052</v>
      </c>
      <c r="L73" s="2">
        <f t="shared" si="3"/>
        <v>5255.7915057915052</v>
      </c>
      <c r="M73" s="2">
        <f t="shared" si="3"/>
        <v>5733.5907335907332</v>
      </c>
      <c r="N73" s="2">
        <f t="shared" si="3"/>
        <v>5733.5907335907332</v>
      </c>
      <c r="O73" s="2">
        <f t="shared" si="3"/>
        <v>5733.5907335907332</v>
      </c>
      <c r="P73" s="2">
        <f t="shared" si="3"/>
        <v>5733.5907335907332</v>
      </c>
      <c r="Q73" s="2">
        <f t="shared" si="3"/>
        <v>5733.5907335907332</v>
      </c>
      <c r="R73" s="2">
        <f t="shared" si="3"/>
        <v>5733.5907335907332</v>
      </c>
      <c r="S73" s="2">
        <f t="shared" si="3"/>
        <v>5733.5907335907332</v>
      </c>
      <c r="T73" s="2">
        <f t="shared" si="3"/>
        <v>5733.5907335907332</v>
      </c>
      <c r="U73" s="2">
        <f t="shared" si="3"/>
        <v>5733.5907335907332</v>
      </c>
      <c r="V73" s="2">
        <f t="shared" si="3"/>
        <v>5733.5907335907332</v>
      </c>
    </row>
    <row r="74" spans="1:22" x14ac:dyDescent="0.35">
      <c r="A74" t="str">
        <f t="shared" si="0"/>
        <v xml:space="preserve">  Coffee harvest and drying</v>
      </c>
      <c r="B74" s="13">
        <f>'Prices &amp; assums'!D3</f>
        <v>2340</v>
      </c>
      <c r="C74" s="2">
        <f t="shared" si="3"/>
        <v>44489.84246061516</v>
      </c>
      <c r="D74" s="2">
        <f t="shared" si="3"/>
        <v>44489.84246061516</v>
      </c>
      <c r="E74" s="2">
        <f t="shared" si="3"/>
        <v>44489.84246061516</v>
      </c>
      <c r="F74" s="2">
        <f t="shared" si="3"/>
        <v>44489.84246061516</v>
      </c>
      <c r="G74" s="2">
        <f t="shared" si="3"/>
        <v>44489.84246061516</v>
      </c>
      <c r="H74" s="2">
        <f t="shared" si="3"/>
        <v>44489.84246061516</v>
      </c>
      <c r="I74" s="2">
        <f t="shared" si="3"/>
        <v>44489.84246061516</v>
      </c>
      <c r="J74" s="2">
        <f t="shared" si="3"/>
        <v>44489.84246061516</v>
      </c>
      <c r="K74" s="2">
        <f t="shared" si="3"/>
        <v>44489.84246061516</v>
      </c>
      <c r="L74" s="2">
        <f t="shared" si="3"/>
        <v>44489.84246061516</v>
      </c>
      <c r="M74" s="2">
        <f t="shared" si="3"/>
        <v>44489.84246061516</v>
      </c>
      <c r="N74" s="2">
        <f t="shared" si="3"/>
        <v>44489.84246061516</v>
      </c>
      <c r="O74" s="2">
        <f t="shared" si="3"/>
        <v>44489.84246061516</v>
      </c>
      <c r="P74" s="2">
        <f t="shared" si="3"/>
        <v>44489.84246061516</v>
      </c>
      <c r="Q74" s="2">
        <f t="shared" si="3"/>
        <v>44489.84246061516</v>
      </c>
      <c r="R74" s="2">
        <f t="shared" si="3"/>
        <v>44489.84246061516</v>
      </c>
      <c r="S74" s="2">
        <f t="shared" si="3"/>
        <v>44489.84246061516</v>
      </c>
      <c r="T74" s="2">
        <f t="shared" si="3"/>
        <v>44489.84246061516</v>
      </c>
      <c r="U74" s="2">
        <f t="shared" si="3"/>
        <v>44489.84246061516</v>
      </c>
      <c r="V74" s="2">
        <f t="shared" si="3"/>
        <v>44489.84246061516</v>
      </c>
    </row>
    <row r="75" spans="1:22" x14ac:dyDescent="0.35">
      <c r="A75" t="str">
        <f t="shared" si="0"/>
        <v xml:space="preserve">  Coffee husking</v>
      </c>
      <c r="B75" s="13">
        <f>'Prices &amp; assums'!D19</f>
        <v>59.4</v>
      </c>
      <c r="C75" s="2">
        <f t="shared" si="3"/>
        <v>14116.969242310577</v>
      </c>
      <c r="D75" s="2">
        <f t="shared" si="3"/>
        <v>14116.969242310577</v>
      </c>
      <c r="E75" s="2">
        <f t="shared" si="3"/>
        <v>14116.969242310577</v>
      </c>
      <c r="F75" s="2">
        <f t="shared" si="3"/>
        <v>14116.969242310577</v>
      </c>
      <c r="G75" s="2">
        <f t="shared" si="3"/>
        <v>14116.969242310577</v>
      </c>
      <c r="H75" s="2">
        <f t="shared" si="3"/>
        <v>14116.969242310577</v>
      </c>
      <c r="I75" s="2">
        <f t="shared" si="3"/>
        <v>14116.969242310577</v>
      </c>
      <c r="J75" s="2">
        <f t="shared" si="3"/>
        <v>14116.969242310577</v>
      </c>
      <c r="K75" s="2">
        <f t="shared" si="3"/>
        <v>14116.969242310577</v>
      </c>
      <c r="L75" s="2">
        <f t="shared" si="3"/>
        <v>14116.969242310577</v>
      </c>
      <c r="M75" s="2">
        <f t="shared" si="3"/>
        <v>14116.969242310577</v>
      </c>
      <c r="N75" s="2">
        <f t="shared" si="3"/>
        <v>14116.969242310577</v>
      </c>
      <c r="O75" s="2">
        <f t="shared" si="3"/>
        <v>14116.969242310577</v>
      </c>
      <c r="P75" s="2">
        <f t="shared" si="3"/>
        <v>14116.969242310577</v>
      </c>
      <c r="Q75" s="2">
        <f t="shared" si="3"/>
        <v>14116.969242310577</v>
      </c>
      <c r="R75" s="2">
        <f t="shared" si="3"/>
        <v>14116.969242310577</v>
      </c>
      <c r="S75" s="2">
        <f t="shared" si="3"/>
        <v>14116.969242310577</v>
      </c>
      <c r="T75" s="2">
        <f t="shared" si="3"/>
        <v>14116.969242310577</v>
      </c>
      <c r="U75" s="2">
        <f t="shared" si="3"/>
        <v>14116.969242310577</v>
      </c>
      <c r="V75" s="2">
        <f t="shared" si="3"/>
        <v>14116.969242310577</v>
      </c>
    </row>
    <row r="76" spans="1:22" x14ac:dyDescent="0.35">
      <c r="A76" t="str">
        <f t="shared" si="0"/>
        <v xml:space="preserve">  Coffee transport and marketing</v>
      </c>
      <c r="B76" s="13">
        <f>'Prices &amp; assums'!D3</f>
        <v>2340</v>
      </c>
      <c r="C76" s="2">
        <f t="shared" si="3"/>
        <v>5561.230307576895</v>
      </c>
      <c r="D76" s="2">
        <f t="shared" si="3"/>
        <v>5561.230307576895</v>
      </c>
      <c r="E76" s="2">
        <f t="shared" si="3"/>
        <v>5561.230307576895</v>
      </c>
      <c r="F76" s="2">
        <f t="shared" si="3"/>
        <v>5561.230307576895</v>
      </c>
      <c r="G76" s="2">
        <f t="shared" si="3"/>
        <v>5561.230307576895</v>
      </c>
      <c r="H76" s="2">
        <f t="shared" si="3"/>
        <v>5561.230307576895</v>
      </c>
      <c r="I76" s="2">
        <f t="shared" si="3"/>
        <v>5561.230307576895</v>
      </c>
      <c r="J76" s="2">
        <f t="shared" si="3"/>
        <v>5561.230307576895</v>
      </c>
      <c r="K76" s="2">
        <f t="shared" si="3"/>
        <v>5561.230307576895</v>
      </c>
      <c r="L76" s="2">
        <f t="shared" si="3"/>
        <v>5561.230307576895</v>
      </c>
      <c r="M76" s="2">
        <f t="shared" si="3"/>
        <v>5561.230307576895</v>
      </c>
      <c r="N76" s="2">
        <f t="shared" si="3"/>
        <v>5561.230307576895</v>
      </c>
      <c r="O76" s="2">
        <f t="shared" si="3"/>
        <v>5561.230307576895</v>
      </c>
      <c r="P76" s="2">
        <f t="shared" si="3"/>
        <v>5561.230307576895</v>
      </c>
      <c r="Q76" s="2">
        <f t="shared" si="3"/>
        <v>5561.230307576895</v>
      </c>
      <c r="R76" s="2">
        <f t="shared" si="3"/>
        <v>5561.230307576895</v>
      </c>
      <c r="S76" s="2">
        <f t="shared" si="3"/>
        <v>5561.230307576895</v>
      </c>
      <c r="T76" s="2">
        <f t="shared" si="3"/>
        <v>5561.230307576895</v>
      </c>
      <c r="U76" s="2">
        <f t="shared" si="3"/>
        <v>5561.230307576895</v>
      </c>
      <c r="V76" s="2">
        <f t="shared" si="3"/>
        <v>5561.230307576895</v>
      </c>
    </row>
    <row r="77" spans="1:22" x14ac:dyDescent="0.35">
      <c r="A77" t="str">
        <f t="shared" si="0"/>
        <v xml:space="preserve">  Coffee transport</v>
      </c>
      <c r="B77" s="13">
        <f>'Prices &amp; assums'!D18</f>
        <v>9.9</v>
      </c>
      <c r="C77" s="2">
        <f t="shared" si="3"/>
        <v>2352.828207051763</v>
      </c>
      <c r="D77" s="2">
        <f t="shared" si="3"/>
        <v>2352.828207051763</v>
      </c>
      <c r="E77" s="2">
        <f t="shared" si="3"/>
        <v>2352.828207051763</v>
      </c>
      <c r="F77" s="2">
        <f t="shared" si="3"/>
        <v>2352.828207051763</v>
      </c>
      <c r="G77" s="2">
        <f t="shared" si="3"/>
        <v>2352.828207051763</v>
      </c>
      <c r="H77" s="2">
        <f t="shared" si="3"/>
        <v>2352.828207051763</v>
      </c>
      <c r="I77" s="2">
        <f t="shared" si="3"/>
        <v>2352.828207051763</v>
      </c>
      <c r="J77" s="2">
        <f t="shared" si="3"/>
        <v>2352.828207051763</v>
      </c>
      <c r="K77" s="2">
        <f t="shared" si="3"/>
        <v>2352.828207051763</v>
      </c>
      <c r="L77" s="2">
        <f t="shared" si="3"/>
        <v>2352.828207051763</v>
      </c>
      <c r="M77" s="2">
        <f t="shared" si="3"/>
        <v>2352.828207051763</v>
      </c>
      <c r="N77" s="2">
        <f t="shared" si="3"/>
        <v>2352.828207051763</v>
      </c>
      <c r="O77" s="2">
        <f t="shared" si="3"/>
        <v>2352.828207051763</v>
      </c>
      <c r="P77" s="2">
        <f t="shared" si="3"/>
        <v>2352.828207051763</v>
      </c>
      <c r="Q77" s="2">
        <f t="shared" si="3"/>
        <v>2352.828207051763</v>
      </c>
      <c r="R77" s="2">
        <f t="shared" si="3"/>
        <v>2352.828207051763</v>
      </c>
      <c r="S77" s="2">
        <f t="shared" si="3"/>
        <v>2352.828207051763</v>
      </c>
      <c r="T77" s="2">
        <f t="shared" si="3"/>
        <v>2352.828207051763</v>
      </c>
      <c r="U77" s="2">
        <f t="shared" si="3"/>
        <v>2352.828207051763</v>
      </c>
      <c r="V77" s="2">
        <f t="shared" si="3"/>
        <v>2352.828207051763</v>
      </c>
    </row>
    <row r="78" spans="1:22" x14ac:dyDescent="0.35">
      <c r="B78" s="13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x14ac:dyDescent="0.35">
      <c r="A79" t="str">
        <f t="shared" ref="A79:A89" si="4">A36</f>
        <v>Inputs</v>
      </c>
      <c r="B79" s="8"/>
    </row>
    <row r="80" spans="1:22" x14ac:dyDescent="0.35">
      <c r="A80" t="str">
        <f t="shared" si="4"/>
        <v xml:space="preserve">  Rubber seedlings</v>
      </c>
      <c r="B80" s="13">
        <f>'Prices &amp; assums'!D85</f>
        <v>294</v>
      </c>
      <c r="C80" s="2">
        <f t="shared" ref="C80:V89" si="5">$B80*C37</f>
        <v>31500</v>
      </c>
      <c r="D80" s="2">
        <f t="shared" si="5"/>
        <v>6300.0000000000009</v>
      </c>
      <c r="E80" s="2">
        <f t="shared" si="5"/>
        <v>0</v>
      </c>
      <c r="F80" s="2">
        <f t="shared" si="5"/>
        <v>0</v>
      </c>
      <c r="G80" s="2">
        <f t="shared" si="5"/>
        <v>0</v>
      </c>
      <c r="H80" s="2">
        <f t="shared" si="5"/>
        <v>0</v>
      </c>
      <c r="I80" s="2">
        <f t="shared" si="5"/>
        <v>0</v>
      </c>
      <c r="J80" s="2">
        <f t="shared" si="5"/>
        <v>0</v>
      </c>
      <c r="K80" s="2">
        <f t="shared" si="5"/>
        <v>0</v>
      </c>
      <c r="L80" s="2">
        <f t="shared" si="5"/>
        <v>0</v>
      </c>
      <c r="M80" s="2">
        <f t="shared" si="5"/>
        <v>0</v>
      </c>
      <c r="N80" s="2">
        <f t="shared" si="5"/>
        <v>0</v>
      </c>
      <c r="O80" s="2">
        <f t="shared" si="5"/>
        <v>0</v>
      </c>
      <c r="P80" s="2">
        <f t="shared" si="5"/>
        <v>0</v>
      </c>
      <c r="Q80" s="2">
        <f t="shared" si="5"/>
        <v>0</v>
      </c>
      <c r="R80" s="2">
        <f t="shared" si="5"/>
        <v>0</v>
      </c>
      <c r="S80" s="2">
        <f t="shared" si="5"/>
        <v>0</v>
      </c>
      <c r="T80" s="2">
        <f t="shared" si="5"/>
        <v>0</v>
      </c>
      <c r="U80" s="2">
        <f t="shared" si="5"/>
        <v>0</v>
      </c>
      <c r="V80" s="2">
        <f t="shared" si="5"/>
        <v>0</v>
      </c>
    </row>
    <row r="81" spans="1:22" x14ac:dyDescent="0.35">
      <c r="A81" t="str">
        <f t="shared" si="4"/>
        <v xml:space="preserve">  Pueraria seeds</v>
      </c>
      <c r="B81" s="13">
        <f>'Prices &amp; assums'!D67</f>
        <v>1470</v>
      </c>
      <c r="C81" s="2">
        <f t="shared" si="5"/>
        <v>294</v>
      </c>
      <c r="D81" s="2">
        <f t="shared" si="5"/>
        <v>0</v>
      </c>
      <c r="E81" s="2">
        <f t="shared" si="5"/>
        <v>0</v>
      </c>
      <c r="F81" s="2">
        <f t="shared" si="5"/>
        <v>0</v>
      </c>
      <c r="G81" s="2">
        <f t="shared" si="5"/>
        <v>0</v>
      </c>
      <c r="H81" s="2">
        <f t="shared" si="5"/>
        <v>0</v>
      </c>
      <c r="I81" s="2">
        <f t="shared" si="5"/>
        <v>0</v>
      </c>
      <c r="J81" s="2">
        <f t="shared" si="5"/>
        <v>0</v>
      </c>
      <c r="K81" s="2">
        <f t="shared" si="5"/>
        <v>0</v>
      </c>
      <c r="L81" s="2">
        <f t="shared" si="5"/>
        <v>0</v>
      </c>
      <c r="M81" s="2">
        <f t="shared" si="5"/>
        <v>0</v>
      </c>
      <c r="N81" s="2">
        <f t="shared" si="5"/>
        <v>0</v>
      </c>
      <c r="O81" s="2">
        <f t="shared" si="5"/>
        <v>0</v>
      </c>
      <c r="P81" s="2">
        <f t="shared" si="5"/>
        <v>0</v>
      </c>
      <c r="Q81" s="2">
        <f t="shared" si="5"/>
        <v>0</v>
      </c>
      <c r="R81" s="2">
        <f t="shared" si="5"/>
        <v>0</v>
      </c>
      <c r="S81" s="2">
        <f t="shared" si="5"/>
        <v>0</v>
      </c>
      <c r="T81" s="2">
        <f t="shared" si="5"/>
        <v>0</v>
      </c>
      <c r="U81" s="2">
        <f t="shared" si="5"/>
        <v>0</v>
      </c>
      <c r="V81" s="2">
        <f t="shared" si="5"/>
        <v>0</v>
      </c>
    </row>
    <row r="82" spans="1:22" x14ac:dyDescent="0.35">
      <c r="A82" t="str">
        <f t="shared" si="4"/>
        <v xml:space="preserve">  Superphosphate</v>
      </c>
      <c r="B82" s="8">
        <f>'Prices &amp; assums'!D57</f>
        <v>490</v>
      </c>
      <c r="C82" s="2">
        <f t="shared" si="5"/>
        <v>6562.5</v>
      </c>
      <c r="D82" s="2">
        <f t="shared" si="5"/>
        <v>6562.5</v>
      </c>
      <c r="E82" s="2">
        <f t="shared" si="5"/>
        <v>9187.5</v>
      </c>
      <c r="F82" s="2">
        <f t="shared" si="5"/>
        <v>0</v>
      </c>
      <c r="G82" s="2">
        <f t="shared" si="5"/>
        <v>0</v>
      </c>
      <c r="H82" s="2">
        <f t="shared" si="5"/>
        <v>0</v>
      </c>
      <c r="I82" s="2">
        <f t="shared" si="5"/>
        <v>0</v>
      </c>
      <c r="J82" s="2">
        <f t="shared" si="5"/>
        <v>0</v>
      </c>
      <c r="K82" s="2">
        <f t="shared" si="5"/>
        <v>0</v>
      </c>
      <c r="L82" s="2">
        <f t="shared" si="5"/>
        <v>0</v>
      </c>
      <c r="M82" s="2">
        <f t="shared" si="5"/>
        <v>0</v>
      </c>
      <c r="N82" s="2">
        <f t="shared" si="5"/>
        <v>0</v>
      </c>
      <c r="O82" s="2">
        <f t="shared" si="5"/>
        <v>0</v>
      </c>
      <c r="P82" s="2">
        <f t="shared" si="5"/>
        <v>0</v>
      </c>
      <c r="Q82" s="2">
        <f t="shared" si="5"/>
        <v>0</v>
      </c>
      <c r="R82" s="2">
        <f t="shared" si="5"/>
        <v>0</v>
      </c>
      <c r="S82" s="2">
        <f t="shared" si="5"/>
        <v>0</v>
      </c>
      <c r="T82" s="2">
        <f t="shared" si="5"/>
        <v>0</v>
      </c>
      <c r="U82" s="2">
        <f t="shared" si="5"/>
        <v>0</v>
      </c>
      <c r="V82" s="2">
        <f t="shared" si="5"/>
        <v>0</v>
      </c>
    </row>
    <row r="83" spans="1:22" x14ac:dyDescent="0.35">
      <c r="A83" t="str">
        <f t="shared" si="4"/>
        <v xml:space="preserve">  Urea</v>
      </c>
      <c r="B83" s="13">
        <f>'Prices &amp; assums'!D56</f>
        <v>490</v>
      </c>
      <c r="C83" s="2">
        <f t="shared" si="5"/>
        <v>5774.9999999999991</v>
      </c>
      <c r="D83" s="2">
        <f t="shared" si="5"/>
        <v>5774.9999999999991</v>
      </c>
      <c r="E83" s="2">
        <f t="shared" si="5"/>
        <v>7927.4999999999991</v>
      </c>
      <c r="F83" s="2">
        <f t="shared" si="5"/>
        <v>0</v>
      </c>
      <c r="G83" s="2">
        <f t="shared" si="5"/>
        <v>0</v>
      </c>
      <c r="H83" s="2">
        <f t="shared" si="5"/>
        <v>0</v>
      </c>
      <c r="I83" s="2">
        <f t="shared" si="5"/>
        <v>0</v>
      </c>
      <c r="J83" s="2">
        <f t="shared" si="5"/>
        <v>0</v>
      </c>
      <c r="K83" s="2">
        <f t="shared" si="5"/>
        <v>0</v>
      </c>
      <c r="L83" s="2">
        <f t="shared" si="5"/>
        <v>0</v>
      </c>
      <c r="M83" s="2">
        <f t="shared" si="5"/>
        <v>0</v>
      </c>
      <c r="N83" s="2">
        <f t="shared" si="5"/>
        <v>0</v>
      </c>
      <c r="O83" s="2">
        <f t="shared" si="5"/>
        <v>0</v>
      </c>
      <c r="P83" s="2">
        <f t="shared" si="5"/>
        <v>0</v>
      </c>
      <c r="Q83" s="2">
        <f t="shared" si="5"/>
        <v>0</v>
      </c>
      <c r="R83" s="2">
        <f t="shared" si="5"/>
        <v>0</v>
      </c>
      <c r="S83" s="2">
        <f t="shared" si="5"/>
        <v>0</v>
      </c>
      <c r="T83" s="2">
        <f t="shared" si="5"/>
        <v>0</v>
      </c>
      <c r="U83" s="2">
        <f t="shared" si="5"/>
        <v>0</v>
      </c>
      <c r="V83" s="2">
        <f t="shared" si="5"/>
        <v>0</v>
      </c>
    </row>
    <row r="84" spans="1:22" x14ac:dyDescent="0.35">
      <c r="A84" t="str">
        <f t="shared" si="4"/>
        <v xml:space="preserve">  Potassium chloride</v>
      </c>
      <c r="B84" s="13">
        <f>'Prices &amp; assums'!D58</f>
        <v>392</v>
      </c>
      <c r="C84" s="2">
        <f t="shared" si="5"/>
        <v>5796</v>
      </c>
      <c r="D84" s="2">
        <f t="shared" si="5"/>
        <v>4410</v>
      </c>
      <c r="E84" s="2">
        <f t="shared" si="5"/>
        <v>4410</v>
      </c>
      <c r="F84" s="2">
        <f t="shared" si="5"/>
        <v>4410</v>
      </c>
      <c r="G84" s="2">
        <f t="shared" si="5"/>
        <v>4410</v>
      </c>
      <c r="H84" s="2">
        <f t="shared" si="5"/>
        <v>4410</v>
      </c>
      <c r="I84" s="2">
        <f t="shared" si="5"/>
        <v>4410</v>
      </c>
      <c r="J84" s="2">
        <f t="shared" si="5"/>
        <v>4410</v>
      </c>
      <c r="K84" s="2">
        <f t="shared" si="5"/>
        <v>4410</v>
      </c>
      <c r="L84" s="2">
        <f t="shared" si="5"/>
        <v>4410</v>
      </c>
      <c r="M84" s="2">
        <f t="shared" si="5"/>
        <v>4410</v>
      </c>
      <c r="N84" s="2">
        <f t="shared" si="5"/>
        <v>4410</v>
      </c>
      <c r="O84" s="2">
        <f t="shared" si="5"/>
        <v>4410</v>
      </c>
      <c r="P84" s="2">
        <f t="shared" si="5"/>
        <v>4410</v>
      </c>
      <c r="Q84" s="2">
        <f t="shared" si="5"/>
        <v>4410</v>
      </c>
      <c r="R84" s="2">
        <f t="shared" si="5"/>
        <v>4410</v>
      </c>
      <c r="S84" s="2">
        <f t="shared" si="5"/>
        <v>4410</v>
      </c>
      <c r="T84" s="2">
        <f t="shared" si="5"/>
        <v>4410</v>
      </c>
      <c r="U84" s="2">
        <f t="shared" si="5"/>
        <v>4410</v>
      </c>
      <c r="V84" s="2">
        <f t="shared" si="5"/>
        <v>4410</v>
      </c>
    </row>
    <row r="85" spans="1:22" x14ac:dyDescent="0.35">
      <c r="A85" t="str">
        <f t="shared" si="4"/>
        <v xml:space="preserve">  Fungicide</v>
      </c>
      <c r="B85" s="13">
        <f>'Prices &amp; assums'!D49</f>
        <v>29.4</v>
      </c>
      <c r="C85" s="2">
        <f t="shared" si="5"/>
        <v>0</v>
      </c>
      <c r="D85" s="2">
        <f t="shared" si="5"/>
        <v>0</v>
      </c>
      <c r="E85" s="2">
        <f t="shared" si="5"/>
        <v>3149.9999999999995</v>
      </c>
      <c r="F85" s="2">
        <f t="shared" si="5"/>
        <v>3149.9999999999995</v>
      </c>
      <c r="G85" s="2">
        <f t="shared" si="5"/>
        <v>3149.9999999999995</v>
      </c>
      <c r="H85" s="2">
        <f t="shared" si="5"/>
        <v>3149.9999999999995</v>
      </c>
      <c r="I85" s="2">
        <f t="shared" si="5"/>
        <v>3149.9999999999995</v>
      </c>
      <c r="J85" s="2">
        <f t="shared" si="5"/>
        <v>3149.9999999999995</v>
      </c>
      <c r="K85" s="2">
        <f t="shared" si="5"/>
        <v>3149.9999999999995</v>
      </c>
      <c r="L85" s="2">
        <f t="shared" si="5"/>
        <v>3149.9999999999995</v>
      </c>
      <c r="M85" s="2">
        <f t="shared" si="5"/>
        <v>3149.9999999999995</v>
      </c>
      <c r="N85" s="2">
        <f t="shared" si="5"/>
        <v>3149.9999999999995</v>
      </c>
      <c r="O85" s="2">
        <f t="shared" si="5"/>
        <v>3149.9999999999995</v>
      </c>
      <c r="P85" s="2">
        <f t="shared" si="5"/>
        <v>3149.9999999999995</v>
      </c>
      <c r="Q85" s="2">
        <f t="shared" si="5"/>
        <v>3149.9999999999995</v>
      </c>
      <c r="R85" s="2">
        <f t="shared" si="5"/>
        <v>3149.9999999999995</v>
      </c>
      <c r="S85" s="2">
        <f t="shared" si="5"/>
        <v>3149.9999999999995</v>
      </c>
      <c r="T85" s="2">
        <f t="shared" si="5"/>
        <v>3149.9999999999995</v>
      </c>
      <c r="U85" s="2">
        <f t="shared" si="5"/>
        <v>3149.9999999999995</v>
      </c>
      <c r="V85" s="2">
        <f t="shared" si="5"/>
        <v>3149.9999999999995</v>
      </c>
    </row>
    <row r="86" spans="1:22" x14ac:dyDescent="0.35">
      <c r="A86" t="str">
        <f t="shared" si="4"/>
        <v xml:space="preserve">  Cups</v>
      </c>
      <c r="B86" s="13">
        <f>'Prices &amp; assums'!D51</f>
        <v>82</v>
      </c>
      <c r="C86" s="2">
        <f t="shared" si="5"/>
        <v>0</v>
      </c>
      <c r="D86" s="2">
        <f t="shared" si="5"/>
        <v>0</v>
      </c>
      <c r="E86" s="2">
        <f t="shared" si="5"/>
        <v>0</v>
      </c>
      <c r="F86" s="2">
        <f t="shared" si="5"/>
        <v>0</v>
      </c>
      <c r="G86" s="2">
        <f t="shared" si="5"/>
        <v>0</v>
      </c>
      <c r="H86" s="2">
        <f t="shared" si="5"/>
        <v>0</v>
      </c>
      <c r="I86" s="2">
        <f t="shared" si="5"/>
        <v>8785.7142857142862</v>
      </c>
      <c r="J86" s="2">
        <f t="shared" si="5"/>
        <v>0</v>
      </c>
      <c r="K86" s="2">
        <f t="shared" si="5"/>
        <v>0</v>
      </c>
      <c r="L86" s="2">
        <f t="shared" si="5"/>
        <v>0</v>
      </c>
      <c r="M86" s="2">
        <f t="shared" si="5"/>
        <v>0</v>
      </c>
      <c r="N86" s="2">
        <f t="shared" si="5"/>
        <v>8785.7142857142862</v>
      </c>
      <c r="O86" s="2">
        <f t="shared" si="5"/>
        <v>0</v>
      </c>
      <c r="P86" s="2">
        <f t="shared" si="5"/>
        <v>0</v>
      </c>
      <c r="Q86" s="2">
        <f t="shared" si="5"/>
        <v>0</v>
      </c>
      <c r="R86" s="2">
        <f t="shared" si="5"/>
        <v>0</v>
      </c>
      <c r="S86" s="2">
        <f t="shared" si="5"/>
        <v>8785.7142857142862</v>
      </c>
      <c r="T86" s="2">
        <f t="shared" si="5"/>
        <v>0</v>
      </c>
      <c r="U86" s="2">
        <f t="shared" si="5"/>
        <v>0</v>
      </c>
      <c r="V86" s="2">
        <f t="shared" si="5"/>
        <v>0</v>
      </c>
    </row>
    <row r="87" spans="1:22" x14ac:dyDescent="0.35">
      <c r="A87" t="str">
        <f t="shared" si="4"/>
        <v xml:space="preserve">  Strings fro rubber harvest</v>
      </c>
      <c r="B87" s="13">
        <f>'Prices &amp; assums'!D52</f>
        <v>32.799999999999997</v>
      </c>
      <c r="C87" s="2">
        <f t="shared" si="5"/>
        <v>0</v>
      </c>
      <c r="D87" s="2">
        <f t="shared" si="5"/>
        <v>0</v>
      </c>
      <c r="E87" s="2">
        <f t="shared" si="5"/>
        <v>0</v>
      </c>
      <c r="F87" s="2">
        <f t="shared" si="5"/>
        <v>0</v>
      </c>
      <c r="G87" s="2">
        <f t="shared" si="5"/>
        <v>0</v>
      </c>
      <c r="H87" s="2">
        <f t="shared" si="5"/>
        <v>0</v>
      </c>
      <c r="I87" s="2">
        <f t="shared" si="5"/>
        <v>3514.2857142857138</v>
      </c>
      <c r="J87" s="2">
        <f t="shared" si="5"/>
        <v>0</v>
      </c>
      <c r="K87" s="2">
        <f t="shared" si="5"/>
        <v>0</v>
      </c>
      <c r="L87" s="2">
        <f t="shared" si="5"/>
        <v>0</v>
      </c>
      <c r="M87" s="2">
        <f t="shared" si="5"/>
        <v>0</v>
      </c>
      <c r="N87" s="2">
        <f t="shared" si="5"/>
        <v>3514.2857142857138</v>
      </c>
      <c r="O87" s="2">
        <f t="shared" si="5"/>
        <v>0</v>
      </c>
      <c r="P87" s="2">
        <f t="shared" si="5"/>
        <v>0</v>
      </c>
      <c r="Q87" s="2">
        <f t="shared" si="5"/>
        <v>0</v>
      </c>
      <c r="R87" s="2">
        <f t="shared" si="5"/>
        <v>0</v>
      </c>
      <c r="S87" s="2">
        <f t="shared" si="5"/>
        <v>3514.2857142857138</v>
      </c>
      <c r="T87" s="2">
        <f t="shared" si="5"/>
        <v>0</v>
      </c>
      <c r="U87" s="2">
        <f t="shared" si="5"/>
        <v>0</v>
      </c>
      <c r="V87" s="2">
        <f t="shared" si="5"/>
        <v>0</v>
      </c>
    </row>
    <row r="88" spans="1:22" x14ac:dyDescent="0.35">
      <c r="A88" t="str">
        <f t="shared" si="4"/>
        <v xml:space="preserve">  Supports for cups</v>
      </c>
      <c r="B88" s="13">
        <f>'Prices &amp; assums'!D53</f>
        <v>41</v>
      </c>
      <c r="C88" s="2">
        <f t="shared" si="5"/>
        <v>0</v>
      </c>
      <c r="D88" s="2">
        <f t="shared" si="5"/>
        <v>0</v>
      </c>
      <c r="E88" s="2">
        <f t="shared" si="5"/>
        <v>0</v>
      </c>
      <c r="F88" s="2">
        <f t="shared" si="5"/>
        <v>0</v>
      </c>
      <c r="G88" s="2">
        <f t="shared" si="5"/>
        <v>0</v>
      </c>
      <c r="H88" s="2">
        <f t="shared" si="5"/>
        <v>0</v>
      </c>
      <c r="I88" s="2">
        <f t="shared" si="5"/>
        <v>4392.8571428571431</v>
      </c>
      <c r="J88" s="2">
        <f t="shared" si="5"/>
        <v>0</v>
      </c>
      <c r="K88" s="2">
        <f t="shared" si="5"/>
        <v>0</v>
      </c>
      <c r="L88" s="2">
        <f t="shared" si="5"/>
        <v>0</v>
      </c>
      <c r="M88" s="2">
        <f t="shared" si="5"/>
        <v>0</v>
      </c>
      <c r="N88" s="2">
        <f t="shared" si="5"/>
        <v>4392.8571428571431</v>
      </c>
      <c r="O88" s="2">
        <f t="shared" si="5"/>
        <v>0</v>
      </c>
      <c r="P88" s="2">
        <f t="shared" si="5"/>
        <v>0</v>
      </c>
      <c r="Q88" s="2">
        <f t="shared" si="5"/>
        <v>0</v>
      </c>
      <c r="R88" s="2">
        <f t="shared" si="5"/>
        <v>0</v>
      </c>
      <c r="S88" s="2">
        <f t="shared" si="5"/>
        <v>4392.8571428571431</v>
      </c>
      <c r="T88" s="2">
        <f t="shared" si="5"/>
        <v>0</v>
      </c>
      <c r="U88" s="2">
        <f t="shared" si="5"/>
        <v>0</v>
      </c>
      <c r="V88" s="2">
        <f t="shared" si="5"/>
        <v>0</v>
      </c>
    </row>
    <row r="89" spans="1:22" x14ac:dyDescent="0.35">
      <c r="A89" t="str">
        <f t="shared" si="4"/>
        <v xml:space="preserve">  Gutters</v>
      </c>
      <c r="B89" s="13">
        <f>'Prices &amp; assums'!D54</f>
        <v>16.399999999999999</v>
      </c>
      <c r="C89" s="2">
        <f t="shared" si="5"/>
        <v>0</v>
      </c>
      <c r="D89" s="2">
        <f t="shared" si="5"/>
        <v>0</v>
      </c>
      <c r="E89" s="2">
        <f t="shared" si="5"/>
        <v>0</v>
      </c>
      <c r="F89" s="2">
        <f t="shared" si="5"/>
        <v>0</v>
      </c>
      <c r="G89" s="2">
        <f t="shared" si="5"/>
        <v>0</v>
      </c>
      <c r="H89" s="2">
        <f t="shared" si="5"/>
        <v>0</v>
      </c>
      <c r="I89" s="2">
        <f t="shared" si="5"/>
        <v>1757.1428571428569</v>
      </c>
      <c r="J89" s="2">
        <f t="shared" si="5"/>
        <v>0</v>
      </c>
      <c r="K89" s="2">
        <f t="shared" si="5"/>
        <v>0</v>
      </c>
      <c r="L89" s="2">
        <f t="shared" si="5"/>
        <v>0</v>
      </c>
      <c r="M89" s="2">
        <f t="shared" si="5"/>
        <v>0</v>
      </c>
      <c r="N89" s="2">
        <f t="shared" si="5"/>
        <v>1757.1428571428569</v>
      </c>
      <c r="O89" s="2">
        <f t="shared" si="5"/>
        <v>0</v>
      </c>
      <c r="P89" s="2">
        <f t="shared" si="5"/>
        <v>0</v>
      </c>
      <c r="Q89" s="2">
        <f t="shared" si="5"/>
        <v>0</v>
      </c>
      <c r="R89" s="2">
        <f t="shared" si="5"/>
        <v>0</v>
      </c>
      <c r="S89" s="2">
        <f t="shared" si="5"/>
        <v>1757.1428571428569</v>
      </c>
      <c r="T89" s="2">
        <f t="shared" si="5"/>
        <v>0</v>
      </c>
      <c r="U89" s="2">
        <f t="shared" si="5"/>
        <v>0</v>
      </c>
      <c r="V89" s="2">
        <f t="shared" si="5"/>
        <v>0</v>
      </c>
    </row>
    <row r="90" spans="1:22" x14ac:dyDescent="0.35">
      <c r="B90" s="13"/>
    </row>
    <row r="91" spans="1:22" x14ac:dyDescent="0.35">
      <c r="A91" t="str">
        <f>A49</f>
        <v>Production</v>
      </c>
      <c r="B91" s="13"/>
    </row>
    <row r="92" spans="1:22" x14ac:dyDescent="0.35">
      <c r="A92" s="3" t="str">
        <f>A50</f>
        <v xml:space="preserve">  Rubber</v>
      </c>
      <c r="B92" s="13">
        <f>'Prices &amp; assums'!D98</f>
        <v>180</v>
      </c>
      <c r="C92" s="62">
        <f t="shared" ref="C92:V93" si="6">$B92*C50</f>
        <v>0</v>
      </c>
      <c r="D92" s="62">
        <f t="shared" si="6"/>
        <v>0</v>
      </c>
      <c r="E92" s="62">
        <f t="shared" si="6"/>
        <v>0</v>
      </c>
      <c r="F92" s="62">
        <f t="shared" si="6"/>
        <v>0</v>
      </c>
      <c r="G92" s="62">
        <f t="shared" si="6"/>
        <v>0</v>
      </c>
      <c r="H92" s="62">
        <f t="shared" si="6"/>
        <v>0</v>
      </c>
      <c r="I92" s="62">
        <f t="shared" si="6"/>
        <v>86872.586872586864</v>
      </c>
      <c r="J92" s="62">
        <f t="shared" si="6"/>
        <v>86872.586872586864</v>
      </c>
      <c r="K92" s="62">
        <f t="shared" si="6"/>
        <v>95559.845559845548</v>
      </c>
      <c r="L92" s="62">
        <f t="shared" si="6"/>
        <v>95559.845559845548</v>
      </c>
      <c r="M92" s="62">
        <f t="shared" si="6"/>
        <v>104247.10424710425</v>
      </c>
      <c r="N92" s="62">
        <f t="shared" si="6"/>
        <v>104247.10424710425</v>
      </c>
      <c r="O92" s="62">
        <f t="shared" si="6"/>
        <v>104247.10424710425</v>
      </c>
      <c r="P92" s="62">
        <f t="shared" si="6"/>
        <v>104247.10424710425</v>
      </c>
      <c r="Q92" s="62">
        <f t="shared" si="6"/>
        <v>104247.10424710425</v>
      </c>
      <c r="R92" s="62">
        <f t="shared" si="6"/>
        <v>104247.10424710425</v>
      </c>
      <c r="S92" s="62">
        <f t="shared" si="6"/>
        <v>104247.10424710425</v>
      </c>
      <c r="T92" s="62">
        <f t="shared" si="6"/>
        <v>104247.10424710425</v>
      </c>
      <c r="U92" s="62">
        <f t="shared" si="6"/>
        <v>104247.10424710425</v>
      </c>
      <c r="V92" s="62">
        <f t="shared" si="6"/>
        <v>104247.10424710425</v>
      </c>
    </row>
    <row r="93" spans="1:22" x14ac:dyDescent="0.35">
      <c r="A93" s="11" t="s">
        <v>186</v>
      </c>
      <c r="B93" s="22">
        <f>'Prices &amp; assums'!D99</f>
        <v>2800</v>
      </c>
      <c r="C93" s="14">
        <f t="shared" si="6"/>
        <v>665446.36159039754</v>
      </c>
      <c r="D93" s="14">
        <f t="shared" si="6"/>
        <v>665446.36159039754</v>
      </c>
      <c r="E93" s="14">
        <f t="shared" si="6"/>
        <v>665446.36159039754</v>
      </c>
      <c r="F93" s="14">
        <f t="shared" si="6"/>
        <v>665446.36159039754</v>
      </c>
      <c r="G93" s="14">
        <f t="shared" si="6"/>
        <v>665446.36159039754</v>
      </c>
      <c r="H93" s="14">
        <f t="shared" si="6"/>
        <v>665446.36159039754</v>
      </c>
      <c r="I93" s="14">
        <f t="shared" si="6"/>
        <v>665446.36159039754</v>
      </c>
      <c r="J93" s="14">
        <f t="shared" si="6"/>
        <v>665446.36159039754</v>
      </c>
      <c r="K93" s="14">
        <f t="shared" si="6"/>
        <v>665446.36159039754</v>
      </c>
      <c r="L93" s="14">
        <f t="shared" si="6"/>
        <v>665446.36159039754</v>
      </c>
      <c r="M93" s="14">
        <f t="shared" si="6"/>
        <v>665446.36159039754</v>
      </c>
      <c r="N93" s="14">
        <f t="shared" si="6"/>
        <v>665446.36159039754</v>
      </c>
      <c r="O93" s="14">
        <f t="shared" si="6"/>
        <v>665446.36159039754</v>
      </c>
      <c r="P93" s="14">
        <f t="shared" si="6"/>
        <v>665446.36159039754</v>
      </c>
      <c r="Q93" s="14">
        <f t="shared" si="6"/>
        <v>665446.36159039754</v>
      </c>
      <c r="R93" s="14">
        <f t="shared" si="6"/>
        <v>665446.36159039754</v>
      </c>
      <c r="S93" s="14">
        <f t="shared" si="6"/>
        <v>665446.36159039754</v>
      </c>
      <c r="T93" s="14">
        <f t="shared" si="6"/>
        <v>665446.36159039754</v>
      </c>
      <c r="U93" s="14">
        <f t="shared" si="6"/>
        <v>665446.36159039754</v>
      </c>
      <c r="V93" s="14">
        <f t="shared" si="6"/>
        <v>665446.36159039754</v>
      </c>
    </row>
    <row r="94" spans="1:22" x14ac:dyDescent="0.35">
      <c r="C94" s="5"/>
      <c r="D94" s="5"/>
      <c r="E94" s="5"/>
    </row>
    <row r="95" spans="1:22" x14ac:dyDescent="0.35">
      <c r="A95" t="s">
        <v>156</v>
      </c>
    </row>
    <row r="96" spans="1:22" x14ac:dyDescent="0.35">
      <c r="A96" t="s">
        <v>157</v>
      </c>
      <c r="C96" s="2">
        <f>SUM(C56:C77)+SUM(C80:C89)</f>
        <v>236297.63289523678</v>
      </c>
      <c r="D96" s="2">
        <f t="shared" ref="D96:V96" si="7">SUM(D56:D77)+SUM(D80:D89)</f>
        <v>180859.31697080116</v>
      </c>
      <c r="E96" s="2">
        <f t="shared" si="7"/>
        <v>176241.0702175544</v>
      </c>
      <c r="F96" s="2">
        <f t="shared" si="7"/>
        <v>156126.0702175544</v>
      </c>
      <c r="G96" s="2">
        <f t="shared" si="7"/>
        <v>151254.0702175544</v>
      </c>
      <c r="H96" s="2">
        <f t="shared" si="7"/>
        <v>151254.0702175544</v>
      </c>
      <c r="I96" s="2">
        <f t="shared" si="7"/>
        <v>197068.93508241925</v>
      </c>
      <c r="J96" s="2">
        <f t="shared" si="7"/>
        <v>178618.93508241925</v>
      </c>
      <c r="K96" s="2">
        <f t="shared" si="7"/>
        <v>181355.42156890573</v>
      </c>
      <c r="L96" s="2">
        <f t="shared" si="7"/>
        <v>181355.42156890573</v>
      </c>
      <c r="M96" s="2">
        <f t="shared" si="7"/>
        <v>184091.90805539224</v>
      </c>
      <c r="N96" s="2">
        <f t="shared" si="7"/>
        <v>202541.90805539224</v>
      </c>
      <c r="O96" s="2">
        <f t="shared" si="7"/>
        <v>184091.90805539224</v>
      </c>
      <c r="P96" s="2">
        <f t="shared" si="7"/>
        <v>184091.90805539224</v>
      </c>
      <c r="Q96" s="2">
        <f t="shared" si="7"/>
        <v>184091.90805539224</v>
      </c>
      <c r="R96" s="2">
        <f t="shared" si="7"/>
        <v>184091.90805539224</v>
      </c>
      <c r="S96" s="2">
        <f t="shared" si="7"/>
        <v>202541.90805539224</v>
      </c>
      <c r="T96" s="2">
        <f t="shared" si="7"/>
        <v>184091.90805539224</v>
      </c>
      <c r="U96" s="2">
        <f t="shared" si="7"/>
        <v>184091.90805539224</v>
      </c>
      <c r="V96" s="2">
        <f t="shared" si="7"/>
        <v>184091.90805539224</v>
      </c>
    </row>
    <row r="97" spans="1:22" x14ac:dyDescent="0.35">
      <c r="A97" t="s">
        <v>158</v>
      </c>
      <c r="C97" s="2">
        <f>C96-C56-C57-C60/3-C61-C62-C63-C64/3-C65/3-C66/3-C68-C70-C71-C74/2</f>
        <v>163777.35582077337</v>
      </c>
      <c r="D97" s="2">
        <f t="shared" ref="D97:V97" si="8">D96-D56-D57-D60/3-D61-D62-D63-D64/3-D65/3-D66/3-D68-D70-D71-D74/2</f>
        <v>131527.93729893514</v>
      </c>
      <c r="E97" s="2">
        <f t="shared" si="8"/>
        <v>126243.74898724683</v>
      </c>
      <c r="F97" s="2">
        <f t="shared" si="8"/>
        <v>106128.74898724683</v>
      </c>
      <c r="G97" s="2">
        <f t="shared" si="8"/>
        <v>101256.74898724683</v>
      </c>
      <c r="H97" s="2">
        <f t="shared" si="8"/>
        <v>101256.74898724683</v>
      </c>
      <c r="I97" s="2">
        <f t="shared" si="8"/>
        <v>147071.61385211168</v>
      </c>
      <c r="J97" s="2">
        <f t="shared" si="8"/>
        <v>128621.61385211168</v>
      </c>
      <c r="K97" s="2">
        <f t="shared" si="8"/>
        <v>131358.10033859816</v>
      </c>
      <c r="L97" s="2">
        <f t="shared" si="8"/>
        <v>131358.10033859816</v>
      </c>
      <c r="M97" s="2">
        <f t="shared" si="8"/>
        <v>134094.58682508467</v>
      </c>
      <c r="N97" s="2">
        <f t="shared" si="8"/>
        <v>152544.58682508467</v>
      </c>
      <c r="O97" s="2">
        <f t="shared" si="8"/>
        <v>134094.58682508467</v>
      </c>
      <c r="P97" s="2">
        <f t="shared" si="8"/>
        <v>134094.58682508467</v>
      </c>
      <c r="Q97" s="2">
        <f t="shared" si="8"/>
        <v>134094.58682508467</v>
      </c>
      <c r="R97" s="2">
        <f t="shared" si="8"/>
        <v>134094.58682508467</v>
      </c>
      <c r="S97" s="2">
        <f t="shared" si="8"/>
        <v>152544.58682508467</v>
      </c>
      <c r="T97" s="2">
        <f t="shared" si="8"/>
        <v>134094.58682508467</v>
      </c>
      <c r="U97" s="2">
        <f t="shared" si="8"/>
        <v>134094.58682508467</v>
      </c>
      <c r="V97" s="2">
        <f t="shared" si="8"/>
        <v>134094.58682508467</v>
      </c>
    </row>
    <row r="98" spans="1:22" x14ac:dyDescent="0.35">
      <c r="A98" t="s">
        <v>159</v>
      </c>
      <c r="C98" s="2">
        <f>C59+C67+C80+C81+C82+C83+C84</f>
        <v>63965.22371664345</v>
      </c>
      <c r="D98" s="2">
        <f>D59+D67+D80+D81+D82+D83+D84</f>
        <v>35047.5</v>
      </c>
      <c r="E98" s="2">
        <f>E59+E67+E80+E81+E82+E83+E84</f>
        <v>27525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</row>
    <row r="99" spans="1:22" x14ac:dyDescent="0.35">
      <c r="A99" s="44" t="s">
        <v>160</v>
      </c>
      <c r="C99" s="2">
        <f>C96-C98</f>
        <v>172332.40917859331</v>
      </c>
      <c r="D99" s="2">
        <f t="shared" ref="D99:V99" si="9">D96-D98</f>
        <v>145811.81697080116</v>
      </c>
      <c r="E99" s="2">
        <f t="shared" si="9"/>
        <v>148716.0702175544</v>
      </c>
      <c r="F99" s="2">
        <f t="shared" si="9"/>
        <v>156126.0702175544</v>
      </c>
      <c r="G99" s="2">
        <f t="shared" si="9"/>
        <v>151254.0702175544</v>
      </c>
      <c r="H99" s="2">
        <f t="shared" si="9"/>
        <v>151254.0702175544</v>
      </c>
      <c r="I99" s="2">
        <f t="shared" si="9"/>
        <v>197068.93508241925</v>
      </c>
      <c r="J99" s="2">
        <f t="shared" si="9"/>
        <v>178618.93508241925</v>
      </c>
      <c r="K99" s="2">
        <f t="shared" si="9"/>
        <v>181355.42156890573</v>
      </c>
      <c r="L99" s="2">
        <f t="shared" si="9"/>
        <v>181355.42156890573</v>
      </c>
      <c r="M99" s="2">
        <f t="shared" si="9"/>
        <v>184091.90805539224</v>
      </c>
      <c r="N99" s="2">
        <f t="shared" si="9"/>
        <v>202541.90805539224</v>
      </c>
      <c r="O99" s="2">
        <f t="shared" si="9"/>
        <v>184091.90805539224</v>
      </c>
      <c r="P99" s="2">
        <f t="shared" si="9"/>
        <v>184091.90805539224</v>
      </c>
      <c r="Q99" s="2">
        <f t="shared" si="9"/>
        <v>184091.90805539224</v>
      </c>
      <c r="R99" s="2">
        <f t="shared" si="9"/>
        <v>184091.90805539224</v>
      </c>
      <c r="S99" s="2">
        <f t="shared" si="9"/>
        <v>202541.90805539224</v>
      </c>
      <c r="T99" s="2">
        <f t="shared" si="9"/>
        <v>184091.90805539224</v>
      </c>
      <c r="U99" s="2">
        <f t="shared" si="9"/>
        <v>184091.90805539224</v>
      </c>
      <c r="V99" s="2">
        <f t="shared" si="9"/>
        <v>184091.90805539224</v>
      </c>
    </row>
    <row r="100" spans="1:22" x14ac:dyDescent="0.35">
      <c r="A100" t="s">
        <v>79</v>
      </c>
      <c r="C100" s="2">
        <f>SUM(C92:C93)</f>
        <v>665446.36159039754</v>
      </c>
      <c r="D100" s="2">
        <f t="shared" ref="D100:V100" si="10">SUM(D92:D93)</f>
        <v>665446.36159039754</v>
      </c>
      <c r="E100" s="2">
        <f t="shared" si="10"/>
        <v>665446.36159039754</v>
      </c>
      <c r="F100" s="2">
        <f t="shared" si="10"/>
        <v>665446.36159039754</v>
      </c>
      <c r="G100" s="2">
        <f t="shared" si="10"/>
        <v>665446.36159039754</v>
      </c>
      <c r="H100" s="2">
        <f t="shared" si="10"/>
        <v>665446.36159039754</v>
      </c>
      <c r="I100" s="2">
        <f t="shared" si="10"/>
        <v>752318.94846298441</v>
      </c>
      <c r="J100" s="2">
        <f t="shared" si="10"/>
        <v>752318.94846298441</v>
      </c>
      <c r="K100" s="2">
        <f t="shared" si="10"/>
        <v>761006.20715024311</v>
      </c>
      <c r="L100" s="2">
        <f t="shared" si="10"/>
        <v>761006.20715024311</v>
      </c>
      <c r="M100" s="2">
        <f t="shared" si="10"/>
        <v>769693.4658375018</v>
      </c>
      <c r="N100" s="2">
        <f t="shared" si="10"/>
        <v>769693.4658375018</v>
      </c>
      <c r="O100" s="2">
        <f t="shared" si="10"/>
        <v>769693.4658375018</v>
      </c>
      <c r="P100" s="2">
        <f t="shared" si="10"/>
        <v>769693.4658375018</v>
      </c>
      <c r="Q100" s="2">
        <f t="shared" si="10"/>
        <v>769693.4658375018</v>
      </c>
      <c r="R100" s="2">
        <f t="shared" si="10"/>
        <v>769693.4658375018</v>
      </c>
      <c r="S100" s="2">
        <f t="shared" si="10"/>
        <v>769693.4658375018</v>
      </c>
      <c r="T100" s="2">
        <f t="shared" si="10"/>
        <v>769693.4658375018</v>
      </c>
      <c r="U100" s="2">
        <f t="shared" si="10"/>
        <v>769693.4658375018</v>
      </c>
      <c r="V100" s="2">
        <f t="shared" si="10"/>
        <v>769693.4658375018</v>
      </c>
    </row>
    <row r="101" spans="1:22" x14ac:dyDescent="0.35">
      <c r="A101" s="45" t="s">
        <v>154</v>
      </c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x14ac:dyDescent="0.35">
      <c r="A102" t="s">
        <v>151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x14ac:dyDescent="0.35">
      <c r="A103" t="s">
        <v>152</v>
      </c>
      <c r="C103" s="2">
        <f t="shared" ref="C103:V103" si="11">C100-C96</f>
        <v>429148.72869516077</v>
      </c>
      <c r="D103" s="2">
        <f t="shared" si="11"/>
        <v>484587.04461959639</v>
      </c>
      <c r="E103" s="2">
        <f t="shared" si="11"/>
        <v>489205.29137284314</v>
      </c>
      <c r="F103" s="2">
        <f t="shared" si="11"/>
        <v>509320.29137284314</v>
      </c>
      <c r="G103" s="2">
        <f t="shared" si="11"/>
        <v>514192.29137284314</v>
      </c>
      <c r="H103" s="2">
        <f t="shared" si="11"/>
        <v>514192.29137284314</v>
      </c>
      <c r="I103" s="2">
        <f t="shared" si="11"/>
        <v>555250.01338056521</v>
      </c>
      <c r="J103" s="2">
        <f t="shared" si="11"/>
        <v>573700.01338056521</v>
      </c>
      <c r="K103" s="2">
        <f t="shared" si="11"/>
        <v>579650.7855813374</v>
      </c>
      <c r="L103" s="2">
        <f t="shared" si="11"/>
        <v>579650.7855813374</v>
      </c>
      <c r="M103" s="2">
        <f t="shared" si="11"/>
        <v>585601.55778210959</v>
      </c>
      <c r="N103" s="2">
        <f t="shared" si="11"/>
        <v>567151.55778210959</v>
      </c>
      <c r="O103" s="2">
        <f t="shared" si="11"/>
        <v>585601.55778210959</v>
      </c>
      <c r="P103" s="2">
        <f t="shared" si="11"/>
        <v>585601.55778210959</v>
      </c>
      <c r="Q103" s="2">
        <f t="shared" si="11"/>
        <v>585601.55778210959</v>
      </c>
      <c r="R103" s="2">
        <f t="shared" si="11"/>
        <v>585601.55778210959</v>
      </c>
      <c r="S103" s="2">
        <f t="shared" si="11"/>
        <v>567151.55778210959</v>
      </c>
      <c r="T103" s="2">
        <f t="shared" si="11"/>
        <v>585601.55778210959</v>
      </c>
      <c r="U103" s="2">
        <f t="shared" si="11"/>
        <v>585601.55778210959</v>
      </c>
      <c r="V103" s="2">
        <f t="shared" si="11"/>
        <v>585601.55778210959</v>
      </c>
    </row>
    <row r="104" spans="1:22" x14ac:dyDescent="0.35">
      <c r="A104" t="s">
        <v>153</v>
      </c>
      <c r="C104" s="2">
        <f>C100-C97</f>
        <v>501669.00576962414</v>
      </c>
      <c r="D104" s="2">
        <f t="shared" ref="D104:V104" si="12">D100-D97</f>
        <v>533918.4242914624</v>
      </c>
      <c r="E104" s="2">
        <f t="shared" si="12"/>
        <v>539202.61260315077</v>
      </c>
      <c r="F104" s="2">
        <f t="shared" si="12"/>
        <v>559317.61260315077</v>
      </c>
      <c r="G104" s="2">
        <f t="shared" si="12"/>
        <v>564189.61260315077</v>
      </c>
      <c r="H104" s="2">
        <f t="shared" si="12"/>
        <v>564189.61260315077</v>
      </c>
      <c r="I104" s="2">
        <f t="shared" si="12"/>
        <v>605247.33461087267</v>
      </c>
      <c r="J104" s="2">
        <f t="shared" si="12"/>
        <v>623697.33461087267</v>
      </c>
      <c r="K104" s="2">
        <f t="shared" si="12"/>
        <v>629648.10681164498</v>
      </c>
      <c r="L104" s="2">
        <f t="shared" si="12"/>
        <v>629648.10681164498</v>
      </c>
      <c r="M104" s="2">
        <f t="shared" si="12"/>
        <v>635598.87901241716</v>
      </c>
      <c r="N104" s="2">
        <f t="shared" si="12"/>
        <v>617148.87901241716</v>
      </c>
      <c r="O104" s="2">
        <f t="shared" si="12"/>
        <v>635598.87901241716</v>
      </c>
      <c r="P104" s="2">
        <f t="shared" si="12"/>
        <v>635598.87901241716</v>
      </c>
      <c r="Q104" s="2">
        <f t="shared" si="12"/>
        <v>635598.87901241716</v>
      </c>
      <c r="R104" s="2">
        <f t="shared" si="12"/>
        <v>635598.87901241716</v>
      </c>
      <c r="S104" s="2">
        <f t="shared" si="12"/>
        <v>617148.87901241716</v>
      </c>
      <c r="T104" s="2">
        <f t="shared" si="12"/>
        <v>635598.87901241716</v>
      </c>
      <c r="U104" s="2">
        <f t="shared" si="12"/>
        <v>635598.87901241716</v>
      </c>
      <c r="V104" s="2">
        <f t="shared" si="12"/>
        <v>635598.87901241716</v>
      </c>
    </row>
    <row r="105" spans="1:22" x14ac:dyDescent="0.35">
      <c r="A105" t="s">
        <v>215</v>
      </c>
      <c r="C105" s="2">
        <f>C100-C96+C98</f>
        <v>493113.95241180423</v>
      </c>
      <c r="D105" s="2">
        <f t="shared" ref="D105:V105" si="13">D100-D96+D98</f>
        <v>519634.54461959639</v>
      </c>
      <c r="E105" s="2">
        <f t="shared" si="13"/>
        <v>516730.29137284314</v>
      </c>
      <c r="F105" s="2">
        <f t="shared" si="13"/>
        <v>509320.29137284314</v>
      </c>
      <c r="G105" s="2">
        <f t="shared" si="13"/>
        <v>514192.29137284314</v>
      </c>
      <c r="H105" s="2">
        <f t="shared" si="13"/>
        <v>514192.29137284314</v>
      </c>
      <c r="I105" s="2">
        <f t="shared" si="13"/>
        <v>555250.01338056521</v>
      </c>
      <c r="J105" s="2">
        <f t="shared" si="13"/>
        <v>573700.01338056521</v>
      </c>
      <c r="K105" s="2">
        <f t="shared" si="13"/>
        <v>579650.7855813374</v>
      </c>
      <c r="L105" s="2">
        <f t="shared" si="13"/>
        <v>579650.7855813374</v>
      </c>
      <c r="M105" s="2">
        <f t="shared" si="13"/>
        <v>585601.55778210959</v>
      </c>
      <c r="N105" s="2">
        <f t="shared" si="13"/>
        <v>567151.55778210959</v>
      </c>
      <c r="O105" s="2">
        <f t="shared" si="13"/>
        <v>585601.55778210959</v>
      </c>
      <c r="P105" s="2">
        <f t="shared" si="13"/>
        <v>585601.55778210959</v>
      </c>
      <c r="Q105" s="2">
        <f t="shared" si="13"/>
        <v>585601.55778210959</v>
      </c>
      <c r="R105" s="2">
        <f t="shared" si="13"/>
        <v>585601.55778210959</v>
      </c>
      <c r="S105" s="2">
        <f t="shared" si="13"/>
        <v>567151.55778210959</v>
      </c>
      <c r="T105" s="2">
        <f t="shared" si="13"/>
        <v>585601.55778210959</v>
      </c>
      <c r="U105" s="2">
        <f t="shared" si="13"/>
        <v>585601.55778210959</v>
      </c>
      <c r="V105" s="2">
        <f t="shared" si="13"/>
        <v>585601.55778210959</v>
      </c>
    </row>
    <row r="106" spans="1:22" x14ac:dyDescent="0.35">
      <c r="A106" t="s">
        <v>213</v>
      </c>
      <c r="C106" s="2">
        <f>C100-C97+C98</f>
        <v>565634.22948626755</v>
      </c>
      <c r="D106" s="2">
        <f t="shared" ref="D106:V106" si="14">D100-D97+D98</f>
        <v>568965.9242914624</v>
      </c>
      <c r="E106" s="2">
        <f t="shared" si="14"/>
        <v>566727.61260315077</v>
      </c>
      <c r="F106" s="2">
        <f t="shared" si="14"/>
        <v>559317.61260315077</v>
      </c>
      <c r="G106" s="2">
        <f t="shared" si="14"/>
        <v>564189.61260315077</v>
      </c>
      <c r="H106" s="2">
        <f t="shared" si="14"/>
        <v>564189.61260315077</v>
      </c>
      <c r="I106" s="2">
        <f t="shared" si="14"/>
        <v>605247.33461087267</v>
      </c>
      <c r="J106" s="2">
        <f t="shared" si="14"/>
        <v>623697.33461087267</v>
      </c>
      <c r="K106" s="2">
        <f t="shared" si="14"/>
        <v>629648.10681164498</v>
      </c>
      <c r="L106" s="2">
        <f t="shared" si="14"/>
        <v>629648.10681164498</v>
      </c>
      <c r="M106" s="2">
        <f t="shared" si="14"/>
        <v>635598.87901241716</v>
      </c>
      <c r="N106" s="2">
        <f t="shared" si="14"/>
        <v>617148.87901241716</v>
      </c>
      <c r="O106" s="2">
        <f t="shared" si="14"/>
        <v>635598.87901241716</v>
      </c>
      <c r="P106" s="2">
        <f t="shared" si="14"/>
        <v>635598.87901241716</v>
      </c>
      <c r="Q106" s="2">
        <f t="shared" si="14"/>
        <v>635598.87901241716</v>
      </c>
      <c r="R106" s="2">
        <f t="shared" si="14"/>
        <v>635598.87901241716</v>
      </c>
      <c r="S106" s="2">
        <f t="shared" si="14"/>
        <v>617148.87901241716</v>
      </c>
      <c r="T106" s="2">
        <f t="shared" si="14"/>
        <v>635598.87901241716</v>
      </c>
      <c r="U106" s="2">
        <f t="shared" si="14"/>
        <v>635598.87901241716</v>
      </c>
      <c r="V106" s="2">
        <f t="shared" si="14"/>
        <v>635598.87901241716</v>
      </c>
    </row>
    <row r="107" spans="1:22" x14ac:dyDescent="0.35">
      <c r="A107" s="37" t="s">
        <v>145</v>
      </c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x14ac:dyDescent="0.35">
      <c r="A108" t="s">
        <v>146</v>
      </c>
      <c r="C108" s="2">
        <f>C103-'Coffee ECO'!C38</f>
        <v>374373.01440944651</v>
      </c>
      <c r="D108" s="2">
        <f>D103-'Coffee ECO'!D38</f>
        <v>429811.33033388213</v>
      </c>
      <c r="E108" s="2">
        <f>E103-'Coffee ECO'!E38</f>
        <v>434429.57708712888</v>
      </c>
      <c r="F108" s="2">
        <f>F103-'Coffee ECO'!F38</f>
        <v>454544.57708712888</v>
      </c>
      <c r="G108" s="2">
        <f>G103-'Coffee ECO'!G38</f>
        <v>459416.57708712888</v>
      </c>
      <c r="H108" s="2">
        <f>H103-'Coffee ECO'!H38</f>
        <v>459416.57708712888</v>
      </c>
      <c r="I108" s="2">
        <f>I103-'Coffee ECO'!I38</f>
        <v>500474.2990948509</v>
      </c>
      <c r="J108" s="2">
        <f>J103-'Coffee ECO'!J38</f>
        <v>518924.2990948509</v>
      </c>
      <c r="K108" s="2">
        <f>K103-'Coffee ECO'!K38</f>
        <v>524875.07129562309</v>
      </c>
      <c r="L108" s="2">
        <f>L103-'Coffee ECO'!L38</f>
        <v>524875.07129562309</v>
      </c>
      <c r="M108" s="2">
        <f>M103-'Coffee ECO'!M38</f>
        <v>530825.84349639527</v>
      </c>
      <c r="N108" s="2">
        <f>N103-'Coffee ECO'!N38</f>
        <v>512375.84349639527</v>
      </c>
      <c r="O108" s="2">
        <f>O103-'Coffee ECO'!O38</f>
        <v>530825.84349639527</v>
      </c>
      <c r="P108" s="2">
        <f>P103-'Coffee ECO'!P38</f>
        <v>530825.84349639527</v>
      </c>
      <c r="Q108" s="2">
        <f>Q103-'Coffee ECO'!Q38</f>
        <v>530825.84349639527</v>
      </c>
      <c r="R108" s="2">
        <f>R103-'Coffee ECO'!R38</f>
        <v>530825.84349639527</v>
      </c>
      <c r="S108" s="2">
        <f>S103-'Coffee ECO'!S38</f>
        <v>512375.84349639527</v>
      </c>
      <c r="T108" s="2">
        <f>T103-'Coffee ECO'!T38</f>
        <v>530825.84349639527</v>
      </c>
      <c r="U108" s="2">
        <f>U103-'Coffee ECO'!U38</f>
        <v>530825.84349639527</v>
      </c>
      <c r="V108" s="2">
        <f>V103-'Coffee ECO'!V38</f>
        <v>530825.84349639527</v>
      </c>
    </row>
    <row r="109" spans="1:22" x14ac:dyDescent="0.35">
      <c r="A109" t="s">
        <v>214</v>
      </c>
      <c r="B109" s="23"/>
      <c r="C109" s="2">
        <f>C104-'Coffee ECO'!C39</f>
        <v>395413.29148390982</v>
      </c>
      <c r="D109" s="2">
        <f>D104-'Coffee ECO'!D39</f>
        <v>427662.71000574809</v>
      </c>
      <c r="E109" s="2">
        <f>E104-'Coffee ECO'!E39</f>
        <v>432946.89831743645</v>
      </c>
      <c r="F109" s="2">
        <f>F104-'Coffee ECO'!F39</f>
        <v>453061.89831743645</v>
      </c>
      <c r="G109" s="2">
        <f>G104-'Coffee ECO'!G39</f>
        <v>457933.89831743645</v>
      </c>
      <c r="H109" s="2">
        <f>H104-'Coffee ECO'!H39</f>
        <v>457933.89831743645</v>
      </c>
      <c r="I109" s="2">
        <f>I104-'Coffee ECO'!I39</f>
        <v>498991.62032515835</v>
      </c>
      <c r="J109" s="2">
        <f>J104-'Coffee ECO'!J39</f>
        <v>517441.62032515835</v>
      </c>
      <c r="K109" s="2">
        <f>K104-'Coffee ECO'!K39</f>
        <v>523392.39252593066</v>
      </c>
      <c r="L109" s="2">
        <f>L104-'Coffee ECO'!L39</f>
        <v>523392.39252593066</v>
      </c>
      <c r="M109" s="2">
        <f>M104-'Coffee ECO'!M39</f>
        <v>529343.16472670285</v>
      </c>
      <c r="N109" s="2">
        <f>N104-'Coffee ECO'!N39</f>
        <v>510893.16472670285</v>
      </c>
      <c r="O109" s="2">
        <f>O104-'Coffee ECO'!O39</f>
        <v>529343.16472670285</v>
      </c>
      <c r="P109" s="2">
        <f>P104-'Coffee ECO'!P39</f>
        <v>529343.16472670285</v>
      </c>
      <c r="Q109" s="2">
        <f>Q104-'Coffee ECO'!Q39</f>
        <v>529343.16472670285</v>
      </c>
      <c r="R109" s="2">
        <f>R104-'Coffee ECO'!R39</f>
        <v>529343.16472670285</v>
      </c>
      <c r="S109" s="2">
        <f>S104-'Coffee ECO'!S39</f>
        <v>510893.16472670285</v>
      </c>
      <c r="T109" s="2">
        <f>T104-'Coffee ECO'!T39</f>
        <v>529343.16472670285</v>
      </c>
      <c r="U109" s="2">
        <f>U104-'Coffee ECO'!U39</f>
        <v>529343.16472670285</v>
      </c>
      <c r="V109" s="2">
        <f>V104-'Coffee ECO'!V39</f>
        <v>529343.16472670285</v>
      </c>
    </row>
    <row r="110" spans="1:22" hidden="1" x14ac:dyDescent="0.35">
      <c r="A110" s="37" t="s">
        <v>150</v>
      </c>
      <c r="B110" s="23"/>
    </row>
    <row r="111" spans="1:22" hidden="1" x14ac:dyDescent="0.35">
      <c r="A111" t="s">
        <v>146</v>
      </c>
      <c r="C111" s="2">
        <f>C105-'Coffee ECO'!C38</f>
        <v>438338.23812608991</v>
      </c>
      <c r="D111" s="2">
        <f>D105-'Coffee ECO'!D38</f>
        <v>464858.83033388213</v>
      </c>
      <c r="E111" s="2">
        <f>E105-'Coffee ECO'!E38</f>
        <v>461954.57708712888</v>
      </c>
      <c r="F111" s="2">
        <f>F105-'Coffee ECO'!F38</f>
        <v>454544.57708712888</v>
      </c>
      <c r="G111" s="2">
        <f>G105-'Coffee ECO'!G38</f>
        <v>459416.57708712888</v>
      </c>
      <c r="H111" s="2">
        <f>H105-'Coffee ECO'!H38</f>
        <v>459416.57708712888</v>
      </c>
      <c r="I111" s="2">
        <f>I105-'Coffee ECO'!I38</f>
        <v>500474.2990948509</v>
      </c>
      <c r="J111" s="2">
        <f>J105-'Coffee ECO'!J38</f>
        <v>518924.2990948509</v>
      </c>
      <c r="K111" s="2">
        <f>K105-'Coffee ECO'!K38</f>
        <v>524875.07129562309</v>
      </c>
      <c r="L111" s="2">
        <f>L105-'Coffee ECO'!L38</f>
        <v>524875.07129562309</v>
      </c>
      <c r="M111" s="2">
        <f>M105-'Coffee ECO'!M38</f>
        <v>530825.84349639527</v>
      </c>
      <c r="N111" s="2">
        <f>N105-'Coffee ECO'!N38</f>
        <v>512375.84349639527</v>
      </c>
      <c r="O111" s="2">
        <f>O105-'Coffee ECO'!O38</f>
        <v>530825.84349639527</v>
      </c>
      <c r="P111" s="2">
        <f>P105-'Coffee ECO'!P38</f>
        <v>530825.84349639527</v>
      </c>
      <c r="Q111" s="2">
        <f>Q105-'Coffee ECO'!Q38</f>
        <v>530825.84349639527</v>
      </c>
      <c r="R111" s="2">
        <f>R105-'Coffee ECO'!R38</f>
        <v>530825.84349639527</v>
      </c>
      <c r="S111" s="2">
        <f>S105-'Coffee ECO'!S38</f>
        <v>512375.84349639527</v>
      </c>
      <c r="T111" s="2">
        <f>T105-'Coffee ECO'!T38</f>
        <v>530825.84349639527</v>
      </c>
      <c r="U111" s="2">
        <f>U105-'Coffee ECO'!U38</f>
        <v>530825.84349639527</v>
      </c>
      <c r="V111" s="2">
        <f>V105-'Coffee ECO'!V38</f>
        <v>530825.84349639527</v>
      </c>
    </row>
    <row r="112" spans="1:22" hidden="1" x14ac:dyDescent="0.35">
      <c r="A112" t="s">
        <v>214</v>
      </c>
      <c r="B112" s="23"/>
      <c r="C112" s="2">
        <f>C106-'Coffee ECO'!C39</f>
        <v>459378.51520055323</v>
      </c>
      <c r="D112" s="2">
        <f>D106-'Coffee ECO'!D39</f>
        <v>462710.21000574809</v>
      </c>
      <c r="E112" s="2">
        <f>E106-'Coffee ECO'!E39</f>
        <v>460471.89831743645</v>
      </c>
      <c r="F112" s="2">
        <f>F106-'Coffee ECO'!F39</f>
        <v>453061.89831743645</v>
      </c>
      <c r="G112" s="2">
        <f>G106-'Coffee ECO'!G39</f>
        <v>457933.89831743645</v>
      </c>
      <c r="H112" s="2">
        <f>H106-'Coffee ECO'!H39</f>
        <v>457933.89831743645</v>
      </c>
      <c r="I112" s="2">
        <f>I106-'Coffee ECO'!I39</f>
        <v>498991.62032515835</v>
      </c>
      <c r="J112" s="2">
        <f>J106-'Coffee ECO'!J39</f>
        <v>517441.62032515835</v>
      </c>
      <c r="K112" s="2">
        <f>K106-'Coffee ECO'!K39</f>
        <v>523392.39252593066</v>
      </c>
      <c r="L112" s="2">
        <f>L106-'Coffee ECO'!L39</f>
        <v>523392.39252593066</v>
      </c>
      <c r="M112" s="2">
        <f>M106-'Coffee ECO'!M39</f>
        <v>529343.16472670285</v>
      </c>
      <c r="N112" s="2">
        <f>N106-'Coffee ECO'!N39</f>
        <v>510893.16472670285</v>
      </c>
      <c r="O112" s="2">
        <f>O106-'Coffee ECO'!O39</f>
        <v>529343.16472670285</v>
      </c>
      <c r="P112" s="2">
        <f>P106-'Coffee ECO'!P39</f>
        <v>529343.16472670285</v>
      </c>
      <c r="Q112" s="2">
        <f>Q106-'Coffee ECO'!Q39</f>
        <v>529343.16472670285</v>
      </c>
      <c r="R112" s="2">
        <f>R106-'Coffee ECO'!R39</f>
        <v>529343.16472670285</v>
      </c>
      <c r="S112" s="2">
        <f>S106-'Coffee ECO'!S39</f>
        <v>510893.16472670285</v>
      </c>
      <c r="T112" s="2">
        <f>T106-'Coffee ECO'!T39</f>
        <v>529343.16472670285</v>
      </c>
      <c r="U112" s="2">
        <f>U106-'Coffee ECO'!U39</f>
        <v>529343.16472670285</v>
      </c>
      <c r="V112" s="2">
        <f>V106-'Coffee ECO'!V39</f>
        <v>529343.16472670285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09"/>
  <sheetViews>
    <sheetView workbookViewId="0">
      <selection activeCell="E69" sqref="E69"/>
    </sheetView>
  </sheetViews>
  <sheetFormatPr defaultRowHeight="14.5" x14ac:dyDescent="0.35"/>
  <cols>
    <col min="1" max="1" width="29.1796875" customWidth="1"/>
    <col min="2" max="2" width="11.81640625" bestFit="1" customWidth="1"/>
    <col min="22" max="22" width="11.54296875" customWidth="1"/>
  </cols>
  <sheetData>
    <row r="1" spans="1:29" x14ac:dyDescent="0.35">
      <c r="A1" s="1" t="s">
        <v>305</v>
      </c>
    </row>
    <row r="2" spans="1:29" x14ac:dyDescent="0.35">
      <c r="A2" t="s">
        <v>223</v>
      </c>
      <c r="B2">
        <v>1100</v>
      </c>
    </row>
    <row r="4" spans="1:29" x14ac:dyDescent="0.35">
      <c r="A4" s="68" t="s">
        <v>398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5">
      <c r="A5" s="9" t="s">
        <v>7</v>
      </c>
      <c r="B5" s="10" t="s">
        <v>11</v>
      </c>
      <c r="C5" s="11" t="s">
        <v>399</v>
      </c>
      <c r="D5" s="11" t="s">
        <v>400</v>
      </c>
      <c r="E5" s="11" t="s">
        <v>401</v>
      </c>
      <c r="F5" s="11" t="s">
        <v>402</v>
      </c>
      <c r="G5" s="11" t="s">
        <v>403</v>
      </c>
      <c r="H5" s="11" t="s">
        <v>404</v>
      </c>
      <c r="I5" s="11" t="s">
        <v>405</v>
      </c>
      <c r="J5" s="11" t="s">
        <v>406</v>
      </c>
      <c r="K5" s="11" t="s">
        <v>407</v>
      </c>
      <c r="L5" s="11" t="s">
        <v>408</v>
      </c>
      <c r="M5" s="11" t="s">
        <v>409</v>
      </c>
      <c r="N5" s="11" t="s">
        <v>410</v>
      </c>
      <c r="O5" s="11" t="s">
        <v>411</v>
      </c>
      <c r="P5" s="11" t="s">
        <v>412</v>
      </c>
      <c r="Q5" s="11" t="s">
        <v>413</v>
      </c>
      <c r="R5" s="11" t="s">
        <v>414</v>
      </c>
      <c r="S5" s="11" t="s">
        <v>415</v>
      </c>
      <c r="T5" s="11" t="s">
        <v>416</v>
      </c>
      <c r="U5" s="11" t="s">
        <v>417</v>
      </c>
      <c r="V5" s="11" t="s">
        <v>418</v>
      </c>
      <c r="W5" s="11" t="s">
        <v>425</v>
      </c>
      <c r="X5" s="11" t="s">
        <v>428</v>
      </c>
      <c r="Y5" s="11" t="s">
        <v>429</v>
      </c>
      <c r="Z5" s="11" t="s">
        <v>430</v>
      </c>
      <c r="AA5" s="11" t="s">
        <v>431</v>
      </c>
      <c r="AB5" s="11" t="s">
        <v>432</v>
      </c>
      <c r="AC5" s="11" t="s">
        <v>433</v>
      </c>
    </row>
    <row r="6" spans="1:29" x14ac:dyDescent="0.35">
      <c r="A6" s="19" t="s">
        <v>84</v>
      </c>
      <c r="B6" s="8"/>
    </row>
    <row r="7" spans="1:29" x14ac:dyDescent="0.35">
      <c r="A7" s="19" t="s">
        <v>85</v>
      </c>
      <c r="B7" s="8" t="s">
        <v>10</v>
      </c>
      <c r="C7">
        <v>5</v>
      </c>
      <c r="D7">
        <f>C7*0.1</f>
        <v>0.5</v>
      </c>
    </row>
    <row r="8" spans="1:29" x14ac:dyDescent="0.35">
      <c r="A8" s="19" t="s">
        <v>17</v>
      </c>
      <c r="B8" s="8" t="s">
        <v>11</v>
      </c>
      <c r="C8">
        <f>B2*2</f>
        <v>2200</v>
      </c>
      <c r="D8">
        <f>C8*0.1</f>
        <v>220</v>
      </c>
    </row>
    <row r="9" spans="1:29" x14ac:dyDescent="0.35">
      <c r="A9" s="19" t="s">
        <v>87</v>
      </c>
      <c r="B9" s="8" t="s">
        <v>1</v>
      </c>
      <c r="C9">
        <v>1</v>
      </c>
      <c r="D9">
        <f>C9*0.1</f>
        <v>0.1</v>
      </c>
    </row>
    <row r="10" spans="1:29" x14ac:dyDescent="0.35">
      <c r="A10" s="19" t="s">
        <v>177</v>
      </c>
      <c r="B10" s="8" t="s">
        <v>93</v>
      </c>
      <c r="C10">
        <v>1</v>
      </c>
      <c r="D10">
        <f>C10*0.1</f>
        <v>0.1</v>
      </c>
    </row>
    <row r="11" spans="1:29" x14ac:dyDescent="0.35">
      <c r="A11" s="19" t="s">
        <v>92</v>
      </c>
      <c r="B11" s="8" t="s">
        <v>93</v>
      </c>
      <c r="C11">
        <f>B2*1.1</f>
        <v>1210</v>
      </c>
      <c r="D11">
        <f>C11*0.1</f>
        <v>121</v>
      </c>
    </row>
    <row r="12" spans="1:29" x14ac:dyDescent="0.35">
      <c r="A12" s="19" t="s">
        <v>127</v>
      </c>
      <c r="B12" s="8" t="s">
        <v>93</v>
      </c>
      <c r="C12">
        <f>B2*1.1</f>
        <v>1210</v>
      </c>
    </row>
    <row r="13" spans="1:29" x14ac:dyDescent="0.35">
      <c r="A13" s="19" t="s">
        <v>224</v>
      </c>
      <c r="B13" s="8" t="s">
        <v>93</v>
      </c>
      <c r="C13">
        <f>B2*1.1</f>
        <v>1210</v>
      </c>
    </row>
    <row r="14" spans="1:29" x14ac:dyDescent="0.35">
      <c r="A14" s="19" t="s">
        <v>95</v>
      </c>
      <c r="B14" s="8" t="s">
        <v>93</v>
      </c>
      <c r="C14">
        <f>B2*1.1</f>
        <v>1210</v>
      </c>
      <c r="D14">
        <f>C14*0.1</f>
        <v>121</v>
      </c>
    </row>
    <row r="15" spans="1:29" x14ac:dyDescent="0.35">
      <c r="A15" s="19"/>
      <c r="B15" s="8"/>
    </row>
    <row r="16" spans="1:29" x14ac:dyDescent="0.35">
      <c r="A16" s="19" t="s">
        <v>225</v>
      </c>
      <c r="B16" s="8"/>
      <c r="J16" s="2"/>
    </row>
    <row r="17" spans="1:27" x14ac:dyDescent="0.35">
      <c r="A17" s="19" t="s">
        <v>98</v>
      </c>
      <c r="B17" s="8" t="s">
        <v>1</v>
      </c>
      <c r="C17">
        <v>1</v>
      </c>
    </row>
    <row r="18" spans="1:27" x14ac:dyDescent="0.35">
      <c r="A18" s="19" t="s">
        <v>99</v>
      </c>
      <c r="B18" s="8" t="s">
        <v>1</v>
      </c>
      <c r="C18">
        <v>1</v>
      </c>
    </row>
    <row r="19" spans="1:27" x14ac:dyDescent="0.35">
      <c r="A19" s="19" t="s">
        <v>226</v>
      </c>
      <c r="B19" s="8" t="s">
        <v>1</v>
      </c>
      <c r="C19">
        <v>1</v>
      </c>
    </row>
    <row r="20" spans="1:27" x14ac:dyDescent="0.35">
      <c r="A20" s="19" t="s">
        <v>49</v>
      </c>
      <c r="B20" s="8" t="s">
        <v>93</v>
      </c>
      <c r="C20">
        <f>B2</f>
        <v>1100</v>
      </c>
      <c r="I20" s="2"/>
    </row>
    <row r="21" spans="1:27" x14ac:dyDescent="0.35">
      <c r="A21" s="19" t="s">
        <v>70</v>
      </c>
      <c r="B21" s="8" t="s">
        <v>93</v>
      </c>
      <c r="C21">
        <f>C20</f>
        <v>1100</v>
      </c>
    </row>
    <row r="22" spans="1:27" x14ac:dyDescent="0.35">
      <c r="A22" s="19" t="s">
        <v>100</v>
      </c>
      <c r="B22" s="8" t="s">
        <v>93</v>
      </c>
      <c r="C22">
        <f>C21</f>
        <v>1100</v>
      </c>
    </row>
    <row r="23" spans="1:27" x14ac:dyDescent="0.35">
      <c r="B23" s="8"/>
    </row>
    <row r="24" spans="1:27" x14ac:dyDescent="0.35">
      <c r="A24" t="s">
        <v>227</v>
      </c>
      <c r="B24" s="8"/>
      <c r="C24" s="2"/>
    </row>
    <row r="25" spans="1:27" x14ac:dyDescent="0.35">
      <c r="A25" t="s">
        <v>162</v>
      </c>
      <c r="B25" s="8" t="s">
        <v>1</v>
      </c>
      <c r="C25">
        <v>2</v>
      </c>
      <c r="D25">
        <f>C25</f>
        <v>2</v>
      </c>
      <c r="E25">
        <v>1</v>
      </c>
    </row>
    <row r="26" spans="1:27" x14ac:dyDescent="0.35">
      <c r="A26" t="s">
        <v>161</v>
      </c>
      <c r="B26" s="8" t="s">
        <v>1</v>
      </c>
      <c r="C26">
        <v>1</v>
      </c>
      <c r="D26">
        <f>C26</f>
        <v>1</v>
      </c>
      <c r="E26">
        <f>D26</f>
        <v>1</v>
      </c>
    </row>
    <row r="27" spans="1:27" x14ac:dyDescent="0.35">
      <c r="A27" s="19" t="s">
        <v>101</v>
      </c>
      <c r="B27" s="8" t="s">
        <v>102</v>
      </c>
      <c r="C27">
        <f>B2*0.15</f>
        <v>165</v>
      </c>
      <c r="D27">
        <f>C27</f>
        <v>165</v>
      </c>
      <c r="E27">
        <v>0</v>
      </c>
    </row>
    <row r="28" spans="1:27" x14ac:dyDescent="0.35">
      <c r="A28" s="19" t="s">
        <v>104</v>
      </c>
      <c r="B28" s="8" t="s">
        <v>1</v>
      </c>
      <c r="C28">
        <v>1</v>
      </c>
      <c r="D28">
        <f>C28</f>
        <v>1</v>
      </c>
      <c r="E28">
        <f>D28</f>
        <v>1</v>
      </c>
    </row>
    <row r="29" spans="1:27" x14ac:dyDescent="0.35">
      <c r="A29" s="19" t="s">
        <v>37</v>
      </c>
      <c r="B29" s="8" t="s">
        <v>1</v>
      </c>
      <c r="C29">
        <v>1</v>
      </c>
      <c r="D29">
        <f>C29</f>
        <v>1</v>
      </c>
      <c r="E29">
        <f>D29</f>
        <v>1</v>
      </c>
      <c r="F29">
        <v>1.5</v>
      </c>
      <c r="G29">
        <v>1.5</v>
      </c>
      <c r="H29">
        <v>1.5</v>
      </c>
      <c r="I29">
        <v>1.5</v>
      </c>
      <c r="J29">
        <v>1.5</v>
      </c>
      <c r="K29">
        <v>1.5</v>
      </c>
      <c r="L29">
        <v>1.5</v>
      </c>
      <c r="M29">
        <v>1.5</v>
      </c>
      <c r="N29">
        <v>1.5</v>
      </c>
      <c r="O29">
        <v>1.5</v>
      </c>
      <c r="P29">
        <v>1.5</v>
      </c>
      <c r="Q29">
        <v>1.5</v>
      </c>
      <c r="R29">
        <v>1.5</v>
      </c>
      <c r="S29">
        <v>1.5</v>
      </c>
      <c r="T29">
        <v>1.5</v>
      </c>
      <c r="U29">
        <v>1.5</v>
      </c>
      <c r="V29">
        <v>1.5</v>
      </c>
      <c r="W29">
        <v>1.5</v>
      </c>
      <c r="X29">
        <v>1.5</v>
      </c>
      <c r="Y29">
        <v>1.5</v>
      </c>
      <c r="Z29">
        <v>1.5</v>
      </c>
      <c r="AA29">
        <v>1.5</v>
      </c>
    </row>
    <row r="30" spans="1:27" x14ac:dyDescent="0.35">
      <c r="A30" s="19" t="s">
        <v>111</v>
      </c>
      <c r="B30" s="8" t="s">
        <v>1</v>
      </c>
      <c r="G30">
        <v>1</v>
      </c>
      <c r="H30">
        <f t="shared" ref="H30:AA30" si="0">C30</f>
        <v>0</v>
      </c>
      <c r="I30">
        <f t="shared" si="0"/>
        <v>0</v>
      </c>
      <c r="J30">
        <f t="shared" si="0"/>
        <v>0</v>
      </c>
      <c r="K30">
        <f t="shared" si="0"/>
        <v>0</v>
      </c>
      <c r="L30">
        <f t="shared" si="0"/>
        <v>1</v>
      </c>
      <c r="M30">
        <f t="shared" si="0"/>
        <v>0</v>
      </c>
      <c r="N30">
        <f t="shared" si="0"/>
        <v>0</v>
      </c>
      <c r="O30">
        <f t="shared" si="0"/>
        <v>0</v>
      </c>
      <c r="P30">
        <f t="shared" si="0"/>
        <v>0</v>
      </c>
      <c r="Q30">
        <f t="shared" si="0"/>
        <v>1</v>
      </c>
      <c r="R30">
        <f t="shared" si="0"/>
        <v>0</v>
      </c>
      <c r="S30">
        <f t="shared" si="0"/>
        <v>0</v>
      </c>
      <c r="T30">
        <f t="shared" si="0"/>
        <v>0</v>
      </c>
      <c r="U30">
        <f t="shared" si="0"/>
        <v>0</v>
      </c>
      <c r="V30">
        <f t="shared" si="0"/>
        <v>1</v>
      </c>
      <c r="W30">
        <f t="shared" si="0"/>
        <v>0</v>
      </c>
      <c r="X30">
        <f t="shared" si="0"/>
        <v>0</v>
      </c>
      <c r="Y30">
        <f t="shared" si="0"/>
        <v>0</v>
      </c>
      <c r="Z30">
        <f t="shared" si="0"/>
        <v>0</v>
      </c>
      <c r="AA30">
        <f t="shared" si="0"/>
        <v>1</v>
      </c>
    </row>
    <row r="31" spans="1:27" x14ac:dyDescent="0.35">
      <c r="A31" s="19"/>
      <c r="B31" s="8"/>
    </row>
    <row r="32" spans="1:27" x14ac:dyDescent="0.35">
      <c r="A32" s="19" t="s">
        <v>108</v>
      </c>
      <c r="B32" s="8"/>
    </row>
    <row r="33" spans="1:26" x14ac:dyDescent="0.35">
      <c r="A33" s="19" t="s">
        <v>110</v>
      </c>
      <c r="B33" s="8" t="s">
        <v>61</v>
      </c>
      <c r="H33">
        <f>H47</f>
        <v>300</v>
      </c>
    </row>
    <row r="34" spans="1:26" x14ac:dyDescent="0.35">
      <c r="A34" s="19" t="s">
        <v>115</v>
      </c>
      <c r="B34" s="8" t="s">
        <v>61</v>
      </c>
      <c r="L34">
        <f>L48</f>
        <v>350</v>
      </c>
    </row>
    <row r="35" spans="1:26" x14ac:dyDescent="0.35">
      <c r="A35" s="19" t="s">
        <v>116</v>
      </c>
      <c r="B35" s="8" t="s">
        <v>61</v>
      </c>
      <c r="R35">
        <v>0</v>
      </c>
    </row>
    <row r="36" spans="1:26" x14ac:dyDescent="0.35">
      <c r="A36" s="19" t="s">
        <v>117</v>
      </c>
      <c r="B36" s="8" t="s">
        <v>61</v>
      </c>
      <c r="Z36">
        <v>0</v>
      </c>
    </row>
    <row r="37" spans="1:26" x14ac:dyDescent="0.35">
      <c r="A37" s="19"/>
      <c r="B37" s="8"/>
    </row>
    <row r="38" spans="1:26" x14ac:dyDescent="0.35">
      <c r="A38" s="19" t="s">
        <v>107</v>
      </c>
      <c r="B38" s="8"/>
    </row>
    <row r="39" spans="1:26" x14ac:dyDescent="0.35">
      <c r="A39" s="19" t="str">
        <f t="shared" ref="A39:B41" si="1">A33</f>
        <v xml:space="preserve">  First cut</v>
      </c>
      <c r="B39" s="38" t="str">
        <f t="shared" si="1"/>
        <v>Tree</v>
      </c>
      <c r="C39" s="39"/>
      <c r="H39">
        <f>H33</f>
        <v>300</v>
      </c>
    </row>
    <row r="40" spans="1:26" x14ac:dyDescent="0.35">
      <c r="A40" s="19" t="str">
        <f t="shared" si="1"/>
        <v xml:space="preserve">  Second cut</v>
      </c>
      <c r="B40" s="38" t="str">
        <f t="shared" si="1"/>
        <v>Tree</v>
      </c>
      <c r="C40" s="39"/>
      <c r="L40">
        <f>L34</f>
        <v>350</v>
      </c>
    </row>
    <row r="41" spans="1:26" x14ac:dyDescent="0.35">
      <c r="A41" s="19" t="str">
        <f t="shared" si="1"/>
        <v xml:space="preserve">  Third cut</v>
      </c>
      <c r="B41" s="38" t="str">
        <f t="shared" si="1"/>
        <v>Tree</v>
      </c>
      <c r="C41" s="39"/>
      <c r="R41">
        <v>0</v>
      </c>
    </row>
    <row r="42" spans="1:26" x14ac:dyDescent="0.35">
      <c r="A42" s="19"/>
      <c r="B42" s="8"/>
      <c r="Z42">
        <v>0</v>
      </c>
    </row>
    <row r="43" spans="1:26" x14ac:dyDescent="0.35">
      <c r="A43" s="19" t="s">
        <v>6</v>
      </c>
      <c r="B43" s="8"/>
    </row>
    <row r="44" spans="1:26" x14ac:dyDescent="0.35">
      <c r="A44" s="35" t="s">
        <v>112</v>
      </c>
      <c r="B44" s="36"/>
      <c r="C44" s="37"/>
      <c r="D44" s="37"/>
      <c r="E44" s="37"/>
      <c r="F44" s="37"/>
      <c r="G44" s="37"/>
      <c r="H44" s="37">
        <f>B2</f>
        <v>1100</v>
      </c>
      <c r="I44" s="37"/>
      <c r="J44" s="37"/>
      <c r="K44" s="37"/>
      <c r="L44" s="37">
        <f>H45</f>
        <v>800</v>
      </c>
      <c r="M44" s="37"/>
      <c r="N44" s="37"/>
      <c r="O44" s="37"/>
      <c r="P44" s="37"/>
      <c r="Q44" s="37"/>
      <c r="R44" s="37">
        <f>L45</f>
        <v>450</v>
      </c>
      <c r="S44" s="37"/>
      <c r="T44" s="37"/>
      <c r="U44" s="37"/>
      <c r="V44" s="37"/>
      <c r="W44" s="37"/>
      <c r="X44" s="37"/>
      <c r="Y44" s="37"/>
      <c r="Z44" s="37">
        <f>R45</f>
        <v>300</v>
      </c>
    </row>
    <row r="45" spans="1:26" x14ac:dyDescent="0.35">
      <c r="A45" s="35" t="s">
        <v>113</v>
      </c>
      <c r="B45" s="36"/>
      <c r="C45" s="37"/>
      <c r="D45" s="37"/>
      <c r="E45" s="37"/>
      <c r="F45" s="37"/>
      <c r="G45" s="37"/>
      <c r="H45" s="37">
        <f>H44-H46</f>
        <v>800</v>
      </c>
      <c r="I45" s="37"/>
      <c r="J45" s="37"/>
      <c r="K45" s="37"/>
      <c r="L45" s="37">
        <v>450</v>
      </c>
      <c r="M45" s="37"/>
      <c r="N45" s="37"/>
      <c r="O45" s="37"/>
      <c r="P45" s="37"/>
      <c r="Q45" s="37"/>
      <c r="R45" s="37">
        <v>300</v>
      </c>
      <c r="S45" s="37"/>
      <c r="T45" s="37"/>
      <c r="U45" s="37"/>
      <c r="V45" s="37"/>
      <c r="W45" s="37"/>
      <c r="X45" s="37"/>
      <c r="Y45" s="37"/>
      <c r="Z45" s="37">
        <v>0</v>
      </c>
    </row>
    <row r="46" spans="1:26" x14ac:dyDescent="0.35">
      <c r="A46" s="35" t="s">
        <v>114</v>
      </c>
      <c r="B46" s="36"/>
      <c r="C46" s="37"/>
      <c r="D46" s="37"/>
      <c r="E46" s="37"/>
      <c r="F46" s="37"/>
      <c r="G46" s="37"/>
      <c r="H46" s="37">
        <v>300</v>
      </c>
      <c r="I46" s="37"/>
      <c r="J46" s="37"/>
      <c r="K46" s="37"/>
      <c r="L46" s="37">
        <f>L44-L45</f>
        <v>350</v>
      </c>
      <c r="M46" s="37"/>
      <c r="N46" s="37"/>
      <c r="O46" s="37"/>
      <c r="P46" s="37"/>
      <c r="Q46" s="37"/>
      <c r="R46" s="37">
        <f>R44-R45</f>
        <v>150</v>
      </c>
      <c r="S46" s="37"/>
      <c r="T46" s="37"/>
      <c r="U46" s="37"/>
      <c r="V46" s="37"/>
      <c r="W46" s="37"/>
      <c r="X46" s="37"/>
      <c r="Y46" s="37"/>
      <c r="Z46" s="37">
        <f>Z44-Z45</f>
        <v>300</v>
      </c>
    </row>
    <row r="47" spans="1:26" x14ac:dyDescent="0.35">
      <c r="A47" s="19" t="s">
        <v>119</v>
      </c>
      <c r="B47" s="38" t="s">
        <v>61</v>
      </c>
      <c r="C47" s="39"/>
      <c r="H47">
        <f>H46</f>
        <v>300</v>
      </c>
    </row>
    <row r="48" spans="1:26" x14ac:dyDescent="0.35">
      <c r="A48" s="19" t="s">
        <v>120</v>
      </c>
      <c r="B48" s="38" t="s">
        <v>61</v>
      </c>
      <c r="C48" s="39"/>
      <c r="L48">
        <f>L46</f>
        <v>350</v>
      </c>
    </row>
    <row r="49" spans="1:27" x14ac:dyDescent="0.35">
      <c r="A49" s="19" t="s">
        <v>121</v>
      </c>
      <c r="B49" s="38" t="s">
        <v>61</v>
      </c>
      <c r="C49" s="3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>
        <f>R46</f>
        <v>150</v>
      </c>
    </row>
    <row r="50" spans="1:27" x14ac:dyDescent="0.35">
      <c r="A50" s="40" t="s">
        <v>122</v>
      </c>
      <c r="B50" s="41" t="s">
        <v>61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>
        <f>Z46</f>
        <v>300</v>
      </c>
    </row>
    <row r="51" spans="1:27" x14ac:dyDescent="0.35">
      <c r="A51" s="19"/>
      <c r="B51" s="19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27" x14ac:dyDescent="0.35">
      <c r="A52" s="68" t="s">
        <v>304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spans="1:27" x14ac:dyDescent="0.35">
      <c r="A53" s="12" t="s">
        <v>302</v>
      </c>
      <c r="B53" s="10" t="s">
        <v>12</v>
      </c>
      <c r="C53" s="11" t="s">
        <v>399</v>
      </c>
      <c r="D53" s="11" t="s">
        <v>400</v>
      </c>
      <c r="E53" s="11" t="s">
        <v>401</v>
      </c>
      <c r="F53" s="11" t="s">
        <v>402</v>
      </c>
      <c r="G53" s="11" t="s">
        <v>403</v>
      </c>
      <c r="H53" s="11" t="s">
        <v>404</v>
      </c>
      <c r="I53" s="11" t="s">
        <v>405</v>
      </c>
      <c r="J53" s="11" t="s">
        <v>406</v>
      </c>
      <c r="K53" s="11" t="s">
        <v>407</v>
      </c>
      <c r="L53" s="11" t="s">
        <v>408</v>
      </c>
      <c r="M53" s="11" t="s">
        <v>409</v>
      </c>
      <c r="N53" s="11" t="s">
        <v>410</v>
      </c>
      <c r="O53" s="11" t="s">
        <v>411</v>
      </c>
      <c r="P53" s="11" t="s">
        <v>412</v>
      </c>
      <c r="Q53" s="11" t="s">
        <v>413</v>
      </c>
      <c r="R53" s="11" t="s">
        <v>414</v>
      </c>
      <c r="S53" s="11" t="s">
        <v>415</v>
      </c>
      <c r="T53" s="11" t="s">
        <v>416</v>
      </c>
      <c r="U53" s="11" t="s">
        <v>417</v>
      </c>
      <c r="V53" s="11" t="s">
        <v>418</v>
      </c>
      <c r="W53" s="11" t="s">
        <v>425</v>
      </c>
      <c r="X53" s="11" t="s">
        <v>428</v>
      </c>
      <c r="Y53" s="11" t="s">
        <v>429</v>
      </c>
      <c r="Z53" s="11" t="s">
        <v>430</v>
      </c>
      <c r="AA53" s="11"/>
    </row>
    <row r="54" spans="1:27" x14ac:dyDescent="0.35">
      <c r="A54" t="str">
        <f>A6</f>
        <v>Nursery</v>
      </c>
      <c r="B54" s="8"/>
    </row>
    <row r="55" spans="1:27" x14ac:dyDescent="0.35">
      <c r="A55" t="str">
        <f>A7</f>
        <v xml:space="preserve">  Seeds</v>
      </c>
      <c r="B55" s="8">
        <f>'Prices &amp; assums'!C61</f>
        <v>6600</v>
      </c>
      <c r="C55" s="2">
        <f t="shared" ref="C55:V55" si="2">$B55*C7</f>
        <v>33000</v>
      </c>
      <c r="D55" s="2">
        <f t="shared" si="2"/>
        <v>3300</v>
      </c>
      <c r="E55" s="2">
        <f t="shared" si="2"/>
        <v>0</v>
      </c>
      <c r="F55" s="2">
        <f t="shared" si="2"/>
        <v>0</v>
      </c>
      <c r="G55" s="2">
        <f t="shared" si="2"/>
        <v>0</v>
      </c>
      <c r="H55" s="2">
        <f t="shared" si="2"/>
        <v>0</v>
      </c>
      <c r="I55" s="2">
        <f t="shared" si="2"/>
        <v>0</v>
      </c>
      <c r="J55" s="2">
        <f t="shared" si="2"/>
        <v>0</v>
      </c>
      <c r="K55" s="2">
        <f t="shared" si="2"/>
        <v>0</v>
      </c>
      <c r="L55" s="2">
        <f t="shared" si="2"/>
        <v>0</v>
      </c>
      <c r="M55" s="2">
        <f t="shared" si="2"/>
        <v>0</v>
      </c>
      <c r="N55" s="2">
        <f t="shared" si="2"/>
        <v>0</v>
      </c>
      <c r="O55" s="2">
        <f t="shared" si="2"/>
        <v>0</v>
      </c>
      <c r="P55" s="2">
        <f t="shared" si="2"/>
        <v>0</v>
      </c>
      <c r="Q55" s="2">
        <f t="shared" si="2"/>
        <v>0</v>
      </c>
      <c r="R55" s="2">
        <f t="shared" si="2"/>
        <v>0</v>
      </c>
      <c r="S55" s="2">
        <f t="shared" si="2"/>
        <v>0</v>
      </c>
      <c r="T55" s="2">
        <f t="shared" si="2"/>
        <v>0</v>
      </c>
      <c r="U55" s="2">
        <f t="shared" si="2"/>
        <v>0</v>
      </c>
      <c r="V55" s="2">
        <f t="shared" si="2"/>
        <v>0</v>
      </c>
    </row>
    <row r="56" spans="1:27" x14ac:dyDescent="0.35">
      <c r="A56" s="19" t="s">
        <v>17</v>
      </c>
      <c r="B56" s="8">
        <f>'Prices &amp; assums'!C62</f>
        <v>25</v>
      </c>
      <c r="C56" s="2">
        <f t="shared" ref="C56:V56" si="3">$B56*C8</f>
        <v>55000</v>
      </c>
      <c r="D56" s="2">
        <f t="shared" si="3"/>
        <v>5500</v>
      </c>
      <c r="E56" s="2">
        <f t="shared" si="3"/>
        <v>0</v>
      </c>
      <c r="F56" s="2">
        <f t="shared" si="3"/>
        <v>0</v>
      </c>
      <c r="G56" s="2">
        <f t="shared" si="3"/>
        <v>0</v>
      </c>
      <c r="H56" s="2">
        <f t="shared" si="3"/>
        <v>0</v>
      </c>
      <c r="I56" s="2">
        <f t="shared" si="3"/>
        <v>0</v>
      </c>
      <c r="J56" s="2">
        <f t="shared" si="3"/>
        <v>0</v>
      </c>
      <c r="K56" s="2">
        <f t="shared" si="3"/>
        <v>0</v>
      </c>
      <c r="L56" s="2">
        <f t="shared" si="3"/>
        <v>0</v>
      </c>
      <c r="M56" s="2">
        <f t="shared" si="3"/>
        <v>0</v>
      </c>
      <c r="N56" s="2">
        <f t="shared" si="3"/>
        <v>0</v>
      </c>
      <c r="O56" s="2">
        <f t="shared" si="3"/>
        <v>0</v>
      </c>
      <c r="P56" s="2">
        <f t="shared" si="3"/>
        <v>0</v>
      </c>
      <c r="Q56" s="2">
        <f t="shared" si="3"/>
        <v>0</v>
      </c>
      <c r="R56" s="2">
        <f t="shared" si="3"/>
        <v>0</v>
      </c>
      <c r="S56" s="2">
        <f t="shared" si="3"/>
        <v>0</v>
      </c>
      <c r="T56" s="2">
        <f t="shared" si="3"/>
        <v>0</v>
      </c>
      <c r="U56" s="2">
        <f t="shared" si="3"/>
        <v>0</v>
      </c>
      <c r="V56" s="2">
        <f t="shared" si="3"/>
        <v>0</v>
      </c>
    </row>
    <row r="57" spans="1:27" x14ac:dyDescent="0.35">
      <c r="A57" t="str">
        <f t="shared" ref="A57:A62" si="4">A9</f>
        <v xml:space="preserve">  Tools</v>
      </c>
      <c r="B57" s="13">
        <f>'Prices &amp; assums'!C71</f>
        <v>25817</v>
      </c>
      <c r="C57" s="2">
        <f t="shared" ref="C57:V57" si="5">$B57*C9</f>
        <v>25817</v>
      </c>
      <c r="D57" s="2">
        <f t="shared" si="5"/>
        <v>2581.7000000000003</v>
      </c>
      <c r="E57" s="2">
        <f t="shared" si="5"/>
        <v>0</v>
      </c>
      <c r="F57" s="2">
        <f t="shared" si="5"/>
        <v>0</v>
      </c>
      <c r="G57" s="2">
        <f t="shared" si="5"/>
        <v>0</v>
      </c>
      <c r="H57" s="2">
        <f t="shared" si="5"/>
        <v>0</v>
      </c>
      <c r="I57" s="2">
        <f t="shared" si="5"/>
        <v>0</v>
      </c>
      <c r="J57" s="2">
        <f t="shared" si="5"/>
        <v>0</v>
      </c>
      <c r="K57" s="2">
        <f t="shared" si="5"/>
        <v>0</v>
      </c>
      <c r="L57" s="2">
        <f t="shared" si="5"/>
        <v>0</v>
      </c>
      <c r="M57" s="2">
        <f t="shared" si="5"/>
        <v>0</v>
      </c>
      <c r="N57" s="2">
        <f t="shared" si="5"/>
        <v>0</v>
      </c>
      <c r="O57" s="2">
        <f t="shared" si="5"/>
        <v>0</v>
      </c>
      <c r="P57" s="2">
        <f t="shared" si="5"/>
        <v>0</v>
      </c>
      <c r="Q57" s="2">
        <f t="shared" si="5"/>
        <v>0</v>
      </c>
      <c r="R57" s="2">
        <f t="shared" si="5"/>
        <v>0</v>
      </c>
      <c r="S57" s="2">
        <f t="shared" si="5"/>
        <v>0</v>
      </c>
      <c r="T57" s="2">
        <f t="shared" si="5"/>
        <v>0</v>
      </c>
      <c r="U57" s="2">
        <f t="shared" si="5"/>
        <v>0</v>
      </c>
      <c r="V57" s="2">
        <f t="shared" si="5"/>
        <v>0</v>
      </c>
    </row>
    <row r="58" spans="1:27" x14ac:dyDescent="0.35">
      <c r="A58" t="str">
        <f t="shared" si="4"/>
        <v xml:space="preserve">  Self protection equipment</v>
      </c>
      <c r="B58" s="13">
        <f>'Prices &amp; assums'!C63</f>
        <v>17300</v>
      </c>
      <c r="C58" s="2">
        <f t="shared" ref="C58:V58" si="6">$B58*C10</f>
        <v>17300</v>
      </c>
      <c r="D58" s="2">
        <f t="shared" si="6"/>
        <v>1730</v>
      </c>
      <c r="E58" s="2">
        <f t="shared" si="6"/>
        <v>0</v>
      </c>
      <c r="F58" s="2">
        <f t="shared" si="6"/>
        <v>0</v>
      </c>
      <c r="G58" s="2">
        <f t="shared" si="6"/>
        <v>0</v>
      </c>
      <c r="H58" s="2">
        <f t="shared" si="6"/>
        <v>0</v>
      </c>
      <c r="I58" s="2">
        <f t="shared" si="6"/>
        <v>0</v>
      </c>
      <c r="J58" s="2">
        <f t="shared" si="6"/>
        <v>0</v>
      </c>
      <c r="K58" s="2">
        <f t="shared" si="6"/>
        <v>0</v>
      </c>
      <c r="L58" s="2">
        <f t="shared" si="6"/>
        <v>0</v>
      </c>
      <c r="M58" s="2">
        <f t="shared" si="6"/>
        <v>0</v>
      </c>
      <c r="N58" s="2">
        <f t="shared" si="6"/>
        <v>0</v>
      </c>
      <c r="O58" s="2">
        <f t="shared" si="6"/>
        <v>0</v>
      </c>
      <c r="P58" s="2">
        <f t="shared" si="6"/>
        <v>0</v>
      </c>
      <c r="Q58" s="2">
        <f t="shared" si="6"/>
        <v>0</v>
      </c>
      <c r="R58" s="2">
        <f t="shared" si="6"/>
        <v>0</v>
      </c>
      <c r="S58" s="2">
        <f t="shared" si="6"/>
        <v>0</v>
      </c>
      <c r="T58" s="2">
        <f t="shared" si="6"/>
        <v>0</v>
      </c>
      <c r="U58" s="2">
        <f t="shared" si="6"/>
        <v>0</v>
      </c>
      <c r="V58" s="2">
        <f t="shared" si="6"/>
        <v>0</v>
      </c>
    </row>
    <row r="59" spans="1:27" x14ac:dyDescent="0.35">
      <c r="A59" t="str">
        <f t="shared" si="4"/>
        <v xml:space="preserve">  Agro-chemicals</v>
      </c>
      <c r="B59" s="28">
        <f>'Prices &amp; assums'!C64</f>
        <v>25.714285714285715</v>
      </c>
      <c r="C59" s="2">
        <f t="shared" ref="C59:V59" si="7">$B59*C11</f>
        <v>31114.285714285714</v>
      </c>
      <c r="D59" s="2">
        <f t="shared" si="7"/>
        <v>3111.4285714285716</v>
      </c>
      <c r="E59" s="2">
        <f t="shared" si="7"/>
        <v>0</v>
      </c>
      <c r="F59" s="2">
        <f t="shared" si="7"/>
        <v>0</v>
      </c>
      <c r="G59" s="2">
        <f t="shared" si="7"/>
        <v>0</v>
      </c>
      <c r="H59" s="2">
        <f t="shared" si="7"/>
        <v>0</v>
      </c>
      <c r="I59" s="2">
        <f t="shared" si="7"/>
        <v>0</v>
      </c>
      <c r="J59" s="2">
        <f t="shared" si="7"/>
        <v>0</v>
      </c>
      <c r="K59" s="2">
        <f t="shared" si="7"/>
        <v>0</v>
      </c>
      <c r="L59" s="2">
        <f t="shared" si="7"/>
        <v>0</v>
      </c>
      <c r="M59" s="2">
        <f t="shared" si="7"/>
        <v>0</v>
      </c>
      <c r="N59" s="2">
        <f t="shared" si="7"/>
        <v>0</v>
      </c>
      <c r="O59" s="2">
        <f t="shared" si="7"/>
        <v>0</v>
      </c>
      <c r="P59" s="2">
        <f t="shared" si="7"/>
        <v>0</v>
      </c>
      <c r="Q59" s="2">
        <f t="shared" si="7"/>
        <v>0</v>
      </c>
      <c r="R59" s="2">
        <f t="shared" si="7"/>
        <v>0</v>
      </c>
      <c r="S59" s="2">
        <f t="shared" si="7"/>
        <v>0</v>
      </c>
      <c r="T59" s="2">
        <f t="shared" si="7"/>
        <v>0</v>
      </c>
      <c r="U59" s="2">
        <f t="shared" si="7"/>
        <v>0</v>
      </c>
      <c r="V59" s="2">
        <f t="shared" si="7"/>
        <v>0</v>
      </c>
    </row>
    <row r="60" spans="1:27" x14ac:dyDescent="0.35">
      <c r="A60" t="str">
        <f t="shared" si="4"/>
        <v xml:space="preserve">  Area  clearing</v>
      </c>
      <c r="B60" s="13">
        <f>'Prices &amp; assums'!C30</f>
        <v>7.1428571428571432</v>
      </c>
      <c r="C60" s="2">
        <f t="shared" ref="C60:V60" si="8">$B60*C12</f>
        <v>8642.8571428571431</v>
      </c>
      <c r="D60" s="2">
        <f t="shared" si="8"/>
        <v>0</v>
      </c>
      <c r="E60" s="2">
        <f t="shared" si="8"/>
        <v>0</v>
      </c>
      <c r="F60" s="2">
        <f t="shared" si="8"/>
        <v>0</v>
      </c>
      <c r="G60" s="2">
        <f t="shared" si="8"/>
        <v>0</v>
      </c>
      <c r="H60" s="2">
        <f t="shared" si="8"/>
        <v>0</v>
      </c>
      <c r="I60" s="2">
        <f t="shared" si="8"/>
        <v>0</v>
      </c>
      <c r="J60" s="2">
        <f t="shared" si="8"/>
        <v>0</v>
      </c>
      <c r="K60" s="2">
        <f t="shared" si="8"/>
        <v>0</v>
      </c>
      <c r="L60" s="2">
        <f t="shared" si="8"/>
        <v>0</v>
      </c>
      <c r="M60" s="2">
        <f t="shared" si="8"/>
        <v>0</v>
      </c>
      <c r="N60" s="2">
        <f t="shared" si="8"/>
        <v>0</v>
      </c>
      <c r="O60" s="2">
        <f t="shared" si="8"/>
        <v>0</v>
      </c>
      <c r="P60" s="2">
        <f t="shared" si="8"/>
        <v>0</v>
      </c>
      <c r="Q60" s="2">
        <f t="shared" si="8"/>
        <v>0</v>
      </c>
      <c r="R60" s="2">
        <f t="shared" si="8"/>
        <v>0</v>
      </c>
      <c r="S60" s="2">
        <f t="shared" si="8"/>
        <v>0</v>
      </c>
      <c r="T60" s="2">
        <f t="shared" si="8"/>
        <v>0</v>
      </c>
      <c r="U60" s="2">
        <f t="shared" si="8"/>
        <v>0</v>
      </c>
      <c r="V60" s="2">
        <f t="shared" si="8"/>
        <v>0</v>
      </c>
    </row>
    <row r="61" spans="1:27" x14ac:dyDescent="0.35">
      <c r="A61" t="str">
        <f t="shared" si="4"/>
        <v xml:space="preserve">  Establishment of shadow area</v>
      </c>
      <c r="B61" s="13">
        <f>'Prices &amp; assums'!C31</f>
        <v>11.428571428571429</v>
      </c>
      <c r="C61" s="2">
        <f t="shared" ref="C61:V61" si="9">$B61*C13</f>
        <v>13828.571428571429</v>
      </c>
      <c r="D61" s="2">
        <f t="shared" si="9"/>
        <v>0</v>
      </c>
      <c r="E61" s="2">
        <f t="shared" si="9"/>
        <v>0</v>
      </c>
      <c r="F61" s="2">
        <f t="shared" si="9"/>
        <v>0</v>
      </c>
      <c r="G61" s="2">
        <f t="shared" si="9"/>
        <v>0</v>
      </c>
      <c r="H61" s="2">
        <f t="shared" si="9"/>
        <v>0</v>
      </c>
      <c r="I61" s="2">
        <f t="shared" si="9"/>
        <v>0</v>
      </c>
      <c r="J61" s="2">
        <f t="shared" si="9"/>
        <v>0</v>
      </c>
      <c r="K61" s="2">
        <f t="shared" si="9"/>
        <v>0</v>
      </c>
      <c r="L61" s="2">
        <f t="shared" si="9"/>
        <v>0</v>
      </c>
      <c r="M61" s="2">
        <f t="shared" si="9"/>
        <v>0</v>
      </c>
      <c r="N61" s="2">
        <f t="shared" si="9"/>
        <v>0</v>
      </c>
      <c r="O61" s="2">
        <f t="shared" si="9"/>
        <v>0</v>
      </c>
      <c r="P61" s="2">
        <f t="shared" si="9"/>
        <v>0</v>
      </c>
      <c r="Q61" s="2">
        <f t="shared" si="9"/>
        <v>0</v>
      </c>
      <c r="R61" s="2">
        <f t="shared" si="9"/>
        <v>0</v>
      </c>
      <c r="S61" s="2">
        <f t="shared" si="9"/>
        <v>0</v>
      </c>
      <c r="T61" s="2">
        <f t="shared" si="9"/>
        <v>0</v>
      </c>
      <c r="U61" s="2">
        <f t="shared" si="9"/>
        <v>0</v>
      </c>
      <c r="V61" s="2">
        <f t="shared" si="9"/>
        <v>0</v>
      </c>
    </row>
    <row r="62" spans="1:27" x14ac:dyDescent="0.35">
      <c r="A62" t="str">
        <f t="shared" si="4"/>
        <v xml:space="preserve">  Bag filling</v>
      </c>
      <c r="B62" s="13">
        <f>'Prices &amp; assums'!C32</f>
        <v>10</v>
      </c>
      <c r="C62" s="2">
        <f t="shared" ref="C62:V62" si="10">$B62*C14</f>
        <v>12100</v>
      </c>
      <c r="D62" s="2">
        <f t="shared" si="10"/>
        <v>1210</v>
      </c>
      <c r="E62" s="2">
        <f t="shared" si="10"/>
        <v>0</v>
      </c>
      <c r="F62" s="2">
        <f t="shared" si="10"/>
        <v>0</v>
      </c>
      <c r="G62" s="2">
        <f t="shared" si="10"/>
        <v>0</v>
      </c>
      <c r="H62" s="2">
        <f t="shared" si="10"/>
        <v>0</v>
      </c>
      <c r="I62" s="2">
        <f t="shared" si="10"/>
        <v>0</v>
      </c>
      <c r="J62" s="2">
        <f t="shared" si="10"/>
        <v>0</v>
      </c>
      <c r="K62" s="2">
        <f t="shared" si="10"/>
        <v>0</v>
      </c>
      <c r="L62" s="2">
        <f t="shared" si="10"/>
        <v>0</v>
      </c>
      <c r="M62" s="2">
        <f t="shared" si="10"/>
        <v>0</v>
      </c>
      <c r="N62" s="2">
        <f t="shared" si="10"/>
        <v>0</v>
      </c>
      <c r="O62" s="2">
        <f t="shared" si="10"/>
        <v>0</v>
      </c>
      <c r="P62" s="2">
        <f t="shared" si="10"/>
        <v>0</v>
      </c>
      <c r="Q62" s="2">
        <f t="shared" si="10"/>
        <v>0</v>
      </c>
      <c r="R62" s="2">
        <f t="shared" si="10"/>
        <v>0</v>
      </c>
      <c r="S62" s="2">
        <f t="shared" si="10"/>
        <v>0</v>
      </c>
      <c r="T62" s="2">
        <f t="shared" si="10"/>
        <v>0</v>
      </c>
      <c r="U62" s="2">
        <f t="shared" si="10"/>
        <v>0</v>
      </c>
      <c r="V62" s="2">
        <f t="shared" si="10"/>
        <v>0</v>
      </c>
    </row>
    <row r="63" spans="1:27" x14ac:dyDescent="0.35">
      <c r="B63" s="8"/>
      <c r="C63" s="2"/>
    </row>
    <row r="64" spans="1:27" x14ac:dyDescent="0.35">
      <c r="A64" t="str">
        <f t="shared" ref="A64:A70" si="11">A16</f>
        <v>Land preparation and plantation</v>
      </c>
      <c r="B64" s="8"/>
    </row>
    <row r="65" spans="1:27" x14ac:dyDescent="0.35">
      <c r="A65" t="str">
        <f t="shared" si="11"/>
        <v xml:space="preserve">  Surveying</v>
      </c>
      <c r="B65" s="13">
        <f>'Prices &amp; assums'!C33</f>
        <v>3000</v>
      </c>
      <c r="C65" s="2">
        <f t="shared" ref="C65:V65" si="12">$B65*C17</f>
        <v>3000</v>
      </c>
      <c r="D65" s="2">
        <f t="shared" si="12"/>
        <v>0</v>
      </c>
      <c r="E65" s="2">
        <f t="shared" si="12"/>
        <v>0</v>
      </c>
      <c r="F65" s="2">
        <f t="shared" si="12"/>
        <v>0</v>
      </c>
      <c r="G65" s="2">
        <f t="shared" si="12"/>
        <v>0</v>
      </c>
      <c r="H65" s="2">
        <f t="shared" si="12"/>
        <v>0</v>
      </c>
      <c r="I65" s="2">
        <f t="shared" si="12"/>
        <v>0</v>
      </c>
      <c r="J65" s="2">
        <f t="shared" si="12"/>
        <v>0</v>
      </c>
      <c r="K65" s="2">
        <f t="shared" si="12"/>
        <v>0</v>
      </c>
      <c r="L65" s="2">
        <f t="shared" si="12"/>
        <v>0</v>
      </c>
      <c r="M65" s="2">
        <f t="shared" si="12"/>
        <v>0</v>
      </c>
      <c r="N65" s="2">
        <f t="shared" si="12"/>
        <v>0</v>
      </c>
      <c r="O65" s="2">
        <f t="shared" si="12"/>
        <v>0</v>
      </c>
      <c r="P65" s="2">
        <f t="shared" si="12"/>
        <v>0</v>
      </c>
      <c r="Q65" s="2">
        <f t="shared" si="12"/>
        <v>0</v>
      </c>
      <c r="R65" s="2">
        <f t="shared" si="12"/>
        <v>0</v>
      </c>
      <c r="S65" s="2">
        <f t="shared" si="12"/>
        <v>0</v>
      </c>
      <c r="T65" s="2">
        <f t="shared" si="12"/>
        <v>0</v>
      </c>
      <c r="U65" s="2">
        <f t="shared" si="12"/>
        <v>0</v>
      </c>
      <c r="V65" s="2">
        <f t="shared" si="12"/>
        <v>0</v>
      </c>
    </row>
    <row r="66" spans="1:27" x14ac:dyDescent="0.35">
      <c r="A66" t="str">
        <f t="shared" si="11"/>
        <v xml:space="preserve">  Area clearing</v>
      </c>
      <c r="B66" s="13">
        <f>'Prices &amp; assums'!C10</f>
        <v>30000</v>
      </c>
      <c r="C66" s="2">
        <f t="shared" ref="C66:V66" si="13">$B66*C18</f>
        <v>30000</v>
      </c>
      <c r="D66" s="2">
        <f t="shared" si="13"/>
        <v>0</v>
      </c>
      <c r="E66" s="2">
        <f t="shared" si="13"/>
        <v>0</v>
      </c>
      <c r="F66" s="2">
        <f t="shared" si="13"/>
        <v>0</v>
      </c>
      <c r="G66" s="2">
        <f t="shared" si="13"/>
        <v>0</v>
      </c>
      <c r="H66" s="2">
        <f t="shared" si="13"/>
        <v>0</v>
      </c>
      <c r="I66" s="2">
        <f t="shared" si="13"/>
        <v>0</v>
      </c>
      <c r="J66" s="2">
        <f t="shared" si="13"/>
        <v>0</v>
      </c>
      <c r="K66" s="2">
        <f t="shared" si="13"/>
        <v>0</v>
      </c>
      <c r="L66" s="2">
        <f t="shared" si="13"/>
        <v>0</v>
      </c>
      <c r="M66" s="2">
        <f t="shared" si="13"/>
        <v>0</v>
      </c>
      <c r="N66" s="2">
        <f t="shared" si="13"/>
        <v>0</v>
      </c>
      <c r="O66" s="2">
        <f t="shared" si="13"/>
        <v>0</v>
      </c>
      <c r="P66" s="2">
        <f t="shared" si="13"/>
        <v>0</v>
      </c>
      <c r="Q66" s="2">
        <f t="shared" si="13"/>
        <v>0</v>
      </c>
      <c r="R66" s="2">
        <f t="shared" si="13"/>
        <v>0</v>
      </c>
      <c r="S66" s="2">
        <f t="shared" si="13"/>
        <v>0</v>
      </c>
      <c r="T66" s="2">
        <f t="shared" si="13"/>
        <v>0</v>
      </c>
      <c r="U66" s="2">
        <f t="shared" si="13"/>
        <v>0</v>
      </c>
      <c r="V66" s="2">
        <f t="shared" si="13"/>
        <v>0</v>
      </c>
    </row>
    <row r="67" spans="1:27" x14ac:dyDescent="0.35">
      <c r="A67" t="str">
        <f t="shared" si="11"/>
        <v xml:space="preserve">  Stump extraction, controlled fire and marking out</v>
      </c>
      <c r="B67" s="13">
        <f>'Prices &amp; assums'!C34</f>
        <v>30000</v>
      </c>
      <c r="C67" s="2">
        <f t="shared" ref="C67:V67" si="14">$B67*C19</f>
        <v>30000</v>
      </c>
      <c r="D67" s="2">
        <f t="shared" si="14"/>
        <v>0</v>
      </c>
      <c r="E67" s="2">
        <f t="shared" si="14"/>
        <v>0</v>
      </c>
      <c r="F67" s="2">
        <f t="shared" si="14"/>
        <v>0</v>
      </c>
      <c r="G67" s="2">
        <f t="shared" si="14"/>
        <v>0</v>
      </c>
      <c r="H67" s="2">
        <f t="shared" si="14"/>
        <v>0</v>
      </c>
      <c r="I67" s="2">
        <f t="shared" si="14"/>
        <v>0</v>
      </c>
      <c r="J67" s="2">
        <f t="shared" si="14"/>
        <v>0</v>
      </c>
      <c r="K67" s="2">
        <f t="shared" si="14"/>
        <v>0</v>
      </c>
      <c r="L67" s="2">
        <f t="shared" si="14"/>
        <v>0</v>
      </c>
      <c r="M67" s="2">
        <f t="shared" si="14"/>
        <v>0</v>
      </c>
      <c r="N67" s="2">
        <f t="shared" si="14"/>
        <v>0</v>
      </c>
      <c r="O67" s="2">
        <f t="shared" si="14"/>
        <v>0</v>
      </c>
      <c r="P67" s="2">
        <f t="shared" si="14"/>
        <v>0</v>
      </c>
      <c r="Q67" s="2">
        <f t="shared" si="14"/>
        <v>0</v>
      </c>
      <c r="R67" s="2">
        <f t="shared" si="14"/>
        <v>0</v>
      </c>
      <c r="S67" s="2">
        <f t="shared" si="14"/>
        <v>0</v>
      </c>
      <c r="T67" s="2">
        <f t="shared" si="14"/>
        <v>0</v>
      </c>
      <c r="U67" s="2">
        <f t="shared" si="14"/>
        <v>0</v>
      </c>
      <c r="V67" s="2">
        <f t="shared" si="14"/>
        <v>0</v>
      </c>
    </row>
    <row r="68" spans="1:27" x14ac:dyDescent="0.35">
      <c r="A68" t="str">
        <f t="shared" si="11"/>
        <v xml:space="preserve">  Digging holes</v>
      </c>
      <c r="B68" s="13">
        <f>'Prices &amp; assums'!C8</f>
        <v>30</v>
      </c>
      <c r="C68" s="2">
        <f t="shared" ref="C68:V68" si="15">$B68*C20</f>
        <v>33000</v>
      </c>
      <c r="D68" s="2">
        <f t="shared" si="15"/>
        <v>0</v>
      </c>
      <c r="E68" s="2">
        <f t="shared" si="15"/>
        <v>0</v>
      </c>
      <c r="F68" s="2">
        <f t="shared" si="15"/>
        <v>0</v>
      </c>
      <c r="G68" s="2">
        <f t="shared" si="15"/>
        <v>0</v>
      </c>
      <c r="H68" s="2">
        <f t="shared" si="15"/>
        <v>0</v>
      </c>
      <c r="I68" s="2">
        <f t="shared" si="15"/>
        <v>0</v>
      </c>
      <c r="J68" s="2">
        <f t="shared" si="15"/>
        <v>0</v>
      </c>
      <c r="K68" s="2">
        <f t="shared" si="15"/>
        <v>0</v>
      </c>
      <c r="L68" s="2">
        <f t="shared" si="15"/>
        <v>0</v>
      </c>
      <c r="M68" s="2">
        <f t="shared" si="15"/>
        <v>0</v>
      </c>
      <c r="N68" s="2">
        <f t="shared" si="15"/>
        <v>0</v>
      </c>
      <c r="O68" s="2">
        <f t="shared" si="15"/>
        <v>0</v>
      </c>
      <c r="P68" s="2">
        <f t="shared" si="15"/>
        <v>0</v>
      </c>
      <c r="Q68" s="2">
        <f t="shared" si="15"/>
        <v>0</v>
      </c>
      <c r="R68" s="2">
        <f t="shared" si="15"/>
        <v>0</v>
      </c>
      <c r="S68" s="2">
        <f t="shared" si="15"/>
        <v>0</v>
      </c>
      <c r="T68" s="2">
        <f t="shared" si="15"/>
        <v>0</v>
      </c>
      <c r="U68" s="2">
        <f t="shared" si="15"/>
        <v>0</v>
      </c>
      <c r="V68" s="2">
        <f t="shared" si="15"/>
        <v>0</v>
      </c>
    </row>
    <row r="69" spans="1:27" x14ac:dyDescent="0.35">
      <c r="A69" t="str">
        <f t="shared" si="11"/>
        <v xml:space="preserve">  Transport of seedlings</v>
      </c>
      <c r="B69" s="13">
        <f>'Prices &amp; assums'!C27</f>
        <v>7</v>
      </c>
      <c r="C69" s="2">
        <f t="shared" ref="C69:V69" si="16">$B69*C21</f>
        <v>7700</v>
      </c>
      <c r="D69" s="2">
        <f t="shared" si="16"/>
        <v>0</v>
      </c>
      <c r="E69" s="2">
        <f t="shared" si="16"/>
        <v>0</v>
      </c>
      <c r="F69" s="2">
        <f t="shared" si="16"/>
        <v>0</v>
      </c>
      <c r="G69" s="2">
        <f t="shared" si="16"/>
        <v>0</v>
      </c>
      <c r="H69" s="2">
        <f t="shared" si="16"/>
        <v>0</v>
      </c>
      <c r="I69" s="2">
        <f t="shared" si="16"/>
        <v>0</v>
      </c>
      <c r="J69" s="2">
        <f t="shared" si="16"/>
        <v>0</v>
      </c>
      <c r="K69" s="2">
        <f t="shared" si="16"/>
        <v>0</v>
      </c>
      <c r="L69" s="2">
        <f t="shared" si="16"/>
        <v>0</v>
      </c>
      <c r="M69" s="2">
        <f t="shared" si="16"/>
        <v>0</v>
      </c>
      <c r="N69" s="2">
        <f t="shared" si="16"/>
        <v>0</v>
      </c>
      <c r="O69" s="2">
        <f t="shared" si="16"/>
        <v>0</v>
      </c>
      <c r="P69" s="2">
        <f t="shared" si="16"/>
        <v>0</v>
      </c>
      <c r="Q69" s="2">
        <f t="shared" si="16"/>
        <v>0</v>
      </c>
      <c r="R69" s="2">
        <f t="shared" si="16"/>
        <v>0</v>
      </c>
      <c r="S69" s="2">
        <f t="shared" si="16"/>
        <v>0</v>
      </c>
      <c r="T69" s="2">
        <f t="shared" si="16"/>
        <v>0</v>
      </c>
      <c r="U69" s="2">
        <f t="shared" si="16"/>
        <v>0</v>
      </c>
      <c r="V69" s="2">
        <f t="shared" si="16"/>
        <v>0</v>
      </c>
    </row>
    <row r="70" spans="1:27" x14ac:dyDescent="0.35">
      <c r="A70" t="str">
        <f t="shared" si="11"/>
        <v xml:space="preserve">  Planting</v>
      </c>
      <c r="B70" s="13">
        <f>'Prices &amp; assums'!C9</f>
        <v>30</v>
      </c>
      <c r="C70" s="2">
        <f t="shared" ref="C70:V70" si="17">$B70*C22</f>
        <v>33000</v>
      </c>
      <c r="D70" s="2">
        <f t="shared" si="17"/>
        <v>0</v>
      </c>
      <c r="E70" s="2">
        <f t="shared" si="17"/>
        <v>0</v>
      </c>
      <c r="F70" s="2">
        <f t="shared" si="17"/>
        <v>0</v>
      </c>
      <c r="G70" s="2">
        <f t="shared" si="17"/>
        <v>0</v>
      </c>
      <c r="H70" s="2">
        <f t="shared" si="17"/>
        <v>0</v>
      </c>
      <c r="I70" s="2">
        <f t="shared" si="17"/>
        <v>0</v>
      </c>
      <c r="J70" s="2">
        <f t="shared" si="17"/>
        <v>0</v>
      </c>
      <c r="K70" s="2">
        <f t="shared" si="17"/>
        <v>0</v>
      </c>
      <c r="L70" s="2">
        <f t="shared" si="17"/>
        <v>0</v>
      </c>
      <c r="M70" s="2">
        <f t="shared" si="17"/>
        <v>0</v>
      </c>
      <c r="N70" s="2">
        <f t="shared" si="17"/>
        <v>0</v>
      </c>
      <c r="O70" s="2">
        <f t="shared" si="17"/>
        <v>0</v>
      </c>
      <c r="P70" s="2">
        <f t="shared" si="17"/>
        <v>0</v>
      </c>
      <c r="Q70" s="2">
        <f t="shared" si="17"/>
        <v>0</v>
      </c>
      <c r="R70" s="2">
        <f t="shared" si="17"/>
        <v>0</v>
      </c>
      <c r="S70" s="2">
        <f t="shared" si="17"/>
        <v>0</v>
      </c>
      <c r="T70" s="2">
        <f t="shared" si="17"/>
        <v>0</v>
      </c>
      <c r="U70" s="2">
        <f t="shared" si="17"/>
        <v>0</v>
      </c>
      <c r="V70" s="2">
        <f t="shared" si="17"/>
        <v>0</v>
      </c>
    </row>
    <row r="71" spans="1:27" x14ac:dyDescent="0.35">
      <c r="B71" s="13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7" x14ac:dyDescent="0.35">
      <c r="A72" t="str">
        <f t="shared" ref="A72:A78" si="18">A24</f>
        <v>Maintenance</v>
      </c>
      <c r="B72" s="8"/>
    </row>
    <row r="73" spans="1:27" x14ac:dyDescent="0.35">
      <c r="A73" t="str">
        <f t="shared" si="18"/>
        <v xml:space="preserve">  Weeding over total areas</v>
      </c>
      <c r="B73" s="13">
        <f>'Prices &amp; assums'!C35</f>
        <v>25000</v>
      </c>
      <c r="C73" s="2">
        <f t="shared" ref="C73:V73" si="19">$B73*C25</f>
        <v>50000</v>
      </c>
      <c r="D73" s="2">
        <f t="shared" si="19"/>
        <v>50000</v>
      </c>
      <c r="E73" s="2">
        <f t="shared" si="19"/>
        <v>25000</v>
      </c>
      <c r="F73" s="2">
        <f t="shared" si="19"/>
        <v>0</v>
      </c>
      <c r="G73" s="2">
        <f t="shared" si="19"/>
        <v>0</v>
      </c>
      <c r="H73" s="2">
        <f t="shared" si="19"/>
        <v>0</v>
      </c>
      <c r="I73" s="2">
        <f t="shared" si="19"/>
        <v>0</v>
      </c>
      <c r="J73" s="2">
        <f t="shared" si="19"/>
        <v>0</v>
      </c>
      <c r="K73" s="2">
        <f t="shared" si="19"/>
        <v>0</v>
      </c>
      <c r="L73" s="2">
        <f t="shared" si="19"/>
        <v>0</v>
      </c>
      <c r="M73" s="2">
        <f t="shared" si="19"/>
        <v>0</v>
      </c>
      <c r="N73" s="2">
        <f t="shared" si="19"/>
        <v>0</v>
      </c>
      <c r="O73" s="2">
        <f t="shared" si="19"/>
        <v>0</v>
      </c>
      <c r="P73" s="2">
        <f t="shared" si="19"/>
        <v>0</v>
      </c>
      <c r="Q73" s="2">
        <f t="shared" si="19"/>
        <v>0</v>
      </c>
      <c r="R73" s="2">
        <f t="shared" si="19"/>
        <v>0</v>
      </c>
      <c r="S73" s="2">
        <f t="shared" si="19"/>
        <v>0</v>
      </c>
      <c r="T73" s="2">
        <f t="shared" si="19"/>
        <v>0</v>
      </c>
      <c r="U73" s="2">
        <f t="shared" si="19"/>
        <v>0</v>
      </c>
      <c r="V73" s="2">
        <f t="shared" si="19"/>
        <v>0</v>
      </c>
    </row>
    <row r="74" spans="1:27" x14ac:dyDescent="0.35">
      <c r="A74" t="str">
        <f t="shared" si="18"/>
        <v xml:space="preserve">  Weeding over lines</v>
      </c>
      <c r="B74" s="13">
        <f>'Prices &amp; assums'!C36</f>
        <v>15000</v>
      </c>
      <c r="C74" s="2">
        <f t="shared" ref="C74:V74" si="20">$B74*C26</f>
        <v>15000</v>
      </c>
      <c r="D74" s="2">
        <f t="shared" si="20"/>
        <v>15000</v>
      </c>
      <c r="E74" s="2">
        <f t="shared" si="20"/>
        <v>15000</v>
      </c>
      <c r="F74" s="2">
        <f t="shared" si="20"/>
        <v>0</v>
      </c>
      <c r="G74" s="2">
        <f t="shared" si="20"/>
        <v>0</v>
      </c>
      <c r="H74" s="2">
        <f t="shared" si="20"/>
        <v>0</v>
      </c>
      <c r="I74" s="2">
        <f t="shared" si="20"/>
        <v>0</v>
      </c>
      <c r="J74" s="2">
        <f t="shared" si="20"/>
        <v>0</v>
      </c>
      <c r="K74" s="2">
        <f t="shared" si="20"/>
        <v>0</v>
      </c>
      <c r="L74" s="2">
        <f t="shared" si="20"/>
        <v>0</v>
      </c>
      <c r="M74" s="2">
        <f t="shared" si="20"/>
        <v>0</v>
      </c>
      <c r="N74" s="2">
        <f t="shared" si="20"/>
        <v>0</v>
      </c>
      <c r="O74" s="2">
        <f t="shared" si="20"/>
        <v>0</v>
      </c>
      <c r="P74" s="2">
        <f t="shared" si="20"/>
        <v>0</v>
      </c>
      <c r="Q74" s="2">
        <f t="shared" si="20"/>
        <v>0</v>
      </c>
      <c r="R74" s="2">
        <f t="shared" si="20"/>
        <v>0</v>
      </c>
      <c r="S74" s="2">
        <f t="shared" si="20"/>
        <v>0</v>
      </c>
      <c r="T74" s="2">
        <f t="shared" si="20"/>
        <v>0</v>
      </c>
      <c r="U74" s="2">
        <f t="shared" si="20"/>
        <v>0</v>
      </c>
      <c r="V74" s="2">
        <f t="shared" si="20"/>
        <v>0</v>
      </c>
    </row>
    <row r="75" spans="1:27" x14ac:dyDescent="0.35">
      <c r="A75" t="str">
        <f t="shared" si="18"/>
        <v xml:space="preserve">  Compensatory planting (including transport)</v>
      </c>
      <c r="B75" s="13">
        <f>(B69+B70)</f>
        <v>37</v>
      </c>
      <c r="C75" s="2">
        <f t="shared" ref="C75:V75" si="21">$B75*C27</f>
        <v>6105</v>
      </c>
      <c r="D75" s="2">
        <f t="shared" si="21"/>
        <v>6105</v>
      </c>
      <c r="E75" s="2">
        <f t="shared" si="21"/>
        <v>0</v>
      </c>
      <c r="F75" s="2">
        <f t="shared" si="21"/>
        <v>0</v>
      </c>
      <c r="G75" s="2">
        <f t="shared" si="21"/>
        <v>0</v>
      </c>
      <c r="H75" s="2">
        <f t="shared" si="21"/>
        <v>0</v>
      </c>
      <c r="I75" s="2">
        <f t="shared" si="21"/>
        <v>0</v>
      </c>
      <c r="J75" s="2">
        <f t="shared" si="21"/>
        <v>0</v>
      </c>
      <c r="K75" s="2">
        <f t="shared" si="21"/>
        <v>0</v>
      </c>
      <c r="L75" s="2">
        <f t="shared" si="21"/>
        <v>0</v>
      </c>
      <c r="M75" s="2">
        <f t="shared" si="21"/>
        <v>0</v>
      </c>
      <c r="N75" s="2">
        <f t="shared" si="21"/>
        <v>0</v>
      </c>
      <c r="O75" s="2">
        <f t="shared" si="21"/>
        <v>0</v>
      </c>
      <c r="P75" s="2">
        <f t="shared" si="21"/>
        <v>0</v>
      </c>
      <c r="Q75" s="2">
        <f t="shared" si="21"/>
        <v>0</v>
      </c>
      <c r="R75" s="2">
        <f t="shared" si="21"/>
        <v>0</v>
      </c>
      <c r="S75" s="2">
        <f t="shared" si="21"/>
        <v>0</v>
      </c>
      <c r="T75" s="2">
        <f t="shared" si="21"/>
        <v>0</v>
      </c>
      <c r="U75" s="2">
        <f t="shared" si="21"/>
        <v>0</v>
      </c>
      <c r="V75" s="2">
        <f t="shared" si="21"/>
        <v>0</v>
      </c>
    </row>
    <row r="76" spans="1:27" x14ac:dyDescent="0.35">
      <c r="A76" t="str">
        <f t="shared" si="18"/>
        <v xml:space="preserve">  Shape pruning</v>
      </c>
      <c r="B76" s="13">
        <f>'Prices &amp; assums'!C37</f>
        <v>2000</v>
      </c>
      <c r="C76" s="2">
        <f t="shared" ref="C76:V76" si="22">$B76*C28</f>
        <v>2000</v>
      </c>
      <c r="D76" s="2">
        <f t="shared" si="22"/>
        <v>2000</v>
      </c>
      <c r="E76" s="2">
        <f t="shared" si="22"/>
        <v>2000</v>
      </c>
      <c r="F76" s="2">
        <f t="shared" si="22"/>
        <v>0</v>
      </c>
      <c r="G76" s="2">
        <f t="shared" si="22"/>
        <v>0</v>
      </c>
      <c r="H76" s="2">
        <f t="shared" si="22"/>
        <v>0</v>
      </c>
      <c r="I76" s="2">
        <f t="shared" si="22"/>
        <v>0</v>
      </c>
      <c r="J76" s="2">
        <f t="shared" si="22"/>
        <v>0</v>
      </c>
      <c r="K76" s="2">
        <f t="shared" si="22"/>
        <v>0</v>
      </c>
      <c r="L76" s="2">
        <f t="shared" si="22"/>
        <v>0</v>
      </c>
      <c r="M76" s="2">
        <f t="shared" si="22"/>
        <v>0</v>
      </c>
      <c r="N76" s="2">
        <f t="shared" si="22"/>
        <v>0</v>
      </c>
      <c r="O76" s="2">
        <f t="shared" si="22"/>
        <v>0</v>
      </c>
      <c r="P76" s="2">
        <f t="shared" si="22"/>
        <v>0</v>
      </c>
      <c r="Q76" s="2">
        <f t="shared" si="22"/>
        <v>0</v>
      </c>
      <c r="R76" s="2">
        <f t="shared" si="22"/>
        <v>0</v>
      </c>
      <c r="S76" s="2">
        <f t="shared" si="22"/>
        <v>0</v>
      </c>
      <c r="T76" s="2">
        <f t="shared" si="22"/>
        <v>0</v>
      </c>
      <c r="U76" s="2">
        <f t="shared" si="22"/>
        <v>0</v>
      </c>
      <c r="V76" s="2">
        <f t="shared" si="22"/>
        <v>0</v>
      </c>
    </row>
    <row r="77" spans="1:27" x14ac:dyDescent="0.35">
      <c r="A77" t="str">
        <f t="shared" si="18"/>
        <v xml:space="preserve">  Fire breaking</v>
      </c>
      <c r="B77" s="13">
        <f>'Prices &amp; assums'!C14</f>
        <v>10000</v>
      </c>
      <c r="C77" s="2">
        <f t="shared" ref="C77:V77" si="23">$B77*C29</f>
        <v>10000</v>
      </c>
      <c r="D77" s="2">
        <f t="shared" si="23"/>
        <v>10000</v>
      </c>
      <c r="E77" s="2">
        <f t="shared" si="23"/>
        <v>10000</v>
      </c>
      <c r="F77" s="2">
        <f t="shared" si="23"/>
        <v>15000</v>
      </c>
      <c r="G77" s="2">
        <f t="shared" si="23"/>
        <v>15000</v>
      </c>
      <c r="H77" s="2">
        <f t="shared" si="23"/>
        <v>15000</v>
      </c>
      <c r="I77" s="2">
        <f t="shared" si="23"/>
        <v>15000</v>
      </c>
      <c r="J77" s="2">
        <f t="shared" si="23"/>
        <v>15000</v>
      </c>
      <c r="K77" s="2">
        <f t="shared" si="23"/>
        <v>15000</v>
      </c>
      <c r="L77" s="2">
        <f t="shared" si="23"/>
        <v>15000</v>
      </c>
      <c r="M77" s="2">
        <f t="shared" si="23"/>
        <v>15000</v>
      </c>
      <c r="N77" s="2">
        <f t="shared" si="23"/>
        <v>15000</v>
      </c>
      <c r="O77" s="2">
        <f t="shared" si="23"/>
        <v>15000</v>
      </c>
      <c r="P77" s="2">
        <f t="shared" si="23"/>
        <v>15000</v>
      </c>
      <c r="Q77" s="2">
        <f t="shared" si="23"/>
        <v>15000</v>
      </c>
      <c r="R77" s="2">
        <f t="shared" si="23"/>
        <v>15000</v>
      </c>
      <c r="S77" s="2">
        <f t="shared" si="23"/>
        <v>15000</v>
      </c>
      <c r="T77" s="2">
        <f t="shared" si="23"/>
        <v>15000</v>
      </c>
      <c r="U77" s="2">
        <f t="shared" si="23"/>
        <v>15000</v>
      </c>
      <c r="V77" s="2">
        <f t="shared" si="23"/>
        <v>15000</v>
      </c>
    </row>
    <row r="78" spans="1:27" x14ac:dyDescent="0.35">
      <c r="A78" t="str">
        <f t="shared" si="18"/>
        <v xml:space="preserve">  Pruning</v>
      </c>
      <c r="B78" s="13">
        <f>'Prices &amp; assums'!C38</f>
        <v>20000</v>
      </c>
      <c r="C78" s="2">
        <f t="shared" ref="C78:V78" si="24">$B78*C30</f>
        <v>0</v>
      </c>
      <c r="D78" s="2">
        <f t="shared" si="24"/>
        <v>0</v>
      </c>
      <c r="E78" s="2">
        <f t="shared" si="24"/>
        <v>0</v>
      </c>
      <c r="F78" s="2">
        <f t="shared" si="24"/>
        <v>0</v>
      </c>
      <c r="G78" s="2">
        <f t="shared" si="24"/>
        <v>20000</v>
      </c>
      <c r="H78" s="2">
        <f t="shared" si="24"/>
        <v>0</v>
      </c>
      <c r="I78" s="2">
        <f t="shared" si="24"/>
        <v>0</v>
      </c>
      <c r="J78" s="2">
        <f t="shared" si="24"/>
        <v>0</v>
      </c>
      <c r="K78" s="2">
        <f t="shared" si="24"/>
        <v>0</v>
      </c>
      <c r="L78" s="2">
        <f t="shared" si="24"/>
        <v>20000</v>
      </c>
      <c r="M78" s="2">
        <f t="shared" si="24"/>
        <v>0</v>
      </c>
      <c r="N78" s="2">
        <f t="shared" si="24"/>
        <v>0</v>
      </c>
      <c r="O78" s="2">
        <f t="shared" si="24"/>
        <v>0</v>
      </c>
      <c r="P78" s="2">
        <f t="shared" si="24"/>
        <v>0</v>
      </c>
      <c r="Q78" s="2">
        <f t="shared" si="24"/>
        <v>20000</v>
      </c>
      <c r="R78" s="2">
        <f t="shared" si="24"/>
        <v>0</v>
      </c>
      <c r="S78" s="2">
        <f t="shared" si="24"/>
        <v>0</v>
      </c>
      <c r="T78" s="2">
        <f t="shared" si="24"/>
        <v>0</v>
      </c>
      <c r="U78" s="2">
        <f t="shared" si="24"/>
        <v>0</v>
      </c>
      <c r="V78" s="2">
        <f t="shared" si="24"/>
        <v>20000</v>
      </c>
      <c r="W78" s="2">
        <f>$B78*W30</f>
        <v>0</v>
      </c>
      <c r="X78" s="2">
        <f>$B78*X30</f>
        <v>0</v>
      </c>
      <c r="Y78" s="2">
        <f>$B78*Y30</f>
        <v>0</v>
      </c>
      <c r="Z78" s="2">
        <f>$B78*Z30</f>
        <v>0</v>
      </c>
      <c r="AA78" s="2"/>
    </row>
    <row r="79" spans="1:27" x14ac:dyDescent="0.35">
      <c r="B79" s="13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7" x14ac:dyDescent="0.35">
      <c r="A80" s="6" t="str">
        <f t="shared" ref="A80:A91" si="25">A32</f>
        <v>Cuts</v>
      </c>
      <c r="B80" s="8"/>
    </row>
    <row r="81" spans="1:27" x14ac:dyDescent="0.35">
      <c r="A81" s="6" t="str">
        <f t="shared" si="25"/>
        <v xml:space="preserve">  First cut</v>
      </c>
      <c r="B81" s="13">
        <f>'Prices &amp; assums'!C39</f>
        <v>150</v>
      </c>
      <c r="C81" s="2">
        <f t="shared" ref="C81:V81" si="26">$B81*C33</f>
        <v>0</v>
      </c>
      <c r="D81" s="2">
        <f t="shared" si="26"/>
        <v>0</v>
      </c>
      <c r="E81" s="2">
        <f t="shared" si="26"/>
        <v>0</v>
      </c>
      <c r="F81" s="2">
        <f t="shared" si="26"/>
        <v>0</v>
      </c>
      <c r="G81" s="2">
        <f t="shared" si="26"/>
        <v>0</v>
      </c>
      <c r="H81" s="2">
        <f t="shared" si="26"/>
        <v>45000</v>
      </c>
      <c r="I81" s="2">
        <f t="shared" si="26"/>
        <v>0</v>
      </c>
      <c r="J81" s="2">
        <f t="shared" si="26"/>
        <v>0</v>
      </c>
      <c r="K81" s="2">
        <f t="shared" si="26"/>
        <v>0</v>
      </c>
      <c r="L81" s="2">
        <f t="shared" si="26"/>
        <v>0</v>
      </c>
      <c r="M81" s="2">
        <f t="shared" si="26"/>
        <v>0</v>
      </c>
      <c r="N81" s="2">
        <f t="shared" si="26"/>
        <v>0</v>
      </c>
      <c r="O81" s="2">
        <f t="shared" si="26"/>
        <v>0</v>
      </c>
      <c r="P81" s="2">
        <f t="shared" si="26"/>
        <v>0</v>
      </c>
      <c r="Q81" s="2">
        <f t="shared" si="26"/>
        <v>0</v>
      </c>
      <c r="R81" s="2">
        <f t="shared" si="26"/>
        <v>0</v>
      </c>
      <c r="S81" s="2">
        <f t="shared" si="26"/>
        <v>0</v>
      </c>
      <c r="T81" s="2">
        <f t="shared" si="26"/>
        <v>0</v>
      </c>
      <c r="U81" s="2">
        <f t="shared" si="26"/>
        <v>0</v>
      </c>
      <c r="V81" s="2">
        <f t="shared" si="26"/>
        <v>0</v>
      </c>
    </row>
    <row r="82" spans="1:27" x14ac:dyDescent="0.35">
      <c r="A82" s="6" t="str">
        <f t="shared" si="25"/>
        <v xml:space="preserve">  Second cut</v>
      </c>
      <c r="B82" s="13">
        <f>'Prices &amp; assums'!C40</f>
        <v>270</v>
      </c>
      <c r="C82" s="2">
        <f t="shared" ref="C82:V82" si="27">$B82*C34</f>
        <v>0</v>
      </c>
      <c r="D82" s="2">
        <f t="shared" si="27"/>
        <v>0</v>
      </c>
      <c r="E82" s="2">
        <f t="shared" si="27"/>
        <v>0</v>
      </c>
      <c r="F82" s="2">
        <f t="shared" si="27"/>
        <v>0</v>
      </c>
      <c r="G82" s="2">
        <f t="shared" si="27"/>
        <v>0</v>
      </c>
      <c r="H82" s="2">
        <f t="shared" si="27"/>
        <v>0</v>
      </c>
      <c r="I82" s="2">
        <f t="shared" si="27"/>
        <v>0</v>
      </c>
      <c r="J82" s="2">
        <f t="shared" si="27"/>
        <v>0</v>
      </c>
      <c r="K82" s="2">
        <f t="shared" si="27"/>
        <v>0</v>
      </c>
      <c r="L82" s="2">
        <f t="shared" si="27"/>
        <v>94500</v>
      </c>
      <c r="M82" s="2">
        <f t="shared" si="27"/>
        <v>0</v>
      </c>
      <c r="N82" s="2">
        <f t="shared" si="27"/>
        <v>0</v>
      </c>
      <c r="O82" s="2">
        <f t="shared" si="27"/>
        <v>0</v>
      </c>
      <c r="P82" s="2">
        <f t="shared" si="27"/>
        <v>0</v>
      </c>
      <c r="Q82" s="2">
        <f t="shared" si="27"/>
        <v>0</v>
      </c>
      <c r="R82" s="2">
        <f t="shared" si="27"/>
        <v>0</v>
      </c>
      <c r="S82" s="2">
        <f t="shared" si="27"/>
        <v>0</v>
      </c>
      <c r="T82" s="2">
        <f t="shared" si="27"/>
        <v>0</v>
      </c>
      <c r="U82" s="2">
        <f t="shared" si="27"/>
        <v>0</v>
      </c>
      <c r="V82" s="2">
        <f t="shared" si="27"/>
        <v>0</v>
      </c>
    </row>
    <row r="83" spans="1:27" x14ac:dyDescent="0.35">
      <c r="A83" s="6" t="str">
        <f t="shared" si="25"/>
        <v xml:space="preserve">  Third cut</v>
      </c>
      <c r="B83" s="13">
        <f>'Prices &amp; assums'!C41</f>
        <v>2740</v>
      </c>
      <c r="C83" s="2">
        <f t="shared" ref="C83:V83" si="28">$B83*C35</f>
        <v>0</v>
      </c>
      <c r="D83" s="2">
        <f t="shared" si="28"/>
        <v>0</v>
      </c>
      <c r="E83" s="2">
        <f t="shared" si="28"/>
        <v>0</v>
      </c>
      <c r="F83" s="2">
        <f t="shared" si="28"/>
        <v>0</v>
      </c>
      <c r="G83" s="2">
        <f t="shared" si="28"/>
        <v>0</v>
      </c>
      <c r="H83" s="2">
        <f t="shared" si="28"/>
        <v>0</v>
      </c>
      <c r="I83" s="2">
        <f t="shared" si="28"/>
        <v>0</v>
      </c>
      <c r="J83" s="2">
        <f t="shared" si="28"/>
        <v>0</v>
      </c>
      <c r="K83" s="2">
        <f t="shared" si="28"/>
        <v>0</v>
      </c>
      <c r="L83" s="2">
        <f t="shared" si="28"/>
        <v>0</v>
      </c>
      <c r="M83" s="2">
        <f t="shared" si="28"/>
        <v>0</v>
      </c>
      <c r="N83" s="2">
        <f t="shared" si="28"/>
        <v>0</v>
      </c>
      <c r="O83" s="2">
        <f t="shared" si="28"/>
        <v>0</v>
      </c>
      <c r="P83" s="2">
        <f t="shared" si="28"/>
        <v>0</v>
      </c>
      <c r="Q83" s="2">
        <f t="shared" si="28"/>
        <v>0</v>
      </c>
      <c r="R83" s="2">
        <f t="shared" si="28"/>
        <v>0</v>
      </c>
      <c r="S83" s="2">
        <f t="shared" si="28"/>
        <v>0</v>
      </c>
      <c r="T83" s="2">
        <f t="shared" si="28"/>
        <v>0</v>
      </c>
      <c r="U83" s="2">
        <f t="shared" si="28"/>
        <v>0</v>
      </c>
      <c r="V83" s="2">
        <f t="shared" si="28"/>
        <v>0</v>
      </c>
    </row>
    <row r="84" spans="1:27" x14ac:dyDescent="0.35">
      <c r="A84" s="6" t="str">
        <f t="shared" si="25"/>
        <v xml:space="preserve">  Fourth cut</v>
      </c>
      <c r="B84" s="13">
        <f>'Prices &amp; assums'!C42</f>
        <v>6500</v>
      </c>
      <c r="C84" s="2">
        <f t="shared" ref="C84:V84" si="29">$B84*C36</f>
        <v>0</v>
      </c>
      <c r="D84" s="2">
        <f t="shared" si="29"/>
        <v>0</v>
      </c>
      <c r="E84" s="2">
        <f t="shared" si="29"/>
        <v>0</v>
      </c>
      <c r="F84" s="2">
        <f t="shared" si="29"/>
        <v>0</v>
      </c>
      <c r="G84" s="2">
        <f t="shared" si="29"/>
        <v>0</v>
      </c>
      <c r="H84" s="2">
        <f t="shared" si="29"/>
        <v>0</v>
      </c>
      <c r="I84" s="2">
        <f t="shared" si="29"/>
        <v>0</v>
      </c>
      <c r="J84" s="2">
        <f t="shared" si="29"/>
        <v>0</v>
      </c>
      <c r="K84" s="2">
        <f t="shared" si="29"/>
        <v>0</v>
      </c>
      <c r="L84" s="2">
        <f t="shared" si="29"/>
        <v>0</v>
      </c>
      <c r="M84" s="2">
        <f t="shared" si="29"/>
        <v>0</v>
      </c>
      <c r="N84" s="2">
        <f t="shared" si="29"/>
        <v>0</v>
      </c>
      <c r="O84" s="2">
        <f t="shared" si="29"/>
        <v>0</v>
      </c>
      <c r="P84" s="2">
        <f t="shared" si="29"/>
        <v>0</v>
      </c>
      <c r="Q84" s="2">
        <f t="shared" si="29"/>
        <v>0</v>
      </c>
      <c r="R84" s="2">
        <f t="shared" si="29"/>
        <v>0</v>
      </c>
      <c r="S84" s="2">
        <f t="shared" si="29"/>
        <v>0</v>
      </c>
      <c r="T84" s="2">
        <f t="shared" si="29"/>
        <v>0</v>
      </c>
      <c r="U84" s="2">
        <f t="shared" si="29"/>
        <v>0</v>
      </c>
      <c r="V84" s="2">
        <f t="shared" si="29"/>
        <v>0</v>
      </c>
    </row>
    <row r="85" spans="1:27" x14ac:dyDescent="0.35">
      <c r="A85" s="6">
        <f t="shared" si="25"/>
        <v>0</v>
      </c>
      <c r="B85" s="8"/>
    </row>
    <row r="86" spans="1:27" x14ac:dyDescent="0.35">
      <c r="A86" s="6" t="str">
        <f t="shared" si="25"/>
        <v>Taxes</v>
      </c>
      <c r="B86" s="8"/>
    </row>
    <row r="87" spans="1:27" x14ac:dyDescent="0.35">
      <c r="A87" s="6" t="str">
        <f t="shared" si="25"/>
        <v xml:space="preserve">  First cut</v>
      </c>
      <c r="B87" s="8">
        <f>'Prices &amp; assums'!C74</f>
        <v>1000</v>
      </c>
      <c r="C87" s="2">
        <f t="shared" ref="C87:V87" si="30">$B87*C39</f>
        <v>0</v>
      </c>
      <c r="D87" s="2">
        <f t="shared" si="30"/>
        <v>0</v>
      </c>
      <c r="E87" s="2">
        <f t="shared" si="30"/>
        <v>0</v>
      </c>
      <c r="F87" s="2">
        <f t="shared" si="30"/>
        <v>0</v>
      </c>
      <c r="G87" s="2">
        <f t="shared" si="30"/>
        <v>0</v>
      </c>
      <c r="H87" s="2">
        <f t="shared" si="30"/>
        <v>300000</v>
      </c>
      <c r="I87" s="2">
        <f t="shared" si="30"/>
        <v>0</v>
      </c>
      <c r="J87" s="2">
        <f t="shared" si="30"/>
        <v>0</v>
      </c>
      <c r="K87" s="2">
        <f t="shared" si="30"/>
        <v>0</v>
      </c>
      <c r="L87" s="2">
        <f t="shared" si="30"/>
        <v>0</v>
      </c>
      <c r="M87" s="2">
        <f t="shared" si="30"/>
        <v>0</v>
      </c>
      <c r="N87" s="2">
        <f t="shared" si="30"/>
        <v>0</v>
      </c>
      <c r="O87" s="2">
        <f t="shared" si="30"/>
        <v>0</v>
      </c>
      <c r="P87" s="2">
        <f t="shared" si="30"/>
        <v>0</v>
      </c>
      <c r="Q87" s="2">
        <f t="shared" si="30"/>
        <v>0</v>
      </c>
      <c r="R87" s="2">
        <f t="shared" si="30"/>
        <v>0</v>
      </c>
      <c r="S87" s="2">
        <f t="shared" si="30"/>
        <v>0</v>
      </c>
      <c r="T87" s="2">
        <f t="shared" si="30"/>
        <v>0</v>
      </c>
      <c r="U87" s="2">
        <f t="shared" si="30"/>
        <v>0</v>
      </c>
      <c r="V87" s="2">
        <f t="shared" si="30"/>
        <v>0</v>
      </c>
    </row>
    <row r="88" spans="1:27" x14ac:dyDescent="0.35">
      <c r="A88" s="6" t="str">
        <f t="shared" si="25"/>
        <v xml:space="preserve">  Second cut</v>
      </c>
      <c r="B88" s="8">
        <f>'Prices &amp; assums'!C75</f>
        <v>1500</v>
      </c>
      <c r="C88" s="2">
        <f t="shared" ref="C88:V88" si="31">$B88*C40</f>
        <v>0</v>
      </c>
      <c r="D88" s="2">
        <f t="shared" si="31"/>
        <v>0</v>
      </c>
      <c r="E88" s="2">
        <f t="shared" si="31"/>
        <v>0</v>
      </c>
      <c r="F88" s="2">
        <f t="shared" si="31"/>
        <v>0</v>
      </c>
      <c r="G88" s="2">
        <f t="shared" si="31"/>
        <v>0</v>
      </c>
      <c r="H88" s="2">
        <f t="shared" si="31"/>
        <v>0</v>
      </c>
      <c r="I88" s="2">
        <f t="shared" si="31"/>
        <v>0</v>
      </c>
      <c r="J88" s="2">
        <f t="shared" si="31"/>
        <v>0</v>
      </c>
      <c r="K88" s="2">
        <f t="shared" si="31"/>
        <v>0</v>
      </c>
      <c r="L88" s="2">
        <f t="shared" si="31"/>
        <v>525000</v>
      </c>
      <c r="M88" s="2">
        <f t="shared" si="31"/>
        <v>0</v>
      </c>
      <c r="N88" s="2">
        <f t="shared" si="31"/>
        <v>0</v>
      </c>
      <c r="O88" s="2">
        <f t="shared" si="31"/>
        <v>0</v>
      </c>
      <c r="P88" s="2">
        <f t="shared" si="31"/>
        <v>0</v>
      </c>
      <c r="Q88" s="2">
        <f t="shared" si="31"/>
        <v>0</v>
      </c>
      <c r="R88" s="2">
        <f t="shared" si="31"/>
        <v>0</v>
      </c>
      <c r="S88" s="2">
        <f t="shared" si="31"/>
        <v>0</v>
      </c>
      <c r="T88" s="2">
        <f t="shared" si="31"/>
        <v>0</v>
      </c>
      <c r="U88" s="2">
        <f t="shared" si="31"/>
        <v>0</v>
      </c>
      <c r="V88" s="2">
        <f t="shared" si="31"/>
        <v>0</v>
      </c>
    </row>
    <row r="89" spans="1:27" x14ac:dyDescent="0.35">
      <c r="A89" s="6" t="str">
        <f t="shared" si="25"/>
        <v xml:space="preserve">  Third cut</v>
      </c>
      <c r="B89" s="8">
        <f>'Prices &amp; assums'!C76</f>
        <v>5000</v>
      </c>
      <c r="C89" s="2">
        <f t="shared" ref="C89:V89" si="32">$B89*C41</f>
        <v>0</v>
      </c>
      <c r="D89" s="2">
        <f t="shared" si="32"/>
        <v>0</v>
      </c>
      <c r="E89" s="2">
        <f t="shared" si="32"/>
        <v>0</v>
      </c>
      <c r="F89" s="2">
        <f t="shared" si="32"/>
        <v>0</v>
      </c>
      <c r="G89" s="2">
        <f t="shared" si="32"/>
        <v>0</v>
      </c>
      <c r="H89" s="2">
        <f t="shared" si="32"/>
        <v>0</v>
      </c>
      <c r="I89" s="2">
        <f t="shared" si="32"/>
        <v>0</v>
      </c>
      <c r="J89" s="2">
        <f t="shared" si="32"/>
        <v>0</v>
      </c>
      <c r="K89" s="2">
        <f t="shared" si="32"/>
        <v>0</v>
      </c>
      <c r="L89" s="2">
        <f t="shared" si="32"/>
        <v>0</v>
      </c>
      <c r="M89" s="2">
        <f t="shared" si="32"/>
        <v>0</v>
      </c>
      <c r="N89" s="2">
        <f t="shared" si="32"/>
        <v>0</v>
      </c>
      <c r="O89" s="2">
        <f t="shared" si="32"/>
        <v>0</v>
      </c>
      <c r="P89" s="2">
        <f t="shared" si="32"/>
        <v>0</v>
      </c>
      <c r="Q89" s="2">
        <f t="shared" si="32"/>
        <v>0</v>
      </c>
      <c r="R89" s="2">
        <f t="shared" si="32"/>
        <v>0</v>
      </c>
      <c r="S89" s="2">
        <f t="shared" si="32"/>
        <v>0</v>
      </c>
      <c r="T89" s="2">
        <f t="shared" si="32"/>
        <v>0</v>
      </c>
      <c r="U89" s="2">
        <f t="shared" si="32"/>
        <v>0</v>
      </c>
      <c r="V89" s="2">
        <f t="shared" si="32"/>
        <v>0</v>
      </c>
    </row>
    <row r="90" spans="1:27" x14ac:dyDescent="0.35">
      <c r="A90" s="6">
        <f t="shared" si="25"/>
        <v>0</v>
      </c>
      <c r="B90" s="8"/>
    </row>
    <row r="91" spans="1:27" x14ac:dyDescent="0.35">
      <c r="A91" s="6" t="str">
        <f t="shared" si="25"/>
        <v>Production</v>
      </c>
      <c r="B91" s="8"/>
    </row>
    <row r="92" spans="1:27" x14ac:dyDescent="0.35">
      <c r="A92" s="6" t="str">
        <f>A47</f>
        <v xml:space="preserve">  Trees 11 cm diameter</v>
      </c>
      <c r="B92" s="13">
        <f>'Prices &amp; assums'!C100</f>
        <v>100</v>
      </c>
      <c r="C92" s="2">
        <f t="shared" ref="C92:V92" si="33">$B92*C47</f>
        <v>0</v>
      </c>
      <c r="D92" s="2">
        <f t="shared" si="33"/>
        <v>0</v>
      </c>
      <c r="E92" s="2">
        <f t="shared" si="33"/>
        <v>0</v>
      </c>
      <c r="F92" s="2">
        <f t="shared" si="33"/>
        <v>0</v>
      </c>
      <c r="G92" s="2">
        <f t="shared" si="33"/>
        <v>0</v>
      </c>
      <c r="H92" s="2">
        <f t="shared" si="33"/>
        <v>30000</v>
      </c>
      <c r="I92" s="2">
        <f t="shared" si="33"/>
        <v>0</v>
      </c>
      <c r="J92" s="2">
        <f t="shared" si="33"/>
        <v>0</v>
      </c>
      <c r="K92" s="2">
        <f t="shared" si="33"/>
        <v>0</v>
      </c>
      <c r="L92" s="2">
        <f t="shared" si="33"/>
        <v>0</v>
      </c>
      <c r="M92" s="2">
        <f t="shared" si="33"/>
        <v>0</v>
      </c>
      <c r="N92" s="2">
        <f t="shared" si="33"/>
        <v>0</v>
      </c>
      <c r="O92" s="2">
        <f t="shared" si="33"/>
        <v>0</v>
      </c>
      <c r="P92" s="2">
        <f t="shared" si="33"/>
        <v>0</v>
      </c>
      <c r="Q92" s="2">
        <f t="shared" si="33"/>
        <v>0</v>
      </c>
      <c r="R92" s="2">
        <f t="shared" si="33"/>
        <v>0</v>
      </c>
      <c r="S92" s="2">
        <f t="shared" si="33"/>
        <v>0</v>
      </c>
      <c r="T92" s="2">
        <f t="shared" si="33"/>
        <v>0</v>
      </c>
      <c r="U92" s="2">
        <f t="shared" si="33"/>
        <v>0</v>
      </c>
      <c r="V92" s="2">
        <f t="shared" si="33"/>
        <v>0</v>
      </c>
    </row>
    <row r="93" spans="1:27" x14ac:dyDescent="0.35">
      <c r="A93" s="6" t="str">
        <f>A48</f>
        <v xml:space="preserve">  Trees 16 cm diameter</v>
      </c>
      <c r="B93" s="13">
        <f>'Prices &amp; assums'!C101</f>
        <v>5000</v>
      </c>
      <c r="C93" s="2">
        <f t="shared" ref="C93:V93" si="34">$B93*C48</f>
        <v>0</v>
      </c>
      <c r="D93" s="2">
        <f t="shared" si="34"/>
        <v>0</v>
      </c>
      <c r="E93" s="2">
        <f t="shared" si="34"/>
        <v>0</v>
      </c>
      <c r="F93" s="2">
        <f t="shared" si="34"/>
        <v>0</v>
      </c>
      <c r="G93" s="2">
        <f t="shared" si="34"/>
        <v>0</v>
      </c>
      <c r="H93" s="2">
        <f t="shared" si="34"/>
        <v>0</v>
      </c>
      <c r="I93" s="2">
        <f t="shared" si="34"/>
        <v>0</v>
      </c>
      <c r="J93" s="2">
        <f t="shared" si="34"/>
        <v>0</v>
      </c>
      <c r="K93" s="2">
        <f t="shared" si="34"/>
        <v>0</v>
      </c>
      <c r="L93" s="2">
        <f t="shared" si="34"/>
        <v>1750000</v>
      </c>
      <c r="M93" s="2">
        <f t="shared" si="34"/>
        <v>0</v>
      </c>
      <c r="N93" s="2">
        <f t="shared" si="34"/>
        <v>0</v>
      </c>
      <c r="O93" s="2">
        <f t="shared" si="34"/>
        <v>0</v>
      </c>
      <c r="P93" s="2">
        <f t="shared" si="34"/>
        <v>0</v>
      </c>
      <c r="Q93" s="2">
        <f t="shared" si="34"/>
        <v>0</v>
      </c>
      <c r="R93" s="2">
        <f t="shared" si="34"/>
        <v>0</v>
      </c>
      <c r="S93" s="2">
        <f t="shared" si="34"/>
        <v>0</v>
      </c>
      <c r="T93" s="2">
        <f t="shared" si="34"/>
        <v>0</v>
      </c>
      <c r="U93" s="2">
        <f t="shared" si="34"/>
        <v>0</v>
      </c>
      <c r="V93" s="2">
        <f t="shared" si="34"/>
        <v>0</v>
      </c>
    </row>
    <row r="94" spans="1:27" x14ac:dyDescent="0.35">
      <c r="A94" s="6" t="str">
        <f>A49</f>
        <v xml:space="preserve">  Trees 23 cm diameter</v>
      </c>
      <c r="B94" s="13">
        <f>'Prices &amp; assums'!C102</f>
        <v>18000</v>
      </c>
      <c r="C94" s="2">
        <f t="shared" ref="C94:V94" si="35">$B94*C49</f>
        <v>0</v>
      </c>
      <c r="D94" s="2">
        <f t="shared" si="35"/>
        <v>0</v>
      </c>
      <c r="E94" s="2">
        <f t="shared" si="35"/>
        <v>0</v>
      </c>
      <c r="F94" s="2">
        <f t="shared" si="35"/>
        <v>0</v>
      </c>
      <c r="G94" s="2">
        <f t="shared" si="35"/>
        <v>0</v>
      </c>
      <c r="H94" s="2">
        <f t="shared" si="35"/>
        <v>0</v>
      </c>
      <c r="I94" s="2">
        <f t="shared" si="35"/>
        <v>0</v>
      </c>
      <c r="J94" s="2">
        <f t="shared" si="35"/>
        <v>0</v>
      </c>
      <c r="K94" s="2">
        <f t="shared" si="35"/>
        <v>0</v>
      </c>
      <c r="L94" s="2">
        <f t="shared" si="35"/>
        <v>0</v>
      </c>
      <c r="M94" s="2">
        <f t="shared" si="35"/>
        <v>0</v>
      </c>
      <c r="N94" s="2">
        <f t="shared" si="35"/>
        <v>0</v>
      </c>
      <c r="O94" s="2">
        <f t="shared" si="35"/>
        <v>0</v>
      </c>
      <c r="P94" s="2">
        <f t="shared" si="35"/>
        <v>0</v>
      </c>
      <c r="Q94" s="2">
        <f t="shared" si="35"/>
        <v>0</v>
      </c>
      <c r="R94" s="2">
        <f t="shared" si="35"/>
        <v>2700000</v>
      </c>
      <c r="S94" s="2">
        <f t="shared" si="35"/>
        <v>0</v>
      </c>
      <c r="T94" s="2">
        <f t="shared" si="35"/>
        <v>0</v>
      </c>
      <c r="U94" s="2">
        <f t="shared" si="35"/>
        <v>0</v>
      </c>
      <c r="V94" s="2">
        <f t="shared" si="35"/>
        <v>0</v>
      </c>
    </row>
    <row r="95" spans="1:27" x14ac:dyDescent="0.35">
      <c r="A95" s="12" t="str">
        <f>A50</f>
        <v xml:space="preserve">  Trees 30 cm diameter</v>
      </c>
      <c r="B95" s="22">
        <f>'Prices &amp; assums'!C103</f>
        <v>24000</v>
      </c>
      <c r="C95" s="42">
        <f t="shared" ref="C95:V95" si="36">$B95*C50</f>
        <v>0</v>
      </c>
      <c r="D95" s="14">
        <f t="shared" si="36"/>
        <v>0</v>
      </c>
      <c r="E95" s="14">
        <f t="shared" si="36"/>
        <v>0</v>
      </c>
      <c r="F95" s="14">
        <f t="shared" si="36"/>
        <v>0</v>
      </c>
      <c r="G95" s="14">
        <f t="shared" si="36"/>
        <v>0</v>
      </c>
      <c r="H95" s="14">
        <f t="shared" si="36"/>
        <v>0</v>
      </c>
      <c r="I95" s="14">
        <f t="shared" si="36"/>
        <v>0</v>
      </c>
      <c r="J95" s="14">
        <f t="shared" si="36"/>
        <v>0</v>
      </c>
      <c r="K95" s="14">
        <f t="shared" si="36"/>
        <v>0</v>
      </c>
      <c r="L95" s="14">
        <f t="shared" si="36"/>
        <v>0</v>
      </c>
      <c r="M95" s="14">
        <f t="shared" si="36"/>
        <v>0</v>
      </c>
      <c r="N95" s="14">
        <f t="shared" si="36"/>
        <v>0</v>
      </c>
      <c r="O95" s="14">
        <f t="shared" si="36"/>
        <v>0</v>
      </c>
      <c r="P95" s="14">
        <f t="shared" si="36"/>
        <v>0</v>
      </c>
      <c r="Q95" s="14">
        <f t="shared" si="36"/>
        <v>0</v>
      </c>
      <c r="R95" s="14">
        <f t="shared" si="36"/>
        <v>0</v>
      </c>
      <c r="S95" s="14">
        <f t="shared" si="36"/>
        <v>0</v>
      </c>
      <c r="T95" s="14">
        <f t="shared" si="36"/>
        <v>0</v>
      </c>
      <c r="U95" s="14">
        <f t="shared" si="36"/>
        <v>0</v>
      </c>
      <c r="V95" s="14">
        <f t="shared" si="36"/>
        <v>0</v>
      </c>
      <c r="W95" s="14">
        <f>$B95*W50</f>
        <v>0</v>
      </c>
      <c r="X95" s="14">
        <f>$B95*X50</f>
        <v>0</v>
      </c>
      <c r="Y95" s="14">
        <f>$B95*Y50</f>
        <v>0</v>
      </c>
      <c r="Z95" s="14">
        <f>$B95*Z50</f>
        <v>7200000</v>
      </c>
      <c r="AA95" s="14"/>
    </row>
    <row r="96" spans="1:27" x14ac:dyDescent="0.35">
      <c r="A96" t="s">
        <v>21</v>
      </c>
      <c r="C96" s="2">
        <f t="shared" ref="C96:Z96" si="37">SUM(C55:C89)</f>
        <v>416607.71428571426</v>
      </c>
      <c r="D96" s="2">
        <f t="shared" si="37"/>
        <v>100538.12857142858</v>
      </c>
      <c r="E96" s="2">
        <f t="shared" si="37"/>
        <v>52000</v>
      </c>
      <c r="F96" s="2">
        <f t="shared" si="37"/>
        <v>15000</v>
      </c>
      <c r="G96" s="2">
        <f t="shared" si="37"/>
        <v>35000</v>
      </c>
      <c r="H96" s="2">
        <f t="shared" si="37"/>
        <v>360000</v>
      </c>
      <c r="I96" s="2">
        <f t="shared" si="37"/>
        <v>15000</v>
      </c>
      <c r="J96" s="2">
        <f t="shared" si="37"/>
        <v>15000</v>
      </c>
      <c r="K96" s="2">
        <f t="shared" si="37"/>
        <v>15000</v>
      </c>
      <c r="L96" s="2">
        <f t="shared" si="37"/>
        <v>654500</v>
      </c>
      <c r="M96" s="2">
        <f t="shared" si="37"/>
        <v>15000</v>
      </c>
      <c r="N96" s="2">
        <f t="shared" si="37"/>
        <v>15000</v>
      </c>
      <c r="O96" s="2">
        <f t="shared" si="37"/>
        <v>15000</v>
      </c>
      <c r="P96" s="2">
        <f t="shared" si="37"/>
        <v>15000</v>
      </c>
      <c r="Q96" s="2">
        <f t="shared" si="37"/>
        <v>35000</v>
      </c>
      <c r="R96" s="2">
        <f t="shared" si="37"/>
        <v>15000</v>
      </c>
      <c r="S96" s="2">
        <f t="shared" si="37"/>
        <v>15000</v>
      </c>
      <c r="T96" s="2">
        <f t="shared" si="37"/>
        <v>15000</v>
      </c>
      <c r="U96" s="2">
        <f t="shared" si="37"/>
        <v>15000</v>
      </c>
      <c r="V96" s="2">
        <f t="shared" si="37"/>
        <v>35000</v>
      </c>
      <c r="W96" s="2">
        <f t="shared" si="37"/>
        <v>0</v>
      </c>
      <c r="X96" s="2">
        <f t="shared" si="37"/>
        <v>0</v>
      </c>
      <c r="Y96" s="2">
        <f t="shared" si="37"/>
        <v>0</v>
      </c>
      <c r="Z96" s="2">
        <f t="shared" si="37"/>
        <v>0</v>
      </c>
      <c r="AA96" s="2"/>
    </row>
    <row r="97" spans="1:26" x14ac:dyDescent="0.35">
      <c r="A97" t="s">
        <v>123</v>
      </c>
      <c r="C97" s="2">
        <f t="shared" ref="C97:Z97" si="38">SUM(C92:C95)</f>
        <v>0</v>
      </c>
      <c r="D97" s="2">
        <f t="shared" si="38"/>
        <v>0</v>
      </c>
      <c r="E97" s="2">
        <f t="shared" si="38"/>
        <v>0</v>
      </c>
      <c r="F97" s="2">
        <f t="shared" si="38"/>
        <v>0</v>
      </c>
      <c r="G97" s="2">
        <f t="shared" si="38"/>
        <v>0</v>
      </c>
      <c r="H97" s="2">
        <f t="shared" si="38"/>
        <v>30000</v>
      </c>
      <c r="I97" s="2">
        <f t="shared" si="38"/>
        <v>0</v>
      </c>
      <c r="J97" s="2">
        <f t="shared" si="38"/>
        <v>0</v>
      </c>
      <c r="K97" s="2">
        <f t="shared" si="38"/>
        <v>0</v>
      </c>
      <c r="L97" s="2">
        <f t="shared" si="38"/>
        <v>1750000</v>
      </c>
      <c r="M97" s="2">
        <f t="shared" si="38"/>
        <v>0</v>
      </c>
      <c r="N97" s="2">
        <f t="shared" si="38"/>
        <v>0</v>
      </c>
      <c r="O97" s="2">
        <f t="shared" si="38"/>
        <v>0</v>
      </c>
      <c r="P97" s="2">
        <f t="shared" si="38"/>
        <v>0</v>
      </c>
      <c r="Q97" s="2">
        <f t="shared" si="38"/>
        <v>0</v>
      </c>
      <c r="R97" s="2">
        <f t="shared" si="38"/>
        <v>2700000</v>
      </c>
      <c r="S97" s="2">
        <f t="shared" si="38"/>
        <v>0</v>
      </c>
      <c r="T97" s="2">
        <f t="shared" si="38"/>
        <v>0</v>
      </c>
      <c r="U97" s="2">
        <f t="shared" si="38"/>
        <v>0</v>
      </c>
      <c r="V97" s="2">
        <f t="shared" si="38"/>
        <v>0</v>
      </c>
      <c r="W97" s="2">
        <f t="shared" si="38"/>
        <v>0</v>
      </c>
      <c r="X97" s="2">
        <f t="shared" si="38"/>
        <v>0</v>
      </c>
      <c r="Y97" s="2">
        <f t="shared" si="38"/>
        <v>0</v>
      </c>
      <c r="Z97" s="2">
        <f t="shared" si="38"/>
        <v>7200000</v>
      </c>
    </row>
    <row r="98" spans="1:26" x14ac:dyDescent="0.35">
      <c r="A98" s="49" t="s">
        <v>154</v>
      </c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x14ac:dyDescent="0.35">
      <c r="A99" t="s">
        <v>124</v>
      </c>
      <c r="C99" s="2">
        <f t="shared" ref="C99:Z99" si="39">C97-C96</f>
        <v>-416607.71428571426</v>
      </c>
      <c r="D99" s="2">
        <f t="shared" si="39"/>
        <v>-100538.12857142858</v>
      </c>
      <c r="E99" s="2">
        <f t="shared" si="39"/>
        <v>-52000</v>
      </c>
      <c r="F99" s="2">
        <f t="shared" si="39"/>
        <v>-15000</v>
      </c>
      <c r="G99" s="2">
        <f t="shared" si="39"/>
        <v>-35000</v>
      </c>
      <c r="H99" s="2">
        <f t="shared" si="39"/>
        <v>-330000</v>
      </c>
      <c r="I99" s="2">
        <f t="shared" si="39"/>
        <v>-15000</v>
      </c>
      <c r="J99" s="2">
        <f t="shared" si="39"/>
        <v>-15000</v>
      </c>
      <c r="K99" s="2">
        <f t="shared" si="39"/>
        <v>-15000</v>
      </c>
      <c r="L99" s="2">
        <f t="shared" si="39"/>
        <v>1095500</v>
      </c>
      <c r="M99" s="2">
        <f t="shared" si="39"/>
        <v>-15000</v>
      </c>
      <c r="N99" s="2">
        <f t="shared" si="39"/>
        <v>-15000</v>
      </c>
      <c r="O99" s="2">
        <f t="shared" si="39"/>
        <v>-15000</v>
      </c>
      <c r="P99" s="2">
        <f t="shared" si="39"/>
        <v>-15000</v>
      </c>
      <c r="Q99" s="2">
        <f t="shared" si="39"/>
        <v>-35000</v>
      </c>
      <c r="R99" s="2">
        <f t="shared" si="39"/>
        <v>2685000</v>
      </c>
      <c r="S99" s="2">
        <f t="shared" si="39"/>
        <v>-15000</v>
      </c>
      <c r="T99" s="2">
        <f t="shared" si="39"/>
        <v>-15000</v>
      </c>
      <c r="U99" s="2">
        <f t="shared" si="39"/>
        <v>-15000</v>
      </c>
      <c r="V99" s="2">
        <f t="shared" si="39"/>
        <v>-35000</v>
      </c>
      <c r="W99" s="2">
        <f t="shared" si="39"/>
        <v>0</v>
      </c>
      <c r="X99" s="2">
        <f t="shared" si="39"/>
        <v>0</v>
      </c>
      <c r="Y99" s="2">
        <f t="shared" si="39"/>
        <v>0</v>
      </c>
      <c r="Z99" s="2">
        <f t="shared" si="39"/>
        <v>7200000</v>
      </c>
    </row>
    <row r="100" spans="1:26" x14ac:dyDescent="0.35">
      <c r="A100" t="s">
        <v>476</v>
      </c>
      <c r="B100" s="24">
        <f>NPV(disc_rate_fin,C99:Z99)</f>
        <v>622110.16346622817</v>
      </c>
    </row>
    <row r="101" spans="1:26" x14ac:dyDescent="0.35">
      <c r="A101" t="s">
        <v>477</v>
      </c>
      <c r="B101" s="24">
        <f>B100/usd</f>
        <v>1054.4240058749631</v>
      </c>
    </row>
    <row r="102" spans="1:26" x14ac:dyDescent="0.35">
      <c r="A102" t="s">
        <v>126</v>
      </c>
      <c r="B102" s="23">
        <f>IRR(C99:Z99)</f>
        <v>0.16552328208601708</v>
      </c>
    </row>
    <row r="105" spans="1:26" x14ac:dyDescent="0.35">
      <c r="A105" s="1" t="s">
        <v>475</v>
      </c>
    </row>
    <row r="106" spans="1:26" x14ac:dyDescent="0.35">
      <c r="A106" t="s">
        <v>386</v>
      </c>
      <c r="B106" s="66">
        <v>0.39</v>
      </c>
      <c r="C106" s="2">
        <f>C97*(1-$B106)-C96</f>
        <v>-416607.71428571426</v>
      </c>
      <c r="D106" s="2">
        <f t="shared" ref="D106:Z106" si="40">D97*(1-$B106)-D96</f>
        <v>-100538.12857142858</v>
      </c>
      <c r="E106" s="2">
        <f t="shared" si="40"/>
        <v>-52000</v>
      </c>
      <c r="F106" s="2">
        <f t="shared" si="40"/>
        <v>-15000</v>
      </c>
      <c r="G106" s="2">
        <f t="shared" si="40"/>
        <v>-35000</v>
      </c>
      <c r="H106" s="2">
        <f t="shared" si="40"/>
        <v>-341700</v>
      </c>
      <c r="I106" s="2">
        <f t="shared" si="40"/>
        <v>-15000</v>
      </c>
      <c r="J106" s="2">
        <f t="shared" si="40"/>
        <v>-15000</v>
      </c>
      <c r="K106" s="2">
        <f t="shared" si="40"/>
        <v>-15000</v>
      </c>
      <c r="L106" s="2">
        <f t="shared" si="40"/>
        <v>413000</v>
      </c>
      <c r="M106" s="2">
        <f t="shared" si="40"/>
        <v>-15000</v>
      </c>
      <c r="N106" s="2">
        <f t="shared" si="40"/>
        <v>-15000</v>
      </c>
      <c r="O106" s="2">
        <f t="shared" si="40"/>
        <v>-15000</v>
      </c>
      <c r="P106" s="2">
        <f t="shared" si="40"/>
        <v>-15000</v>
      </c>
      <c r="Q106" s="2">
        <f t="shared" si="40"/>
        <v>-35000</v>
      </c>
      <c r="R106" s="2">
        <f t="shared" si="40"/>
        <v>1632000</v>
      </c>
      <c r="S106" s="2">
        <f t="shared" si="40"/>
        <v>-15000</v>
      </c>
      <c r="T106" s="2">
        <f t="shared" si="40"/>
        <v>-15000</v>
      </c>
      <c r="U106" s="2">
        <f t="shared" si="40"/>
        <v>-15000</v>
      </c>
      <c r="V106" s="2">
        <f t="shared" si="40"/>
        <v>-35000</v>
      </c>
      <c r="W106" s="2">
        <f t="shared" si="40"/>
        <v>0</v>
      </c>
      <c r="X106" s="2">
        <f t="shared" si="40"/>
        <v>0</v>
      </c>
      <c r="Y106" s="2">
        <f t="shared" si="40"/>
        <v>0</v>
      </c>
      <c r="Z106" s="2">
        <f t="shared" si="40"/>
        <v>4392000</v>
      </c>
    </row>
    <row r="107" spans="1:26" x14ac:dyDescent="0.35">
      <c r="A107" t="s">
        <v>125</v>
      </c>
      <c r="B107" s="24">
        <f>NPV(disc_rate_fin,C106:Z106)</f>
        <v>-4263.5501357094035</v>
      </c>
    </row>
    <row r="108" spans="1:26" x14ac:dyDescent="0.35">
      <c r="A108" t="s">
        <v>387</v>
      </c>
      <c r="B108" s="66">
        <v>0.64</v>
      </c>
      <c r="C108" s="2">
        <f>C97-C96*(1+$B108)</f>
        <v>-683236.65142857144</v>
      </c>
      <c r="D108" s="2">
        <f t="shared" ref="D108:Z108" si="41">D97-D96*(1+$B108)</f>
        <v>-164882.53085714288</v>
      </c>
      <c r="E108" s="2">
        <f t="shared" si="41"/>
        <v>-85280</v>
      </c>
      <c r="F108" s="2">
        <f t="shared" si="41"/>
        <v>-24600.000000000004</v>
      </c>
      <c r="G108" s="2">
        <f t="shared" si="41"/>
        <v>-57400.000000000007</v>
      </c>
      <c r="H108" s="2">
        <f t="shared" si="41"/>
        <v>-560400</v>
      </c>
      <c r="I108" s="2">
        <f t="shared" si="41"/>
        <v>-24600.000000000004</v>
      </c>
      <c r="J108" s="2">
        <f t="shared" si="41"/>
        <v>-24600.000000000004</v>
      </c>
      <c r="K108" s="2">
        <f t="shared" si="41"/>
        <v>-24600.000000000004</v>
      </c>
      <c r="L108" s="2">
        <f t="shared" si="41"/>
        <v>676620</v>
      </c>
      <c r="M108" s="2">
        <f t="shared" si="41"/>
        <v>-24600.000000000004</v>
      </c>
      <c r="N108" s="2">
        <f t="shared" si="41"/>
        <v>-24600.000000000004</v>
      </c>
      <c r="O108" s="2">
        <f t="shared" si="41"/>
        <v>-24600.000000000004</v>
      </c>
      <c r="P108" s="2">
        <f t="shared" si="41"/>
        <v>-24600.000000000004</v>
      </c>
      <c r="Q108" s="2">
        <f t="shared" si="41"/>
        <v>-57400.000000000007</v>
      </c>
      <c r="R108" s="2">
        <f t="shared" si="41"/>
        <v>2675400</v>
      </c>
      <c r="S108" s="2">
        <f t="shared" si="41"/>
        <v>-24600.000000000004</v>
      </c>
      <c r="T108" s="2">
        <f t="shared" si="41"/>
        <v>-24600.000000000004</v>
      </c>
      <c r="U108" s="2">
        <f t="shared" si="41"/>
        <v>-24600.000000000004</v>
      </c>
      <c r="V108" s="2">
        <f t="shared" si="41"/>
        <v>-57400.000000000007</v>
      </c>
      <c r="W108" s="2">
        <f t="shared" si="41"/>
        <v>0</v>
      </c>
      <c r="X108" s="2">
        <f t="shared" si="41"/>
        <v>0</v>
      </c>
      <c r="Y108" s="2">
        <f t="shared" si="41"/>
        <v>0</v>
      </c>
      <c r="Z108" s="2">
        <f t="shared" si="41"/>
        <v>7200000</v>
      </c>
    </row>
    <row r="109" spans="1:26" x14ac:dyDescent="0.35">
      <c r="A109" t="s">
        <v>125</v>
      </c>
      <c r="B109" s="24">
        <f>NPV(disc_rate_fin,C108:Z108)</f>
        <v>-7634.6568006165999</v>
      </c>
    </row>
  </sheetData>
  <pageMargins left="0.7" right="0.7" top="0.75" bottom="0.75" header="0.3" footer="0.3"/>
  <pageSetup paperSize="9" orientation="portrait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99"/>
  <sheetViews>
    <sheetView workbookViewId="0">
      <selection activeCell="B55" sqref="B55"/>
    </sheetView>
  </sheetViews>
  <sheetFormatPr defaultRowHeight="14.5" x14ac:dyDescent="0.35"/>
  <cols>
    <col min="1" max="1" width="26.81640625" customWidth="1"/>
    <col min="2" max="2" width="11.81640625" bestFit="1" customWidth="1"/>
    <col min="22" max="22" width="11.54296875" customWidth="1"/>
  </cols>
  <sheetData>
    <row r="1" spans="1:29" x14ac:dyDescent="0.35">
      <c r="A1" s="1" t="s">
        <v>305</v>
      </c>
    </row>
    <row r="2" spans="1:29" x14ac:dyDescent="0.35">
      <c r="A2" t="s">
        <v>223</v>
      </c>
      <c r="B2">
        <v>1100</v>
      </c>
    </row>
    <row r="4" spans="1:29" x14ac:dyDescent="0.35">
      <c r="A4" s="68" t="s">
        <v>398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29" x14ac:dyDescent="0.35">
      <c r="A5" s="9" t="s">
        <v>7</v>
      </c>
      <c r="B5" s="10" t="s">
        <v>11</v>
      </c>
      <c r="C5" s="11" t="s">
        <v>399</v>
      </c>
      <c r="D5" s="11" t="s">
        <v>400</v>
      </c>
      <c r="E5" s="11" t="s">
        <v>401</v>
      </c>
      <c r="F5" s="11" t="s">
        <v>402</v>
      </c>
      <c r="G5" s="11" t="s">
        <v>403</v>
      </c>
      <c r="H5" s="11" t="s">
        <v>404</v>
      </c>
      <c r="I5" s="11" t="s">
        <v>405</v>
      </c>
      <c r="J5" s="11" t="s">
        <v>406</v>
      </c>
      <c r="K5" s="11" t="s">
        <v>407</v>
      </c>
      <c r="L5" s="11" t="s">
        <v>408</v>
      </c>
      <c r="M5" s="11" t="s">
        <v>409</v>
      </c>
      <c r="N5" s="11" t="s">
        <v>410</v>
      </c>
      <c r="O5" s="11" t="s">
        <v>411</v>
      </c>
      <c r="P5" s="11" t="s">
        <v>412</v>
      </c>
      <c r="Q5" s="11" t="s">
        <v>413</v>
      </c>
      <c r="R5" s="11" t="s">
        <v>414</v>
      </c>
      <c r="S5" s="11" t="s">
        <v>415</v>
      </c>
      <c r="T5" s="11" t="s">
        <v>416</v>
      </c>
      <c r="U5" s="11" t="s">
        <v>417</v>
      </c>
      <c r="V5" s="11" t="s">
        <v>418</v>
      </c>
      <c r="W5" s="11" t="s">
        <v>425</v>
      </c>
      <c r="X5" s="11" t="s">
        <v>428</v>
      </c>
      <c r="Y5" s="11" t="s">
        <v>429</v>
      </c>
      <c r="Z5" s="11" t="s">
        <v>430</v>
      </c>
      <c r="AA5" s="11" t="s">
        <v>431</v>
      </c>
      <c r="AB5" s="11" t="s">
        <v>432</v>
      </c>
      <c r="AC5" s="11" t="s">
        <v>433</v>
      </c>
    </row>
    <row r="6" spans="1:29" x14ac:dyDescent="0.35">
      <c r="A6" s="19" t="s">
        <v>84</v>
      </c>
      <c r="B6" s="8"/>
    </row>
    <row r="7" spans="1:29" x14ac:dyDescent="0.35">
      <c r="A7" s="19" t="s">
        <v>85</v>
      </c>
      <c r="B7" s="8" t="s">
        <v>10</v>
      </c>
      <c r="C7">
        <f>'Refor gazetted FIN'!C7</f>
        <v>5</v>
      </c>
      <c r="D7">
        <f>'Refor gazetted FIN'!D7</f>
        <v>0.5</v>
      </c>
    </row>
    <row r="8" spans="1:29" x14ac:dyDescent="0.35">
      <c r="A8" s="19" t="s">
        <v>17</v>
      </c>
      <c r="B8" s="8" t="s">
        <v>11</v>
      </c>
      <c r="C8">
        <f>'Refor gazetted FIN'!C8</f>
        <v>2200</v>
      </c>
      <c r="D8">
        <f>'Refor gazetted FIN'!D8</f>
        <v>220</v>
      </c>
    </row>
    <row r="9" spans="1:29" x14ac:dyDescent="0.35">
      <c r="A9" s="19" t="s">
        <v>87</v>
      </c>
      <c r="B9" s="8" t="s">
        <v>1</v>
      </c>
      <c r="C9">
        <f>'Refor gazetted FIN'!C9</f>
        <v>1</v>
      </c>
      <c r="D9">
        <f>'Refor gazetted FIN'!D9</f>
        <v>0.1</v>
      </c>
    </row>
    <row r="10" spans="1:29" x14ac:dyDescent="0.35">
      <c r="A10" s="19" t="s">
        <v>177</v>
      </c>
      <c r="B10" s="8" t="s">
        <v>93</v>
      </c>
      <c r="C10">
        <f>'Refor gazetted FIN'!C10</f>
        <v>1</v>
      </c>
      <c r="D10">
        <f>'Refor gazetted FIN'!D10</f>
        <v>0.1</v>
      </c>
    </row>
    <row r="11" spans="1:29" x14ac:dyDescent="0.35">
      <c r="A11" s="19" t="s">
        <v>92</v>
      </c>
      <c r="B11" s="8" t="s">
        <v>93</v>
      </c>
      <c r="C11">
        <f>'Refor gazetted FIN'!C11</f>
        <v>1210</v>
      </c>
      <c r="D11">
        <f>'Refor gazetted FIN'!D11</f>
        <v>121</v>
      </c>
    </row>
    <row r="12" spans="1:29" x14ac:dyDescent="0.35">
      <c r="A12" s="19" t="s">
        <v>127</v>
      </c>
      <c r="B12" s="8" t="s">
        <v>93</v>
      </c>
      <c r="C12">
        <f>'Refor gazetted FIN'!C12</f>
        <v>1210</v>
      </c>
    </row>
    <row r="13" spans="1:29" x14ac:dyDescent="0.35">
      <c r="A13" s="19" t="s">
        <v>224</v>
      </c>
      <c r="B13" s="8" t="s">
        <v>93</v>
      </c>
      <c r="C13">
        <f>'Refor gazetted FIN'!C13</f>
        <v>1210</v>
      </c>
    </row>
    <row r="14" spans="1:29" x14ac:dyDescent="0.35">
      <c r="A14" s="19" t="s">
        <v>95</v>
      </c>
      <c r="B14" s="8" t="s">
        <v>93</v>
      </c>
      <c r="C14">
        <f>'Refor gazetted FIN'!C14</f>
        <v>1210</v>
      </c>
      <c r="D14">
        <f>'Refor gazetted FIN'!D14</f>
        <v>121</v>
      </c>
    </row>
    <row r="15" spans="1:29" x14ac:dyDescent="0.35">
      <c r="A15" s="19"/>
      <c r="B15" s="8"/>
    </row>
    <row r="16" spans="1:29" x14ac:dyDescent="0.35">
      <c r="A16" s="19" t="s">
        <v>225</v>
      </c>
      <c r="B16" s="8"/>
      <c r="J16" s="2"/>
    </row>
    <row r="17" spans="1:27" x14ac:dyDescent="0.35">
      <c r="A17" s="19" t="s">
        <v>98</v>
      </c>
      <c r="B17" s="8" t="s">
        <v>1</v>
      </c>
      <c r="C17">
        <f>'Refor gazetted FIN'!C17</f>
        <v>1</v>
      </c>
    </row>
    <row r="18" spans="1:27" x14ac:dyDescent="0.35">
      <c r="A18" s="19" t="s">
        <v>99</v>
      </c>
      <c r="B18" s="8" t="s">
        <v>1</v>
      </c>
      <c r="C18">
        <f>'Refor gazetted FIN'!C18</f>
        <v>1</v>
      </c>
    </row>
    <row r="19" spans="1:27" x14ac:dyDescent="0.35">
      <c r="A19" s="19" t="s">
        <v>226</v>
      </c>
      <c r="B19" s="8" t="s">
        <v>1</v>
      </c>
      <c r="C19">
        <f>'Refor gazetted FIN'!C19</f>
        <v>1</v>
      </c>
    </row>
    <row r="20" spans="1:27" x14ac:dyDescent="0.35">
      <c r="A20" s="19" t="s">
        <v>49</v>
      </c>
      <c r="B20" s="8" t="s">
        <v>93</v>
      </c>
      <c r="C20">
        <f>'Refor gazetted FIN'!C20</f>
        <v>1100</v>
      </c>
      <c r="I20" s="2"/>
    </row>
    <row r="21" spans="1:27" x14ac:dyDescent="0.35">
      <c r="A21" s="19" t="s">
        <v>70</v>
      </c>
      <c r="B21" s="8" t="s">
        <v>93</v>
      </c>
      <c r="C21">
        <f>'Refor gazetted FIN'!C21</f>
        <v>1100</v>
      </c>
    </row>
    <row r="22" spans="1:27" x14ac:dyDescent="0.35">
      <c r="A22" s="19" t="s">
        <v>100</v>
      </c>
      <c r="B22" s="8" t="s">
        <v>93</v>
      </c>
      <c r="C22">
        <f>'Refor gazetted FIN'!C22</f>
        <v>1100</v>
      </c>
    </row>
    <row r="23" spans="1:27" x14ac:dyDescent="0.35">
      <c r="B23" s="8"/>
    </row>
    <row r="24" spans="1:27" x14ac:dyDescent="0.35">
      <c r="A24" t="s">
        <v>227</v>
      </c>
      <c r="B24" s="8"/>
      <c r="C24" s="2"/>
    </row>
    <row r="25" spans="1:27" x14ac:dyDescent="0.35">
      <c r="A25" t="s">
        <v>162</v>
      </c>
      <c r="B25" s="8" t="s">
        <v>1</v>
      </c>
      <c r="C25">
        <f>'Refor gazetted FIN'!C25</f>
        <v>2</v>
      </c>
      <c r="D25">
        <f>'Refor gazetted FIN'!D25</f>
        <v>2</v>
      </c>
      <c r="E25">
        <f>'Refor gazetted FIN'!E25</f>
        <v>1</v>
      </c>
    </row>
    <row r="26" spans="1:27" x14ac:dyDescent="0.35">
      <c r="A26" t="s">
        <v>161</v>
      </c>
      <c r="B26" s="8" t="s">
        <v>1</v>
      </c>
      <c r="C26">
        <f>'Refor gazetted FIN'!C26</f>
        <v>1</v>
      </c>
      <c r="D26">
        <f>'Refor gazetted FIN'!D26</f>
        <v>1</v>
      </c>
      <c r="E26">
        <f>'Refor gazetted FIN'!E26</f>
        <v>1</v>
      </c>
    </row>
    <row r="27" spans="1:27" x14ac:dyDescent="0.35">
      <c r="A27" s="19" t="s">
        <v>101</v>
      </c>
      <c r="B27" s="8" t="s">
        <v>102</v>
      </c>
      <c r="C27">
        <f>'Refor gazetted FIN'!C27</f>
        <v>165</v>
      </c>
      <c r="D27">
        <f>'Refor gazetted FIN'!D27</f>
        <v>165</v>
      </c>
      <c r="E27">
        <f>'Refor gazetted FIN'!E27</f>
        <v>0</v>
      </c>
    </row>
    <row r="28" spans="1:27" x14ac:dyDescent="0.35">
      <c r="A28" s="19" t="s">
        <v>104</v>
      </c>
      <c r="B28" s="8" t="s">
        <v>1</v>
      </c>
      <c r="C28">
        <f>'Refor gazetted FIN'!C28</f>
        <v>1</v>
      </c>
      <c r="D28">
        <f>'Refor gazetted FIN'!D28</f>
        <v>1</v>
      </c>
      <c r="E28">
        <f>'Refor gazetted FIN'!E28</f>
        <v>1</v>
      </c>
    </row>
    <row r="29" spans="1:27" x14ac:dyDescent="0.35">
      <c r="A29" s="19" t="s">
        <v>37</v>
      </c>
      <c r="B29" s="8" t="s">
        <v>1</v>
      </c>
      <c r="C29">
        <f>'Refor gazetted FIN'!C29</f>
        <v>1</v>
      </c>
      <c r="D29">
        <f>'Refor gazetted FIN'!D29</f>
        <v>1</v>
      </c>
      <c r="E29">
        <f>'Refor gazetted FIN'!E29</f>
        <v>1</v>
      </c>
      <c r="F29">
        <f>'Refor gazetted FIN'!F29</f>
        <v>1.5</v>
      </c>
      <c r="G29">
        <f>'Refor gazetted FIN'!G29</f>
        <v>1.5</v>
      </c>
      <c r="H29">
        <f>'Refor gazetted FIN'!H29</f>
        <v>1.5</v>
      </c>
      <c r="I29">
        <f>'Refor gazetted FIN'!I29</f>
        <v>1.5</v>
      </c>
      <c r="J29">
        <f>'Refor gazetted FIN'!J29</f>
        <v>1.5</v>
      </c>
      <c r="K29">
        <f>'Refor gazetted FIN'!K29</f>
        <v>1.5</v>
      </c>
      <c r="L29">
        <f>'Refor gazetted FIN'!L29</f>
        <v>1.5</v>
      </c>
      <c r="M29">
        <f>'Refor gazetted FIN'!M29</f>
        <v>1.5</v>
      </c>
      <c r="N29">
        <f>'Refor gazetted FIN'!N29</f>
        <v>1.5</v>
      </c>
      <c r="O29">
        <f>'Refor gazetted FIN'!O29</f>
        <v>1.5</v>
      </c>
      <c r="P29">
        <f>'Refor gazetted FIN'!P29</f>
        <v>1.5</v>
      </c>
      <c r="Q29">
        <f>'Refor gazetted FIN'!Q29</f>
        <v>1.5</v>
      </c>
      <c r="R29">
        <f>'Refor gazetted FIN'!R29</f>
        <v>1.5</v>
      </c>
      <c r="S29">
        <f>'Refor gazetted FIN'!S29</f>
        <v>1.5</v>
      </c>
      <c r="T29">
        <f>'Refor gazetted FIN'!T29</f>
        <v>1.5</v>
      </c>
      <c r="U29">
        <f>'Refor gazetted FIN'!U29</f>
        <v>1.5</v>
      </c>
      <c r="V29">
        <f>'Refor gazetted FIN'!V29</f>
        <v>1.5</v>
      </c>
      <c r="W29">
        <f>'Refor gazetted FIN'!W29</f>
        <v>1.5</v>
      </c>
      <c r="X29">
        <f>'Refor gazetted FIN'!X29</f>
        <v>1.5</v>
      </c>
      <c r="Y29">
        <f>'Refor gazetted FIN'!Y29</f>
        <v>1.5</v>
      </c>
      <c r="Z29">
        <f>'Refor gazetted FIN'!Z29</f>
        <v>1.5</v>
      </c>
      <c r="AA29">
        <f>'Refor gazetted FIN'!AA29</f>
        <v>1.5</v>
      </c>
    </row>
    <row r="30" spans="1:27" x14ac:dyDescent="0.35">
      <c r="A30" s="19" t="s">
        <v>111</v>
      </c>
      <c r="B30" s="8" t="s">
        <v>1</v>
      </c>
      <c r="C30">
        <f>'Refor gazetted FIN'!C30</f>
        <v>0</v>
      </c>
      <c r="D30">
        <f>'Refor gazetted FIN'!D30</f>
        <v>0</v>
      </c>
      <c r="E30">
        <f>'Refor gazetted FIN'!E30</f>
        <v>0</v>
      </c>
      <c r="F30">
        <f>'Refor gazetted FIN'!F30</f>
        <v>0</v>
      </c>
      <c r="G30">
        <f>'Refor gazetted FIN'!G30</f>
        <v>1</v>
      </c>
      <c r="H30">
        <f>'Refor gazetted FIN'!H30</f>
        <v>0</v>
      </c>
      <c r="I30">
        <f>'Refor gazetted FIN'!I30</f>
        <v>0</v>
      </c>
      <c r="J30">
        <f>'Refor gazetted FIN'!J30</f>
        <v>0</v>
      </c>
      <c r="K30">
        <f>'Refor gazetted FIN'!K30</f>
        <v>0</v>
      </c>
      <c r="L30">
        <f>'Refor gazetted FIN'!L30</f>
        <v>1</v>
      </c>
      <c r="M30">
        <f>'Refor gazetted FIN'!M30</f>
        <v>0</v>
      </c>
      <c r="N30">
        <f>'Refor gazetted FIN'!N30</f>
        <v>0</v>
      </c>
      <c r="O30">
        <f>'Refor gazetted FIN'!O30</f>
        <v>0</v>
      </c>
      <c r="P30">
        <f>'Refor gazetted FIN'!P30</f>
        <v>0</v>
      </c>
      <c r="Q30">
        <f>'Refor gazetted FIN'!Q30</f>
        <v>1</v>
      </c>
      <c r="R30">
        <f>'Refor gazetted FIN'!R30</f>
        <v>0</v>
      </c>
      <c r="S30">
        <f>'Refor gazetted FIN'!S30</f>
        <v>0</v>
      </c>
      <c r="T30">
        <f>'Refor gazetted FIN'!T30</f>
        <v>0</v>
      </c>
      <c r="U30">
        <f>'Refor gazetted FIN'!U30</f>
        <v>0</v>
      </c>
      <c r="V30">
        <f>'Refor gazetted FIN'!V30</f>
        <v>1</v>
      </c>
      <c r="W30">
        <f>'Refor gazetted FIN'!W30</f>
        <v>0</v>
      </c>
      <c r="X30">
        <f>'Refor gazetted FIN'!X30</f>
        <v>0</v>
      </c>
      <c r="Y30">
        <f>'Refor gazetted FIN'!Y30</f>
        <v>0</v>
      </c>
      <c r="Z30">
        <f>'Refor gazetted FIN'!Z30</f>
        <v>0</v>
      </c>
      <c r="AA30">
        <f>'Refor gazetted FIN'!AA30</f>
        <v>1</v>
      </c>
    </row>
    <row r="31" spans="1:27" x14ac:dyDescent="0.35">
      <c r="A31" s="19"/>
      <c r="B31" s="8"/>
    </row>
    <row r="32" spans="1:27" x14ac:dyDescent="0.35">
      <c r="A32" s="19" t="s">
        <v>108</v>
      </c>
      <c r="B32" s="8"/>
    </row>
    <row r="33" spans="1:27" x14ac:dyDescent="0.35">
      <c r="A33" s="19" t="s">
        <v>110</v>
      </c>
      <c r="B33" s="8" t="s">
        <v>61</v>
      </c>
      <c r="C33">
        <f>'Refor gazetted FIN'!C33</f>
        <v>0</v>
      </c>
      <c r="D33">
        <f>'Refor gazetted FIN'!D33</f>
        <v>0</v>
      </c>
      <c r="E33">
        <f>'Refor gazetted FIN'!E33</f>
        <v>0</v>
      </c>
      <c r="F33">
        <f>'Refor gazetted FIN'!F33</f>
        <v>0</v>
      </c>
      <c r="G33">
        <f>'Refor gazetted FIN'!G33</f>
        <v>0</v>
      </c>
      <c r="H33">
        <f>'Refor gazetted FIN'!H33</f>
        <v>300</v>
      </c>
      <c r="I33">
        <f>'Refor gazetted FIN'!I33</f>
        <v>0</v>
      </c>
      <c r="J33">
        <f>'Refor gazetted FIN'!J33</f>
        <v>0</v>
      </c>
      <c r="K33">
        <f>'Refor gazetted FIN'!K33</f>
        <v>0</v>
      </c>
      <c r="L33">
        <f>'Refor gazetted FIN'!L33</f>
        <v>0</v>
      </c>
      <c r="M33">
        <f>'Refor gazetted FIN'!M33</f>
        <v>0</v>
      </c>
      <c r="N33">
        <f>'Refor gazetted FIN'!N33</f>
        <v>0</v>
      </c>
      <c r="O33">
        <f>'Refor gazetted FIN'!O33</f>
        <v>0</v>
      </c>
      <c r="P33">
        <f>'Refor gazetted FIN'!P33</f>
        <v>0</v>
      </c>
      <c r="Q33">
        <f>'Refor gazetted FIN'!Q33</f>
        <v>0</v>
      </c>
      <c r="R33">
        <f>'Refor gazetted FIN'!R33</f>
        <v>0</v>
      </c>
      <c r="S33">
        <f>'Refor gazetted FIN'!S33</f>
        <v>0</v>
      </c>
      <c r="T33">
        <f>'Refor gazetted FIN'!T33</f>
        <v>0</v>
      </c>
      <c r="U33">
        <f>'Refor gazetted FIN'!U33</f>
        <v>0</v>
      </c>
      <c r="V33">
        <f>'Refor gazetted FIN'!V33</f>
        <v>0</v>
      </c>
      <c r="W33">
        <f>'Refor gazetted FIN'!W33</f>
        <v>0</v>
      </c>
      <c r="X33">
        <f>'Refor gazetted FIN'!X33</f>
        <v>0</v>
      </c>
      <c r="Y33">
        <f>'Refor gazetted FIN'!Y33</f>
        <v>0</v>
      </c>
      <c r="Z33">
        <f>'Refor gazetted FIN'!Z33</f>
        <v>0</v>
      </c>
      <c r="AA33">
        <f>'Refor gazetted FIN'!AA33</f>
        <v>0</v>
      </c>
    </row>
    <row r="34" spans="1:27" x14ac:dyDescent="0.35">
      <c r="A34" s="19" t="s">
        <v>115</v>
      </c>
      <c r="B34" s="8" t="s">
        <v>61</v>
      </c>
      <c r="C34">
        <f>'Refor gazetted FIN'!C34</f>
        <v>0</v>
      </c>
      <c r="D34">
        <f>'Refor gazetted FIN'!D34</f>
        <v>0</v>
      </c>
      <c r="E34">
        <f>'Refor gazetted FIN'!E34</f>
        <v>0</v>
      </c>
      <c r="F34">
        <f>'Refor gazetted FIN'!F34</f>
        <v>0</v>
      </c>
      <c r="G34">
        <f>'Refor gazetted FIN'!G34</f>
        <v>0</v>
      </c>
      <c r="H34">
        <f>'Refor gazetted FIN'!H34</f>
        <v>0</v>
      </c>
      <c r="I34">
        <f>'Refor gazetted FIN'!I34</f>
        <v>0</v>
      </c>
      <c r="J34">
        <f>'Refor gazetted FIN'!J34</f>
        <v>0</v>
      </c>
      <c r="K34">
        <f>'Refor gazetted FIN'!K34</f>
        <v>0</v>
      </c>
      <c r="L34">
        <f>'Refor gazetted FIN'!L34</f>
        <v>350</v>
      </c>
      <c r="M34">
        <f>'Refor gazetted FIN'!M34</f>
        <v>0</v>
      </c>
      <c r="N34">
        <f>'Refor gazetted FIN'!N34</f>
        <v>0</v>
      </c>
      <c r="O34">
        <f>'Refor gazetted FIN'!O34</f>
        <v>0</v>
      </c>
      <c r="P34">
        <f>'Refor gazetted FIN'!P34</f>
        <v>0</v>
      </c>
      <c r="Q34">
        <f>'Refor gazetted FIN'!Q34</f>
        <v>0</v>
      </c>
      <c r="R34">
        <f>'Refor gazetted FIN'!R34</f>
        <v>0</v>
      </c>
      <c r="S34">
        <f>'Refor gazetted FIN'!S34</f>
        <v>0</v>
      </c>
      <c r="T34">
        <f>'Refor gazetted FIN'!T34</f>
        <v>0</v>
      </c>
      <c r="U34">
        <f>'Refor gazetted FIN'!U34</f>
        <v>0</v>
      </c>
      <c r="V34">
        <f>'Refor gazetted FIN'!V34</f>
        <v>0</v>
      </c>
      <c r="W34">
        <f>'Refor gazetted FIN'!W34</f>
        <v>0</v>
      </c>
      <c r="X34">
        <f>'Refor gazetted FIN'!X34</f>
        <v>0</v>
      </c>
      <c r="Y34">
        <f>'Refor gazetted FIN'!Y34</f>
        <v>0</v>
      </c>
      <c r="Z34">
        <f>'Refor gazetted FIN'!Z34</f>
        <v>0</v>
      </c>
      <c r="AA34">
        <f>'Refor gazetted FIN'!AA34</f>
        <v>0</v>
      </c>
    </row>
    <row r="35" spans="1:27" x14ac:dyDescent="0.35">
      <c r="A35" s="19" t="s">
        <v>116</v>
      </c>
      <c r="B35" s="8" t="s">
        <v>61</v>
      </c>
      <c r="C35">
        <f>'Refor gazetted FIN'!C35</f>
        <v>0</v>
      </c>
      <c r="D35">
        <f>'Refor gazetted FIN'!D35</f>
        <v>0</v>
      </c>
      <c r="E35">
        <f>'Refor gazetted FIN'!E35</f>
        <v>0</v>
      </c>
      <c r="F35">
        <f>'Refor gazetted FIN'!F35</f>
        <v>0</v>
      </c>
      <c r="G35">
        <f>'Refor gazetted FIN'!G35</f>
        <v>0</v>
      </c>
      <c r="H35">
        <f>'Refor gazetted FIN'!H35</f>
        <v>0</v>
      </c>
      <c r="I35">
        <f>'Refor gazetted FIN'!I35</f>
        <v>0</v>
      </c>
      <c r="J35">
        <f>'Refor gazetted FIN'!J35</f>
        <v>0</v>
      </c>
      <c r="K35">
        <f>'Refor gazetted FIN'!K35</f>
        <v>0</v>
      </c>
      <c r="L35">
        <f>'Refor gazetted FIN'!L35</f>
        <v>0</v>
      </c>
      <c r="M35">
        <f>'Refor gazetted FIN'!M35</f>
        <v>0</v>
      </c>
      <c r="N35">
        <f>'Refor gazetted FIN'!N35</f>
        <v>0</v>
      </c>
      <c r="O35">
        <f>'Refor gazetted FIN'!O35</f>
        <v>0</v>
      </c>
      <c r="P35">
        <f>'Refor gazetted FIN'!P35</f>
        <v>0</v>
      </c>
      <c r="Q35">
        <f>'Refor gazetted FIN'!Q35</f>
        <v>0</v>
      </c>
      <c r="R35">
        <f>'Refor gazetted FIN'!R35</f>
        <v>0</v>
      </c>
      <c r="S35">
        <f>'Refor gazetted FIN'!S35</f>
        <v>0</v>
      </c>
      <c r="T35">
        <f>'Refor gazetted FIN'!T35</f>
        <v>0</v>
      </c>
      <c r="U35">
        <f>'Refor gazetted FIN'!U35</f>
        <v>0</v>
      </c>
      <c r="V35">
        <f>'Refor gazetted FIN'!V35</f>
        <v>0</v>
      </c>
      <c r="W35">
        <f>'Refor gazetted FIN'!W35</f>
        <v>0</v>
      </c>
      <c r="X35">
        <f>'Refor gazetted FIN'!X35</f>
        <v>0</v>
      </c>
      <c r="Y35">
        <f>'Refor gazetted FIN'!Y35</f>
        <v>0</v>
      </c>
      <c r="Z35">
        <f>'Refor gazetted FIN'!Z35</f>
        <v>0</v>
      </c>
      <c r="AA35">
        <f>'Refor gazetted FIN'!AA35</f>
        <v>0</v>
      </c>
    </row>
    <row r="36" spans="1:27" x14ac:dyDescent="0.35">
      <c r="A36" s="19" t="s">
        <v>117</v>
      </c>
      <c r="B36" s="8" t="s">
        <v>61</v>
      </c>
      <c r="C36">
        <f>'Refor gazetted FIN'!C36</f>
        <v>0</v>
      </c>
      <c r="D36">
        <f>'Refor gazetted FIN'!D36</f>
        <v>0</v>
      </c>
      <c r="E36">
        <f>'Refor gazetted FIN'!E36</f>
        <v>0</v>
      </c>
      <c r="F36">
        <f>'Refor gazetted FIN'!F36</f>
        <v>0</v>
      </c>
      <c r="G36">
        <f>'Refor gazetted FIN'!G36</f>
        <v>0</v>
      </c>
      <c r="H36">
        <f>'Refor gazetted FIN'!H36</f>
        <v>0</v>
      </c>
      <c r="I36">
        <f>'Refor gazetted FIN'!I36</f>
        <v>0</v>
      </c>
      <c r="J36">
        <f>'Refor gazetted FIN'!J36</f>
        <v>0</v>
      </c>
      <c r="K36">
        <f>'Refor gazetted FIN'!K36</f>
        <v>0</v>
      </c>
      <c r="L36">
        <f>'Refor gazetted FIN'!L36</f>
        <v>0</v>
      </c>
      <c r="M36">
        <f>'Refor gazetted FIN'!M36</f>
        <v>0</v>
      </c>
      <c r="N36">
        <f>'Refor gazetted FIN'!N36</f>
        <v>0</v>
      </c>
      <c r="O36">
        <f>'Refor gazetted FIN'!O36</f>
        <v>0</v>
      </c>
      <c r="P36">
        <f>'Refor gazetted FIN'!P36</f>
        <v>0</v>
      </c>
      <c r="Q36">
        <f>'Refor gazetted FIN'!Q36</f>
        <v>0</v>
      </c>
      <c r="R36">
        <f>'Refor gazetted FIN'!R36</f>
        <v>0</v>
      </c>
      <c r="S36">
        <f>'Refor gazetted FIN'!S36</f>
        <v>0</v>
      </c>
      <c r="T36">
        <f>'Refor gazetted FIN'!T36</f>
        <v>0</v>
      </c>
      <c r="U36">
        <f>'Refor gazetted FIN'!U36</f>
        <v>0</v>
      </c>
      <c r="V36">
        <f>'Refor gazetted FIN'!V36</f>
        <v>0</v>
      </c>
      <c r="W36">
        <f>'Refor gazetted FIN'!W36</f>
        <v>0</v>
      </c>
      <c r="X36">
        <f>'Refor gazetted FIN'!X36</f>
        <v>0</v>
      </c>
      <c r="Y36">
        <f>'Refor gazetted FIN'!Y36</f>
        <v>0</v>
      </c>
      <c r="Z36">
        <f>'Refor gazetted FIN'!Z36</f>
        <v>0</v>
      </c>
      <c r="AA36">
        <f>'Refor gazetted FIN'!AA36</f>
        <v>0</v>
      </c>
    </row>
    <row r="37" spans="1:27" x14ac:dyDescent="0.35">
      <c r="A37" s="19"/>
      <c r="B37" s="8"/>
    </row>
    <row r="38" spans="1:27" x14ac:dyDescent="0.35">
      <c r="A38" s="19" t="s">
        <v>107</v>
      </c>
      <c r="B38" s="8"/>
    </row>
    <row r="39" spans="1:27" x14ac:dyDescent="0.35">
      <c r="A39" s="19" t="str">
        <f t="shared" ref="A39:B41" si="0">A33</f>
        <v xml:space="preserve">  First cut</v>
      </c>
      <c r="B39" s="43" t="str">
        <f t="shared" si="0"/>
        <v>Tree</v>
      </c>
      <c r="C39">
        <f>'Refor gazetted FIN'!C39</f>
        <v>0</v>
      </c>
      <c r="D39">
        <f>'Refor gazetted FIN'!D39</f>
        <v>0</v>
      </c>
      <c r="E39">
        <f>'Refor gazetted FIN'!E39</f>
        <v>0</v>
      </c>
      <c r="F39">
        <f>'Refor gazetted FIN'!F39</f>
        <v>0</v>
      </c>
      <c r="G39">
        <f>'Refor gazetted FIN'!G39</f>
        <v>0</v>
      </c>
      <c r="H39">
        <f>'Refor gazetted FIN'!H39</f>
        <v>300</v>
      </c>
      <c r="I39">
        <f>'Refor gazetted FIN'!I39</f>
        <v>0</v>
      </c>
      <c r="J39">
        <f>'Refor gazetted FIN'!J39</f>
        <v>0</v>
      </c>
      <c r="K39">
        <f>'Refor gazetted FIN'!K39</f>
        <v>0</v>
      </c>
      <c r="L39">
        <f>'Refor gazetted FIN'!L39</f>
        <v>0</v>
      </c>
      <c r="M39">
        <f>'Refor gazetted FIN'!M39</f>
        <v>0</v>
      </c>
      <c r="N39">
        <f>'Refor gazetted FIN'!N39</f>
        <v>0</v>
      </c>
      <c r="O39">
        <f>'Refor gazetted FIN'!O39</f>
        <v>0</v>
      </c>
      <c r="P39">
        <f>'Refor gazetted FIN'!P39</f>
        <v>0</v>
      </c>
      <c r="Q39">
        <f>'Refor gazetted FIN'!Q39</f>
        <v>0</v>
      </c>
      <c r="R39">
        <f>'Refor gazetted FIN'!R39</f>
        <v>0</v>
      </c>
      <c r="S39">
        <f>'Refor gazetted FIN'!S39</f>
        <v>0</v>
      </c>
      <c r="T39">
        <f>'Refor gazetted FIN'!T39</f>
        <v>0</v>
      </c>
      <c r="U39">
        <f>'Refor gazetted FIN'!U39</f>
        <v>0</v>
      </c>
      <c r="V39">
        <f>'Refor gazetted FIN'!V39</f>
        <v>0</v>
      </c>
      <c r="W39">
        <f>'Refor gazetted FIN'!W39</f>
        <v>0</v>
      </c>
      <c r="X39">
        <f>'Refor gazetted FIN'!X39</f>
        <v>0</v>
      </c>
      <c r="Y39">
        <f>'Refor gazetted FIN'!Y39</f>
        <v>0</v>
      </c>
      <c r="Z39">
        <f>'Refor gazetted FIN'!Z39</f>
        <v>0</v>
      </c>
      <c r="AA39">
        <f>'Refor gazetted FIN'!AA39</f>
        <v>0</v>
      </c>
    </row>
    <row r="40" spans="1:27" x14ac:dyDescent="0.35">
      <c r="A40" s="19" t="str">
        <f t="shared" si="0"/>
        <v xml:space="preserve">  Second cut</v>
      </c>
      <c r="B40" s="43" t="str">
        <f t="shared" si="0"/>
        <v>Tree</v>
      </c>
      <c r="C40">
        <f>'Refor gazetted FIN'!C40</f>
        <v>0</v>
      </c>
      <c r="D40">
        <f>'Refor gazetted FIN'!D40</f>
        <v>0</v>
      </c>
      <c r="E40">
        <f>'Refor gazetted FIN'!E40</f>
        <v>0</v>
      </c>
      <c r="F40">
        <f>'Refor gazetted FIN'!F40</f>
        <v>0</v>
      </c>
      <c r="G40">
        <f>'Refor gazetted FIN'!G40</f>
        <v>0</v>
      </c>
      <c r="H40">
        <f>'Refor gazetted FIN'!H40</f>
        <v>0</v>
      </c>
      <c r="I40">
        <f>'Refor gazetted FIN'!I40</f>
        <v>0</v>
      </c>
      <c r="J40">
        <f>'Refor gazetted FIN'!J40</f>
        <v>0</v>
      </c>
      <c r="K40">
        <f>'Refor gazetted FIN'!K40</f>
        <v>0</v>
      </c>
      <c r="L40">
        <f>'Refor gazetted FIN'!L40</f>
        <v>350</v>
      </c>
      <c r="M40">
        <f>'Refor gazetted FIN'!M40</f>
        <v>0</v>
      </c>
      <c r="N40">
        <f>'Refor gazetted FIN'!N40</f>
        <v>0</v>
      </c>
      <c r="O40">
        <f>'Refor gazetted FIN'!O40</f>
        <v>0</v>
      </c>
      <c r="P40">
        <f>'Refor gazetted FIN'!P40</f>
        <v>0</v>
      </c>
      <c r="Q40">
        <f>'Refor gazetted FIN'!Q40</f>
        <v>0</v>
      </c>
      <c r="R40">
        <f>'Refor gazetted FIN'!R40</f>
        <v>0</v>
      </c>
      <c r="S40">
        <f>'Refor gazetted FIN'!S40</f>
        <v>0</v>
      </c>
      <c r="T40">
        <f>'Refor gazetted FIN'!T40</f>
        <v>0</v>
      </c>
      <c r="U40">
        <f>'Refor gazetted FIN'!U40</f>
        <v>0</v>
      </c>
      <c r="V40">
        <f>'Refor gazetted FIN'!V40</f>
        <v>0</v>
      </c>
      <c r="W40">
        <f>'Refor gazetted FIN'!W40</f>
        <v>0</v>
      </c>
      <c r="X40">
        <f>'Refor gazetted FIN'!X40</f>
        <v>0</v>
      </c>
      <c r="Y40">
        <f>'Refor gazetted FIN'!Y40</f>
        <v>0</v>
      </c>
      <c r="Z40">
        <f>'Refor gazetted FIN'!Z40</f>
        <v>0</v>
      </c>
      <c r="AA40">
        <f>'Refor gazetted FIN'!AA40</f>
        <v>0</v>
      </c>
    </row>
    <row r="41" spans="1:27" x14ac:dyDescent="0.35">
      <c r="A41" s="19" t="str">
        <f t="shared" si="0"/>
        <v xml:space="preserve">  Third cut</v>
      </c>
      <c r="B41" s="38" t="str">
        <f t="shared" si="0"/>
        <v>Tree</v>
      </c>
      <c r="C41" s="39"/>
      <c r="R41">
        <v>0</v>
      </c>
    </row>
    <row r="42" spans="1:27" x14ac:dyDescent="0.35">
      <c r="A42" s="19"/>
      <c r="B42" s="8"/>
      <c r="Z42">
        <v>0</v>
      </c>
    </row>
    <row r="43" spans="1:27" x14ac:dyDescent="0.35">
      <c r="A43" s="19" t="s">
        <v>6</v>
      </c>
      <c r="B43" s="8"/>
    </row>
    <row r="44" spans="1:27" x14ac:dyDescent="0.35">
      <c r="A44" s="35" t="s">
        <v>112</v>
      </c>
      <c r="B44" s="36"/>
      <c r="C44" s="37"/>
      <c r="D44" s="37"/>
      <c r="E44" s="37"/>
      <c r="F44" s="37"/>
      <c r="G44" s="37"/>
      <c r="H44" s="37">
        <f>'Refor gazetted FIN'!H44</f>
        <v>1100</v>
      </c>
      <c r="I44" s="37"/>
      <c r="J44" s="37"/>
      <c r="K44" s="37"/>
      <c r="L44" s="37">
        <f>'Refor gazetted FIN'!L44</f>
        <v>800</v>
      </c>
      <c r="M44" s="37"/>
      <c r="N44" s="37"/>
      <c r="O44" s="37"/>
      <c r="P44" s="37"/>
      <c r="Q44" s="37"/>
      <c r="R44" s="37">
        <f>'Refor gazetted FIN'!R44</f>
        <v>450</v>
      </c>
      <c r="S44" s="37"/>
      <c r="T44" s="37"/>
      <c r="U44" s="37"/>
      <c r="V44" s="37"/>
      <c r="W44" s="37"/>
      <c r="X44" s="37"/>
      <c r="Y44" s="37"/>
      <c r="Z44" s="37">
        <f>'Refor gazetted FIN'!Z44</f>
        <v>300</v>
      </c>
    </row>
    <row r="45" spans="1:27" x14ac:dyDescent="0.35">
      <c r="A45" s="35" t="s">
        <v>113</v>
      </c>
      <c r="B45" s="36"/>
      <c r="C45" s="37"/>
      <c r="D45" s="37"/>
      <c r="E45" s="37"/>
      <c r="F45" s="37"/>
      <c r="G45" s="37"/>
      <c r="H45" s="37">
        <f>'Refor gazetted FIN'!H45</f>
        <v>800</v>
      </c>
      <c r="I45" s="37"/>
      <c r="J45" s="37"/>
      <c r="K45" s="37"/>
      <c r="L45" s="37">
        <f>'Refor gazetted FIN'!L45</f>
        <v>450</v>
      </c>
      <c r="M45" s="37"/>
      <c r="N45" s="37"/>
      <c r="O45" s="37"/>
      <c r="P45" s="37"/>
      <c r="Q45" s="37"/>
      <c r="R45" s="37">
        <f>'Refor gazetted FIN'!R45</f>
        <v>300</v>
      </c>
      <c r="S45" s="37"/>
      <c r="T45" s="37"/>
      <c r="U45" s="37"/>
      <c r="V45" s="37"/>
      <c r="W45" s="37"/>
      <c r="X45" s="37"/>
      <c r="Y45" s="37"/>
      <c r="Z45" s="37">
        <f>'Refor gazetted FIN'!Z45</f>
        <v>0</v>
      </c>
    </row>
    <row r="46" spans="1:27" x14ac:dyDescent="0.35">
      <c r="A46" s="35" t="s">
        <v>114</v>
      </c>
      <c r="B46" s="36"/>
      <c r="C46" s="37"/>
      <c r="D46" s="37"/>
      <c r="E46" s="37"/>
      <c r="F46" s="37"/>
      <c r="G46" s="37"/>
      <c r="H46" s="37">
        <f>'Refor gazetted FIN'!H46</f>
        <v>300</v>
      </c>
      <c r="I46" s="37"/>
      <c r="J46" s="37"/>
      <c r="K46" s="37"/>
      <c r="L46" s="37">
        <f>'Refor gazetted FIN'!L46</f>
        <v>350</v>
      </c>
      <c r="M46" s="37"/>
      <c r="N46" s="37"/>
      <c r="O46" s="37"/>
      <c r="P46" s="37"/>
      <c r="Q46" s="37"/>
      <c r="R46" s="37">
        <f>'Refor gazetted FIN'!R46</f>
        <v>150</v>
      </c>
      <c r="S46" s="37"/>
      <c r="T46" s="37"/>
      <c r="U46" s="37"/>
      <c r="V46" s="37"/>
      <c r="W46" s="37"/>
      <c r="X46" s="37"/>
      <c r="Y46" s="37"/>
      <c r="Z46" s="37">
        <f>'Refor gazetted FIN'!Z46</f>
        <v>300</v>
      </c>
    </row>
    <row r="47" spans="1:27" x14ac:dyDescent="0.35">
      <c r="A47" s="19" t="s">
        <v>119</v>
      </c>
      <c r="B47" s="38" t="s">
        <v>61</v>
      </c>
      <c r="C47" s="39"/>
      <c r="H47" s="37">
        <f>'Refor gazetted FIN'!H47</f>
        <v>300</v>
      </c>
      <c r="L47" s="37">
        <f>'Refor gazetted FIN'!L47</f>
        <v>0</v>
      </c>
      <c r="R47" s="37">
        <f>'Refor gazetted FIN'!R47</f>
        <v>0</v>
      </c>
    </row>
    <row r="48" spans="1:27" x14ac:dyDescent="0.35">
      <c r="A48" s="19" t="s">
        <v>120</v>
      </c>
      <c r="B48" s="38" t="s">
        <v>61</v>
      </c>
      <c r="C48" s="39"/>
      <c r="L48" s="37">
        <f>'Refor gazetted FIN'!L48</f>
        <v>350</v>
      </c>
      <c r="R48" s="37">
        <f>'Refor gazetted FIN'!R48</f>
        <v>0</v>
      </c>
    </row>
    <row r="49" spans="1:27" x14ac:dyDescent="0.35">
      <c r="A49" s="19" t="s">
        <v>121</v>
      </c>
      <c r="B49" s="38" t="s">
        <v>61</v>
      </c>
      <c r="C49" s="39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7">
        <f>'Refor gazetted FIN'!R49</f>
        <v>150</v>
      </c>
    </row>
    <row r="50" spans="1:27" x14ac:dyDescent="0.35">
      <c r="A50" s="40" t="s">
        <v>122</v>
      </c>
      <c r="B50" s="41" t="s">
        <v>61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37">
        <f>'Refor gazetted FIN'!Z50</f>
        <v>300</v>
      </c>
    </row>
    <row r="51" spans="1:27" x14ac:dyDescent="0.35">
      <c r="A51" s="19"/>
      <c r="B51" s="19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27" x14ac:dyDescent="0.35">
      <c r="A52" s="68" t="s">
        <v>303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spans="1:27" x14ac:dyDescent="0.35">
      <c r="A53" s="12" t="s">
        <v>302</v>
      </c>
      <c r="B53" s="10" t="s">
        <v>12</v>
      </c>
      <c r="C53" s="11" t="s">
        <v>399</v>
      </c>
      <c r="D53" s="11" t="s">
        <v>400</v>
      </c>
      <c r="E53" s="11" t="s">
        <v>401</v>
      </c>
      <c r="F53" s="11" t="s">
        <v>402</v>
      </c>
      <c r="G53" s="11" t="s">
        <v>403</v>
      </c>
      <c r="H53" s="11" t="s">
        <v>404</v>
      </c>
      <c r="I53" s="11" t="s">
        <v>405</v>
      </c>
      <c r="J53" s="11" t="s">
        <v>406</v>
      </c>
      <c r="K53" s="11" t="s">
        <v>407</v>
      </c>
      <c r="L53" s="11" t="s">
        <v>408</v>
      </c>
      <c r="M53" s="11" t="s">
        <v>409</v>
      </c>
      <c r="N53" s="11" t="s">
        <v>410</v>
      </c>
      <c r="O53" s="11" t="s">
        <v>411</v>
      </c>
      <c r="P53" s="11" t="s">
        <v>412</v>
      </c>
      <c r="Q53" s="11" t="s">
        <v>413</v>
      </c>
      <c r="R53" s="11" t="s">
        <v>414</v>
      </c>
      <c r="S53" s="11" t="s">
        <v>415</v>
      </c>
      <c r="T53" s="11" t="s">
        <v>416</v>
      </c>
      <c r="U53" s="11" t="s">
        <v>417</v>
      </c>
      <c r="V53" s="11" t="s">
        <v>418</v>
      </c>
      <c r="W53" s="11" t="s">
        <v>425</v>
      </c>
      <c r="X53" s="11" t="s">
        <v>428</v>
      </c>
      <c r="Y53" s="11" t="s">
        <v>429</v>
      </c>
      <c r="Z53" s="11" t="s">
        <v>430</v>
      </c>
      <c r="AA53" s="11"/>
    </row>
    <row r="54" spans="1:27" x14ac:dyDescent="0.35">
      <c r="A54" t="str">
        <f>A6</f>
        <v>Nursery</v>
      </c>
      <c r="B54" s="8"/>
    </row>
    <row r="55" spans="1:27" x14ac:dyDescent="0.35">
      <c r="A55" t="str">
        <f>A7</f>
        <v xml:space="preserve">  Seeds</v>
      </c>
      <c r="B55" s="8">
        <f>'Prices &amp; assums'!D61</f>
        <v>6600</v>
      </c>
      <c r="C55" s="2">
        <f t="shared" ref="C55:V62" si="1">$B55*C7</f>
        <v>33000</v>
      </c>
      <c r="D55" s="2">
        <f t="shared" si="1"/>
        <v>3300</v>
      </c>
      <c r="E55" s="2">
        <f t="shared" si="1"/>
        <v>0</v>
      </c>
      <c r="F55" s="2">
        <f t="shared" si="1"/>
        <v>0</v>
      </c>
      <c r="G55" s="2">
        <f t="shared" si="1"/>
        <v>0</v>
      </c>
      <c r="H55" s="2">
        <f t="shared" si="1"/>
        <v>0</v>
      </c>
      <c r="I55" s="2">
        <f t="shared" si="1"/>
        <v>0</v>
      </c>
      <c r="J55" s="2">
        <f t="shared" si="1"/>
        <v>0</v>
      </c>
      <c r="K55" s="2">
        <f t="shared" si="1"/>
        <v>0</v>
      </c>
      <c r="L55" s="2">
        <f t="shared" si="1"/>
        <v>0</v>
      </c>
      <c r="M55" s="2">
        <f t="shared" si="1"/>
        <v>0</v>
      </c>
      <c r="N55" s="2">
        <f t="shared" si="1"/>
        <v>0</v>
      </c>
      <c r="O55" s="2">
        <f t="shared" si="1"/>
        <v>0</v>
      </c>
      <c r="P55" s="2">
        <f t="shared" si="1"/>
        <v>0</v>
      </c>
      <c r="Q55" s="2">
        <f t="shared" si="1"/>
        <v>0</v>
      </c>
      <c r="R55" s="2">
        <f t="shared" si="1"/>
        <v>0</v>
      </c>
      <c r="S55" s="2">
        <f t="shared" si="1"/>
        <v>0</v>
      </c>
      <c r="T55" s="2">
        <f t="shared" si="1"/>
        <v>0</v>
      </c>
      <c r="U55" s="2">
        <f t="shared" si="1"/>
        <v>0</v>
      </c>
      <c r="V55" s="2">
        <f t="shared" si="1"/>
        <v>0</v>
      </c>
      <c r="W55" s="2">
        <f t="shared" ref="W55:Z55" si="2">$B55*W7</f>
        <v>0</v>
      </c>
      <c r="X55" s="2">
        <f t="shared" si="2"/>
        <v>0</v>
      </c>
      <c r="Y55" s="2">
        <f t="shared" si="2"/>
        <v>0</v>
      </c>
      <c r="Z55" s="2">
        <f t="shared" si="2"/>
        <v>0</v>
      </c>
    </row>
    <row r="56" spans="1:27" x14ac:dyDescent="0.35">
      <c r="A56" s="19" t="s">
        <v>17</v>
      </c>
      <c r="B56" s="8">
        <f>'Prices &amp; assums'!D62</f>
        <v>20.5</v>
      </c>
      <c r="C56" s="2">
        <f t="shared" si="1"/>
        <v>45100</v>
      </c>
      <c r="D56" s="2">
        <f t="shared" si="1"/>
        <v>4510</v>
      </c>
      <c r="E56" s="2">
        <f t="shared" si="1"/>
        <v>0</v>
      </c>
      <c r="F56" s="2">
        <f t="shared" si="1"/>
        <v>0</v>
      </c>
      <c r="G56" s="2">
        <f t="shared" si="1"/>
        <v>0</v>
      </c>
      <c r="H56" s="2">
        <f t="shared" si="1"/>
        <v>0</v>
      </c>
      <c r="I56" s="2">
        <f t="shared" si="1"/>
        <v>0</v>
      </c>
      <c r="J56" s="2">
        <f t="shared" si="1"/>
        <v>0</v>
      </c>
      <c r="K56" s="2">
        <f t="shared" si="1"/>
        <v>0</v>
      </c>
      <c r="L56" s="2">
        <f t="shared" si="1"/>
        <v>0</v>
      </c>
      <c r="M56" s="2">
        <f t="shared" si="1"/>
        <v>0</v>
      </c>
      <c r="N56" s="2">
        <f t="shared" si="1"/>
        <v>0</v>
      </c>
      <c r="O56" s="2">
        <f t="shared" si="1"/>
        <v>0</v>
      </c>
      <c r="P56" s="2">
        <f t="shared" si="1"/>
        <v>0</v>
      </c>
      <c r="Q56" s="2">
        <f t="shared" si="1"/>
        <v>0</v>
      </c>
      <c r="R56" s="2">
        <f t="shared" si="1"/>
        <v>0</v>
      </c>
      <c r="S56" s="2">
        <f t="shared" si="1"/>
        <v>0</v>
      </c>
      <c r="T56" s="2">
        <f t="shared" si="1"/>
        <v>0</v>
      </c>
      <c r="U56" s="2">
        <f t="shared" si="1"/>
        <v>0</v>
      </c>
      <c r="V56" s="2">
        <f t="shared" si="1"/>
        <v>0</v>
      </c>
      <c r="W56" s="2">
        <f t="shared" ref="W56:Z56" si="3">$B56*W8</f>
        <v>0</v>
      </c>
      <c r="X56" s="2">
        <f t="shared" si="3"/>
        <v>0</v>
      </c>
      <c r="Y56" s="2">
        <f t="shared" si="3"/>
        <v>0</v>
      </c>
      <c r="Z56" s="2">
        <f t="shared" si="3"/>
        <v>0</v>
      </c>
    </row>
    <row r="57" spans="1:27" x14ac:dyDescent="0.35">
      <c r="A57" t="str">
        <f t="shared" ref="A57:A62" si="4">A9</f>
        <v xml:space="preserve">  Tools</v>
      </c>
      <c r="B57" s="13">
        <f>'Prices &amp; assums'!D71</f>
        <v>25300.66</v>
      </c>
      <c r="C57" s="2">
        <f t="shared" si="1"/>
        <v>25300.66</v>
      </c>
      <c r="D57" s="2">
        <f t="shared" si="1"/>
        <v>2530.0660000000003</v>
      </c>
      <c r="E57" s="2">
        <f t="shared" si="1"/>
        <v>0</v>
      </c>
      <c r="F57" s="2">
        <f t="shared" si="1"/>
        <v>0</v>
      </c>
      <c r="G57" s="2">
        <f t="shared" si="1"/>
        <v>0</v>
      </c>
      <c r="H57" s="2">
        <f t="shared" si="1"/>
        <v>0</v>
      </c>
      <c r="I57" s="2">
        <f t="shared" si="1"/>
        <v>0</v>
      </c>
      <c r="J57" s="2">
        <f t="shared" si="1"/>
        <v>0</v>
      </c>
      <c r="K57" s="2">
        <f t="shared" si="1"/>
        <v>0</v>
      </c>
      <c r="L57" s="2">
        <f t="shared" si="1"/>
        <v>0</v>
      </c>
      <c r="M57" s="2">
        <f t="shared" si="1"/>
        <v>0</v>
      </c>
      <c r="N57" s="2">
        <f t="shared" si="1"/>
        <v>0</v>
      </c>
      <c r="O57" s="2">
        <f t="shared" si="1"/>
        <v>0</v>
      </c>
      <c r="P57" s="2">
        <f t="shared" si="1"/>
        <v>0</v>
      </c>
      <c r="Q57" s="2">
        <f t="shared" si="1"/>
        <v>0</v>
      </c>
      <c r="R57" s="2">
        <f t="shared" si="1"/>
        <v>0</v>
      </c>
      <c r="S57" s="2">
        <f t="shared" si="1"/>
        <v>0</v>
      </c>
      <c r="T57" s="2">
        <f t="shared" si="1"/>
        <v>0</v>
      </c>
      <c r="U57" s="2">
        <f t="shared" si="1"/>
        <v>0</v>
      </c>
      <c r="V57" s="2">
        <f t="shared" si="1"/>
        <v>0</v>
      </c>
      <c r="W57" s="2">
        <f t="shared" ref="W57:Z57" si="5">$B57*W9</f>
        <v>0</v>
      </c>
      <c r="X57" s="2">
        <f t="shared" si="5"/>
        <v>0</v>
      </c>
      <c r="Y57" s="2">
        <f t="shared" si="5"/>
        <v>0</v>
      </c>
      <c r="Z57" s="2">
        <f t="shared" si="5"/>
        <v>0</v>
      </c>
    </row>
    <row r="58" spans="1:27" x14ac:dyDescent="0.35">
      <c r="A58" t="str">
        <f t="shared" si="4"/>
        <v xml:space="preserve">  Self protection equipment</v>
      </c>
      <c r="B58" s="13">
        <f>'Prices &amp; assums'!D63</f>
        <v>14186</v>
      </c>
      <c r="C58" s="2">
        <f t="shared" si="1"/>
        <v>14186</v>
      </c>
      <c r="D58" s="2">
        <f t="shared" si="1"/>
        <v>1418.6000000000001</v>
      </c>
      <c r="E58" s="2">
        <f t="shared" si="1"/>
        <v>0</v>
      </c>
      <c r="F58" s="2">
        <f t="shared" si="1"/>
        <v>0</v>
      </c>
      <c r="G58" s="2">
        <f t="shared" si="1"/>
        <v>0</v>
      </c>
      <c r="H58" s="2">
        <f t="shared" si="1"/>
        <v>0</v>
      </c>
      <c r="I58" s="2">
        <f t="shared" si="1"/>
        <v>0</v>
      </c>
      <c r="J58" s="2">
        <f t="shared" si="1"/>
        <v>0</v>
      </c>
      <c r="K58" s="2">
        <f t="shared" si="1"/>
        <v>0</v>
      </c>
      <c r="L58" s="2">
        <f t="shared" si="1"/>
        <v>0</v>
      </c>
      <c r="M58" s="2">
        <f t="shared" si="1"/>
        <v>0</v>
      </c>
      <c r="N58" s="2">
        <f t="shared" si="1"/>
        <v>0</v>
      </c>
      <c r="O58" s="2">
        <f t="shared" si="1"/>
        <v>0</v>
      </c>
      <c r="P58" s="2">
        <f t="shared" si="1"/>
        <v>0</v>
      </c>
      <c r="Q58" s="2">
        <f t="shared" si="1"/>
        <v>0</v>
      </c>
      <c r="R58" s="2">
        <f t="shared" si="1"/>
        <v>0</v>
      </c>
      <c r="S58" s="2">
        <f t="shared" si="1"/>
        <v>0</v>
      </c>
      <c r="T58" s="2">
        <f t="shared" si="1"/>
        <v>0</v>
      </c>
      <c r="U58" s="2">
        <f t="shared" si="1"/>
        <v>0</v>
      </c>
      <c r="V58" s="2">
        <f t="shared" si="1"/>
        <v>0</v>
      </c>
      <c r="W58" s="2">
        <f t="shared" ref="W58:Z58" si="6">$B58*W10</f>
        <v>0</v>
      </c>
      <c r="X58" s="2">
        <f t="shared" si="6"/>
        <v>0</v>
      </c>
      <c r="Y58" s="2">
        <f t="shared" si="6"/>
        <v>0</v>
      </c>
      <c r="Z58" s="2">
        <f t="shared" si="6"/>
        <v>0</v>
      </c>
    </row>
    <row r="59" spans="1:27" x14ac:dyDescent="0.35">
      <c r="A59" t="str">
        <f t="shared" si="4"/>
        <v xml:space="preserve">  Agro-chemicals</v>
      </c>
      <c r="B59" s="28">
        <f>'Prices &amp; assums'!D64</f>
        <v>25.2</v>
      </c>
      <c r="C59" s="2">
        <f t="shared" si="1"/>
        <v>30492</v>
      </c>
      <c r="D59" s="2">
        <f t="shared" si="1"/>
        <v>3049.2</v>
      </c>
      <c r="E59" s="2">
        <f t="shared" si="1"/>
        <v>0</v>
      </c>
      <c r="F59" s="2">
        <f t="shared" si="1"/>
        <v>0</v>
      </c>
      <c r="G59" s="2">
        <f t="shared" si="1"/>
        <v>0</v>
      </c>
      <c r="H59" s="2">
        <f t="shared" si="1"/>
        <v>0</v>
      </c>
      <c r="I59" s="2">
        <f t="shared" si="1"/>
        <v>0</v>
      </c>
      <c r="J59" s="2">
        <f t="shared" si="1"/>
        <v>0</v>
      </c>
      <c r="K59" s="2">
        <f t="shared" si="1"/>
        <v>0</v>
      </c>
      <c r="L59" s="2">
        <f t="shared" si="1"/>
        <v>0</v>
      </c>
      <c r="M59" s="2">
        <f t="shared" si="1"/>
        <v>0</v>
      </c>
      <c r="N59" s="2">
        <f t="shared" si="1"/>
        <v>0</v>
      </c>
      <c r="O59" s="2">
        <f t="shared" si="1"/>
        <v>0</v>
      </c>
      <c r="P59" s="2">
        <f t="shared" si="1"/>
        <v>0</v>
      </c>
      <c r="Q59" s="2">
        <f t="shared" si="1"/>
        <v>0</v>
      </c>
      <c r="R59" s="2">
        <f t="shared" si="1"/>
        <v>0</v>
      </c>
      <c r="S59" s="2">
        <f t="shared" si="1"/>
        <v>0</v>
      </c>
      <c r="T59" s="2">
        <f t="shared" si="1"/>
        <v>0</v>
      </c>
      <c r="U59" s="2">
        <f t="shared" si="1"/>
        <v>0</v>
      </c>
      <c r="V59" s="2">
        <f t="shared" si="1"/>
        <v>0</v>
      </c>
      <c r="W59" s="2">
        <f t="shared" ref="W59:Z59" si="7">$B59*W11</f>
        <v>0</v>
      </c>
      <c r="X59" s="2">
        <f t="shared" si="7"/>
        <v>0</v>
      </c>
      <c r="Y59" s="2">
        <f t="shared" si="7"/>
        <v>0</v>
      </c>
      <c r="Z59" s="2">
        <f t="shared" si="7"/>
        <v>0</v>
      </c>
    </row>
    <row r="60" spans="1:27" x14ac:dyDescent="0.35">
      <c r="A60" t="str">
        <f t="shared" si="4"/>
        <v xml:space="preserve">  Area  clearing</v>
      </c>
      <c r="B60" s="13">
        <f>'Prices &amp; assums'!D30</f>
        <v>6.6857142857142859</v>
      </c>
      <c r="C60" s="2">
        <f t="shared" si="1"/>
        <v>8089.7142857142862</v>
      </c>
      <c r="D60" s="2">
        <f t="shared" si="1"/>
        <v>0</v>
      </c>
      <c r="E60" s="2">
        <f t="shared" si="1"/>
        <v>0</v>
      </c>
      <c r="F60" s="2">
        <f t="shared" si="1"/>
        <v>0</v>
      </c>
      <c r="G60" s="2">
        <f t="shared" si="1"/>
        <v>0</v>
      </c>
      <c r="H60" s="2">
        <f t="shared" si="1"/>
        <v>0</v>
      </c>
      <c r="I60" s="2">
        <f t="shared" si="1"/>
        <v>0</v>
      </c>
      <c r="J60" s="2">
        <f t="shared" si="1"/>
        <v>0</v>
      </c>
      <c r="K60" s="2">
        <f t="shared" si="1"/>
        <v>0</v>
      </c>
      <c r="L60" s="2">
        <f t="shared" si="1"/>
        <v>0</v>
      </c>
      <c r="M60" s="2">
        <f t="shared" si="1"/>
        <v>0</v>
      </c>
      <c r="N60" s="2">
        <f t="shared" si="1"/>
        <v>0</v>
      </c>
      <c r="O60" s="2">
        <f t="shared" si="1"/>
        <v>0</v>
      </c>
      <c r="P60" s="2">
        <f t="shared" si="1"/>
        <v>0</v>
      </c>
      <c r="Q60" s="2">
        <f t="shared" si="1"/>
        <v>0</v>
      </c>
      <c r="R60" s="2">
        <f t="shared" si="1"/>
        <v>0</v>
      </c>
      <c r="S60" s="2">
        <f t="shared" si="1"/>
        <v>0</v>
      </c>
      <c r="T60" s="2">
        <f t="shared" si="1"/>
        <v>0</v>
      </c>
      <c r="U60" s="2">
        <f t="shared" si="1"/>
        <v>0</v>
      </c>
      <c r="V60" s="2">
        <f t="shared" si="1"/>
        <v>0</v>
      </c>
      <c r="W60" s="2">
        <f t="shared" ref="W60:Z60" si="8">$B60*W12</f>
        <v>0</v>
      </c>
      <c r="X60" s="2">
        <f t="shared" si="8"/>
        <v>0</v>
      </c>
      <c r="Y60" s="2">
        <f t="shared" si="8"/>
        <v>0</v>
      </c>
      <c r="Z60" s="2">
        <f t="shared" si="8"/>
        <v>0</v>
      </c>
    </row>
    <row r="61" spans="1:27" x14ac:dyDescent="0.35">
      <c r="A61" t="str">
        <f t="shared" si="4"/>
        <v xml:space="preserve">  Establishment of shadow area</v>
      </c>
      <c r="B61" s="13">
        <f>'Prices &amp; assums'!D31</f>
        <v>11.2</v>
      </c>
      <c r="C61" s="2">
        <f t="shared" si="1"/>
        <v>13552</v>
      </c>
      <c r="D61" s="2">
        <f t="shared" si="1"/>
        <v>0</v>
      </c>
      <c r="E61" s="2">
        <f t="shared" si="1"/>
        <v>0</v>
      </c>
      <c r="F61" s="2">
        <f t="shared" si="1"/>
        <v>0</v>
      </c>
      <c r="G61" s="2">
        <f t="shared" si="1"/>
        <v>0</v>
      </c>
      <c r="H61" s="2">
        <f t="shared" si="1"/>
        <v>0</v>
      </c>
      <c r="I61" s="2">
        <f t="shared" si="1"/>
        <v>0</v>
      </c>
      <c r="J61" s="2">
        <f t="shared" si="1"/>
        <v>0</v>
      </c>
      <c r="K61" s="2">
        <f t="shared" si="1"/>
        <v>0</v>
      </c>
      <c r="L61" s="2">
        <f t="shared" si="1"/>
        <v>0</v>
      </c>
      <c r="M61" s="2">
        <f t="shared" si="1"/>
        <v>0</v>
      </c>
      <c r="N61" s="2">
        <f t="shared" si="1"/>
        <v>0</v>
      </c>
      <c r="O61" s="2">
        <f t="shared" si="1"/>
        <v>0</v>
      </c>
      <c r="P61" s="2">
        <f t="shared" si="1"/>
        <v>0</v>
      </c>
      <c r="Q61" s="2">
        <f t="shared" si="1"/>
        <v>0</v>
      </c>
      <c r="R61" s="2">
        <f t="shared" si="1"/>
        <v>0</v>
      </c>
      <c r="S61" s="2">
        <f t="shared" si="1"/>
        <v>0</v>
      </c>
      <c r="T61" s="2">
        <f t="shared" si="1"/>
        <v>0</v>
      </c>
      <c r="U61" s="2">
        <f t="shared" si="1"/>
        <v>0</v>
      </c>
      <c r="V61" s="2">
        <f t="shared" si="1"/>
        <v>0</v>
      </c>
      <c r="W61" s="2">
        <f t="shared" ref="W61:Z61" si="9">$B61*W13</f>
        <v>0</v>
      </c>
      <c r="X61" s="2">
        <f t="shared" si="9"/>
        <v>0</v>
      </c>
      <c r="Y61" s="2">
        <f t="shared" si="9"/>
        <v>0</v>
      </c>
      <c r="Z61" s="2">
        <f t="shared" si="9"/>
        <v>0</v>
      </c>
    </row>
    <row r="62" spans="1:27" x14ac:dyDescent="0.35">
      <c r="A62" t="str">
        <f t="shared" si="4"/>
        <v xml:space="preserve">  Bag filling</v>
      </c>
      <c r="B62" s="13">
        <f>'Prices &amp; assums'!D32</f>
        <v>9.36</v>
      </c>
      <c r="C62" s="2">
        <f t="shared" si="1"/>
        <v>11325.599999999999</v>
      </c>
      <c r="D62" s="2">
        <f t="shared" si="1"/>
        <v>1132.56</v>
      </c>
      <c r="E62" s="2">
        <f t="shared" si="1"/>
        <v>0</v>
      </c>
      <c r="F62" s="2">
        <f t="shared" si="1"/>
        <v>0</v>
      </c>
      <c r="G62" s="2">
        <f t="shared" si="1"/>
        <v>0</v>
      </c>
      <c r="H62" s="2">
        <f t="shared" si="1"/>
        <v>0</v>
      </c>
      <c r="I62" s="2">
        <f t="shared" si="1"/>
        <v>0</v>
      </c>
      <c r="J62" s="2">
        <f t="shared" si="1"/>
        <v>0</v>
      </c>
      <c r="K62" s="2">
        <f t="shared" si="1"/>
        <v>0</v>
      </c>
      <c r="L62" s="2">
        <f t="shared" si="1"/>
        <v>0</v>
      </c>
      <c r="M62" s="2">
        <f t="shared" si="1"/>
        <v>0</v>
      </c>
      <c r="N62" s="2">
        <f t="shared" si="1"/>
        <v>0</v>
      </c>
      <c r="O62" s="2">
        <f t="shared" si="1"/>
        <v>0</v>
      </c>
      <c r="P62" s="2">
        <f t="shared" si="1"/>
        <v>0</v>
      </c>
      <c r="Q62" s="2">
        <f t="shared" si="1"/>
        <v>0</v>
      </c>
      <c r="R62" s="2">
        <f t="shared" si="1"/>
        <v>0</v>
      </c>
      <c r="S62" s="2">
        <f t="shared" si="1"/>
        <v>0</v>
      </c>
      <c r="T62" s="2">
        <f t="shared" si="1"/>
        <v>0</v>
      </c>
      <c r="U62" s="2">
        <f t="shared" si="1"/>
        <v>0</v>
      </c>
      <c r="V62" s="2">
        <f t="shared" si="1"/>
        <v>0</v>
      </c>
      <c r="W62" s="2">
        <f t="shared" ref="W62:Z62" si="10">$B62*W14</f>
        <v>0</v>
      </c>
      <c r="X62" s="2">
        <f t="shared" si="10"/>
        <v>0</v>
      </c>
      <c r="Y62" s="2">
        <f t="shared" si="10"/>
        <v>0</v>
      </c>
      <c r="Z62" s="2">
        <f t="shared" si="10"/>
        <v>0</v>
      </c>
    </row>
    <row r="63" spans="1:27" x14ac:dyDescent="0.35">
      <c r="B63" s="8"/>
      <c r="C63" s="2"/>
    </row>
    <row r="64" spans="1:27" x14ac:dyDescent="0.35">
      <c r="A64" t="str">
        <f t="shared" ref="A64:A70" si="11">A16</f>
        <v>Land preparation and plantation</v>
      </c>
      <c r="B64" s="8"/>
    </row>
    <row r="65" spans="1:27" x14ac:dyDescent="0.35">
      <c r="A65" t="str">
        <f t="shared" si="11"/>
        <v xml:space="preserve">  Surveying</v>
      </c>
      <c r="B65" s="13">
        <f>'Prices &amp; assums'!D33</f>
        <v>3000</v>
      </c>
      <c r="C65" s="2">
        <f t="shared" ref="C65:V70" si="12">$B65*C17</f>
        <v>3000</v>
      </c>
      <c r="D65" s="2">
        <f t="shared" si="12"/>
        <v>0</v>
      </c>
      <c r="E65" s="2">
        <f t="shared" si="12"/>
        <v>0</v>
      </c>
      <c r="F65" s="2">
        <f t="shared" si="12"/>
        <v>0</v>
      </c>
      <c r="G65" s="2">
        <f t="shared" si="12"/>
        <v>0</v>
      </c>
      <c r="H65" s="2">
        <f t="shared" si="12"/>
        <v>0</v>
      </c>
      <c r="I65" s="2">
        <f t="shared" si="12"/>
        <v>0</v>
      </c>
      <c r="J65" s="2">
        <f t="shared" si="12"/>
        <v>0</v>
      </c>
      <c r="K65" s="2">
        <f t="shared" si="12"/>
        <v>0</v>
      </c>
      <c r="L65" s="2">
        <f t="shared" si="12"/>
        <v>0</v>
      </c>
      <c r="M65" s="2">
        <f t="shared" si="12"/>
        <v>0</v>
      </c>
      <c r="N65" s="2">
        <f t="shared" si="12"/>
        <v>0</v>
      </c>
      <c r="O65" s="2">
        <f t="shared" si="12"/>
        <v>0</v>
      </c>
      <c r="P65" s="2">
        <f t="shared" si="12"/>
        <v>0</v>
      </c>
      <c r="Q65" s="2">
        <f t="shared" si="12"/>
        <v>0</v>
      </c>
      <c r="R65" s="2">
        <f t="shared" si="12"/>
        <v>0</v>
      </c>
      <c r="S65" s="2">
        <f t="shared" si="12"/>
        <v>0</v>
      </c>
      <c r="T65" s="2">
        <f t="shared" si="12"/>
        <v>0</v>
      </c>
      <c r="U65" s="2">
        <f t="shared" si="12"/>
        <v>0</v>
      </c>
      <c r="V65" s="2">
        <f t="shared" si="12"/>
        <v>0</v>
      </c>
      <c r="W65" s="2">
        <f t="shared" ref="W65:Z65" si="13">$B65*W17</f>
        <v>0</v>
      </c>
      <c r="X65" s="2">
        <f t="shared" si="13"/>
        <v>0</v>
      </c>
      <c r="Y65" s="2">
        <f t="shared" si="13"/>
        <v>0</v>
      </c>
      <c r="Z65" s="2">
        <f t="shared" si="13"/>
        <v>0</v>
      </c>
    </row>
    <row r="66" spans="1:27" x14ac:dyDescent="0.35">
      <c r="A66" t="str">
        <f t="shared" si="11"/>
        <v xml:space="preserve">  Area clearing</v>
      </c>
      <c r="B66" s="13">
        <f>'Prices &amp; assums'!D10</f>
        <v>28080</v>
      </c>
      <c r="C66" s="2">
        <f t="shared" si="12"/>
        <v>28080</v>
      </c>
      <c r="D66" s="2">
        <f t="shared" si="12"/>
        <v>0</v>
      </c>
      <c r="E66" s="2">
        <f t="shared" si="12"/>
        <v>0</v>
      </c>
      <c r="F66" s="2">
        <f t="shared" si="12"/>
        <v>0</v>
      </c>
      <c r="G66" s="2">
        <f t="shared" si="12"/>
        <v>0</v>
      </c>
      <c r="H66" s="2">
        <f t="shared" si="12"/>
        <v>0</v>
      </c>
      <c r="I66" s="2">
        <f t="shared" si="12"/>
        <v>0</v>
      </c>
      <c r="J66" s="2">
        <f t="shared" si="12"/>
        <v>0</v>
      </c>
      <c r="K66" s="2">
        <f t="shared" si="12"/>
        <v>0</v>
      </c>
      <c r="L66" s="2">
        <f t="shared" si="12"/>
        <v>0</v>
      </c>
      <c r="M66" s="2">
        <f t="shared" si="12"/>
        <v>0</v>
      </c>
      <c r="N66" s="2">
        <f t="shared" si="12"/>
        <v>0</v>
      </c>
      <c r="O66" s="2">
        <f t="shared" si="12"/>
        <v>0</v>
      </c>
      <c r="P66" s="2">
        <f t="shared" si="12"/>
        <v>0</v>
      </c>
      <c r="Q66" s="2">
        <f t="shared" si="12"/>
        <v>0</v>
      </c>
      <c r="R66" s="2">
        <f t="shared" si="12"/>
        <v>0</v>
      </c>
      <c r="S66" s="2">
        <f t="shared" si="12"/>
        <v>0</v>
      </c>
      <c r="T66" s="2">
        <f t="shared" si="12"/>
        <v>0</v>
      </c>
      <c r="U66" s="2">
        <f t="shared" si="12"/>
        <v>0</v>
      </c>
      <c r="V66" s="2">
        <f t="shared" si="12"/>
        <v>0</v>
      </c>
      <c r="W66" s="2">
        <f t="shared" ref="W66:Z66" si="14">$B66*W18</f>
        <v>0</v>
      </c>
      <c r="X66" s="2">
        <f t="shared" si="14"/>
        <v>0</v>
      </c>
      <c r="Y66" s="2">
        <f t="shared" si="14"/>
        <v>0</v>
      </c>
      <c r="Z66" s="2">
        <f t="shared" si="14"/>
        <v>0</v>
      </c>
    </row>
    <row r="67" spans="1:27" x14ac:dyDescent="0.35">
      <c r="A67" t="str">
        <f t="shared" si="11"/>
        <v xml:space="preserve">  Stump extraction, controlled fire and marking out</v>
      </c>
      <c r="B67" s="13">
        <f>'Prices &amp; assums'!D34</f>
        <v>28080</v>
      </c>
      <c r="C67" s="2">
        <f t="shared" si="12"/>
        <v>28080</v>
      </c>
      <c r="D67" s="2">
        <f t="shared" si="12"/>
        <v>0</v>
      </c>
      <c r="E67" s="2">
        <f t="shared" si="12"/>
        <v>0</v>
      </c>
      <c r="F67" s="2">
        <f t="shared" si="12"/>
        <v>0</v>
      </c>
      <c r="G67" s="2">
        <f t="shared" si="12"/>
        <v>0</v>
      </c>
      <c r="H67" s="2">
        <f t="shared" si="12"/>
        <v>0</v>
      </c>
      <c r="I67" s="2">
        <f t="shared" si="12"/>
        <v>0</v>
      </c>
      <c r="J67" s="2">
        <f t="shared" si="12"/>
        <v>0</v>
      </c>
      <c r="K67" s="2">
        <f t="shared" si="12"/>
        <v>0</v>
      </c>
      <c r="L67" s="2">
        <f t="shared" si="12"/>
        <v>0</v>
      </c>
      <c r="M67" s="2">
        <f t="shared" si="12"/>
        <v>0</v>
      </c>
      <c r="N67" s="2">
        <f t="shared" si="12"/>
        <v>0</v>
      </c>
      <c r="O67" s="2">
        <f t="shared" si="12"/>
        <v>0</v>
      </c>
      <c r="P67" s="2">
        <f t="shared" si="12"/>
        <v>0</v>
      </c>
      <c r="Q67" s="2">
        <f t="shared" si="12"/>
        <v>0</v>
      </c>
      <c r="R67" s="2">
        <f t="shared" si="12"/>
        <v>0</v>
      </c>
      <c r="S67" s="2">
        <f t="shared" si="12"/>
        <v>0</v>
      </c>
      <c r="T67" s="2">
        <f t="shared" si="12"/>
        <v>0</v>
      </c>
      <c r="U67" s="2">
        <f t="shared" si="12"/>
        <v>0</v>
      </c>
      <c r="V67" s="2">
        <f t="shared" si="12"/>
        <v>0</v>
      </c>
      <c r="W67" s="2">
        <f t="shared" ref="W67:Z67" si="15">$B67*W19</f>
        <v>0</v>
      </c>
      <c r="X67" s="2">
        <f t="shared" si="15"/>
        <v>0</v>
      </c>
      <c r="Y67" s="2">
        <f t="shared" si="15"/>
        <v>0</v>
      </c>
      <c r="Z67" s="2">
        <f t="shared" si="15"/>
        <v>0</v>
      </c>
    </row>
    <row r="68" spans="1:27" x14ac:dyDescent="0.35">
      <c r="A68" t="str">
        <f t="shared" si="11"/>
        <v xml:space="preserve">  Digging holes</v>
      </c>
      <c r="B68" s="13">
        <f>'Prices &amp; assums'!D8</f>
        <v>28.08</v>
      </c>
      <c r="C68" s="2">
        <f t="shared" si="12"/>
        <v>30887.999999999996</v>
      </c>
      <c r="D68" s="2">
        <f t="shared" si="12"/>
        <v>0</v>
      </c>
      <c r="E68" s="2">
        <f t="shared" si="12"/>
        <v>0</v>
      </c>
      <c r="F68" s="2">
        <f t="shared" si="12"/>
        <v>0</v>
      </c>
      <c r="G68" s="2">
        <f t="shared" si="12"/>
        <v>0</v>
      </c>
      <c r="H68" s="2">
        <f t="shared" si="12"/>
        <v>0</v>
      </c>
      <c r="I68" s="2">
        <f t="shared" si="12"/>
        <v>0</v>
      </c>
      <c r="J68" s="2">
        <f t="shared" si="12"/>
        <v>0</v>
      </c>
      <c r="K68" s="2">
        <f t="shared" si="12"/>
        <v>0</v>
      </c>
      <c r="L68" s="2">
        <f t="shared" si="12"/>
        <v>0</v>
      </c>
      <c r="M68" s="2">
        <f t="shared" si="12"/>
        <v>0</v>
      </c>
      <c r="N68" s="2">
        <f t="shared" si="12"/>
        <v>0</v>
      </c>
      <c r="O68" s="2">
        <f t="shared" si="12"/>
        <v>0</v>
      </c>
      <c r="P68" s="2">
        <f t="shared" si="12"/>
        <v>0</v>
      </c>
      <c r="Q68" s="2">
        <f t="shared" si="12"/>
        <v>0</v>
      </c>
      <c r="R68" s="2">
        <f t="shared" si="12"/>
        <v>0</v>
      </c>
      <c r="S68" s="2">
        <f t="shared" si="12"/>
        <v>0</v>
      </c>
      <c r="T68" s="2">
        <f t="shared" si="12"/>
        <v>0</v>
      </c>
      <c r="U68" s="2">
        <f t="shared" si="12"/>
        <v>0</v>
      </c>
      <c r="V68" s="2">
        <f t="shared" si="12"/>
        <v>0</v>
      </c>
      <c r="W68" s="2">
        <f t="shared" ref="W68:Z68" si="16">$B68*W20</f>
        <v>0</v>
      </c>
      <c r="X68" s="2">
        <f t="shared" si="16"/>
        <v>0</v>
      </c>
      <c r="Y68" s="2">
        <f t="shared" si="16"/>
        <v>0</v>
      </c>
      <c r="Z68" s="2">
        <f t="shared" si="16"/>
        <v>0</v>
      </c>
    </row>
    <row r="69" spans="1:27" x14ac:dyDescent="0.35">
      <c r="A69" t="str">
        <f t="shared" si="11"/>
        <v xml:space="preserve">  Transport of seedlings</v>
      </c>
      <c r="B69" s="13">
        <f>'Prices &amp; assums'!D27</f>
        <v>6.93</v>
      </c>
      <c r="C69" s="2">
        <f t="shared" si="12"/>
        <v>7623</v>
      </c>
      <c r="D69" s="2">
        <f t="shared" si="12"/>
        <v>0</v>
      </c>
      <c r="E69" s="2">
        <f t="shared" si="12"/>
        <v>0</v>
      </c>
      <c r="F69" s="2">
        <f t="shared" si="12"/>
        <v>0</v>
      </c>
      <c r="G69" s="2">
        <f t="shared" si="12"/>
        <v>0</v>
      </c>
      <c r="H69" s="2">
        <f t="shared" si="12"/>
        <v>0</v>
      </c>
      <c r="I69" s="2">
        <f t="shared" si="12"/>
        <v>0</v>
      </c>
      <c r="J69" s="2">
        <f t="shared" si="12"/>
        <v>0</v>
      </c>
      <c r="K69" s="2">
        <f t="shared" si="12"/>
        <v>0</v>
      </c>
      <c r="L69" s="2">
        <f t="shared" si="12"/>
        <v>0</v>
      </c>
      <c r="M69" s="2">
        <f t="shared" si="12"/>
        <v>0</v>
      </c>
      <c r="N69" s="2">
        <f t="shared" si="12"/>
        <v>0</v>
      </c>
      <c r="O69" s="2">
        <f t="shared" si="12"/>
        <v>0</v>
      </c>
      <c r="P69" s="2">
        <f t="shared" si="12"/>
        <v>0</v>
      </c>
      <c r="Q69" s="2">
        <f t="shared" si="12"/>
        <v>0</v>
      </c>
      <c r="R69" s="2">
        <f t="shared" si="12"/>
        <v>0</v>
      </c>
      <c r="S69" s="2">
        <f t="shared" si="12"/>
        <v>0</v>
      </c>
      <c r="T69" s="2">
        <f t="shared" si="12"/>
        <v>0</v>
      </c>
      <c r="U69" s="2">
        <f t="shared" si="12"/>
        <v>0</v>
      </c>
      <c r="V69" s="2">
        <f t="shared" si="12"/>
        <v>0</v>
      </c>
      <c r="W69" s="2">
        <f t="shared" ref="W69:Z69" si="17">$B69*W21</f>
        <v>0</v>
      </c>
      <c r="X69" s="2">
        <f t="shared" si="17"/>
        <v>0</v>
      </c>
      <c r="Y69" s="2">
        <f t="shared" si="17"/>
        <v>0</v>
      </c>
      <c r="Z69" s="2">
        <f t="shared" si="17"/>
        <v>0</v>
      </c>
    </row>
    <row r="70" spans="1:27" x14ac:dyDescent="0.35">
      <c r="A70" t="str">
        <f t="shared" si="11"/>
        <v xml:space="preserve">  Planting</v>
      </c>
      <c r="B70" s="13">
        <f>'Prices &amp; assums'!D9</f>
        <v>28.08</v>
      </c>
      <c r="C70" s="2">
        <f t="shared" si="12"/>
        <v>30887.999999999996</v>
      </c>
      <c r="D70" s="2">
        <f t="shared" si="12"/>
        <v>0</v>
      </c>
      <c r="E70" s="2">
        <f t="shared" si="12"/>
        <v>0</v>
      </c>
      <c r="F70" s="2">
        <f t="shared" si="12"/>
        <v>0</v>
      </c>
      <c r="G70" s="2">
        <f t="shared" si="12"/>
        <v>0</v>
      </c>
      <c r="H70" s="2">
        <f t="shared" si="12"/>
        <v>0</v>
      </c>
      <c r="I70" s="2">
        <f t="shared" si="12"/>
        <v>0</v>
      </c>
      <c r="J70" s="2">
        <f t="shared" si="12"/>
        <v>0</v>
      </c>
      <c r="K70" s="2">
        <f t="shared" si="12"/>
        <v>0</v>
      </c>
      <c r="L70" s="2">
        <f t="shared" si="12"/>
        <v>0</v>
      </c>
      <c r="M70" s="2">
        <f t="shared" si="12"/>
        <v>0</v>
      </c>
      <c r="N70" s="2">
        <f t="shared" si="12"/>
        <v>0</v>
      </c>
      <c r="O70" s="2">
        <f t="shared" si="12"/>
        <v>0</v>
      </c>
      <c r="P70" s="2">
        <f t="shared" si="12"/>
        <v>0</v>
      </c>
      <c r="Q70" s="2">
        <f t="shared" si="12"/>
        <v>0</v>
      </c>
      <c r="R70" s="2">
        <f t="shared" si="12"/>
        <v>0</v>
      </c>
      <c r="S70" s="2">
        <f t="shared" si="12"/>
        <v>0</v>
      </c>
      <c r="T70" s="2">
        <f t="shared" si="12"/>
        <v>0</v>
      </c>
      <c r="U70" s="2">
        <f t="shared" si="12"/>
        <v>0</v>
      </c>
      <c r="V70" s="2">
        <f t="shared" si="12"/>
        <v>0</v>
      </c>
      <c r="W70" s="2">
        <f t="shared" ref="W70:Z70" si="18">$B70*W22</f>
        <v>0</v>
      </c>
      <c r="X70" s="2">
        <f t="shared" si="18"/>
        <v>0</v>
      </c>
      <c r="Y70" s="2">
        <f t="shared" si="18"/>
        <v>0</v>
      </c>
      <c r="Z70" s="2">
        <f t="shared" si="18"/>
        <v>0</v>
      </c>
    </row>
    <row r="71" spans="1:27" x14ac:dyDescent="0.35">
      <c r="B71" s="13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7" x14ac:dyDescent="0.35">
      <c r="A72" t="str">
        <f t="shared" ref="A72:A78" si="19">A24</f>
        <v>Maintenance</v>
      </c>
      <c r="B72" s="8"/>
    </row>
    <row r="73" spans="1:27" x14ac:dyDescent="0.35">
      <c r="A73" t="str">
        <f t="shared" si="19"/>
        <v xml:space="preserve">  Weeding over total areas</v>
      </c>
      <c r="B73" s="13">
        <f>'Prices &amp; assums'!D35</f>
        <v>23400</v>
      </c>
      <c r="C73" s="2">
        <f t="shared" ref="C73:V78" si="20">$B73*C25</f>
        <v>46800</v>
      </c>
      <c r="D73" s="2">
        <f t="shared" si="20"/>
        <v>46800</v>
      </c>
      <c r="E73" s="2">
        <f t="shared" si="20"/>
        <v>23400</v>
      </c>
      <c r="F73" s="2">
        <f t="shared" si="20"/>
        <v>0</v>
      </c>
      <c r="G73" s="2">
        <f t="shared" si="20"/>
        <v>0</v>
      </c>
      <c r="H73" s="2">
        <f t="shared" si="20"/>
        <v>0</v>
      </c>
      <c r="I73" s="2">
        <f t="shared" si="20"/>
        <v>0</v>
      </c>
      <c r="J73" s="2">
        <f t="shared" si="20"/>
        <v>0</v>
      </c>
      <c r="K73" s="2">
        <f t="shared" si="20"/>
        <v>0</v>
      </c>
      <c r="L73" s="2">
        <f t="shared" si="20"/>
        <v>0</v>
      </c>
      <c r="M73" s="2">
        <f t="shared" si="20"/>
        <v>0</v>
      </c>
      <c r="N73" s="2">
        <f t="shared" si="20"/>
        <v>0</v>
      </c>
      <c r="O73" s="2">
        <f t="shared" si="20"/>
        <v>0</v>
      </c>
      <c r="P73" s="2">
        <f t="shared" si="20"/>
        <v>0</v>
      </c>
      <c r="Q73" s="2">
        <f t="shared" si="20"/>
        <v>0</v>
      </c>
      <c r="R73" s="2">
        <f t="shared" si="20"/>
        <v>0</v>
      </c>
      <c r="S73" s="2">
        <f t="shared" si="20"/>
        <v>0</v>
      </c>
      <c r="T73" s="2">
        <f t="shared" si="20"/>
        <v>0</v>
      </c>
      <c r="U73" s="2">
        <f t="shared" si="20"/>
        <v>0</v>
      </c>
      <c r="V73" s="2">
        <f t="shared" si="20"/>
        <v>0</v>
      </c>
      <c r="W73" s="2">
        <f t="shared" ref="W73:Z73" si="21">$B73*W25</f>
        <v>0</v>
      </c>
      <c r="X73" s="2">
        <f t="shared" si="21"/>
        <v>0</v>
      </c>
      <c r="Y73" s="2">
        <f t="shared" si="21"/>
        <v>0</v>
      </c>
      <c r="Z73" s="2">
        <f t="shared" si="21"/>
        <v>0</v>
      </c>
    </row>
    <row r="74" spans="1:27" x14ac:dyDescent="0.35">
      <c r="A74" t="str">
        <f t="shared" si="19"/>
        <v xml:space="preserve">  Weeding over lines</v>
      </c>
      <c r="B74" s="13">
        <f>'Prices &amp; assums'!D36</f>
        <v>14040</v>
      </c>
      <c r="C74" s="2">
        <f t="shared" si="20"/>
        <v>14040</v>
      </c>
      <c r="D74" s="2">
        <f t="shared" si="20"/>
        <v>14040</v>
      </c>
      <c r="E74" s="2">
        <f t="shared" si="20"/>
        <v>14040</v>
      </c>
      <c r="F74" s="2">
        <f t="shared" si="20"/>
        <v>0</v>
      </c>
      <c r="G74" s="2">
        <f t="shared" si="20"/>
        <v>0</v>
      </c>
      <c r="H74" s="2">
        <f t="shared" si="20"/>
        <v>0</v>
      </c>
      <c r="I74" s="2">
        <f t="shared" si="20"/>
        <v>0</v>
      </c>
      <c r="J74" s="2">
        <f t="shared" si="20"/>
        <v>0</v>
      </c>
      <c r="K74" s="2">
        <f t="shared" si="20"/>
        <v>0</v>
      </c>
      <c r="L74" s="2">
        <f t="shared" si="20"/>
        <v>0</v>
      </c>
      <c r="M74" s="2">
        <f t="shared" si="20"/>
        <v>0</v>
      </c>
      <c r="N74" s="2">
        <f t="shared" si="20"/>
        <v>0</v>
      </c>
      <c r="O74" s="2">
        <f t="shared" si="20"/>
        <v>0</v>
      </c>
      <c r="P74" s="2">
        <f t="shared" si="20"/>
        <v>0</v>
      </c>
      <c r="Q74" s="2">
        <f t="shared" si="20"/>
        <v>0</v>
      </c>
      <c r="R74" s="2">
        <f t="shared" si="20"/>
        <v>0</v>
      </c>
      <c r="S74" s="2">
        <f t="shared" si="20"/>
        <v>0</v>
      </c>
      <c r="T74" s="2">
        <f t="shared" si="20"/>
        <v>0</v>
      </c>
      <c r="U74" s="2">
        <f t="shared" si="20"/>
        <v>0</v>
      </c>
      <c r="V74" s="2">
        <f t="shared" si="20"/>
        <v>0</v>
      </c>
      <c r="W74" s="2">
        <f t="shared" ref="W74:Z74" si="22">$B74*W26</f>
        <v>0</v>
      </c>
      <c r="X74" s="2">
        <f t="shared" si="22"/>
        <v>0</v>
      </c>
      <c r="Y74" s="2">
        <f t="shared" si="22"/>
        <v>0</v>
      </c>
      <c r="Z74" s="2">
        <f t="shared" si="22"/>
        <v>0</v>
      </c>
    </row>
    <row r="75" spans="1:27" x14ac:dyDescent="0.35">
      <c r="A75" t="str">
        <f t="shared" si="19"/>
        <v xml:space="preserve">  Compensatory planting (including transport)</v>
      </c>
      <c r="B75" s="13">
        <f>(B69+B70)</f>
        <v>35.01</v>
      </c>
      <c r="C75" s="2">
        <f t="shared" si="20"/>
        <v>5776.65</v>
      </c>
      <c r="D75" s="2">
        <f t="shared" si="20"/>
        <v>5776.65</v>
      </c>
      <c r="E75" s="2">
        <f t="shared" si="20"/>
        <v>0</v>
      </c>
      <c r="F75" s="2">
        <f t="shared" si="20"/>
        <v>0</v>
      </c>
      <c r="G75" s="2">
        <f t="shared" si="20"/>
        <v>0</v>
      </c>
      <c r="H75" s="2">
        <f t="shared" si="20"/>
        <v>0</v>
      </c>
      <c r="I75" s="2">
        <f t="shared" si="20"/>
        <v>0</v>
      </c>
      <c r="J75" s="2">
        <f t="shared" si="20"/>
        <v>0</v>
      </c>
      <c r="K75" s="2">
        <f t="shared" si="20"/>
        <v>0</v>
      </c>
      <c r="L75" s="2">
        <f t="shared" si="20"/>
        <v>0</v>
      </c>
      <c r="M75" s="2">
        <f t="shared" si="20"/>
        <v>0</v>
      </c>
      <c r="N75" s="2">
        <f t="shared" si="20"/>
        <v>0</v>
      </c>
      <c r="O75" s="2">
        <f t="shared" si="20"/>
        <v>0</v>
      </c>
      <c r="P75" s="2">
        <f t="shared" si="20"/>
        <v>0</v>
      </c>
      <c r="Q75" s="2">
        <f t="shared" si="20"/>
        <v>0</v>
      </c>
      <c r="R75" s="2">
        <f t="shared" si="20"/>
        <v>0</v>
      </c>
      <c r="S75" s="2">
        <f t="shared" si="20"/>
        <v>0</v>
      </c>
      <c r="T75" s="2">
        <f t="shared" si="20"/>
        <v>0</v>
      </c>
      <c r="U75" s="2">
        <f t="shared" si="20"/>
        <v>0</v>
      </c>
      <c r="V75" s="2">
        <f t="shared" si="20"/>
        <v>0</v>
      </c>
      <c r="W75" s="2">
        <f t="shared" ref="W75:Z75" si="23">$B75*W27</f>
        <v>0</v>
      </c>
      <c r="X75" s="2">
        <f t="shared" si="23"/>
        <v>0</v>
      </c>
      <c r="Y75" s="2">
        <f t="shared" si="23"/>
        <v>0</v>
      </c>
      <c r="Z75" s="2">
        <f t="shared" si="23"/>
        <v>0</v>
      </c>
    </row>
    <row r="76" spans="1:27" x14ac:dyDescent="0.35">
      <c r="A76" t="str">
        <f t="shared" si="19"/>
        <v xml:space="preserve">  Shape pruning</v>
      </c>
      <c r="B76" s="13">
        <f>'Prices &amp; assums'!D37</f>
        <v>2000</v>
      </c>
      <c r="C76" s="2">
        <f t="shared" si="20"/>
        <v>2000</v>
      </c>
      <c r="D76" s="2">
        <f t="shared" si="20"/>
        <v>2000</v>
      </c>
      <c r="E76" s="2">
        <f t="shared" si="20"/>
        <v>2000</v>
      </c>
      <c r="F76" s="2">
        <f t="shared" si="20"/>
        <v>0</v>
      </c>
      <c r="G76" s="2">
        <f t="shared" si="20"/>
        <v>0</v>
      </c>
      <c r="H76" s="2">
        <f t="shared" si="20"/>
        <v>0</v>
      </c>
      <c r="I76" s="2">
        <f t="shared" si="20"/>
        <v>0</v>
      </c>
      <c r="J76" s="2">
        <f t="shared" si="20"/>
        <v>0</v>
      </c>
      <c r="K76" s="2">
        <f t="shared" si="20"/>
        <v>0</v>
      </c>
      <c r="L76" s="2">
        <f t="shared" si="20"/>
        <v>0</v>
      </c>
      <c r="M76" s="2">
        <f t="shared" si="20"/>
        <v>0</v>
      </c>
      <c r="N76" s="2">
        <f t="shared" si="20"/>
        <v>0</v>
      </c>
      <c r="O76" s="2">
        <f t="shared" si="20"/>
        <v>0</v>
      </c>
      <c r="P76" s="2">
        <f t="shared" si="20"/>
        <v>0</v>
      </c>
      <c r="Q76" s="2">
        <f t="shared" si="20"/>
        <v>0</v>
      </c>
      <c r="R76" s="2">
        <f t="shared" si="20"/>
        <v>0</v>
      </c>
      <c r="S76" s="2">
        <f t="shared" si="20"/>
        <v>0</v>
      </c>
      <c r="T76" s="2">
        <f t="shared" si="20"/>
        <v>0</v>
      </c>
      <c r="U76" s="2">
        <f t="shared" si="20"/>
        <v>0</v>
      </c>
      <c r="V76" s="2">
        <f t="shared" si="20"/>
        <v>0</v>
      </c>
      <c r="W76" s="2">
        <f t="shared" ref="W76:Z76" si="24">$B76*W28</f>
        <v>0</v>
      </c>
      <c r="X76" s="2">
        <f t="shared" si="24"/>
        <v>0</v>
      </c>
      <c r="Y76" s="2">
        <f t="shared" si="24"/>
        <v>0</v>
      </c>
      <c r="Z76" s="2">
        <f t="shared" si="24"/>
        <v>0</v>
      </c>
    </row>
    <row r="77" spans="1:27" x14ac:dyDescent="0.35">
      <c r="A77" t="str">
        <f t="shared" si="19"/>
        <v xml:space="preserve">  Fire breaking</v>
      </c>
      <c r="B77" s="13">
        <f>'Prices &amp; assums'!D14</f>
        <v>9360</v>
      </c>
      <c r="C77" s="2">
        <f t="shared" si="20"/>
        <v>9360</v>
      </c>
      <c r="D77" s="2">
        <f t="shared" si="20"/>
        <v>9360</v>
      </c>
      <c r="E77" s="2">
        <f t="shared" si="20"/>
        <v>9360</v>
      </c>
      <c r="F77" s="2">
        <f t="shared" si="20"/>
        <v>14040</v>
      </c>
      <c r="G77" s="2">
        <f t="shared" si="20"/>
        <v>14040</v>
      </c>
      <c r="H77" s="2">
        <f t="shared" si="20"/>
        <v>14040</v>
      </c>
      <c r="I77" s="2">
        <f t="shared" si="20"/>
        <v>14040</v>
      </c>
      <c r="J77" s="2">
        <f t="shared" si="20"/>
        <v>14040</v>
      </c>
      <c r="K77" s="2">
        <f t="shared" si="20"/>
        <v>14040</v>
      </c>
      <c r="L77" s="2">
        <f t="shared" si="20"/>
        <v>14040</v>
      </c>
      <c r="M77" s="2">
        <f t="shared" si="20"/>
        <v>14040</v>
      </c>
      <c r="N77" s="2">
        <f t="shared" si="20"/>
        <v>14040</v>
      </c>
      <c r="O77" s="2">
        <f t="shared" si="20"/>
        <v>14040</v>
      </c>
      <c r="P77" s="2">
        <f t="shared" si="20"/>
        <v>14040</v>
      </c>
      <c r="Q77" s="2">
        <f t="shared" si="20"/>
        <v>14040</v>
      </c>
      <c r="R77" s="2">
        <f t="shared" si="20"/>
        <v>14040</v>
      </c>
      <c r="S77" s="2">
        <f t="shared" si="20"/>
        <v>14040</v>
      </c>
      <c r="T77" s="2">
        <f t="shared" si="20"/>
        <v>14040</v>
      </c>
      <c r="U77" s="2">
        <f t="shared" si="20"/>
        <v>14040</v>
      </c>
      <c r="V77" s="2">
        <f t="shared" si="20"/>
        <v>14040</v>
      </c>
      <c r="W77" s="2">
        <f t="shared" ref="W77:Z77" si="25">$B77*W29</f>
        <v>14040</v>
      </c>
      <c r="X77" s="2">
        <f t="shared" si="25"/>
        <v>14040</v>
      </c>
      <c r="Y77" s="2">
        <f t="shared" si="25"/>
        <v>14040</v>
      </c>
      <c r="Z77" s="2">
        <f t="shared" si="25"/>
        <v>14040</v>
      </c>
    </row>
    <row r="78" spans="1:27" x14ac:dyDescent="0.35">
      <c r="A78" t="str">
        <f t="shared" si="19"/>
        <v xml:space="preserve">  Pruning</v>
      </c>
      <c r="B78" s="13">
        <f>'Prices &amp; assums'!D38</f>
        <v>18720</v>
      </c>
      <c r="C78" s="2">
        <f t="shared" si="20"/>
        <v>0</v>
      </c>
      <c r="D78" s="2">
        <f t="shared" si="20"/>
        <v>0</v>
      </c>
      <c r="E78" s="2">
        <f t="shared" si="20"/>
        <v>0</v>
      </c>
      <c r="F78" s="2">
        <f t="shared" si="20"/>
        <v>0</v>
      </c>
      <c r="G78" s="2">
        <f t="shared" si="20"/>
        <v>18720</v>
      </c>
      <c r="H78" s="2">
        <f t="shared" si="20"/>
        <v>0</v>
      </c>
      <c r="I78" s="2">
        <f t="shared" si="20"/>
        <v>0</v>
      </c>
      <c r="J78" s="2">
        <f t="shared" si="20"/>
        <v>0</v>
      </c>
      <c r="K78" s="2">
        <f t="shared" si="20"/>
        <v>0</v>
      </c>
      <c r="L78" s="2">
        <f t="shared" si="20"/>
        <v>18720</v>
      </c>
      <c r="M78" s="2">
        <f t="shared" si="20"/>
        <v>0</v>
      </c>
      <c r="N78" s="2">
        <f t="shared" si="20"/>
        <v>0</v>
      </c>
      <c r="O78" s="2">
        <f t="shared" si="20"/>
        <v>0</v>
      </c>
      <c r="P78" s="2">
        <f t="shared" si="20"/>
        <v>0</v>
      </c>
      <c r="Q78" s="2">
        <f t="shared" si="20"/>
        <v>18720</v>
      </c>
      <c r="R78" s="2">
        <f t="shared" si="20"/>
        <v>0</v>
      </c>
      <c r="S78" s="2">
        <f t="shared" si="20"/>
        <v>0</v>
      </c>
      <c r="T78" s="2">
        <f t="shared" si="20"/>
        <v>0</v>
      </c>
      <c r="U78" s="2">
        <f t="shared" si="20"/>
        <v>0</v>
      </c>
      <c r="V78" s="2">
        <f t="shared" si="20"/>
        <v>18720</v>
      </c>
      <c r="W78" s="2">
        <f t="shared" ref="W78:Z78" si="26">$B78*W30</f>
        <v>0</v>
      </c>
      <c r="X78" s="2">
        <f t="shared" si="26"/>
        <v>0</v>
      </c>
      <c r="Y78" s="2">
        <f t="shared" si="26"/>
        <v>0</v>
      </c>
      <c r="Z78" s="2">
        <f t="shared" si="26"/>
        <v>0</v>
      </c>
      <c r="AA78" s="2"/>
    </row>
    <row r="79" spans="1:27" x14ac:dyDescent="0.35">
      <c r="B79" s="13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7" x14ac:dyDescent="0.35">
      <c r="A80" s="6" t="str">
        <f t="shared" ref="A80:A91" si="27">A32</f>
        <v>Cuts</v>
      </c>
      <c r="B80" s="8"/>
    </row>
    <row r="81" spans="1:27" x14ac:dyDescent="0.35">
      <c r="A81" s="6" t="str">
        <f t="shared" si="27"/>
        <v xml:space="preserve">  First cut</v>
      </c>
      <c r="B81" s="13">
        <f>'Prices &amp; assums'!D39</f>
        <v>150</v>
      </c>
      <c r="C81" s="2">
        <f t="shared" ref="C81:V84" si="28">$B81*C33</f>
        <v>0</v>
      </c>
      <c r="D81" s="2">
        <f t="shared" si="28"/>
        <v>0</v>
      </c>
      <c r="E81" s="2">
        <f t="shared" si="28"/>
        <v>0</v>
      </c>
      <c r="F81" s="2">
        <f t="shared" si="28"/>
        <v>0</v>
      </c>
      <c r="G81" s="2">
        <f t="shared" si="28"/>
        <v>0</v>
      </c>
      <c r="H81" s="2">
        <f t="shared" si="28"/>
        <v>45000</v>
      </c>
      <c r="I81" s="2">
        <f t="shared" si="28"/>
        <v>0</v>
      </c>
      <c r="J81" s="2">
        <f t="shared" si="28"/>
        <v>0</v>
      </c>
      <c r="K81" s="2">
        <f t="shared" si="28"/>
        <v>0</v>
      </c>
      <c r="L81" s="2">
        <f t="shared" si="28"/>
        <v>0</v>
      </c>
      <c r="M81" s="2">
        <f t="shared" si="28"/>
        <v>0</v>
      </c>
      <c r="N81" s="2">
        <f t="shared" si="28"/>
        <v>0</v>
      </c>
      <c r="O81" s="2">
        <f t="shared" si="28"/>
        <v>0</v>
      </c>
      <c r="P81" s="2">
        <f t="shared" si="28"/>
        <v>0</v>
      </c>
      <c r="Q81" s="2">
        <f t="shared" si="28"/>
        <v>0</v>
      </c>
      <c r="R81" s="2">
        <f t="shared" si="28"/>
        <v>0</v>
      </c>
      <c r="S81" s="2">
        <f t="shared" si="28"/>
        <v>0</v>
      </c>
      <c r="T81" s="2">
        <f t="shared" si="28"/>
        <v>0</v>
      </c>
      <c r="U81" s="2">
        <f t="shared" si="28"/>
        <v>0</v>
      </c>
      <c r="V81" s="2">
        <f t="shared" si="28"/>
        <v>0</v>
      </c>
      <c r="W81" s="2">
        <f t="shared" ref="W81:Z81" si="29">$B81*W33</f>
        <v>0</v>
      </c>
      <c r="X81" s="2">
        <f t="shared" si="29"/>
        <v>0</v>
      </c>
      <c r="Y81" s="2">
        <f t="shared" si="29"/>
        <v>0</v>
      </c>
      <c r="Z81" s="2">
        <f t="shared" si="29"/>
        <v>0</v>
      </c>
    </row>
    <row r="82" spans="1:27" x14ac:dyDescent="0.35">
      <c r="A82" s="6" t="str">
        <f t="shared" si="27"/>
        <v xml:space="preserve">  Second cut</v>
      </c>
      <c r="B82" s="13">
        <f>'Prices &amp; assums'!D40</f>
        <v>270</v>
      </c>
      <c r="C82" s="2">
        <f t="shared" si="28"/>
        <v>0</v>
      </c>
      <c r="D82" s="2">
        <f t="shared" si="28"/>
        <v>0</v>
      </c>
      <c r="E82" s="2">
        <f t="shared" si="28"/>
        <v>0</v>
      </c>
      <c r="F82" s="2">
        <f t="shared" si="28"/>
        <v>0</v>
      </c>
      <c r="G82" s="2">
        <f t="shared" si="28"/>
        <v>0</v>
      </c>
      <c r="H82" s="2">
        <f t="shared" si="28"/>
        <v>0</v>
      </c>
      <c r="I82" s="2">
        <f t="shared" si="28"/>
        <v>0</v>
      </c>
      <c r="J82" s="2">
        <f t="shared" si="28"/>
        <v>0</v>
      </c>
      <c r="K82" s="2">
        <f t="shared" si="28"/>
        <v>0</v>
      </c>
      <c r="L82" s="2">
        <f t="shared" si="28"/>
        <v>94500</v>
      </c>
      <c r="M82" s="2">
        <f t="shared" si="28"/>
        <v>0</v>
      </c>
      <c r="N82" s="2">
        <f t="shared" si="28"/>
        <v>0</v>
      </c>
      <c r="O82" s="2">
        <f t="shared" si="28"/>
        <v>0</v>
      </c>
      <c r="P82" s="2">
        <f t="shared" si="28"/>
        <v>0</v>
      </c>
      <c r="Q82" s="2">
        <f t="shared" si="28"/>
        <v>0</v>
      </c>
      <c r="R82" s="2">
        <f t="shared" si="28"/>
        <v>0</v>
      </c>
      <c r="S82" s="2">
        <f t="shared" si="28"/>
        <v>0</v>
      </c>
      <c r="T82" s="2">
        <f t="shared" si="28"/>
        <v>0</v>
      </c>
      <c r="U82" s="2">
        <f t="shared" si="28"/>
        <v>0</v>
      </c>
      <c r="V82" s="2">
        <f t="shared" si="28"/>
        <v>0</v>
      </c>
      <c r="W82" s="2">
        <f t="shared" ref="W82:Z82" si="30">$B82*W34</f>
        <v>0</v>
      </c>
      <c r="X82" s="2">
        <f t="shared" si="30"/>
        <v>0</v>
      </c>
      <c r="Y82" s="2">
        <f t="shared" si="30"/>
        <v>0</v>
      </c>
      <c r="Z82" s="2">
        <f t="shared" si="30"/>
        <v>0</v>
      </c>
    </row>
    <row r="83" spans="1:27" x14ac:dyDescent="0.35">
      <c r="A83" s="6" t="str">
        <f t="shared" si="27"/>
        <v xml:space="preserve">  Third cut</v>
      </c>
      <c r="B83" s="13">
        <f>'Prices &amp; assums'!D41</f>
        <v>2740</v>
      </c>
      <c r="C83" s="2">
        <f t="shared" si="28"/>
        <v>0</v>
      </c>
      <c r="D83" s="2">
        <f t="shared" si="28"/>
        <v>0</v>
      </c>
      <c r="E83" s="2">
        <f t="shared" si="28"/>
        <v>0</v>
      </c>
      <c r="F83" s="2">
        <f t="shared" si="28"/>
        <v>0</v>
      </c>
      <c r="G83" s="2">
        <f t="shared" si="28"/>
        <v>0</v>
      </c>
      <c r="H83" s="2">
        <f t="shared" si="28"/>
        <v>0</v>
      </c>
      <c r="I83" s="2">
        <f t="shared" si="28"/>
        <v>0</v>
      </c>
      <c r="J83" s="2">
        <f t="shared" si="28"/>
        <v>0</v>
      </c>
      <c r="K83" s="2">
        <f t="shared" si="28"/>
        <v>0</v>
      </c>
      <c r="L83" s="2">
        <f t="shared" si="28"/>
        <v>0</v>
      </c>
      <c r="M83" s="2">
        <f t="shared" si="28"/>
        <v>0</v>
      </c>
      <c r="N83" s="2">
        <f t="shared" si="28"/>
        <v>0</v>
      </c>
      <c r="O83" s="2">
        <f t="shared" si="28"/>
        <v>0</v>
      </c>
      <c r="P83" s="2">
        <f t="shared" si="28"/>
        <v>0</v>
      </c>
      <c r="Q83" s="2">
        <f t="shared" si="28"/>
        <v>0</v>
      </c>
      <c r="R83" s="2">
        <f t="shared" si="28"/>
        <v>0</v>
      </c>
      <c r="S83" s="2">
        <f t="shared" si="28"/>
        <v>0</v>
      </c>
      <c r="T83" s="2">
        <f t="shared" si="28"/>
        <v>0</v>
      </c>
      <c r="U83" s="2">
        <f t="shared" si="28"/>
        <v>0</v>
      </c>
      <c r="V83" s="2">
        <f t="shared" si="28"/>
        <v>0</v>
      </c>
      <c r="W83" s="2">
        <f t="shared" ref="W83:Z83" si="31">$B83*W35</f>
        <v>0</v>
      </c>
      <c r="X83" s="2">
        <f t="shared" si="31"/>
        <v>0</v>
      </c>
      <c r="Y83" s="2">
        <f t="shared" si="31"/>
        <v>0</v>
      </c>
      <c r="Z83" s="2">
        <f t="shared" si="31"/>
        <v>0</v>
      </c>
    </row>
    <row r="84" spans="1:27" x14ac:dyDescent="0.35">
      <c r="A84" s="6" t="str">
        <f t="shared" si="27"/>
        <v xml:space="preserve">  Fourth cut</v>
      </c>
      <c r="B84" s="13">
        <f>'Prices &amp; assums'!D42</f>
        <v>6500</v>
      </c>
      <c r="C84" s="2">
        <f t="shared" si="28"/>
        <v>0</v>
      </c>
      <c r="D84" s="2">
        <f t="shared" si="28"/>
        <v>0</v>
      </c>
      <c r="E84" s="2">
        <f t="shared" si="28"/>
        <v>0</v>
      </c>
      <c r="F84" s="2">
        <f t="shared" si="28"/>
        <v>0</v>
      </c>
      <c r="G84" s="2">
        <f t="shared" si="28"/>
        <v>0</v>
      </c>
      <c r="H84" s="2">
        <f t="shared" si="28"/>
        <v>0</v>
      </c>
      <c r="I84" s="2">
        <f t="shared" si="28"/>
        <v>0</v>
      </c>
      <c r="J84" s="2">
        <f t="shared" si="28"/>
        <v>0</v>
      </c>
      <c r="K84" s="2">
        <f t="shared" si="28"/>
        <v>0</v>
      </c>
      <c r="L84" s="2">
        <f t="shared" si="28"/>
        <v>0</v>
      </c>
      <c r="M84" s="2">
        <f t="shared" si="28"/>
        <v>0</v>
      </c>
      <c r="N84" s="2">
        <f t="shared" si="28"/>
        <v>0</v>
      </c>
      <c r="O84" s="2">
        <f t="shared" si="28"/>
        <v>0</v>
      </c>
      <c r="P84" s="2">
        <f t="shared" si="28"/>
        <v>0</v>
      </c>
      <c r="Q84" s="2">
        <f t="shared" si="28"/>
        <v>0</v>
      </c>
      <c r="R84" s="2">
        <f t="shared" si="28"/>
        <v>0</v>
      </c>
      <c r="S84" s="2">
        <f t="shared" si="28"/>
        <v>0</v>
      </c>
      <c r="T84" s="2">
        <f t="shared" si="28"/>
        <v>0</v>
      </c>
      <c r="U84" s="2">
        <f t="shared" si="28"/>
        <v>0</v>
      </c>
      <c r="V84" s="2">
        <f t="shared" si="28"/>
        <v>0</v>
      </c>
      <c r="W84" s="2">
        <f t="shared" ref="W84:Z84" si="32">$B84*W36</f>
        <v>0</v>
      </c>
      <c r="X84" s="2">
        <f t="shared" si="32"/>
        <v>0</v>
      </c>
      <c r="Y84" s="2">
        <f t="shared" si="32"/>
        <v>0</v>
      </c>
      <c r="Z84" s="2">
        <f t="shared" si="32"/>
        <v>0</v>
      </c>
    </row>
    <row r="85" spans="1:27" x14ac:dyDescent="0.35">
      <c r="A85" s="6"/>
      <c r="B85" s="8"/>
    </row>
    <row r="86" spans="1:27" x14ac:dyDescent="0.35">
      <c r="A86" s="6" t="str">
        <f t="shared" si="27"/>
        <v>Taxes</v>
      </c>
      <c r="B86" s="8"/>
    </row>
    <row r="87" spans="1:27" x14ac:dyDescent="0.35">
      <c r="A87" s="6" t="str">
        <f t="shared" si="27"/>
        <v xml:space="preserve">  First cut</v>
      </c>
      <c r="B87" s="8">
        <f>'Prices &amp; assums'!D74</f>
        <v>0</v>
      </c>
      <c r="C87" s="2">
        <f t="shared" ref="C87:V89" si="33">$B87*C39</f>
        <v>0</v>
      </c>
      <c r="D87" s="2">
        <f t="shared" si="33"/>
        <v>0</v>
      </c>
      <c r="E87" s="2">
        <f t="shared" si="33"/>
        <v>0</v>
      </c>
      <c r="F87" s="2">
        <f t="shared" si="33"/>
        <v>0</v>
      </c>
      <c r="G87" s="2">
        <f t="shared" si="33"/>
        <v>0</v>
      </c>
      <c r="H87" s="2">
        <f t="shared" si="33"/>
        <v>0</v>
      </c>
      <c r="I87" s="2">
        <f t="shared" si="33"/>
        <v>0</v>
      </c>
      <c r="J87" s="2">
        <f t="shared" si="33"/>
        <v>0</v>
      </c>
      <c r="K87" s="2">
        <f t="shared" si="33"/>
        <v>0</v>
      </c>
      <c r="L87" s="2">
        <f t="shared" si="33"/>
        <v>0</v>
      </c>
      <c r="M87" s="2">
        <f t="shared" si="33"/>
        <v>0</v>
      </c>
      <c r="N87" s="2">
        <f t="shared" si="33"/>
        <v>0</v>
      </c>
      <c r="O87" s="2">
        <f t="shared" si="33"/>
        <v>0</v>
      </c>
      <c r="P87" s="2">
        <f t="shared" si="33"/>
        <v>0</v>
      </c>
      <c r="Q87" s="2">
        <f t="shared" si="33"/>
        <v>0</v>
      </c>
      <c r="R87" s="2">
        <f t="shared" si="33"/>
        <v>0</v>
      </c>
      <c r="S87" s="2">
        <f t="shared" si="33"/>
        <v>0</v>
      </c>
      <c r="T87" s="2">
        <f t="shared" si="33"/>
        <v>0</v>
      </c>
      <c r="U87" s="2">
        <f t="shared" si="33"/>
        <v>0</v>
      </c>
      <c r="V87" s="2">
        <f t="shared" si="33"/>
        <v>0</v>
      </c>
      <c r="W87" s="2">
        <f t="shared" ref="W87:Z87" si="34">$B87*W39</f>
        <v>0</v>
      </c>
      <c r="X87" s="2">
        <f t="shared" si="34"/>
        <v>0</v>
      </c>
      <c r="Y87" s="2">
        <f t="shared" si="34"/>
        <v>0</v>
      </c>
      <c r="Z87" s="2">
        <f t="shared" si="34"/>
        <v>0</v>
      </c>
    </row>
    <row r="88" spans="1:27" x14ac:dyDescent="0.35">
      <c r="A88" s="6" t="str">
        <f t="shared" si="27"/>
        <v xml:space="preserve">  Second cut</v>
      </c>
      <c r="B88" s="8">
        <f>'Prices &amp; assums'!D75</f>
        <v>0</v>
      </c>
      <c r="C88" s="2">
        <f t="shared" si="33"/>
        <v>0</v>
      </c>
      <c r="D88" s="2">
        <f t="shared" si="33"/>
        <v>0</v>
      </c>
      <c r="E88" s="2">
        <f t="shared" si="33"/>
        <v>0</v>
      </c>
      <c r="F88" s="2">
        <f t="shared" si="33"/>
        <v>0</v>
      </c>
      <c r="G88" s="2">
        <f t="shared" si="33"/>
        <v>0</v>
      </c>
      <c r="H88" s="2">
        <f t="shared" si="33"/>
        <v>0</v>
      </c>
      <c r="I88" s="2">
        <f t="shared" si="33"/>
        <v>0</v>
      </c>
      <c r="J88" s="2">
        <f t="shared" si="33"/>
        <v>0</v>
      </c>
      <c r="K88" s="2">
        <f t="shared" si="33"/>
        <v>0</v>
      </c>
      <c r="L88" s="2">
        <f t="shared" si="33"/>
        <v>0</v>
      </c>
      <c r="M88" s="2">
        <f t="shared" si="33"/>
        <v>0</v>
      </c>
      <c r="N88" s="2">
        <f t="shared" si="33"/>
        <v>0</v>
      </c>
      <c r="O88" s="2">
        <f t="shared" si="33"/>
        <v>0</v>
      </c>
      <c r="P88" s="2">
        <f t="shared" si="33"/>
        <v>0</v>
      </c>
      <c r="Q88" s="2">
        <f t="shared" si="33"/>
        <v>0</v>
      </c>
      <c r="R88" s="2">
        <f t="shared" si="33"/>
        <v>0</v>
      </c>
      <c r="S88" s="2">
        <f t="shared" si="33"/>
        <v>0</v>
      </c>
      <c r="T88" s="2">
        <f t="shared" si="33"/>
        <v>0</v>
      </c>
      <c r="U88" s="2">
        <f t="shared" si="33"/>
        <v>0</v>
      </c>
      <c r="V88" s="2">
        <f t="shared" si="33"/>
        <v>0</v>
      </c>
      <c r="W88" s="2">
        <f t="shared" ref="W88:Z88" si="35">$B88*W40</f>
        <v>0</v>
      </c>
      <c r="X88" s="2">
        <f t="shared" si="35"/>
        <v>0</v>
      </c>
      <c r="Y88" s="2">
        <f t="shared" si="35"/>
        <v>0</v>
      </c>
      <c r="Z88" s="2">
        <f t="shared" si="35"/>
        <v>0</v>
      </c>
    </row>
    <row r="89" spans="1:27" x14ac:dyDescent="0.35">
      <c r="A89" s="6" t="str">
        <f t="shared" si="27"/>
        <v xml:space="preserve">  Third cut</v>
      </c>
      <c r="B89" s="8">
        <f>'Prices &amp; assums'!D76</f>
        <v>0</v>
      </c>
      <c r="C89" s="2">
        <f t="shared" si="33"/>
        <v>0</v>
      </c>
      <c r="D89" s="2">
        <f t="shared" si="33"/>
        <v>0</v>
      </c>
      <c r="E89" s="2">
        <f t="shared" si="33"/>
        <v>0</v>
      </c>
      <c r="F89" s="2">
        <f t="shared" si="33"/>
        <v>0</v>
      </c>
      <c r="G89" s="2">
        <f t="shared" si="33"/>
        <v>0</v>
      </c>
      <c r="H89" s="2">
        <f t="shared" si="33"/>
        <v>0</v>
      </c>
      <c r="I89" s="2">
        <f t="shared" si="33"/>
        <v>0</v>
      </c>
      <c r="J89" s="2">
        <f t="shared" si="33"/>
        <v>0</v>
      </c>
      <c r="K89" s="2">
        <f t="shared" si="33"/>
        <v>0</v>
      </c>
      <c r="L89" s="2">
        <f t="shared" si="33"/>
        <v>0</v>
      </c>
      <c r="M89" s="2">
        <f t="shared" si="33"/>
        <v>0</v>
      </c>
      <c r="N89" s="2">
        <f t="shared" si="33"/>
        <v>0</v>
      </c>
      <c r="O89" s="2">
        <f t="shared" si="33"/>
        <v>0</v>
      </c>
      <c r="P89" s="2">
        <f t="shared" si="33"/>
        <v>0</v>
      </c>
      <c r="Q89" s="2">
        <f t="shared" si="33"/>
        <v>0</v>
      </c>
      <c r="R89" s="2">
        <f t="shared" si="33"/>
        <v>0</v>
      </c>
      <c r="S89" s="2">
        <f t="shared" si="33"/>
        <v>0</v>
      </c>
      <c r="T89" s="2">
        <f t="shared" si="33"/>
        <v>0</v>
      </c>
      <c r="U89" s="2">
        <f t="shared" si="33"/>
        <v>0</v>
      </c>
      <c r="V89" s="2">
        <f t="shared" si="33"/>
        <v>0</v>
      </c>
      <c r="W89" s="2">
        <f t="shared" ref="W89:Z89" si="36">$B89*W41</f>
        <v>0</v>
      </c>
      <c r="X89" s="2">
        <f t="shared" si="36"/>
        <v>0</v>
      </c>
      <c r="Y89" s="2">
        <f t="shared" si="36"/>
        <v>0</v>
      </c>
      <c r="Z89" s="2">
        <f t="shared" si="36"/>
        <v>0</v>
      </c>
    </row>
    <row r="90" spans="1:27" x14ac:dyDescent="0.35">
      <c r="A90" s="6"/>
      <c r="B90" s="8"/>
    </row>
    <row r="91" spans="1:27" x14ac:dyDescent="0.35">
      <c r="A91" s="6" t="str">
        <f t="shared" si="27"/>
        <v>Production</v>
      </c>
      <c r="B91" s="8"/>
    </row>
    <row r="92" spans="1:27" x14ac:dyDescent="0.35">
      <c r="A92" s="6" t="str">
        <f>A47</f>
        <v xml:space="preserve">  Trees 11 cm diameter</v>
      </c>
      <c r="B92" s="13">
        <f>'Prices &amp; assums'!D100</f>
        <v>114.99999999999999</v>
      </c>
      <c r="C92" s="2">
        <f t="shared" ref="C92:V95" si="37">$B92*C47</f>
        <v>0</v>
      </c>
      <c r="D92" s="2">
        <f t="shared" si="37"/>
        <v>0</v>
      </c>
      <c r="E92" s="2">
        <f t="shared" si="37"/>
        <v>0</v>
      </c>
      <c r="F92" s="2">
        <f t="shared" si="37"/>
        <v>0</v>
      </c>
      <c r="G92" s="2">
        <f t="shared" si="37"/>
        <v>0</v>
      </c>
      <c r="H92" s="2">
        <f t="shared" si="37"/>
        <v>34499.999999999993</v>
      </c>
      <c r="I92" s="2">
        <f t="shared" si="37"/>
        <v>0</v>
      </c>
      <c r="J92" s="2">
        <f t="shared" si="37"/>
        <v>0</v>
      </c>
      <c r="K92" s="2">
        <f t="shared" si="37"/>
        <v>0</v>
      </c>
      <c r="L92" s="2">
        <f t="shared" si="37"/>
        <v>0</v>
      </c>
      <c r="M92" s="2">
        <f t="shared" si="37"/>
        <v>0</v>
      </c>
      <c r="N92" s="2">
        <f t="shared" si="37"/>
        <v>0</v>
      </c>
      <c r="O92" s="2">
        <f t="shared" si="37"/>
        <v>0</v>
      </c>
      <c r="P92" s="2">
        <f t="shared" si="37"/>
        <v>0</v>
      </c>
      <c r="Q92" s="2">
        <f t="shared" si="37"/>
        <v>0</v>
      </c>
      <c r="R92" s="2">
        <f t="shared" si="37"/>
        <v>0</v>
      </c>
      <c r="S92" s="2">
        <f t="shared" si="37"/>
        <v>0</v>
      </c>
      <c r="T92" s="2">
        <f t="shared" si="37"/>
        <v>0</v>
      </c>
      <c r="U92" s="2">
        <f t="shared" si="37"/>
        <v>0</v>
      </c>
      <c r="V92" s="2">
        <f t="shared" si="37"/>
        <v>0</v>
      </c>
      <c r="W92" s="2">
        <f t="shared" ref="W92:Z92" si="38">$B92*W47</f>
        <v>0</v>
      </c>
      <c r="X92" s="2">
        <f t="shared" si="38"/>
        <v>0</v>
      </c>
      <c r="Y92" s="2">
        <f t="shared" si="38"/>
        <v>0</v>
      </c>
      <c r="Z92" s="2">
        <f t="shared" si="38"/>
        <v>0</v>
      </c>
    </row>
    <row r="93" spans="1:27" x14ac:dyDescent="0.35">
      <c r="A93" s="6" t="str">
        <f>A48</f>
        <v xml:space="preserve">  Trees 16 cm diameter</v>
      </c>
      <c r="B93" s="13">
        <f>'Prices &amp; assums'!D101</f>
        <v>5750</v>
      </c>
      <c r="C93" s="2">
        <f t="shared" si="37"/>
        <v>0</v>
      </c>
      <c r="D93" s="2">
        <f t="shared" si="37"/>
        <v>0</v>
      </c>
      <c r="E93" s="2">
        <f t="shared" si="37"/>
        <v>0</v>
      </c>
      <c r="F93" s="2">
        <f t="shared" si="37"/>
        <v>0</v>
      </c>
      <c r="G93" s="2">
        <f t="shared" si="37"/>
        <v>0</v>
      </c>
      <c r="H93" s="2">
        <f t="shared" si="37"/>
        <v>0</v>
      </c>
      <c r="I93" s="2">
        <f t="shared" si="37"/>
        <v>0</v>
      </c>
      <c r="J93" s="2">
        <f t="shared" si="37"/>
        <v>0</v>
      </c>
      <c r="K93" s="2">
        <f t="shared" si="37"/>
        <v>0</v>
      </c>
      <c r="L93" s="2">
        <f t="shared" si="37"/>
        <v>2012500</v>
      </c>
      <c r="M93" s="2">
        <f t="shared" si="37"/>
        <v>0</v>
      </c>
      <c r="N93" s="2">
        <f t="shared" si="37"/>
        <v>0</v>
      </c>
      <c r="O93" s="2">
        <f t="shared" si="37"/>
        <v>0</v>
      </c>
      <c r="P93" s="2">
        <f t="shared" si="37"/>
        <v>0</v>
      </c>
      <c r="Q93" s="2">
        <f t="shared" si="37"/>
        <v>0</v>
      </c>
      <c r="R93" s="2">
        <f t="shared" si="37"/>
        <v>0</v>
      </c>
      <c r="S93" s="2">
        <f t="shared" si="37"/>
        <v>0</v>
      </c>
      <c r="T93" s="2">
        <f t="shared" si="37"/>
        <v>0</v>
      </c>
      <c r="U93" s="2">
        <f t="shared" si="37"/>
        <v>0</v>
      </c>
      <c r="V93" s="2">
        <f t="shared" si="37"/>
        <v>0</v>
      </c>
      <c r="W93" s="2">
        <f t="shared" ref="W93:Z93" si="39">$B93*W48</f>
        <v>0</v>
      </c>
      <c r="X93" s="2">
        <f t="shared" si="39"/>
        <v>0</v>
      </c>
      <c r="Y93" s="2">
        <f t="shared" si="39"/>
        <v>0</v>
      </c>
      <c r="Z93" s="2">
        <f t="shared" si="39"/>
        <v>0</v>
      </c>
    </row>
    <row r="94" spans="1:27" x14ac:dyDescent="0.35">
      <c r="A94" s="6" t="str">
        <f>A49</f>
        <v xml:space="preserve">  Trees 23 cm diameter</v>
      </c>
      <c r="B94" s="13">
        <f>'Prices &amp; assums'!D102</f>
        <v>20700</v>
      </c>
      <c r="C94" s="2">
        <f t="shared" si="37"/>
        <v>0</v>
      </c>
      <c r="D94" s="2">
        <f t="shared" si="37"/>
        <v>0</v>
      </c>
      <c r="E94" s="2">
        <f t="shared" si="37"/>
        <v>0</v>
      </c>
      <c r="F94" s="2">
        <f t="shared" si="37"/>
        <v>0</v>
      </c>
      <c r="G94" s="2">
        <f t="shared" si="37"/>
        <v>0</v>
      </c>
      <c r="H94" s="2">
        <f t="shared" si="37"/>
        <v>0</v>
      </c>
      <c r="I94" s="2">
        <f t="shared" si="37"/>
        <v>0</v>
      </c>
      <c r="J94" s="2">
        <f t="shared" si="37"/>
        <v>0</v>
      </c>
      <c r="K94" s="2">
        <f t="shared" si="37"/>
        <v>0</v>
      </c>
      <c r="L94" s="2">
        <f t="shared" si="37"/>
        <v>0</v>
      </c>
      <c r="M94" s="2">
        <f t="shared" si="37"/>
        <v>0</v>
      </c>
      <c r="N94" s="2">
        <f t="shared" si="37"/>
        <v>0</v>
      </c>
      <c r="O94" s="2">
        <f t="shared" si="37"/>
        <v>0</v>
      </c>
      <c r="P94" s="2">
        <f t="shared" si="37"/>
        <v>0</v>
      </c>
      <c r="Q94" s="2">
        <f t="shared" si="37"/>
        <v>0</v>
      </c>
      <c r="R94" s="2">
        <f t="shared" si="37"/>
        <v>3105000</v>
      </c>
      <c r="S94" s="2">
        <f t="shared" si="37"/>
        <v>0</v>
      </c>
      <c r="T94" s="2">
        <f t="shared" si="37"/>
        <v>0</v>
      </c>
      <c r="U94" s="2">
        <f t="shared" si="37"/>
        <v>0</v>
      </c>
      <c r="V94" s="2">
        <f t="shared" si="37"/>
        <v>0</v>
      </c>
      <c r="W94" s="2">
        <f t="shared" ref="W94:Z94" si="40">$B94*W49</f>
        <v>0</v>
      </c>
      <c r="X94" s="2">
        <f t="shared" si="40"/>
        <v>0</v>
      </c>
      <c r="Y94" s="2">
        <f t="shared" si="40"/>
        <v>0</v>
      </c>
      <c r="Z94" s="2">
        <f t="shared" si="40"/>
        <v>0</v>
      </c>
    </row>
    <row r="95" spans="1:27" x14ac:dyDescent="0.35">
      <c r="A95" s="12" t="str">
        <f>A50</f>
        <v xml:space="preserve">  Trees 30 cm diameter</v>
      </c>
      <c r="B95" s="22">
        <f>'Prices &amp; assums'!D103</f>
        <v>27599.999999999996</v>
      </c>
      <c r="C95" s="42">
        <f t="shared" si="37"/>
        <v>0</v>
      </c>
      <c r="D95" s="14">
        <f t="shared" si="37"/>
        <v>0</v>
      </c>
      <c r="E95" s="14">
        <f t="shared" si="37"/>
        <v>0</v>
      </c>
      <c r="F95" s="14">
        <f t="shared" si="37"/>
        <v>0</v>
      </c>
      <c r="G95" s="14">
        <f t="shared" si="37"/>
        <v>0</v>
      </c>
      <c r="H95" s="14">
        <f t="shared" si="37"/>
        <v>0</v>
      </c>
      <c r="I95" s="14">
        <f t="shared" si="37"/>
        <v>0</v>
      </c>
      <c r="J95" s="14">
        <f t="shared" si="37"/>
        <v>0</v>
      </c>
      <c r="K95" s="14">
        <f t="shared" si="37"/>
        <v>0</v>
      </c>
      <c r="L95" s="14">
        <f t="shared" si="37"/>
        <v>0</v>
      </c>
      <c r="M95" s="14">
        <f t="shared" si="37"/>
        <v>0</v>
      </c>
      <c r="N95" s="14">
        <f t="shared" si="37"/>
        <v>0</v>
      </c>
      <c r="O95" s="14">
        <f t="shared" si="37"/>
        <v>0</v>
      </c>
      <c r="P95" s="14">
        <f t="shared" si="37"/>
        <v>0</v>
      </c>
      <c r="Q95" s="14">
        <f t="shared" si="37"/>
        <v>0</v>
      </c>
      <c r="R95" s="14">
        <f t="shared" si="37"/>
        <v>0</v>
      </c>
      <c r="S95" s="14">
        <f t="shared" si="37"/>
        <v>0</v>
      </c>
      <c r="T95" s="14">
        <f t="shared" si="37"/>
        <v>0</v>
      </c>
      <c r="U95" s="14">
        <f t="shared" si="37"/>
        <v>0</v>
      </c>
      <c r="V95" s="14">
        <f t="shared" si="37"/>
        <v>0</v>
      </c>
      <c r="W95" s="14">
        <f t="shared" ref="W95:Z95" si="41">$B95*W50</f>
        <v>0</v>
      </c>
      <c r="X95" s="14">
        <f t="shared" si="41"/>
        <v>0</v>
      </c>
      <c r="Y95" s="14">
        <f t="shared" si="41"/>
        <v>0</v>
      </c>
      <c r="Z95" s="14">
        <f t="shared" si="41"/>
        <v>8279999.9999999991</v>
      </c>
      <c r="AA95" s="14"/>
    </row>
    <row r="96" spans="1:27" x14ac:dyDescent="0.35">
      <c r="A96" t="s">
        <v>21</v>
      </c>
      <c r="C96" s="2">
        <f t="shared" ref="C96:Z96" si="42">SUM(C55:C89)</f>
        <v>387581.62428571429</v>
      </c>
      <c r="D96" s="2">
        <f t="shared" si="42"/>
        <v>93917.076000000001</v>
      </c>
      <c r="E96" s="2">
        <f t="shared" si="42"/>
        <v>48800</v>
      </c>
      <c r="F96" s="2">
        <f t="shared" si="42"/>
        <v>14040</v>
      </c>
      <c r="G96" s="2">
        <f t="shared" si="42"/>
        <v>32760</v>
      </c>
      <c r="H96" s="2">
        <f t="shared" si="42"/>
        <v>59040</v>
      </c>
      <c r="I96" s="2">
        <f t="shared" si="42"/>
        <v>14040</v>
      </c>
      <c r="J96" s="2">
        <f t="shared" si="42"/>
        <v>14040</v>
      </c>
      <c r="K96" s="2">
        <f t="shared" si="42"/>
        <v>14040</v>
      </c>
      <c r="L96" s="2">
        <f t="shared" si="42"/>
        <v>127260</v>
      </c>
      <c r="M96" s="2">
        <f t="shared" si="42"/>
        <v>14040</v>
      </c>
      <c r="N96" s="2">
        <f t="shared" si="42"/>
        <v>14040</v>
      </c>
      <c r="O96" s="2">
        <f t="shared" si="42"/>
        <v>14040</v>
      </c>
      <c r="P96" s="2">
        <f t="shared" si="42"/>
        <v>14040</v>
      </c>
      <c r="Q96" s="2">
        <f t="shared" si="42"/>
        <v>32760</v>
      </c>
      <c r="R96" s="2">
        <f t="shared" si="42"/>
        <v>14040</v>
      </c>
      <c r="S96" s="2">
        <f t="shared" si="42"/>
        <v>14040</v>
      </c>
      <c r="T96" s="2">
        <f t="shared" si="42"/>
        <v>14040</v>
      </c>
      <c r="U96" s="2">
        <f t="shared" si="42"/>
        <v>14040</v>
      </c>
      <c r="V96" s="2">
        <f t="shared" si="42"/>
        <v>32760</v>
      </c>
      <c r="W96" s="2">
        <f t="shared" si="42"/>
        <v>14040</v>
      </c>
      <c r="X96" s="2">
        <f t="shared" si="42"/>
        <v>14040</v>
      </c>
      <c r="Y96" s="2">
        <f t="shared" si="42"/>
        <v>14040</v>
      </c>
      <c r="Z96" s="2">
        <f t="shared" si="42"/>
        <v>14040</v>
      </c>
      <c r="AA96" s="2"/>
    </row>
    <row r="97" spans="1:26" x14ac:dyDescent="0.35">
      <c r="A97" t="s">
        <v>123</v>
      </c>
      <c r="C97" s="2">
        <f t="shared" ref="C97:Z97" si="43">SUM(C92:C95)</f>
        <v>0</v>
      </c>
      <c r="D97" s="2">
        <f t="shared" si="43"/>
        <v>0</v>
      </c>
      <c r="E97" s="2">
        <f t="shared" si="43"/>
        <v>0</v>
      </c>
      <c r="F97" s="2">
        <f t="shared" si="43"/>
        <v>0</v>
      </c>
      <c r="G97" s="2">
        <f t="shared" si="43"/>
        <v>0</v>
      </c>
      <c r="H97" s="2">
        <f t="shared" si="43"/>
        <v>34499.999999999993</v>
      </c>
      <c r="I97" s="2">
        <f t="shared" si="43"/>
        <v>0</v>
      </c>
      <c r="J97" s="2">
        <f t="shared" si="43"/>
        <v>0</v>
      </c>
      <c r="K97" s="2">
        <f t="shared" si="43"/>
        <v>0</v>
      </c>
      <c r="L97" s="2">
        <f t="shared" si="43"/>
        <v>2012500</v>
      </c>
      <c r="M97" s="2">
        <f t="shared" si="43"/>
        <v>0</v>
      </c>
      <c r="N97" s="2">
        <f t="shared" si="43"/>
        <v>0</v>
      </c>
      <c r="O97" s="2">
        <f t="shared" si="43"/>
        <v>0</v>
      </c>
      <c r="P97" s="2">
        <f t="shared" si="43"/>
        <v>0</v>
      </c>
      <c r="Q97" s="2">
        <f t="shared" si="43"/>
        <v>0</v>
      </c>
      <c r="R97" s="2">
        <f t="shared" si="43"/>
        <v>3105000</v>
      </c>
      <c r="S97" s="2">
        <f t="shared" si="43"/>
        <v>0</v>
      </c>
      <c r="T97" s="2">
        <f t="shared" si="43"/>
        <v>0</v>
      </c>
      <c r="U97" s="2">
        <f t="shared" si="43"/>
        <v>0</v>
      </c>
      <c r="V97" s="2">
        <f t="shared" si="43"/>
        <v>0</v>
      </c>
      <c r="W97" s="2">
        <f t="shared" si="43"/>
        <v>0</v>
      </c>
      <c r="X97" s="2">
        <f t="shared" si="43"/>
        <v>0</v>
      </c>
      <c r="Y97" s="2">
        <f t="shared" si="43"/>
        <v>0</v>
      </c>
      <c r="Z97" s="2">
        <f t="shared" si="43"/>
        <v>8279999.9999999991</v>
      </c>
    </row>
    <row r="98" spans="1:26" x14ac:dyDescent="0.35">
      <c r="A98" s="49" t="s">
        <v>154</v>
      </c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x14ac:dyDescent="0.35">
      <c r="A99" t="s">
        <v>124</v>
      </c>
      <c r="C99" s="2">
        <f t="shared" ref="C99:Z99" si="44">C97-C96</f>
        <v>-387581.62428571429</v>
      </c>
      <c r="D99" s="2">
        <f t="shared" si="44"/>
        <v>-93917.076000000001</v>
      </c>
      <c r="E99" s="2">
        <f t="shared" si="44"/>
        <v>-48800</v>
      </c>
      <c r="F99" s="2">
        <f t="shared" si="44"/>
        <v>-14040</v>
      </c>
      <c r="G99" s="2">
        <f t="shared" si="44"/>
        <v>-32760</v>
      </c>
      <c r="H99" s="2">
        <f t="shared" si="44"/>
        <v>-24540.000000000007</v>
      </c>
      <c r="I99" s="2">
        <f t="shared" si="44"/>
        <v>-14040</v>
      </c>
      <c r="J99" s="2">
        <f t="shared" si="44"/>
        <v>-14040</v>
      </c>
      <c r="K99" s="2">
        <f t="shared" si="44"/>
        <v>-14040</v>
      </c>
      <c r="L99" s="2">
        <f t="shared" si="44"/>
        <v>1885240</v>
      </c>
      <c r="M99" s="2">
        <f t="shared" si="44"/>
        <v>-14040</v>
      </c>
      <c r="N99" s="2">
        <f t="shared" si="44"/>
        <v>-14040</v>
      </c>
      <c r="O99" s="2">
        <f t="shared" si="44"/>
        <v>-14040</v>
      </c>
      <c r="P99" s="2">
        <f t="shared" si="44"/>
        <v>-14040</v>
      </c>
      <c r="Q99" s="2">
        <f t="shared" si="44"/>
        <v>-32760</v>
      </c>
      <c r="R99" s="2">
        <f t="shared" si="44"/>
        <v>3090960</v>
      </c>
      <c r="S99" s="2">
        <f t="shared" si="44"/>
        <v>-14040</v>
      </c>
      <c r="T99" s="2">
        <f t="shared" si="44"/>
        <v>-14040</v>
      </c>
      <c r="U99" s="2">
        <f t="shared" si="44"/>
        <v>-14040</v>
      </c>
      <c r="V99" s="2">
        <f t="shared" si="44"/>
        <v>-32760</v>
      </c>
      <c r="W99" s="2">
        <f t="shared" si="44"/>
        <v>-14040</v>
      </c>
      <c r="X99" s="2">
        <f t="shared" si="44"/>
        <v>-14040</v>
      </c>
      <c r="Y99" s="2">
        <f t="shared" si="44"/>
        <v>-14040</v>
      </c>
      <c r="Z99" s="2">
        <f t="shared" si="44"/>
        <v>8265959.9999999991</v>
      </c>
    </row>
  </sheetData>
  <pageMargins left="0.7" right="0.7" top="0.75" bottom="0.75" header="0.3" footer="0.3"/>
  <pageSetup paperSize="9" orientation="portrait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4" ma:contentTypeDescription="Create a new document." ma:contentTypeScope="" ma:versionID="044df423254376167ea649bcc272f5cc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6becdce9ea10ec71f0fc4e9d2c2947e9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285CFB-4CFF-4C00-AB80-7FB53E086BAC}">
  <ds:schemaRefs>
    <ds:schemaRef ds:uri="http://purl.org/dc/elements/1.1/"/>
    <ds:schemaRef ds:uri="http://schemas.microsoft.com/office/2006/metadata/properties"/>
    <ds:schemaRef ds:uri="218d177c-a3bf-4b0b-adae-4c1a5ab298c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0c3386d-b1cc-4404-9a17-ce575b01d39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209E2E7-AC4F-4E5C-B29E-7D134BC4C6A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993140-14CF-404E-9A07-2B4169705C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8</vt:i4>
      </vt:variant>
    </vt:vector>
  </HeadingPairs>
  <TitlesOfParts>
    <vt:vector size="24" baseType="lpstr">
      <vt:lpstr>Prices &amp; assums</vt:lpstr>
      <vt:lpstr>Coffee FIN</vt:lpstr>
      <vt:lpstr>Coffee ECO</vt:lpstr>
      <vt:lpstr>Cocoa FIN</vt:lpstr>
      <vt:lpstr>Cocoa ECO</vt:lpstr>
      <vt:lpstr>Rubber FIN</vt:lpstr>
      <vt:lpstr>Rubber ECO</vt:lpstr>
      <vt:lpstr>Refor gazetted FIN</vt:lpstr>
      <vt:lpstr>Refor gazetted ECO</vt:lpstr>
      <vt:lpstr>Refort smallholders FIN</vt:lpstr>
      <vt:lpstr>Refort smallholders ECO</vt:lpstr>
      <vt:lpstr>Ben- Hectares</vt:lpstr>
      <vt:lpstr>Aggr</vt:lpstr>
      <vt:lpstr>Sensitivity</vt:lpstr>
      <vt:lpstr>Summary</vt:lpstr>
      <vt:lpstr>CO2</vt:lpstr>
      <vt:lpstr>CF_inputs</vt:lpstr>
      <vt:lpstr>CF_labor</vt:lpstr>
      <vt:lpstr>CF_seedling</vt:lpstr>
      <vt:lpstr>CF_vat</vt:lpstr>
      <vt:lpstr>disc_rate_econ</vt:lpstr>
      <vt:lpstr>disc_rate_fin</vt:lpstr>
      <vt:lpstr>scf</vt:lpstr>
      <vt:lpstr>usd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Borzoni</dc:creator>
  <cp:lastModifiedBy>Minoarivelo Randrianarison (FOADD)</cp:lastModifiedBy>
  <dcterms:created xsi:type="dcterms:W3CDTF">2019-10-23T17:49:33Z</dcterms:created>
  <dcterms:modified xsi:type="dcterms:W3CDTF">2020-05-19T07:34:38Z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