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autoCompressPictures="0" defaultThemeVersion="124226"/>
  <mc:AlternateContent xmlns:mc="http://schemas.openxmlformats.org/markup-compatibility/2006">
    <mc:Choice Requires="x15">
      <x15ac:absPath xmlns:x15ac="http://schemas.microsoft.com/office/spreadsheetml/2010/11/ac" url="\\UNDPGVAS004\Profiles$\shah\Documents\My Documents\Ghana\Final Submission\"/>
    </mc:Choice>
  </mc:AlternateContent>
  <xr:revisionPtr revIDLastSave="0" documentId="8_{BF0BD52B-63BF-43D3-B7EF-E5F25865A9BD}" xr6:coauthVersionLast="44" xr6:coauthVersionMax="44" xr10:uidLastSave="{00000000-0000-0000-0000-000000000000}"/>
  <bookViews>
    <workbookView xWindow="-120" yWindow="-120" windowWidth="20730" windowHeight="11160" tabRatio="929" firstSheet="27" activeTab="30" xr2:uid="{00000000-000D-0000-FFFF-FFFF00000000}"/>
  </bookViews>
  <sheets>
    <sheet name="Ouput 1 Financial Analysis" sheetId="7" r:id="rId1"/>
    <sheet name="List of CREMAs" sheetId="2" state="hidden" r:id="rId2"/>
    <sheet name="Output 2 Financial Analysis" sheetId="25" r:id="rId3"/>
    <sheet name="Output 3 Financial Analysis" sheetId="17" r:id="rId4"/>
    <sheet name="Rice crop model " sheetId="26" state="hidden" r:id="rId5"/>
    <sheet name="Gmelina Arborea" sheetId="31" r:id="rId6"/>
    <sheet name="Organis for Shea nut collectors" sheetId="33" r:id="rId7"/>
    <sheet name="T2Prices" sheetId="10" r:id="rId8"/>
    <sheet name="T3 Efficiency gain from aggrega" sheetId="11" r:id="rId9"/>
    <sheet name="TC4 wood fuel potential" sheetId="12" r:id="rId10"/>
    <sheet name="T4 C and woodfuel benefits" sheetId="8" state="hidden" r:id="rId11"/>
    <sheet name="T5Recurrent Costs- one CREMA" sheetId="4" r:id="rId12"/>
    <sheet name="Table6 REMA establishment Costs" sheetId="9" r:id="rId13"/>
    <sheet name="Prices of dried wood" sheetId="27" r:id="rId14"/>
    <sheet name="Phasing of CREMAs under GCF" sheetId="3" state="hidden" r:id="rId15"/>
    <sheet name="xxxx" sheetId="6" state="hidden" r:id="rId16"/>
    <sheet name="KILN" sheetId="13" state="hidden" r:id="rId17"/>
    <sheet name="f" sheetId="14" state="hidden" r:id="rId18"/>
    <sheet name="Sheet2" sheetId="18" state="hidden" r:id="rId19"/>
    <sheet name="Plantation establis cost" sheetId="20" state="hidden" r:id="rId20"/>
    <sheet name="Summary of benefits and costs" sheetId="23" state="hidden" r:id="rId21"/>
    <sheet name="Project costs" sheetId="24" r:id="rId22"/>
    <sheet name="Table 7 Employment Potential" sheetId="16" r:id="rId23"/>
    <sheet name="Carbon valuation" sheetId="32" r:id="rId24"/>
    <sheet name="Overall EIRR " sheetId="19" r:id="rId25"/>
    <sheet name="Output 1 - Economic Model" sheetId="22" r:id="rId26"/>
    <sheet name="Output 2 - Economic Model" sheetId="29" r:id="rId27"/>
    <sheet name="Output 3 - Economic Model" sheetId="30" r:id="rId28"/>
    <sheet name="CC Calculations (Annex 2c)" sheetId="38" r:id="rId29"/>
    <sheet name="Annex 2c Output1" sheetId="35" r:id="rId30"/>
    <sheet name="Annex 2c Output2" sheetId="36" r:id="rId31"/>
    <sheet name="Annex 2c Output3" sheetId="37" r:id="rId32"/>
    <sheet name="Annex 2dSummary" sheetId="34" r:id="rId33"/>
    <sheet name="CREMA recurrent Economic costs" sheetId="21" state="hidden" r:id="rId34"/>
    <sheet name="Rice Econ model" sheetId="28" state="hidden" r:id="rId35"/>
  </sheets>
  <externalReferences>
    <externalReference r:id="rId36"/>
    <externalReference r:id="rId37"/>
  </externalReferences>
  <definedNames>
    <definedName name="_ftn1" localSheetId="15">xxxx!$B$26</definedName>
    <definedName name="_ftnref1" localSheetId="15">xxxx!$B$21</definedName>
    <definedName name="_GoBack" localSheetId="1">'List of CREMAs'!$C$37</definedName>
    <definedName name="_xlnm.Print_Area" localSheetId="11">'T5Recurrent Costs- one CREMA'!$C$2:$Q$32</definedName>
    <definedName name="_xlnm.Print_Area" localSheetId="12">'Table6 REMA establishment Costs'!$B$1:$E$22</definedName>
    <definedName name="_xlnm.Print_Area" localSheetId="9">'TC4 wood fuel potential'!$B$33:$N$57</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E21" i="38" l="1"/>
  <c r="G21" i="38" s="1"/>
  <c r="E22" i="38"/>
  <c r="G22" i="38"/>
  <c r="E23" i="38"/>
  <c r="G23" i="38"/>
  <c r="E24" i="38"/>
  <c r="G24" i="38" s="1"/>
  <c r="E25" i="38"/>
  <c r="G25" i="38" s="1"/>
  <c r="E26" i="38"/>
  <c r="G26" i="38"/>
  <c r="E27" i="38"/>
  <c r="G27" i="38"/>
  <c r="E28" i="38"/>
  <c r="G28" i="38" s="1"/>
  <c r="E29" i="38"/>
  <c r="G29" i="38" s="1"/>
  <c r="E30" i="38"/>
  <c r="G30" i="38"/>
  <c r="E31" i="38"/>
  <c r="G31" i="38"/>
  <c r="E32" i="38"/>
  <c r="G32" i="38" s="1"/>
  <c r="E33" i="38"/>
  <c r="G33" i="38" s="1"/>
  <c r="E34" i="38"/>
  <c r="G34" i="38"/>
  <c r="E35" i="38"/>
  <c r="G35" i="38"/>
  <c r="E36" i="38"/>
  <c r="G36" i="38" s="1"/>
  <c r="E37" i="38"/>
  <c r="G37" i="38" s="1"/>
  <c r="E38" i="38"/>
  <c r="G38" i="38"/>
  <c r="E39" i="38"/>
  <c r="G39" i="38"/>
  <c r="E40" i="38"/>
  <c r="G40" i="38" s="1"/>
  <c r="E47" i="38"/>
  <c r="G47" i="38"/>
  <c r="E48" i="38"/>
  <c r="G48" i="38" s="1"/>
  <c r="E49" i="38"/>
  <c r="G49" i="38" s="1"/>
  <c r="E50" i="38"/>
  <c r="G50" i="38"/>
  <c r="E51" i="38"/>
  <c r="G51" i="38"/>
  <c r="E52" i="38"/>
  <c r="G52" i="38" s="1"/>
  <c r="E53" i="38"/>
  <c r="G53" i="38" s="1"/>
  <c r="E54" i="38"/>
  <c r="G54" i="38"/>
  <c r="E55" i="38"/>
  <c r="G55" i="38"/>
  <c r="E56" i="38"/>
  <c r="G56" i="38" s="1"/>
  <c r="E57" i="38"/>
  <c r="G57" i="38" s="1"/>
  <c r="E58" i="38"/>
  <c r="G58" i="38"/>
  <c r="E59" i="38"/>
  <c r="G59" i="38"/>
  <c r="E60" i="38"/>
  <c r="G60" i="38" s="1"/>
  <c r="E61" i="38"/>
  <c r="G61" i="38" s="1"/>
  <c r="E62" i="38"/>
  <c r="G62" i="38"/>
  <c r="E63" i="38"/>
  <c r="G63" i="38"/>
  <c r="E64" i="38"/>
  <c r="G64" i="38" s="1"/>
  <c r="E65" i="38"/>
  <c r="G65" i="38" s="1"/>
  <c r="E66" i="38"/>
  <c r="G66" i="38"/>
  <c r="E94" i="38"/>
  <c r="E97" i="38" s="1"/>
  <c r="E95" i="38"/>
  <c r="E98" i="38" s="1"/>
  <c r="B75" i="38" s="1"/>
  <c r="B6" i="38" s="1"/>
  <c r="B16" i="34" s="1"/>
  <c r="E96" i="38"/>
  <c r="A105" i="38"/>
  <c r="A106" i="38"/>
  <c r="A107" i="38"/>
  <c r="A109" i="38" s="1"/>
  <c r="A110" i="38" s="1"/>
  <c r="A108" i="38"/>
  <c r="A8" i="37"/>
  <c r="C11" i="37"/>
  <c r="E11" i="37" s="1"/>
  <c r="E33" i="37"/>
  <c r="F33" i="37"/>
  <c r="E39" i="37"/>
  <c r="G39" i="37" s="1"/>
  <c r="K39" i="37" s="1"/>
  <c r="O39" i="37" s="1"/>
  <c r="J39" i="37"/>
  <c r="M39" i="37"/>
  <c r="C40" i="37"/>
  <c r="E42" i="37" s="1"/>
  <c r="J40" i="37"/>
  <c r="C41" i="37"/>
  <c r="M41" i="37" s="1"/>
  <c r="E41" i="37"/>
  <c r="C42" i="37"/>
  <c r="J42" i="37" s="1"/>
  <c r="C43" i="37"/>
  <c r="E43" i="37"/>
  <c r="J43" i="37"/>
  <c r="M43" i="37"/>
  <c r="C44" i="37"/>
  <c r="E44" i="37"/>
  <c r="J44" i="37"/>
  <c r="M44" i="37"/>
  <c r="C45" i="37"/>
  <c r="J45" i="37" s="1"/>
  <c r="E45" i="37"/>
  <c r="C46" i="37"/>
  <c r="J46" i="37"/>
  <c r="M46" i="37"/>
  <c r="C47" i="37"/>
  <c r="J47" i="37"/>
  <c r="M47" i="37"/>
  <c r="C48" i="37"/>
  <c r="J48" i="37"/>
  <c r="M48" i="37"/>
  <c r="C49" i="37"/>
  <c r="J49" i="37"/>
  <c r="M49" i="37"/>
  <c r="C50" i="37"/>
  <c r="J50" i="37"/>
  <c r="M50" i="37"/>
  <c r="C51" i="37"/>
  <c r="J51" i="37"/>
  <c r="M51" i="37"/>
  <c r="C52" i="37"/>
  <c r="J52" i="37"/>
  <c r="M52" i="37"/>
  <c r="C53" i="37"/>
  <c r="J53" i="37"/>
  <c r="M53" i="37"/>
  <c r="C54" i="37"/>
  <c r="J54" i="37"/>
  <c r="M54" i="37"/>
  <c r="C55" i="37"/>
  <c r="J55" i="37"/>
  <c r="M55" i="37"/>
  <c r="C56" i="37"/>
  <c r="J56" i="37"/>
  <c r="M56" i="37"/>
  <c r="C57" i="37"/>
  <c r="J57" i="37"/>
  <c r="M57" i="37"/>
  <c r="C58" i="37"/>
  <c r="J58" i="37"/>
  <c r="M58" i="37"/>
  <c r="C59" i="37"/>
  <c r="O59" i="37"/>
  <c r="P59" i="37" s="1"/>
  <c r="Q59" i="37" s="1"/>
  <c r="D11" i="36"/>
  <c r="D12" i="36"/>
  <c r="E12" i="36" s="1"/>
  <c r="D13" i="36"/>
  <c r="D14" i="36"/>
  <c r="E14" i="36" s="1"/>
  <c r="D15" i="36"/>
  <c r="D16" i="36"/>
  <c r="E16" i="36" s="1"/>
  <c r="D17" i="36"/>
  <c r="D18" i="36"/>
  <c r="E18" i="36" s="1"/>
  <c r="D19" i="36"/>
  <c r="D20" i="36"/>
  <c r="E20" i="36" s="1"/>
  <c r="D21" i="36"/>
  <c r="D22" i="36"/>
  <c r="E22" i="36" s="1"/>
  <c r="D23" i="36"/>
  <c r="D24" i="36"/>
  <c r="E24" i="36" s="1"/>
  <c r="D25" i="36"/>
  <c r="D26" i="36"/>
  <c r="E26" i="36" s="1"/>
  <c r="D27" i="36"/>
  <c r="D28" i="36"/>
  <c r="E28" i="36" s="1"/>
  <c r="D29" i="36"/>
  <c r="C33" i="36"/>
  <c r="E13" i="36" s="1"/>
  <c r="C40" i="36"/>
  <c r="E40" i="36" s="1"/>
  <c r="F40" i="36" s="1"/>
  <c r="H40" i="36" s="1"/>
  <c r="I40" i="36" s="1"/>
  <c r="J40" i="36" s="1"/>
  <c r="C41" i="36"/>
  <c r="E41" i="36"/>
  <c r="F41" i="36"/>
  <c r="H41" i="36" s="1"/>
  <c r="I41" i="36" s="1"/>
  <c r="J41" i="36" s="1"/>
  <c r="E44" i="36"/>
  <c r="I6" i="35"/>
  <c r="I11" i="35"/>
  <c r="D12" i="35"/>
  <c r="F12" i="35" s="1"/>
  <c r="J12" i="35" s="1"/>
  <c r="I12" i="35"/>
  <c r="I13" i="35"/>
  <c r="V13" i="35"/>
  <c r="W13" i="35"/>
  <c r="W14" i="35" s="1"/>
  <c r="AA14" i="35" s="1"/>
  <c r="AB14" i="35" s="1"/>
  <c r="X13" i="35"/>
  <c r="Y13" i="35"/>
  <c r="AA13" i="35" s="1"/>
  <c r="Z13" i="35"/>
  <c r="I14" i="35"/>
  <c r="V14" i="35"/>
  <c r="X14" i="35"/>
  <c r="Z14" i="35"/>
  <c r="I15" i="35"/>
  <c r="AA15" i="35"/>
  <c r="I16" i="35"/>
  <c r="I17" i="35"/>
  <c r="I18" i="35"/>
  <c r="I19" i="35"/>
  <c r="I20" i="35"/>
  <c r="I21" i="35"/>
  <c r="I22" i="35"/>
  <c r="I23" i="35"/>
  <c r="I24" i="35"/>
  <c r="I25" i="35"/>
  <c r="I26" i="35"/>
  <c r="I27" i="35"/>
  <c r="I28" i="35"/>
  <c r="I29" i="35"/>
  <c r="I30" i="35"/>
  <c r="L31" i="35"/>
  <c r="M31" i="35"/>
  <c r="N31" i="35"/>
  <c r="B32" i="35"/>
  <c r="J38" i="35"/>
  <c r="C39" i="35"/>
  <c r="E39" i="35"/>
  <c r="G39" i="35" s="1"/>
  <c r="K39" i="35" s="1"/>
  <c r="J39" i="35"/>
  <c r="M39" i="35"/>
  <c r="C40" i="35"/>
  <c r="E42" i="35" s="1"/>
  <c r="E40" i="35"/>
  <c r="C41" i="35"/>
  <c r="J41" i="35"/>
  <c r="M41" i="35"/>
  <c r="C42" i="35"/>
  <c r="J42" i="35" s="1"/>
  <c r="M42" i="35"/>
  <c r="C43" i="35"/>
  <c r="M43" i="35" s="1"/>
  <c r="J43" i="35"/>
  <c r="C44" i="35"/>
  <c r="J44" i="35" s="1"/>
  <c r="M44" i="35"/>
  <c r="C45" i="35"/>
  <c r="J45" i="35" s="1"/>
  <c r="C46" i="35"/>
  <c r="M46" i="35" s="1"/>
  <c r="C47" i="35"/>
  <c r="J47" i="35"/>
  <c r="M47" i="35"/>
  <c r="C48" i="35"/>
  <c r="J48" i="35"/>
  <c r="M48" i="35"/>
  <c r="C49" i="35"/>
  <c r="M49" i="35" s="1"/>
  <c r="J49" i="35"/>
  <c r="C50" i="35"/>
  <c r="M50" i="35" s="1"/>
  <c r="C51" i="35"/>
  <c r="J51" i="35"/>
  <c r="M51" i="35"/>
  <c r="C52" i="35"/>
  <c r="J52" i="35"/>
  <c r="M52" i="35"/>
  <c r="C53" i="35"/>
  <c r="M53" i="35" s="1"/>
  <c r="J53" i="35"/>
  <c r="C54" i="35"/>
  <c r="J54" i="35" s="1"/>
  <c r="C55" i="35"/>
  <c r="J55" i="35"/>
  <c r="M55" i="35"/>
  <c r="C56" i="35"/>
  <c r="J56" i="35"/>
  <c r="M56" i="35"/>
  <c r="C57" i="35"/>
  <c r="M57" i="35" s="1"/>
  <c r="J57" i="35"/>
  <c r="C58" i="35"/>
  <c r="N58" i="35"/>
  <c r="O58" i="35" s="1"/>
  <c r="P58" i="35" s="1"/>
  <c r="S58" i="35"/>
  <c r="C59" i="35"/>
  <c r="A3" i="34"/>
  <c r="A4" i="34"/>
  <c r="A7" i="34"/>
  <c r="A8" i="34"/>
  <c r="A11" i="34"/>
  <c r="A12" i="34"/>
  <c r="A15" i="34"/>
  <c r="A16" i="34"/>
  <c r="G69" i="38" l="1"/>
  <c r="G68" i="38"/>
  <c r="G67" i="38"/>
  <c r="G41" i="38"/>
  <c r="G71" i="38" s="1"/>
  <c r="B3" i="38" s="1"/>
  <c r="G43" i="38"/>
  <c r="G42" i="38"/>
  <c r="G72" i="38" s="1"/>
  <c r="B4" i="38" s="1"/>
  <c r="E99" i="38"/>
  <c r="P39" i="37"/>
  <c r="Q39" i="37" s="1"/>
  <c r="F40" i="37"/>
  <c r="G40" i="37" s="1"/>
  <c r="K40" i="37" s="1"/>
  <c r="O40" i="37" s="1"/>
  <c r="F11" i="37"/>
  <c r="G11" i="37"/>
  <c r="C12" i="37"/>
  <c r="M42" i="37"/>
  <c r="M45" i="37"/>
  <c r="E40" i="37"/>
  <c r="J41" i="37"/>
  <c r="M40" i="37"/>
  <c r="J42" i="36"/>
  <c r="E27" i="36"/>
  <c r="E23" i="36"/>
  <c r="E19" i="36"/>
  <c r="E15" i="36"/>
  <c r="E11" i="36"/>
  <c r="E10" i="36"/>
  <c r="E29" i="36"/>
  <c r="E25" i="36"/>
  <c r="E21" i="36"/>
  <c r="E17" i="36"/>
  <c r="N39" i="35"/>
  <c r="O39" i="35" s="1"/>
  <c r="S39" i="35"/>
  <c r="Q12" i="35"/>
  <c r="L12" i="35"/>
  <c r="M12" i="35"/>
  <c r="E43" i="35"/>
  <c r="M54" i="35"/>
  <c r="M40" i="35"/>
  <c r="E41" i="35"/>
  <c r="J50" i="35"/>
  <c r="J46" i="35"/>
  <c r="M45" i="35"/>
  <c r="J40" i="35"/>
  <c r="E44" i="35"/>
  <c r="C75" i="38" l="1"/>
  <c r="B7" i="38" s="1"/>
  <c r="C16" i="34" s="1"/>
  <c r="E100" i="38"/>
  <c r="D75" i="38" s="1"/>
  <c r="B8" i="38" s="1"/>
  <c r="D16" i="34" s="1"/>
  <c r="C15" i="34"/>
  <c r="G73" i="38"/>
  <c r="B5" i="38" s="1"/>
  <c r="B15" i="34"/>
  <c r="B14" i="34" s="1"/>
  <c r="B20" i="34" s="1"/>
  <c r="B9" i="38"/>
  <c r="F41" i="37"/>
  <c r="G41" i="37" s="1"/>
  <c r="K41" i="37" s="1"/>
  <c r="O41" i="37" s="1"/>
  <c r="P40" i="37"/>
  <c r="Q40" i="37" s="1"/>
  <c r="J18" i="37"/>
  <c r="J19" i="37" s="1"/>
  <c r="H11" i="37"/>
  <c r="L23" i="37" s="1"/>
  <c r="I14" i="37"/>
  <c r="K22" i="37" s="1"/>
  <c r="K23" i="37" s="1"/>
  <c r="E12" i="37"/>
  <c r="C13" i="37"/>
  <c r="E30" i="36"/>
  <c r="B2" i="36" s="1"/>
  <c r="B7" i="34" s="1"/>
  <c r="E31" i="36"/>
  <c r="C2" i="36" s="1"/>
  <c r="C7" i="34" s="1"/>
  <c r="C6" i="34" s="1"/>
  <c r="E32" i="36"/>
  <c r="D2" i="36" s="1"/>
  <c r="D7" i="34" s="1"/>
  <c r="J45" i="36"/>
  <c r="D3" i="36" s="1"/>
  <c r="D8" i="34" s="1"/>
  <c r="D6" i="34" s="1"/>
  <c r="J43" i="36"/>
  <c r="B3" i="36" s="1"/>
  <c r="B8" i="34" s="1"/>
  <c r="J44" i="36"/>
  <c r="C3" i="36" s="1"/>
  <c r="C8" i="34" s="1"/>
  <c r="F40" i="35"/>
  <c r="G40" i="35" s="1"/>
  <c r="P39" i="35"/>
  <c r="Q39" i="35" s="1"/>
  <c r="E13" i="35"/>
  <c r="F13" i="35" s="1"/>
  <c r="J13" i="35" s="1"/>
  <c r="N12" i="35"/>
  <c r="O12" i="35" s="1"/>
  <c r="K40" i="35"/>
  <c r="C14" i="34" l="1"/>
  <c r="C20" i="34" s="1"/>
  <c r="B11" i="38"/>
  <c r="D15" i="34"/>
  <c r="D14" i="34" s="1"/>
  <c r="D20" i="34" s="1"/>
  <c r="B10" i="38"/>
  <c r="B12" i="38" s="1"/>
  <c r="F42" i="37"/>
  <c r="G42" i="37" s="1"/>
  <c r="K42" i="37" s="1"/>
  <c r="O42" i="37" s="1"/>
  <c r="P41" i="37"/>
  <c r="Q41" i="37" s="1"/>
  <c r="F12" i="37"/>
  <c r="G12" i="37"/>
  <c r="M26" i="37"/>
  <c r="I15" i="37"/>
  <c r="N11" i="37"/>
  <c r="O11" i="37" s="1"/>
  <c r="P11" i="37" s="1"/>
  <c r="E13" i="37"/>
  <c r="C14" i="37"/>
  <c r="B6" i="34"/>
  <c r="Q13" i="35"/>
  <c r="L13" i="35"/>
  <c r="M13" i="35" s="1"/>
  <c r="S40" i="35"/>
  <c r="N40" i="35"/>
  <c r="O40" i="35" s="1"/>
  <c r="M27" i="37" l="1"/>
  <c r="L24" i="37"/>
  <c r="H12" i="37"/>
  <c r="N12" i="37"/>
  <c r="O12" i="37" s="1"/>
  <c r="P12" i="37" s="1"/>
  <c r="E14" i="37"/>
  <c r="C15" i="37"/>
  <c r="R42" i="37"/>
  <c r="C3" i="37" s="1"/>
  <c r="B12" i="34" s="1"/>
  <c r="F13" i="37"/>
  <c r="G13" i="37" s="1"/>
  <c r="P42" i="37"/>
  <c r="Q42" i="37" s="1"/>
  <c r="F43" i="37"/>
  <c r="G43" i="37" s="1"/>
  <c r="K43" i="37" s="1"/>
  <c r="O43" i="37" s="1"/>
  <c r="F41" i="35"/>
  <c r="G41" i="35" s="1"/>
  <c r="K41" i="35" s="1"/>
  <c r="P40" i="35"/>
  <c r="Q40" i="35" s="1"/>
  <c r="N13" i="35"/>
  <c r="O13" i="35" s="1"/>
  <c r="E14" i="35"/>
  <c r="F14" i="35" s="1"/>
  <c r="J14" i="35" s="1"/>
  <c r="N13" i="37" l="1"/>
  <c r="O13" i="37" s="1"/>
  <c r="P13" i="37" s="1"/>
  <c r="J20" i="37"/>
  <c r="J21" i="37" s="1"/>
  <c r="J22" i="37" s="1"/>
  <c r="H13" i="37"/>
  <c r="L25" i="37"/>
  <c r="I16" i="37"/>
  <c r="E15" i="37"/>
  <c r="C16" i="37"/>
  <c r="P43" i="37"/>
  <c r="Q43" i="37" s="1"/>
  <c r="F44" i="37"/>
  <c r="G44" i="37" s="1"/>
  <c r="K44" i="37" s="1"/>
  <c r="O44" i="37" s="1"/>
  <c r="F14" i="37"/>
  <c r="G14" i="37"/>
  <c r="Q14" i="35"/>
  <c r="L14" i="35"/>
  <c r="M14" i="35" s="1"/>
  <c r="N41" i="35"/>
  <c r="S41" i="35"/>
  <c r="O41" i="35"/>
  <c r="H14" i="37" l="1"/>
  <c r="L26" i="37"/>
  <c r="N14" i="37"/>
  <c r="O14" i="37" s="1"/>
  <c r="P14" i="37" s="1"/>
  <c r="I17" i="37"/>
  <c r="M28" i="37"/>
  <c r="F45" i="37"/>
  <c r="G45" i="37" s="1"/>
  <c r="K45" i="37" s="1"/>
  <c r="P44" i="37"/>
  <c r="Q44" i="37" s="1"/>
  <c r="J23" i="37"/>
  <c r="E16" i="37"/>
  <c r="C17" i="37"/>
  <c r="F15" i="37"/>
  <c r="G15" i="37"/>
  <c r="K24" i="37"/>
  <c r="K25" i="37" s="1"/>
  <c r="E15" i="35"/>
  <c r="F15" i="35" s="1"/>
  <c r="J15" i="35" s="1"/>
  <c r="N14" i="35"/>
  <c r="O14" i="35" s="1"/>
  <c r="F42" i="35"/>
  <c r="G42" i="35" s="1"/>
  <c r="K42" i="35" s="1"/>
  <c r="P41" i="35"/>
  <c r="Q41" i="35" s="1"/>
  <c r="G46" i="37" l="1"/>
  <c r="K46" i="37" s="1"/>
  <c r="O45" i="37"/>
  <c r="P45" i="37" s="1"/>
  <c r="Q45" i="37" s="1"/>
  <c r="R45" i="37" s="1"/>
  <c r="D3" i="37" s="1"/>
  <c r="C12" i="34" s="1"/>
  <c r="F16" i="37"/>
  <c r="G16" i="37"/>
  <c r="I18" i="37"/>
  <c r="M29" i="37"/>
  <c r="J24" i="37"/>
  <c r="Q14" i="37"/>
  <c r="C2" i="37" s="1"/>
  <c r="B11" i="34" s="1"/>
  <c r="B10" i="34" s="1"/>
  <c r="H15" i="37"/>
  <c r="L27" i="37"/>
  <c r="N15" i="37"/>
  <c r="O15" i="37" s="1"/>
  <c r="P15" i="37" s="1"/>
  <c r="E17" i="37"/>
  <c r="C18" i="37"/>
  <c r="K26" i="37"/>
  <c r="R41" i="35"/>
  <c r="N42" i="35"/>
  <c r="O42" i="35" s="1"/>
  <c r="S42" i="35"/>
  <c r="P14" i="35"/>
  <c r="C4" i="35" s="1"/>
  <c r="B3" i="34" s="1"/>
  <c r="Q15" i="35"/>
  <c r="L15" i="35"/>
  <c r="M15" i="35" s="1"/>
  <c r="H16" i="37" l="1"/>
  <c r="L28" i="37" s="1"/>
  <c r="N16" i="37"/>
  <c r="O16" i="37" s="1"/>
  <c r="P16" i="37" s="1"/>
  <c r="K27" i="37"/>
  <c r="F17" i="37"/>
  <c r="G17" i="37" s="1"/>
  <c r="G47" i="37"/>
  <c r="K47" i="37" s="1"/>
  <c r="O46" i="37"/>
  <c r="P46" i="37" s="1"/>
  <c r="Q46" i="37" s="1"/>
  <c r="I19" i="37"/>
  <c r="M30" i="37"/>
  <c r="E18" i="37"/>
  <c r="G18" i="37" s="1"/>
  <c r="C19" i="37"/>
  <c r="E16" i="35"/>
  <c r="F16" i="35" s="1"/>
  <c r="J16" i="35" s="1"/>
  <c r="N15" i="35"/>
  <c r="O15" i="35" s="1"/>
  <c r="P42" i="35"/>
  <c r="Q42" i="35" s="1"/>
  <c r="F43" i="35"/>
  <c r="G43" i="35" s="1"/>
  <c r="K43" i="35" s="1"/>
  <c r="C5" i="35"/>
  <c r="B4" i="34" s="1"/>
  <c r="B2" i="34" s="1"/>
  <c r="U41" i="35"/>
  <c r="L29" i="37" l="1"/>
  <c r="H17" i="37"/>
  <c r="N17" i="37"/>
  <c r="O17" i="37" s="1"/>
  <c r="P17" i="37" s="1"/>
  <c r="K28" i="37"/>
  <c r="I20" i="37"/>
  <c r="G48" i="37"/>
  <c r="K48" i="37" s="1"/>
  <c r="O47" i="37"/>
  <c r="P47" i="37" s="1"/>
  <c r="Q47" i="37" s="1"/>
  <c r="P31" i="37"/>
  <c r="E19" i="37"/>
  <c r="G19" i="37" s="1"/>
  <c r="H19" i="37" s="1"/>
  <c r="C20" i="37"/>
  <c r="Q17" i="37"/>
  <c r="D2" i="37" s="1"/>
  <c r="C11" i="34" s="1"/>
  <c r="C10" i="34" s="1"/>
  <c r="H18" i="37"/>
  <c r="L30" i="37" s="1"/>
  <c r="B21" i="34"/>
  <c r="B18" i="34"/>
  <c r="N43" i="35"/>
  <c r="O43" i="35" s="1"/>
  <c r="S43" i="35"/>
  <c r="L16" i="35"/>
  <c r="F17" i="35" s="1"/>
  <c r="J17" i="35" s="1"/>
  <c r="Q16" i="35"/>
  <c r="I21" i="37" l="1"/>
  <c r="E20" i="37"/>
  <c r="G20" i="37" s="1"/>
  <c r="H20" i="37" s="1"/>
  <c r="C21" i="37"/>
  <c r="N18" i="37"/>
  <c r="G49" i="37"/>
  <c r="K49" i="37" s="1"/>
  <c r="O48" i="37"/>
  <c r="P48" i="37" s="1"/>
  <c r="Q48" i="37" s="1"/>
  <c r="M17" i="35"/>
  <c r="N17" i="35" s="1"/>
  <c r="O17" i="35" s="1"/>
  <c r="Q17" i="35"/>
  <c r="L17" i="35"/>
  <c r="F18" i="35" s="1"/>
  <c r="J18" i="35" s="1"/>
  <c r="F44" i="35"/>
  <c r="G44" i="35" s="1"/>
  <c r="K44" i="35" s="1"/>
  <c r="P43" i="35"/>
  <c r="Q43" i="35" s="1"/>
  <c r="M16" i="35"/>
  <c r="N16" i="35" s="1"/>
  <c r="O16" i="35" s="1"/>
  <c r="O18" i="37" l="1"/>
  <c r="P18" i="37" s="1"/>
  <c r="N19" i="37"/>
  <c r="O19" i="37" s="1"/>
  <c r="P19" i="37" s="1"/>
  <c r="O49" i="37"/>
  <c r="P49" i="37" s="1"/>
  <c r="Q49" i="37" s="1"/>
  <c r="G50" i="37"/>
  <c r="K50" i="37" s="1"/>
  <c r="E21" i="37"/>
  <c r="G21" i="37" s="1"/>
  <c r="H21" i="37" s="1"/>
  <c r="C22" i="37"/>
  <c r="L18" i="35"/>
  <c r="M18" i="35"/>
  <c r="N18" i="35" s="1"/>
  <c r="O18" i="35" s="1"/>
  <c r="Q18" i="35"/>
  <c r="F19" i="35"/>
  <c r="J19" i="35" s="1"/>
  <c r="P17" i="35"/>
  <c r="D4" i="35" s="1"/>
  <c r="S44" i="35"/>
  <c r="N44" i="35"/>
  <c r="O44" i="35" s="1"/>
  <c r="P44" i="35" s="1"/>
  <c r="Q44" i="35" s="1"/>
  <c r="R44" i="35" s="1"/>
  <c r="N21" i="37" l="1"/>
  <c r="O21" i="37" s="1"/>
  <c r="P21" i="37" s="1"/>
  <c r="N20" i="37"/>
  <c r="O20" i="37" s="1"/>
  <c r="P20" i="37" s="1"/>
  <c r="E22" i="37"/>
  <c r="G22" i="37" s="1"/>
  <c r="C23" i="37"/>
  <c r="G51" i="37"/>
  <c r="K51" i="37" s="1"/>
  <c r="O50" i="37"/>
  <c r="P50" i="37" s="1"/>
  <c r="Q50" i="37" s="1"/>
  <c r="D5" i="35"/>
  <c r="C4" i="34" s="1"/>
  <c r="U44" i="35"/>
  <c r="L19" i="35"/>
  <c r="M19" i="35"/>
  <c r="N19" i="35" s="1"/>
  <c r="O19" i="35" s="1"/>
  <c r="Q19" i="35"/>
  <c r="F20" i="35"/>
  <c r="J20" i="35" s="1"/>
  <c r="C3" i="34"/>
  <c r="C2" i="34" s="1"/>
  <c r="D6" i="35"/>
  <c r="G45" i="35"/>
  <c r="K45" i="35" s="1"/>
  <c r="O51" i="37" l="1"/>
  <c r="P51" i="37" s="1"/>
  <c r="Q51" i="37" s="1"/>
  <c r="G52" i="37"/>
  <c r="K52" i="37" s="1"/>
  <c r="E23" i="37"/>
  <c r="G23" i="37" s="1"/>
  <c r="C24" i="37"/>
  <c r="H22" i="37"/>
  <c r="N22" i="37" s="1"/>
  <c r="O22" i="37" s="1"/>
  <c r="P22" i="37" s="1"/>
  <c r="C21" i="34"/>
  <c r="C18" i="34"/>
  <c r="L20" i="35"/>
  <c r="M20" i="35"/>
  <c r="N20" i="35" s="1"/>
  <c r="O20" i="35" s="1"/>
  <c r="Q20" i="35"/>
  <c r="F21" i="35"/>
  <c r="J21" i="35" s="1"/>
  <c r="N45" i="35"/>
  <c r="O45" i="35" s="1"/>
  <c r="P45" i="35" s="1"/>
  <c r="Q45" i="35" s="1"/>
  <c r="S45" i="35"/>
  <c r="E24" i="37" l="1"/>
  <c r="G24" i="37" s="1"/>
  <c r="C25" i="37"/>
  <c r="H23" i="37"/>
  <c r="N23" i="37"/>
  <c r="O23" i="37" s="1"/>
  <c r="P23" i="37" s="1"/>
  <c r="G53" i="37"/>
  <c r="K53" i="37" s="1"/>
  <c r="O52" i="37"/>
  <c r="P52" i="37" s="1"/>
  <c r="Q52" i="37" s="1"/>
  <c r="G46" i="35"/>
  <c r="K46" i="35" s="1"/>
  <c r="L21" i="35"/>
  <c r="M21" i="35"/>
  <c r="N21" i="35" s="1"/>
  <c r="O21" i="35" s="1"/>
  <c r="Q21" i="35"/>
  <c r="F22" i="35"/>
  <c r="J22" i="35" s="1"/>
  <c r="H24" i="37" l="1"/>
  <c r="N24" i="37"/>
  <c r="O24" i="37" s="1"/>
  <c r="P24" i="37" s="1"/>
  <c r="G54" i="37"/>
  <c r="K54" i="37" s="1"/>
  <c r="O53" i="37"/>
  <c r="P53" i="37" s="1"/>
  <c r="Q53" i="37" s="1"/>
  <c r="E25" i="37"/>
  <c r="G25" i="37" s="1"/>
  <c r="C26" i="37"/>
  <c r="L22" i="35"/>
  <c r="M22" i="35"/>
  <c r="N22" i="35" s="1"/>
  <c r="O22" i="35" s="1"/>
  <c r="Q22" i="35"/>
  <c r="F23" i="35"/>
  <c r="J23" i="35" s="1"/>
  <c r="S46" i="35"/>
  <c r="N46" i="35"/>
  <c r="G47" i="35" s="1"/>
  <c r="K47" i="35" s="1"/>
  <c r="E26" i="37" l="1"/>
  <c r="G26" i="37" s="1"/>
  <c r="C27" i="37"/>
  <c r="H25" i="37"/>
  <c r="N25" i="37"/>
  <c r="O25" i="37" s="1"/>
  <c r="P25" i="37" s="1"/>
  <c r="G55" i="37"/>
  <c r="K55" i="37" s="1"/>
  <c r="O54" i="37"/>
  <c r="P54" i="37" s="1"/>
  <c r="Q54" i="37" s="1"/>
  <c r="N47" i="35"/>
  <c r="O47" i="35" s="1"/>
  <c r="P47" i="35" s="1"/>
  <c r="Q47" i="35" s="1"/>
  <c r="S47" i="35"/>
  <c r="G48" i="35"/>
  <c r="K48" i="35" s="1"/>
  <c r="O46" i="35"/>
  <c r="P46" i="35" s="1"/>
  <c r="Q46" i="35" s="1"/>
  <c r="L23" i="35"/>
  <c r="F24" i="35" s="1"/>
  <c r="J24" i="35" s="1"/>
  <c r="Q23" i="35"/>
  <c r="E27" i="37" l="1"/>
  <c r="G27" i="37" s="1"/>
  <c r="C28" i="37"/>
  <c r="H26" i="37"/>
  <c r="N26" i="37"/>
  <c r="O26" i="37" s="1"/>
  <c r="P26" i="37" s="1"/>
  <c r="G56" i="37"/>
  <c r="K56" i="37" s="1"/>
  <c r="O55" i="37"/>
  <c r="P55" i="37" s="1"/>
  <c r="Q55" i="37" s="1"/>
  <c r="L24" i="35"/>
  <c r="M24" i="35" s="1"/>
  <c r="N24" i="35" s="1"/>
  <c r="O24" i="35" s="1"/>
  <c r="Q24" i="35"/>
  <c r="F25" i="35"/>
  <c r="J25" i="35" s="1"/>
  <c r="N48" i="35"/>
  <c r="G49" i="35"/>
  <c r="K49" i="35" s="1"/>
  <c r="O48" i="35"/>
  <c r="P48" i="35" s="1"/>
  <c r="Q48" i="35" s="1"/>
  <c r="S48" i="35"/>
  <c r="M23" i="35"/>
  <c r="N23" i="35" s="1"/>
  <c r="O23" i="35" s="1"/>
  <c r="E28" i="37" l="1"/>
  <c r="G28" i="37" s="1"/>
  <c r="C29" i="37"/>
  <c r="H27" i="37"/>
  <c r="N27" i="37"/>
  <c r="O27" i="37" s="1"/>
  <c r="P27" i="37" s="1"/>
  <c r="G57" i="37"/>
  <c r="K57" i="37" s="1"/>
  <c r="O56" i="37"/>
  <c r="P56" i="37" s="1"/>
  <c r="Q56" i="37" s="1"/>
  <c r="N49" i="35"/>
  <c r="G50" i="35" s="1"/>
  <c r="K50" i="35" s="1"/>
  <c r="S49" i="35"/>
  <c r="L25" i="35"/>
  <c r="M25" i="35" s="1"/>
  <c r="N25" i="35" s="1"/>
  <c r="O25" i="35" s="1"/>
  <c r="Q25" i="35"/>
  <c r="F26" i="35"/>
  <c r="J26" i="35" s="1"/>
  <c r="G58" i="37" l="1"/>
  <c r="K58" i="37" s="1"/>
  <c r="O58" i="37" s="1"/>
  <c r="P58" i="37" s="1"/>
  <c r="Q58" i="37" s="1"/>
  <c r="O57" i="37"/>
  <c r="P57" i="37" s="1"/>
  <c r="Q57" i="37" s="1"/>
  <c r="E29" i="37"/>
  <c r="G29" i="37" s="1"/>
  <c r="C30" i="37"/>
  <c r="E30" i="37" s="1"/>
  <c r="G30" i="37" s="1"/>
  <c r="H28" i="37"/>
  <c r="N28" i="37"/>
  <c r="O28" i="37" s="1"/>
  <c r="P28" i="37" s="1"/>
  <c r="S50" i="35"/>
  <c r="N50" i="35"/>
  <c r="G51" i="35" s="1"/>
  <c r="K51" i="35" s="1"/>
  <c r="L26" i="35"/>
  <c r="M26" i="35"/>
  <c r="N26" i="35" s="1"/>
  <c r="O26" i="35" s="1"/>
  <c r="Q26" i="35"/>
  <c r="F27" i="35"/>
  <c r="J27" i="35" s="1"/>
  <c r="O49" i="35"/>
  <c r="P49" i="35" s="1"/>
  <c r="Q49" i="35" s="1"/>
  <c r="H30" i="37" l="1"/>
  <c r="H29" i="37"/>
  <c r="N29" i="37"/>
  <c r="O29" i="37" s="1"/>
  <c r="P29" i="37" s="1"/>
  <c r="R58" i="37"/>
  <c r="E3" i="37" s="1"/>
  <c r="D12" i="34" s="1"/>
  <c r="S51" i="35"/>
  <c r="N51" i="35"/>
  <c r="O51" i="35" s="1"/>
  <c r="P51" i="35" s="1"/>
  <c r="Q51" i="35" s="1"/>
  <c r="L27" i="35"/>
  <c r="M27" i="35"/>
  <c r="N27" i="35" s="1"/>
  <c r="O27" i="35" s="1"/>
  <c r="Q27" i="35"/>
  <c r="F28" i="35"/>
  <c r="J28" i="35" s="1"/>
  <c r="O50" i="35"/>
  <c r="P50" i="35" s="1"/>
  <c r="Q50" i="35" s="1"/>
  <c r="N30" i="37" l="1"/>
  <c r="O30" i="37" s="1"/>
  <c r="P30" i="37" s="1"/>
  <c r="L28" i="35"/>
  <c r="M28" i="35"/>
  <c r="N28" i="35" s="1"/>
  <c r="O28" i="35" s="1"/>
  <c r="Q28" i="35"/>
  <c r="F29" i="35"/>
  <c r="J29" i="35" s="1"/>
  <c r="G52" i="35"/>
  <c r="K52" i="35" s="1"/>
  <c r="Q30" i="37" l="1"/>
  <c r="E2" i="37" s="1"/>
  <c r="D11" i="34" s="1"/>
  <c r="D10" i="34" s="1"/>
  <c r="P32" i="37"/>
  <c r="N52" i="35"/>
  <c r="O52" i="35"/>
  <c r="P52" i="35" s="1"/>
  <c r="Q52" i="35" s="1"/>
  <c r="G53" i="35"/>
  <c r="K53" i="35" s="1"/>
  <c r="S52" i="35"/>
  <c r="L29" i="35"/>
  <c r="M29" i="35"/>
  <c r="N29" i="35" s="1"/>
  <c r="O29" i="35" s="1"/>
  <c r="Q29" i="35"/>
  <c r="F30" i="35"/>
  <c r="J30" i="35" s="1"/>
  <c r="L30" i="35" l="1"/>
  <c r="M30" i="35"/>
  <c r="N30" i="35" s="1"/>
  <c r="O30" i="35" s="1"/>
  <c r="O31" i="35" s="1"/>
  <c r="E4" i="35" s="1"/>
  <c r="D3" i="34" s="1"/>
  <c r="Q30" i="35"/>
  <c r="N53" i="35"/>
  <c r="G54" i="35" s="1"/>
  <c r="K54" i="35" s="1"/>
  <c r="O53" i="35"/>
  <c r="P53" i="35" s="1"/>
  <c r="Q53" i="35" s="1"/>
  <c r="S53" i="35"/>
  <c r="S54" i="35" l="1"/>
  <c r="N54" i="35"/>
  <c r="G55" i="35" s="1"/>
  <c r="K55" i="35" s="1"/>
  <c r="N55" i="35" l="1"/>
  <c r="O55" i="35" s="1"/>
  <c r="P55" i="35" s="1"/>
  <c r="Q55" i="35" s="1"/>
  <c r="S55" i="35"/>
  <c r="G56" i="35"/>
  <c r="K56" i="35" s="1"/>
  <c r="O54" i="35"/>
  <c r="P54" i="35" s="1"/>
  <c r="Q54" i="35" s="1"/>
  <c r="N56" i="35" l="1"/>
  <c r="O56" i="35"/>
  <c r="P56" i="35" s="1"/>
  <c r="Q56" i="35" s="1"/>
  <c r="G57" i="35"/>
  <c r="K57" i="35" s="1"/>
  <c r="S56" i="35"/>
  <c r="N57" i="35" l="1"/>
  <c r="O57" i="35" s="1"/>
  <c r="P57" i="35" s="1"/>
  <c r="Q57" i="35" s="1"/>
  <c r="Q58" i="35" s="1"/>
  <c r="E5" i="35" s="1"/>
  <c r="D4" i="34" s="1"/>
  <c r="D2" i="34" s="1"/>
  <c r="S57" i="35"/>
  <c r="D21" i="34" l="1"/>
  <c r="D18" i="34"/>
  <c r="D7" i="25" l="1"/>
  <c r="D6" i="25"/>
  <c r="D24" i="25"/>
  <c r="D23" i="25"/>
  <c r="D22" i="25"/>
  <c r="D21" i="25"/>
  <c r="D20" i="25"/>
  <c r="D19" i="25"/>
  <c r="D18" i="25"/>
  <c r="D17" i="25"/>
  <c r="D16" i="25"/>
  <c r="H5" i="7"/>
  <c r="H6" i="7"/>
  <c r="H7" i="7"/>
  <c r="H8" i="7" s="1"/>
  <c r="H9" i="7" s="1"/>
  <c r="H10" i="7" s="1"/>
  <c r="H11" i="7" s="1"/>
  <c r="D5" i="29" l="1"/>
  <c r="E6" i="33"/>
  <c r="E7" i="33" s="1"/>
  <c r="E6" i="17"/>
  <c r="E5" i="30" s="1"/>
  <c r="E6" i="22"/>
  <c r="D20" i="9"/>
  <c r="D21" i="9"/>
  <c r="D22" i="9" s="1"/>
  <c r="F6" i="22" s="1"/>
  <c r="K5" i="21"/>
  <c r="L5" i="21"/>
  <c r="K6" i="21"/>
  <c r="K8" i="21"/>
  <c r="L8" i="21" s="1"/>
  <c r="K10" i="21"/>
  <c r="L10" i="21"/>
  <c r="L12" i="21"/>
  <c r="L13" i="21"/>
  <c r="L14" i="21"/>
  <c r="L15" i="21"/>
  <c r="L16" i="21"/>
  <c r="L20" i="21"/>
  <c r="E5" i="29"/>
  <c r="F5" i="29"/>
  <c r="O18" i="31"/>
  <c r="P18" i="31" s="1"/>
  <c r="R18" i="31" s="1"/>
  <c r="C4" i="30" s="1"/>
  <c r="H4" i="30" s="1"/>
  <c r="C46" i="30" s="1"/>
  <c r="M38" i="12"/>
  <c r="Q18" i="31"/>
  <c r="D4" i="30"/>
  <c r="E4" i="30"/>
  <c r="F4" i="30"/>
  <c r="D46" i="30"/>
  <c r="H46" i="30" s="1"/>
  <c r="F5" i="19" s="1"/>
  <c r="N6" i="32"/>
  <c r="P6" i="32"/>
  <c r="H5" i="19" s="1"/>
  <c r="C16" i="29"/>
  <c r="C6" i="24"/>
  <c r="D6" i="24" s="1"/>
  <c r="C7" i="24"/>
  <c r="C9" i="24"/>
  <c r="C10" i="24" s="1"/>
  <c r="J5" i="19" s="1"/>
  <c r="L5" i="19" s="1"/>
  <c r="N25" i="32"/>
  <c r="P25" i="32" s="1"/>
  <c r="N24" i="32"/>
  <c r="P24" i="32"/>
  <c r="N23" i="32"/>
  <c r="P23" i="32" s="1"/>
  <c r="N22" i="32"/>
  <c r="P22" i="32"/>
  <c r="H21" i="19" s="1"/>
  <c r="N21" i="32"/>
  <c r="P21" i="32" s="1"/>
  <c r="H20" i="19" s="1"/>
  <c r="N20" i="32"/>
  <c r="P20" i="32"/>
  <c r="N19" i="32"/>
  <c r="P19" i="32" s="1"/>
  <c r="N18" i="32"/>
  <c r="P18" i="32"/>
  <c r="N17" i="32"/>
  <c r="P17" i="32" s="1"/>
  <c r="N16" i="32"/>
  <c r="P16" i="32"/>
  <c r="N15" i="32"/>
  <c r="P15" i="32" s="1"/>
  <c r="H14" i="19" s="1"/>
  <c r="N14" i="32"/>
  <c r="P14" i="32"/>
  <c r="H13" i="19" s="1"/>
  <c r="N13" i="32"/>
  <c r="P13" i="32" s="1"/>
  <c r="H12" i="19" s="1"/>
  <c r="N12" i="32"/>
  <c r="P12" i="32"/>
  <c r="H11" i="19" s="1"/>
  <c r="N11" i="32"/>
  <c r="P11" i="32" s="1"/>
  <c r="H10" i="19" s="1"/>
  <c r="N10" i="32"/>
  <c r="P10" i="32"/>
  <c r="H9" i="19" s="1"/>
  <c r="N9" i="32"/>
  <c r="P9" i="32" s="1"/>
  <c r="H8" i="19" s="1"/>
  <c r="N8" i="32"/>
  <c r="P8" i="32"/>
  <c r="N7" i="32"/>
  <c r="P7" i="32" s="1"/>
  <c r="H6" i="19" s="1"/>
  <c r="H38" i="12"/>
  <c r="D38" i="12"/>
  <c r="E38" i="12" s="1"/>
  <c r="F38" i="12" s="1"/>
  <c r="M5" i="21"/>
  <c r="M8" i="21"/>
  <c r="F12" i="21"/>
  <c r="G12" i="21" s="1"/>
  <c r="N12" i="21" s="1"/>
  <c r="M13" i="21"/>
  <c r="F14" i="21"/>
  <c r="M14" i="21"/>
  <c r="F15" i="21"/>
  <c r="M15" i="21" s="1"/>
  <c r="F16" i="21"/>
  <c r="M16" i="21"/>
  <c r="M17" i="21"/>
  <c r="N17" i="21" s="1"/>
  <c r="M18" i="21"/>
  <c r="N18" i="21" s="1"/>
  <c r="M19" i="21"/>
  <c r="M20" i="21"/>
  <c r="M21" i="21"/>
  <c r="F6" i="29"/>
  <c r="O19" i="31"/>
  <c r="P19" i="31" s="1"/>
  <c r="R19" i="31" s="1"/>
  <c r="C5" i="30" s="1"/>
  <c r="H5" i="30" s="1"/>
  <c r="C47" i="30" s="1"/>
  <c r="M39" i="12"/>
  <c r="Q19" i="31"/>
  <c r="D5" i="30"/>
  <c r="D7" i="24"/>
  <c r="H7" i="19"/>
  <c r="H39" i="12"/>
  <c r="N5" i="21"/>
  <c r="N8" i="21"/>
  <c r="N13" i="21"/>
  <c r="G14" i="21"/>
  <c r="N14" i="21"/>
  <c r="G15" i="21"/>
  <c r="N15" i="21"/>
  <c r="G16" i="21"/>
  <c r="N16" i="21" s="1"/>
  <c r="N19" i="21"/>
  <c r="N20" i="21"/>
  <c r="N21" i="21"/>
  <c r="F7" i="29"/>
  <c r="O20" i="31"/>
  <c r="P20" i="31" s="1"/>
  <c r="R20" i="31" s="1"/>
  <c r="C6" i="30" s="1"/>
  <c r="M40" i="12"/>
  <c r="Q20" i="31"/>
  <c r="D6" i="30"/>
  <c r="E7" i="24"/>
  <c r="F7" i="24" s="1"/>
  <c r="G7" i="24" s="1"/>
  <c r="H40" i="12"/>
  <c r="F8" i="29"/>
  <c r="B9" i="31"/>
  <c r="D18" i="31"/>
  <c r="F18" i="31" s="1"/>
  <c r="M41" i="12"/>
  <c r="Q21" i="31" s="1"/>
  <c r="D7" i="30"/>
  <c r="H41" i="12"/>
  <c r="F9" i="29"/>
  <c r="R22" i="31"/>
  <c r="C8" i="30" s="1"/>
  <c r="D8" i="30"/>
  <c r="H8" i="30"/>
  <c r="C50" i="30" s="1"/>
  <c r="D10" i="33"/>
  <c r="H42" i="12"/>
  <c r="M42" i="12"/>
  <c r="M43" i="12" s="1"/>
  <c r="F10" i="29"/>
  <c r="O23" i="31"/>
  <c r="P23" i="31" s="1"/>
  <c r="D9" i="30"/>
  <c r="H7" i="24"/>
  <c r="I7" i="24" s="1"/>
  <c r="H43" i="12"/>
  <c r="F11" i="29"/>
  <c r="O24" i="31"/>
  <c r="P24" i="31" s="1"/>
  <c r="D10" i="30"/>
  <c r="H44" i="12"/>
  <c r="F12" i="29"/>
  <c r="D19" i="31"/>
  <c r="D20" i="31" s="1"/>
  <c r="D21" i="31" s="1"/>
  <c r="D22" i="31" s="1"/>
  <c r="F22" i="31" s="1"/>
  <c r="H22" i="31" s="1"/>
  <c r="J25" i="31" s="1"/>
  <c r="M25" i="31" s="1"/>
  <c r="O25" i="31" s="1"/>
  <c r="P25" i="31" s="1"/>
  <c r="G53" i="30"/>
  <c r="H45" i="12"/>
  <c r="F13" i="29"/>
  <c r="C12" i="30"/>
  <c r="H12" i="30" s="1"/>
  <c r="D12" i="30"/>
  <c r="C54" i="30"/>
  <c r="F56" i="30" s="1"/>
  <c r="D54" i="30"/>
  <c r="H46" i="12"/>
  <c r="F14" i="29"/>
  <c r="O27" i="31"/>
  <c r="P27" i="31"/>
  <c r="D13" i="30"/>
  <c r="E55" i="30"/>
  <c r="H15" i="19"/>
  <c r="H47" i="12"/>
  <c r="F15" i="29"/>
  <c r="O28" i="31"/>
  <c r="P28" i="31"/>
  <c r="D14" i="30"/>
  <c r="H16" i="19"/>
  <c r="H48" i="12"/>
  <c r="F16" i="29"/>
  <c r="O29" i="31"/>
  <c r="P29" i="31" s="1"/>
  <c r="N29" i="31"/>
  <c r="D15" i="30" s="1"/>
  <c r="G57" i="30"/>
  <c r="H17" i="19"/>
  <c r="H49" i="12"/>
  <c r="C17" i="29"/>
  <c r="F17" i="29"/>
  <c r="C16" i="30"/>
  <c r="N30" i="31"/>
  <c r="D16" i="30" s="1"/>
  <c r="H16" i="30" s="1"/>
  <c r="C58" i="30" s="1"/>
  <c r="H18" i="19"/>
  <c r="H50" i="12"/>
  <c r="C18" i="29"/>
  <c r="F18" i="29"/>
  <c r="O31" i="31"/>
  <c r="P31" i="31"/>
  <c r="D17" i="30"/>
  <c r="H19" i="19"/>
  <c r="H51" i="12"/>
  <c r="C19" i="29"/>
  <c r="F19" i="29"/>
  <c r="O32" i="31"/>
  <c r="P32" i="31"/>
  <c r="D18" i="30"/>
  <c r="H52" i="12"/>
  <c r="C20" i="29"/>
  <c r="F20" i="29"/>
  <c r="C19" i="30"/>
  <c r="D19" i="30"/>
  <c r="H19" i="30" s="1"/>
  <c r="C61" i="30" s="1"/>
  <c r="H53" i="12"/>
  <c r="C21" i="29"/>
  <c r="F21" i="29"/>
  <c r="O34" i="31"/>
  <c r="P34" i="31" s="1"/>
  <c r="D20" i="30"/>
  <c r="H22" i="19"/>
  <c r="H54" i="12"/>
  <c r="C22" i="29"/>
  <c r="F22" i="29"/>
  <c r="O35" i="31"/>
  <c r="P35" i="31" s="1"/>
  <c r="D21" i="30"/>
  <c r="H23" i="19"/>
  <c r="H55" i="12"/>
  <c r="C23" i="29"/>
  <c r="F23" i="29"/>
  <c r="O36" i="31"/>
  <c r="P36" i="31" s="1"/>
  <c r="D22" i="30"/>
  <c r="H24" i="19"/>
  <c r="H56" i="12"/>
  <c r="C24" i="29"/>
  <c r="F24" i="29"/>
  <c r="R37" i="31"/>
  <c r="C23" i="30" s="1"/>
  <c r="D23" i="30"/>
  <c r="J5" i="24"/>
  <c r="G4" i="19"/>
  <c r="F26" i="32"/>
  <c r="G26" i="32"/>
  <c r="H26" i="32"/>
  <c r="I26" i="32"/>
  <c r="J26" i="32"/>
  <c r="K26" i="32"/>
  <c r="L26" i="32"/>
  <c r="M26" i="32"/>
  <c r="N26" i="32"/>
  <c r="D26" i="32"/>
  <c r="E26" i="32"/>
  <c r="O12" i="32"/>
  <c r="D5" i="28"/>
  <c r="E6" i="28"/>
  <c r="E5" i="28"/>
  <c r="E7" i="28"/>
  <c r="F7" i="28"/>
  <c r="G7" i="28" s="1"/>
  <c r="F6" i="28"/>
  <c r="F5" i="28"/>
  <c r="E39" i="28" s="1"/>
  <c r="D6" i="28"/>
  <c r="D8" i="28"/>
  <c r="K41" i="28" s="1"/>
  <c r="E41" i="28"/>
  <c r="G6" i="28"/>
  <c r="H6" i="28" s="1"/>
  <c r="I6" i="28" s="1"/>
  <c r="J6" i="28" s="1"/>
  <c r="K6" i="28" s="1"/>
  <c r="L6" i="28" s="1"/>
  <c r="G8" i="28"/>
  <c r="H8" i="28" s="1"/>
  <c r="I8" i="28" s="1"/>
  <c r="J8" i="28" s="1"/>
  <c r="I41" i="28" s="1"/>
  <c r="F41" i="28"/>
  <c r="G41" i="28"/>
  <c r="H41" i="28"/>
  <c r="K8" i="28"/>
  <c r="J41" i="28" s="1"/>
  <c r="M8" i="28"/>
  <c r="L41" i="28"/>
  <c r="N8" i="28"/>
  <c r="O8" i="28" s="1"/>
  <c r="M41" i="28"/>
  <c r="F11" i="28"/>
  <c r="E45" i="28" s="1"/>
  <c r="D14" i="28"/>
  <c r="E49" i="28"/>
  <c r="F17" i="28"/>
  <c r="D33" i="28"/>
  <c r="F19" i="28"/>
  <c r="F32" i="28" s="1"/>
  <c r="F33" i="28" s="1"/>
  <c r="E54" i="28" s="1"/>
  <c r="F20" i="28"/>
  <c r="G20" i="28" s="1"/>
  <c r="F21" i="28"/>
  <c r="F22" i="28"/>
  <c r="F23" i="28"/>
  <c r="F25" i="28"/>
  <c r="F26" i="28"/>
  <c r="F27" i="28"/>
  <c r="G27" i="28" s="1"/>
  <c r="F29" i="28"/>
  <c r="G29" i="28" s="1"/>
  <c r="H29" i="28" s="1"/>
  <c r="I29" i="28" s="1"/>
  <c r="J29" i="28" s="1"/>
  <c r="K29" i="28" s="1"/>
  <c r="L29" i="28" s="1"/>
  <c r="M29" i="28" s="1"/>
  <c r="N29" i="28" s="1"/>
  <c r="O29" i="28" s="1"/>
  <c r="P29" i="28" s="1"/>
  <c r="Q29" i="28" s="1"/>
  <c r="R29" i="28" s="1"/>
  <c r="S29" i="28" s="1"/>
  <c r="T29" i="28" s="1"/>
  <c r="U29" i="28" s="1"/>
  <c r="V29" i="28" s="1"/>
  <c r="W29" i="28" s="1"/>
  <c r="X29" i="28" s="1"/>
  <c r="Y29" i="28" s="1"/>
  <c r="F30" i="28"/>
  <c r="F31" i="28"/>
  <c r="G31" i="28" s="1"/>
  <c r="H31" i="28" s="1"/>
  <c r="I31" i="28" s="1"/>
  <c r="J31" i="28" s="1"/>
  <c r="K31" i="28" s="1"/>
  <c r="L31" i="28" s="1"/>
  <c r="M31" i="28" s="1"/>
  <c r="N31" i="28" s="1"/>
  <c r="O31" i="28" s="1"/>
  <c r="P31" i="28" s="1"/>
  <c r="Q31" i="28" s="1"/>
  <c r="R31" i="28" s="1"/>
  <c r="S31" i="28" s="1"/>
  <c r="T31" i="28" s="1"/>
  <c r="U31" i="28" s="1"/>
  <c r="V31" i="28" s="1"/>
  <c r="W31" i="28" s="1"/>
  <c r="X31" i="28" s="1"/>
  <c r="Y31" i="28" s="1"/>
  <c r="D34" i="28"/>
  <c r="G15" i="28"/>
  <c r="F49" i="28"/>
  <c r="G17" i="28"/>
  <c r="G24" i="28"/>
  <c r="H24" i="28" s="1"/>
  <c r="I24" i="28" s="1"/>
  <c r="J24" i="28" s="1"/>
  <c r="K24" i="28" s="1"/>
  <c r="L24" i="28" s="1"/>
  <c r="G25" i="28"/>
  <c r="H25" i="28" s="1"/>
  <c r="I25" i="28" s="1"/>
  <c r="J25" i="28" s="1"/>
  <c r="K25" i="28" s="1"/>
  <c r="L25" i="28" s="1"/>
  <c r="M25" i="28" s="1"/>
  <c r="N25" i="28" s="1"/>
  <c r="O25" i="28" s="1"/>
  <c r="P25" i="28" s="1"/>
  <c r="Q25" i="28" s="1"/>
  <c r="R25" i="28" s="1"/>
  <c r="S25" i="28" s="1"/>
  <c r="T25" i="28" s="1"/>
  <c r="U25" i="28" s="1"/>
  <c r="V25" i="28" s="1"/>
  <c r="W25" i="28" s="1"/>
  <c r="X25" i="28" s="1"/>
  <c r="Y25" i="28" s="1"/>
  <c r="G28" i="28"/>
  <c r="H15" i="28"/>
  <c r="G49" i="28" s="1"/>
  <c r="H19" i="28"/>
  <c r="H21" i="28"/>
  <c r="H22" i="28"/>
  <c r="H23" i="28"/>
  <c r="I23" i="28" s="1"/>
  <c r="J23" i="28" s="1"/>
  <c r="K23" i="28" s="1"/>
  <c r="L23" i="28" s="1"/>
  <c r="M23" i="28" s="1"/>
  <c r="N23" i="28" s="1"/>
  <c r="O23" i="28" s="1"/>
  <c r="P23" i="28" s="1"/>
  <c r="Q23" i="28" s="1"/>
  <c r="R23" i="28" s="1"/>
  <c r="S23" i="28" s="1"/>
  <c r="T23" i="28" s="1"/>
  <c r="U23" i="28" s="1"/>
  <c r="V23" i="28" s="1"/>
  <c r="W23" i="28" s="1"/>
  <c r="X23" i="28" s="1"/>
  <c r="Y23" i="28" s="1"/>
  <c r="H26" i="28"/>
  <c r="H27" i="28"/>
  <c r="I27" i="28" s="1"/>
  <c r="J27" i="28" s="1"/>
  <c r="K27" i="28" s="1"/>
  <c r="L27" i="28" s="1"/>
  <c r="M27" i="28" s="1"/>
  <c r="N27" i="28" s="1"/>
  <c r="O27" i="28" s="1"/>
  <c r="P27" i="28" s="1"/>
  <c r="Q27" i="28" s="1"/>
  <c r="R27" i="28" s="1"/>
  <c r="S27" i="28" s="1"/>
  <c r="T27" i="28" s="1"/>
  <c r="U27" i="28" s="1"/>
  <c r="V27" i="28" s="1"/>
  <c r="W27" i="28" s="1"/>
  <c r="X27" i="28" s="1"/>
  <c r="Y27" i="28" s="1"/>
  <c r="H28" i="28"/>
  <c r="H30" i="28"/>
  <c r="I15" i="28"/>
  <c r="H49" i="28" s="1"/>
  <c r="I19" i="28"/>
  <c r="I21" i="28"/>
  <c r="I22" i="28"/>
  <c r="I26" i="28"/>
  <c r="I28" i="28"/>
  <c r="I30" i="28"/>
  <c r="J15" i="28"/>
  <c r="I49" i="28" s="1"/>
  <c r="J19" i="28"/>
  <c r="J21" i="28"/>
  <c r="J22" i="28"/>
  <c r="J26" i="28"/>
  <c r="J28" i="28"/>
  <c r="J30" i="28"/>
  <c r="K15" i="28"/>
  <c r="J49" i="28" s="1"/>
  <c r="K19" i="28"/>
  <c r="K21" i="28"/>
  <c r="K22" i="28"/>
  <c r="K26" i="28"/>
  <c r="K28" i="28"/>
  <c r="K30" i="28"/>
  <c r="L15" i="28"/>
  <c r="K49" i="28" s="1"/>
  <c r="L17" i="28"/>
  <c r="L19" i="28"/>
  <c r="L21" i="28"/>
  <c r="L22" i="28"/>
  <c r="L26" i="28"/>
  <c r="L28" i="28"/>
  <c r="L30" i="28"/>
  <c r="M15" i="28"/>
  <c r="M21" i="28"/>
  <c r="M22" i="28"/>
  <c r="N22" i="28" s="1"/>
  <c r="M24" i="28"/>
  <c r="N24" i="28" s="1"/>
  <c r="O24" i="28" s="1"/>
  <c r="P24" i="28" s="1"/>
  <c r="Q24" i="28" s="1"/>
  <c r="R24" i="28" s="1"/>
  <c r="S24" i="28" s="1"/>
  <c r="T24" i="28" s="1"/>
  <c r="U24" i="28" s="1"/>
  <c r="V24" i="28" s="1"/>
  <c r="W24" i="28" s="1"/>
  <c r="X24" i="28" s="1"/>
  <c r="M26" i="28"/>
  <c r="N26" i="28" s="1"/>
  <c r="O26" i="28" s="1"/>
  <c r="P26" i="28" s="1"/>
  <c r="Q26" i="28" s="1"/>
  <c r="R26" i="28" s="1"/>
  <c r="S26" i="28" s="1"/>
  <c r="T26" i="28" s="1"/>
  <c r="U26" i="28" s="1"/>
  <c r="V26" i="28" s="1"/>
  <c r="W26" i="28" s="1"/>
  <c r="X26" i="28" s="1"/>
  <c r="Y26" i="28" s="1"/>
  <c r="M28" i="28"/>
  <c r="M30" i="28"/>
  <c r="N30" i="28" s="1"/>
  <c r="M48" i="28"/>
  <c r="M56" i="28" s="1"/>
  <c r="N21" i="28"/>
  <c r="O21" i="28" s="1"/>
  <c r="N28" i="28"/>
  <c r="O22" i="28"/>
  <c r="P22" i="28" s="1"/>
  <c r="Q22" i="28" s="1"/>
  <c r="R22" i="28" s="1"/>
  <c r="S22" i="28" s="1"/>
  <c r="T22" i="28" s="1"/>
  <c r="U22" i="28" s="1"/>
  <c r="V22" i="28" s="1"/>
  <c r="W22" i="28" s="1"/>
  <c r="X22" i="28" s="1"/>
  <c r="Y22" i="28" s="1"/>
  <c r="O28" i="28"/>
  <c r="P28" i="28" s="1"/>
  <c r="O30" i="28"/>
  <c r="O48" i="28"/>
  <c r="O56" i="28" s="1"/>
  <c r="P21" i="28"/>
  <c r="P30" i="28"/>
  <c r="P48" i="28"/>
  <c r="Q21" i="28"/>
  <c r="Q28" i="28"/>
  <c r="Q30" i="28"/>
  <c r="R30" i="28" s="1"/>
  <c r="S30" i="28" s="1"/>
  <c r="T30" i="28" s="1"/>
  <c r="U30" i="28" s="1"/>
  <c r="V30" i="28" s="1"/>
  <c r="W30" i="28" s="1"/>
  <c r="X30" i="28" s="1"/>
  <c r="Y30" i="28" s="1"/>
  <c r="P56" i="28"/>
  <c r="Q48" i="28"/>
  <c r="Q56" i="28" s="1"/>
  <c r="R21" i="28"/>
  <c r="S21" i="28" s="1"/>
  <c r="T21" i="28" s="1"/>
  <c r="U21" i="28" s="1"/>
  <c r="V21" i="28" s="1"/>
  <c r="W21" i="28" s="1"/>
  <c r="X21" i="28" s="1"/>
  <c r="Y21" i="28" s="1"/>
  <c r="R28" i="28"/>
  <c r="S28" i="28"/>
  <c r="T28" i="28" s="1"/>
  <c r="U28" i="28" s="1"/>
  <c r="V28" i="28" s="1"/>
  <c r="W28" i="28" s="1"/>
  <c r="X28" i="28" s="1"/>
  <c r="Y28" i="28" s="1"/>
  <c r="U48" i="28"/>
  <c r="U56" i="28" s="1"/>
  <c r="W48" i="28"/>
  <c r="W56" i="28" s="1"/>
  <c r="X48" i="28"/>
  <c r="X56" i="28" s="1"/>
  <c r="Y24" i="28"/>
  <c r="D39" i="28"/>
  <c r="D42" i="28" s="1"/>
  <c r="D40" i="28"/>
  <c r="D41" i="28"/>
  <c r="D45" i="28"/>
  <c r="D48" i="28"/>
  <c r="D56" i="28" s="1"/>
  <c r="D49" i="28"/>
  <c r="E17" i="28"/>
  <c r="E29" i="28"/>
  <c r="E32" i="28" s="1"/>
  <c r="E33" i="28" s="1"/>
  <c r="D54" i="28" s="1"/>
  <c r="J5" i="21"/>
  <c r="Q5" i="21" s="1"/>
  <c r="J6" i="21"/>
  <c r="Q6" i="21"/>
  <c r="J7" i="21"/>
  <c r="J8" i="21"/>
  <c r="Q8" i="21" s="1"/>
  <c r="J10" i="21"/>
  <c r="Q10" i="21" s="1"/>
  <c r="H12" i="21"/>
  <c r="I12" i="21" s="1"/>
  <c r="J12" i="21" s="1"/>
  <c r="O12" i="21"/>
  <c r="P12" i="21"/>
  <c r="O13" i="21"/>
  <c r="Q13" i="21" s="1"/>
  <c r="P13" i="21"/>
  <c r="H14" i="21"/>
  <c r="I14" i="21" s="1"/>
  <c r="J14" i="21" s="1"/>
  <c r="O14" i="21"/>
  <c r="H15" i="21"/>
  <c r="I15" i="21" s="1"/>
  <c r="P15" i="21" s="1"/>
  <c r="O15" i="21"/>
  <c r="Q15" i="21" s="1"/>
  <c r="H16" i="21"/>
  <c r="O16" i="21"/>
  <c r="Q16" i="21" s="1"/>
  <c r="I16" i="21"/>
  <c r="P16" i="21" s="1"/>
  <c r="O17" i="21"/>
  <c r="P17" i="21"/>
  <c r="Q17" i="21"/>
  <c r="O18" i="21"/>
  <c r="P18" i="21"/>
  <c r="Q18" i="21"/>
  <c r="O19" i="21"/>
  <c r="P19" i="21" s="1"/>
  <c r="O20" i="21"/>
  <c r="P20" i="21"/>
  <c r="Q20" i="21" s="1"/>
  <c r="O21" i="21"/>
  <c r="Q21" i="21" s="1"/>
  <c r="P21" i="21"/>
  <c r="P5" i="21"/>
  <c r="P6" i="21"/>
  <c r="P8" i="21"/>
  <c r="P10" i="21"/>
  <c r="O5" i="21"/>
  <c r="O6" i="21"/>
  <c r="O8" i="21"/>
  <c r="O10" i="21"/>
  <c r="J16" i="21"/>
  <c r="J15" i="21"/>
  <c r="H29" i="30"/>
  <c r="G23" i="30"/>
  <c r="G22" i="30"/>
  <c r="G21" i="30"/>
  <c r="G20" i="30"/>
  <c r="G19" i="30"/>
  <c r="G18" i="30"/>
  <c r="G17" i="30"/>
  <c r="G16" i="30"/>
  <c r="G15" i="30"/>
  <c r="G14" i="30"/>
  <c r="G13" i="30"/>
  <c r="G12" i="30"/>
  <c r="G11" i="30"/>
  <c r="G10" i="30"/>
  <c r="G9" i="30"/>
  <c r="G8" i="30"/>
  <c r="G7" i="30"/>
  <c r="G6" i="30"/>
  <c r="G5" i="30"/>
  <c r="G4" i="30"/>
  <c r="G30" i="29"/>
  <c r="D46" i="22"/>
  <c r="G26" i="22"/>
  <c r="H25" i="19"/>
  <c r="O25" i="32"/>
  <c r="J11" i="16"/>
  <c r="J12" i="16" s="1"/>
  <c r="J13" i="16" s="1"/>
  <c r="J14" i="16" s="1"/>
  <c r="J15" i="16" s="1"/>
  <c r="J16" i="16" s="1"/>
  <c r="J17" i="16" s="1"/>
  <c r="J18" i="16" s="1"/>
  <c r="J19" i="16" s="1"/>
  <c r="J20" i="16" s="1"/>
  <c r="J21" i="16" s="1"/>
  <c r="J22" i="16" s="1"/>
  <c r="J23" i="16" s="1"/>
  <c r="J24" i="16" s="1"/>
  <c r="J25" i="16" s="1"/>
  <c r="J26" i="16" s="1"/>
  <c r="F26" i="16"/>
  <c r="F25" i="16"/>
  <c r="F24" i="16"/>
  <c r="F23" i="16"/>
  <c r="F22" i="16"/>
  <c r="F21" i="16"/>
  <c r="F20" i="16"/>
  <c r="F19" i="16"/>
  <c r="F18" i="16"/>
  <c r="F17" i="16"/>
  <c r="F16" i="16"/>
  <c r="F15" i="16"/>
  <c r="F14" i="16"/>
  <c r="F13" i="16"/>
  <c r="F12" i="16"/>
  <c r="F11" i="16"/>
  <c r="F10" i="16"/>
  <c r="F9" i="16"/>
  <c r="F8" i="16"/>
  <c r="L12" i="4"/>
  <c r="H7" i="16" s="1"/>
  <c r="F7" i="16"/>
  <c r="I7" i="16"/>
  <c r="H8" i="16"/>
  <c r="N19" i="24"/>
  <c r="J7" i="24"/>
  <c r="J8" i="24"/>
  <c r="H15" i="23"/>
  <c r="D17" i="23"/>
  <c r="D15" i="23"/>
  <c r="D22" i="23"/>
  <c r="W15" i="23"/>
  <c r="W22" i="23" s="1"/>
  <c r="V15" i="23"/>
  <c r="V22" i="23" s="1"/>
  <c r="U15" i="23"/>
  <c r="U22" i="23"/>
  <c r="T15" i="23"/>
  <c r="T22" i="23" s="1"/>
  <c r="S15" i="23"/>
  <c r="S22" i="23" s="1"/>
  <c r="R15" i="23"/>
  <c r="R22" i="23" s="1"/>
  <c r="Q15" i="23"/>
  <c r="Q22" i="23"/>
  <c r="P15" i="23"/>
  <c r="P22" i="23" s="1"/>
  <c r="O15" i="23"/>
  <c r="O22" i="23" s="1"/>
  <c r="N15" i="23"/>
  <c r="N22" i="23" s="1"/>
  <c r="M15" i="23"/>
  <c r="M22" i="23"/>
  <c r="L15" i="23"/>
  <c r="L22" i="23"/>
  <c r="K15" i="23"/>
  <c r="K22" i="23" s="1"/>
  <c r="J15" i="23"/>
  <c r="J22" i="23" s="1"/>
  <c r="I15" i="23"/>
  <c r="I22" i="23"/>
  <c r="F15" i="23"/>
  <c r="G15" i="23"/>
  <c r="E15" i="23"/>
  <c r="L33" i="20"/>
  <c r="L34" i="20"/>
  <c r="L35" i="20"/>
  <c r="L36" i="20"/>
  <c r="L37" i="20"/>
  <c r="L39" i="20"/>
  <c r="L40" i="20"/>
  <c r="L41" i="20"/>
  <c r="L42" i="20"/>
  <c r="L43" i="20"/>
  <c r="L44" i="20"/>
  <c r="L45" i="20"/>
  <c r="L46" i="20"/>
  <c r="L47" i="20"/>
  <c r="K33" i="20"/>
  <c r="K34" i="20"/>
  <c r="K35" i="20"/>
  <c r="K36" i="20"/>
  <c r="K37" i="20" s="1"/>
  <c r="K39" i="20"/>
  <c r="K40" i="20"/>
  <c r="K41" i="20"/>
  <c r="K42" i="20"/>
  <c r="K43" i="20"/>
  <c r="K44" i="20"/>
  <c r="K45" i="20"/>
  <c r="K46" i="20"/>
  <c r="K47" i="20"/>
  <c r="J33" i="20"/>
  <c r="J34" i="20"/>
  <c r="J35" i="20"/>
  <c r="J37" i="20" s="1"/>
  <c r="J36" i="20"/>
  <c r="J39" i="20"/>
  <c r="J40" i="20"/>
  <c r="J41" i="20"/>
  <c r="J42" i="20"/>
  <c r="J43" i="20"/>
  <c r="J44" i="20"/>
  <c r="J45" i="20"/>
  <c r="J46" i="20"/>
  <c r="J47" i="20"/>
  <c r="I33" i="20"/>
  <c r="I34" i="20"/>
  <c r="I35" i="20"/>
  <c r="I37" i="20" s="1"/>
  <c r="I36" i="20"/>
  <c r="I39" i="20"/>
  <c r="I40" i="20"/>
  <c r="I41" i="20"/>
  <c r="I42" i="20"/>
  <c r="I43" i="20"/>
  <c r="I44" i="20"/>
  <c r="I45" i="20"/>
  <c r="I46" i="20"/>
  <c r="I47" i="20"/>
  <c r="H33" i="20"/>
  <c r="H34" i="20"/>
  <c r="H35" i="20"/>
  <c r="H36" i="20"/>
  <c r="H37" i="20"/>
  <c r="H39" i="20"/>
  <c r="H40" i="20"/>
  <c r="H41" i="20"/>
  <c r="H42" i="20"/>
  <c r="H43" i="20"/>
  <c r="H44" i="20"/>
  <c r="H45" i="20"/>
  <c r="H46" i="20"/>
  <c r="H47" i="20"/>
  <c r="G33" i="20"/>
  <c r="G34" i="20"/>
  <c r="G35" i="20"/>
  <c r="G36" i="20"/>
  <c r="G37" i="20" s="1"/>
  <c r="G39" i="20"/>
  <c r="G40" i="20"/>
  <c r="G41" i="20"/>
  <c r="G42" i="20"/>
  <c r="G43" i="20"/>
  <c r="G44" i="20"/>
  <c r="G45" i="20"/>
  <c r="G46" i="20"/>
  <c r="G47" i="20"/>
  <c r="F33" i="20"/>
  <c r="F34" i="20"/>
  <c r="F35" i="20"/>
  <c r="F37" i="20" s="1"/>
  <c r="F36" i="20"/>
  <c r="F39" i="20"/>
  <c r="F40" i="20"/>
  <c r="F41" i="20"/>
  <c r="F42" i="20"/>
  <c r="F43" i="20"/>
  <c r="F44" i="20"/>
  <c r="F45" i="20"/>
  <c r="F46" i="20"/>
  <c r="F47" i="20"/>
  <c r="E33" i="20"/>
  <c r="E34" i="20"/>
  <c r="E35" i="20"/>
  <c r="E37" i="20" s="1"/>
  <c r="E36" i="20"/>
  <c r="E39" i="20"/>
  <c r="E40" i="20"/>
  <c r="E41" i="20"/>
  <c r="E42" i="20"/>
  <c r="E43" i="20"/>
  <c r="E44" i="20"/>
  <c r="E45" i="20"/>
  <c r="E46" i="20"/>
  <c r="E47" i="20"/>
  <c r="D33" i="20"/>
  <c r="D34" i="20"/>
  <c r="D35" i="20"/>
  <c r="D36" i="20"/>
  <c r="D37" i="20"/>
  <c r="D39" i="20"/>
  <c r="D40" i="20"/>
  <c r="D41" i="20"/>
  <c r="D42" i="20"/>
  <c r="D43" i="20"/>
  <c r="D44" i="20"/>
  <c r="D45" i="20"/>
  <c r="D46" i="20"/>
  <c r="D47" i="20"/>
  <c r="C33" i="20"/>
  <c r="C34" i="20"/>
  <c r="C35" i="20"/>
  <c r="C36" i="20"/>
  <c r="C37" i="20" s="1"/>
  <c r="C39" i="20"/>
  <c r="C40" i="20"/>
  <c r="C41" i="20"/>
  <c r="C42" i="20"/>
  <c r="C43" i="20"/>
  <c r="C44" i="20"/>
  <c r="C45" i="20"/>
  <c r="C46" i="20"/>
  <c r="C47" i="20"/>
  <c r="B33" i="20"/>
  <c r="B34" i="20"/>
  <c r="B35" i="20"/>
  <c r="B37" i="20" s="1"/>
  <c r="B36" i="20"/>
  <c r="B39" i="20"/>
  <c r="B40" i="20"/>
  <c r="B41" i="20"/>
  <c r="B42" i="20"/>
  <c r="B43" i="20"/>
  <c r="B44" i="20"/>
  <c r="B45" i="20"/>
  <c r="B46" i="20"/>
  <c r="B47" i="20"/>
  <c r="L11" i="20"/>
  <c r="L22" i="20"/>
  <c r="L23" i="20"/>
  <c r="K11" i="20"/>
  <c r="K23" i="20" s="1"/>
  <c r="K22" i="20"/>
  <c r="J11" i="20"/>
  <c r="J22" i="20"/>
  <c r="J23" i="20"/>
  <c r="I11" i="20"/>
  <c r="I22" i="20"/>
  <c r="I23" i="20" s="1"/>
  <c r="H11" i="20"/>
  <c r="H23" i="20" s="1"/>
  <c r="H22" i="20"/>
  <c r="G11" i="20"/>
  <c r="G22" i="20"/>
  <c r="G23" i="20" s="1"/>
  <c r="F11" i="20"/>
  <c r="F22" i="20"/>
  <c r="F23" i="20"/>
  <c r="E11" i="20"/>
  <c r="E22" i="20"/>
  <c r="D11" i="20"/>
  <c r="D22" i="20"/>
  <c r="D23" i="20"/>
  <c r="C11" i="20"/>
  <c r="C22" i="20"/>
  <c r="C23" i="20"/>
  <c r="B11" i="20"/>
  <c r="B22" i="20"/>
  <c r="B23" i="20"/>
  <c r="F130" i="18"/>
  <c r="G130" i="18"/>
  <c r="H130" i="18" s="1"/>
  <c r="F131" i="18"/>
  <c r="G131" i="18" s="1"/>
  <c r="F132" i="18"/>
  <c r="G132" i="18" s="1"/>
  <c r="F133" i="18"/>
  <c r="G133" i="18" s="1"/>
  <c r="C134" i="18"/>
  <c r="F118" i="18"/>
  <c r="G118" i="18" s="1"/>
  <c r="H119" i="18" s="1"/>
  <c r="I119" i="18" s="1"/>
  <c r="F119" i="18"/>
  <c r="G119" i="18"/>
  <c r="F120" i="18"/>
  <c r="G120" i="18" s="1"/>
  <c r="F121" i="18"/>
  <c r="G121" i="18"/>
  <c r="H121" i="18" s="1"/>
  <c r="I121" i="18" s="1"/>
  <c r="C122" i="18"/>
  <c r="F26" i="18"/>
  <c r="G26" i="18"/>
  <c r="H26" i="18"/>
  <c r="F25" i="18"/>
  <c r="G25" i="18" s="1"/>
  <c r="F24" i="18"/>
  <c r="G24" i="18" s="1"/>
  <c r="H24" i="18" s="1"/>
  <c r="F23" i="18"/>
  <c r="G23" i="18"/>
  <c r="H23" i="18" s="1"/>
  <c r="F22" i="18"/>
  <c r="G22" i="18"/>
  <c r="F21" i="18"/>
  <c r="G21" i="18" s="1"/>
  <c r="H21" i="18" s="1"/>
  <c r="F20" i="18"/>
  <c r="H20" i="18" s="1"/>
  <c r="G20" i="18"/>
  <c r="F19" i="18"/>
  <c r="F18" i="18"/>
  <c r="G18" i="18" s="1"/>
  <c r="H18" i="18"/>
  <c r="F17" i="18"/>
  <c r="G17" i="18" s="1"/>
  <c r="F16" i="18"/>
  <c r="G16" i="18" s="1"/>
  <c r="F15" i="18"/>
  <c r="G15" i="18"/>
  <c r="H15" i="18" s="1"/>
  <c r="F14" i="18"/>
  <c r="G14" i="18"/>
  <c r="F13" i="18"/>
  <c r="G13" i="18" s="1"/>
  <c r="F12" i="18"/>
  <c r="H12" i="18" s="1"/>
  <c r="G12" i="18"/>
  <c r="F11" i="18"/>
  <c r="F10" i="18"/>
  <c r="G10" i="18" s="1"/>
  <c r="H10" i="18"/>
  <c r="F9" i="18"/>
  <c r="G9" i="18" s="1"/>
  <c r="F8" i="18"/>
  <c r="G8" i="18" s="1"/>
  <c r="F35" i="18"/>
  <c r="G35" i="18" s="1"/>
  <c r="H36" i="18" s="1"/>
  <c r="I36" i="18" s="1"/>
  <c r="F36" i="18"/>
  <c r="G36" i="18"/>
  <c r="F37" i="18"/>
  <c r="G37" i="18" s="1"/>
  <c r="F38" i="18"/>
  <c r="G38" i="18"/>
  <c r="H38" i="18"/>
  <c r="I38" i="18"/>
  <c r="C108" i="18"/>
  <c r="J102" i="18"/>
  <c r="K102" i="18"/>
  <c r="N102" i="18" s="1"/>
  <c r="M102" i="18"/>
  <c r="J103" i="18"/>
  <c r="K103" i="18"/>
  <c r="L103" i="18" s="1"/>
  <c r="F104" i="18" s="1"/>
  <c r="G104" i="18" s="1"/>
  <c r="E103" i="18"/>
  <c r="G103" i="18" s="1"/>
  <c r="J104" i="18"/>
  <c r="K104" i="18"/>
  <c r="E104" i="18"/>
  <c r="J105" i="18"/>
  <c r="K105" i="18"/>
  <c r="E105" i="18"/>
  <c r="J106" i="18"/>
  <c r="K106" i="18"/>
  <c r="E106" i="18"/>
  <c r="C107" i="18"/>
  <c r="F90" i="18"/>
  <c r="G90" i="18" s="1"/>
  <c r="F91" i="18"/>
  <c r="G91" i="18"/>
  <c r="F92" i="18"/>
  <c r="G92" i="18" s="1"/>
  <c r="F93" i="18"/>
  <c r="G93" i="18"/>
  <c r="C94" i="18"/>
  <c r="F78" i="18"/>
  <c r="G78" i="18" s="1"/>
  <c r="F79" i="18"/>
  <c r="G79" i="18"/>
  <c r="F80" i="18"/>
  <c r="G80" i="18" s="1"/>
  <c r="F81" i="18"/>
  <c r="G81" i="18"/>
  <c r="C82" i="18"/>
  <c r="F62" i="18"/>
  <c r="G62" i="18"/>
  <c r="H63" i="18" s="1"/>
  <c r="I63" i="18" s="1"/>
  <c r="H62" i="18"/>
  <c r="F63" i="18"/>
  <c r="G63" i="18"/>
  <c r="F64" i="18"/>
  <c r="G64" i="18"/>
  <c r="H64" i="18"/>
  <c r="I64" i="18" s="1"/>
  <c r="F65" i="18"/>
  <c r="G65" i="18"/>
  <c r="C66" i="18"/>
  <c r="F50" i="18"/>
  <c r="G50" i="18" s="1"/>
  <c r="F51" i="18"/>
  <c r="G51" i="18" s="1"/>
  <c r="F52" i="18"/>
  <c r="G52" i="18" s="1"/>
  <c r="F53" i="18"/>
  <c r="G53" i="18" s="1"/>
  <c r="C54" i="18"/>
  <c r="C39" i="18"/>
  <c r="M37" i="18"/>
  <c r="F28" i="18"/>
  <c r="G28" i="18" s="1"/>
  <c r="F27" i="18"/>
  <c r="G27" i="18"/>
  <c r="C27" i="6"/>
  <c r="E27" i="6" s="1"/>
  <c r="D27" i="6"/>
  <c r="D28" i="6" s="1"/>
  <c r="F27" i="6"/>
  <c r="H27" i="6" s="1"/>
  <c r="P27" i="6" s="1"/>
  <c r="G27" i="6"/>
  <c r="J28" i="6" s="1"/>
  <c r="C11" i="6"/>
  <c r="C29" i="6"/>
  <c r="C30" i="6" s="1"/>
  <c r="C31" i="6" s="1"/>
  <c r="C33" i="6" s="1"/>
  <c r="F28" i="6"/>
  <c r="F29" i="6" s="1"/>
  <c r="G33" i="6"/>
  <c r="J34" i="6" s="1"/>
  <c r="M35" i="6" s="1"/>
  <c r="C28" i="6"/>
  <c r="I28" i="6"/>
  <c r="I29" i="6" s="1"/>
  <c r="G31" i="6"/>
  <c r="J33" i="6" s="1"/>
  <c r="M34" i="6" s="1"/>
  <c r="G30" i="6"/>
  <c r="J31" i="6"/>
  <c r="M33" i="6" s="1"/>
  <c r="D16" i="6"/>
  <c r="F16" i="6" s="1"/>
  <c r="O50" i="6" s="1"/>
  <c r="J47" i="6"/>
  <c r="N42" i="6"/>
  <c r="N43" i="6" s="1"/>
  <c r="N44" i="6" s="1"/>
  <c r="N45" i="6" s="1"/>
  <c r="N46" i="6" s="1"/>
  <c r="N47" i="6" s="1"/>
  <c r="J46" i="6"/>
  <c r="M47" i="6" s="1"/>
  <c r="J45" i="6"/>
  <c r="M46" i="6" s="1"/>
  <c r="J44" i="6"/>
  <c r="M45" i="6"/>
  <c r="J43" i="6"/>
  <c r="M44" i="6"/>
  <c r="J42" i="6"/>
  <c r="M43" i="6" s="1"/>
  <c r="J41" i="6"/>
  <c r="M42" i="6"/>
  <c r="J40" i="6"/>
  <c r="M41" i="6"/>
  <c r="G38" i="6"/>
  <c r="J39" i="6"/>
  <c r="M40" i="6" s="1"/>
  <c r="G37" i="6"/>
  <c r="J38" i="6" s="1"/>
  <c r="M39" i="6" s="1"/>
  <c r="G36" i="6"/>
  <c r="J37" i="6"/>
  <c r="M38" i="6"/>
  <c r="G35" i="6"/>
  <c r="J36" i="6" s="1"/>
  <c r="M37" i="6" s="1"/>
  <c r="G34" i="6"/>
  <c r="J35" i="6"/>
  <c r="M36" i="6" s="1"/>
  <c r="G29" i="6"/>
  <c r="J30" i="6"/>
  <c r="M31" i="6"/>
  <c r="G28" i="6"/>
  <c r="J29" i="6" s="1"/>
  <c r="M30" i="6" s="1"/>
  <c r="M29" i="6"/>
  <c r="K28" i="6"/>
  <c r="S27" i="6"/>
  <c r="S28" i="6" s="1"/>
  <c r="N17" i="6"/>
  <c r="M17" i="6"/>
  <c r="L17" i="6"/>
  <c r="K17" i="6"/>
  <c r="E6" i="3"/>
  <c r="F7" i="3"/>
  <c r="G8" i="3" s="1"/>
  <c r="H9" i="3" s="1"/>
  <c r="I10" i="3" s="1"/>
  <c r="J11" i="3" s="1"/>
  <c r="K12" i="3" s="1"/>
  <c r="L13" i="3" s="1"/>
  <c r="M14" i="3" s="1"/>
  <c r="F6" i="3"/>
  <c r="G7" i="3" s="1"/>
  <c r="H8" i="3" s="1"/>
  <c r="I9" i="3"/>
  <c r="J10" i="3" s="1"/>
  <c r="K11" i="3" s="1"/>
  <c r="L12" i="3" s="1"/>
  <c r="M13" i="3" s="1"/>
  <c r="G6" i="3"/>
  <c r="H7" i="3" s="1"/>
  <c r="I8" i="3" s="1"/>
  <c r="J9" i="3"/>
  <c r="K10" i="3" s="1"/>
  <c r="L11" i="3" s="1"/>
  <c r="M12" i="3" s="1"/>
  <c r="J5" i="4"/>
  <c r="Q5" i="4" s="1"/>
  <c r="R5" i="4" s="1"/>
  <c r="K5" i="4"/>
  <c r="J6" i="4"/>
  <c r="K6" i="4"/>
  <c r="J7" i="4"/>
  <c r="J8" i="4"/>
  <c r="Q8" i="4" s="1"/>
  <c r="R8" i="4" s="1"/>
  <c r="K8" i="4"/>
  <c r="J10" i="4"/>
  <c r="Q10" i="4" s="1"/>
  <c r="K10" i="4"/>
  <c r="F12" i="4"/>
  <c r="M12" i="4"/>
  <c r="G12" i="4"/>
  <c r="N12" i="4" s="1"/>
  <c r="H12" i="4"/>
  <c r="L13" i="4"/>
  <c r="Q13" i="4" s="1"/>
  <c r="R13" i="4" s="1"/>
  <c r="M13" i="4"/>
  <c r="N13" i="4"/>
  <c r="O13" i="4"/>
  <c r="P13" i="4"/>
  <c r="L14" i="4"/>
  <c r="M14" i="4"/>
  <c r="N14" i="4"/>
  <c r="Q14" i="4" s="1"/>
  <c r="R14" i="4" s="1"/>
  <c r="O14" i="4"/>
  <c r="P14" i="4"/>
  <c r="L15" i="4"/>
  <c r="M15" i="4"/>
  <c r="N15" i="4"/>
  <c r="O15" i="4"/>
  <c r="P15" i="4"/>
  <c r="Q15" i="4" s="1"/>
  <c r="R15" i="4" s="1"/>
  <c r="L16" i="4"/>
  <c r="F16" i="4"/>
  <c r="M17" i="4"/>
  <c r="N17" i="4" s="1"/>
  <c r="O17" i="4" s="1"/>
  <c r="P17" i="4" s="1"/>
  <c r="M18" i="4"/>
  <c r="N18" i="4" s="1"/>
  <c r="O18" i="4"/>
  <c r="P18" i="4" s="1"/>
  <c r="M19" i="4"/>
  <c r="N19" i="4" s="1"/>
  <c r="O19" i="4"/>
  <c r="P19" i="4" s="1"/>
  <c r="Q20" i="4"/>
  <c r="R20" i="4" s="1"/>
  <c r="L21" i="4"/>
  <c r="M21" i="4"/>
  <c r="N21" i="4"/>
  <c r="O21" i="4"/>
  <c r="P21" i="4"/>
  <c r="M22" i="4"/>
  <c r="N22" i="4"/>
  <c r="O22" i="4" s="1"/>
  <c r="P22" i="4" s="1"/>
  <c r="P8" i="4"/>
  <c r="P10" i="4"/>
  <c r="P20" i="4"/>
  <c r="O6" i="4"/>
  <c r="O8" i="4"/>
  <c r="O10" i="4"/>
  <c r="O20" i="4"/>
  <c r="N5" i="4"/>
  <c r="N8" i="4"/>
  <c r="N10" i="4"/>
  <c r="N20" i="4"/>
  <c r="M8" i="4"/>
  <c r="M10" i="4"/>
  <c r="M20" i="4"/>
  <c r="L8" i="4"/>
  <c r="L10" i="4"/>
  <c r="L20" i="4"/>
  <c r="J15" i="4"/>
  <c r="J14" i="4"/>
  <c r="J13" i="4"/>
  <c r="R11" i="4"/>
  <c r="R10" i="4"/>
  <c r="C28" i="8"/>
  <c r="D27" i="8"/>
  <c r="D28" i="8"/>
  <c r="D29" i="8" s="1"/>
  <c r="C27" i="8"/>
  <c r="F27" i="8"/>
  <c r="F28" i="8" s="1"/>
  <c r="H28" i="8" s="1"/>
  <c r="G28" i="8"/>
  <c r="G27" i="8"/>
  <c r="J28" i="8" s="1"/>
  <c r="C11" i="8"/>
  <c r="C29" i="8"/>
  <c r="C30" i="8" s="1"/>
  <c r="C31" i="8"/>
  <c r="F29" i="8"/>
  <c r="F30" i="8" s="1"/>
  <c r="F31" i="8" s="1"/>
  <c r="H31" i="8" s="1"/>
  <c r="F33" i="8"/>
  <c r="G33" i="8"/>
  <c r="G31" i="8"/>
  <c r="J33" i="8"/>
  <c r="L29" i="8"/>
  <c r="G30" i="8"/>
  <c r="J31" i="8"/>
  <c r="M33" i="8" s="1"/>
  <c r="D16" i="8"/>
  <c r="F16" i="8" s="1"/>
  <c r="O50" i="8"/>
  <c r="S29" i="8"/>
  <c r="S30" i="8" s="1"/>
  <c r="S31" i="8"/>
  <c r="S32" i="8" s="1"/>
  <c r="S33" i="8" s="1"/>
  <c r="S34" i="8" s="1"/>
  <c r="S35" i="8" s="1"/>
  <c r="S36" i="8" s="1"/>
  <c r="S37" i="8" s="1"/>
  <c r="S38" i="8" s="1"/>
  <c r="S39" i="8" s="1"/>
  <c r="S40" i="8" s="1"/>
  <c r="S41" i="8" s="1"/>
  <c r="S42" i="8" s="1"/>
  <c r="S43" i="8" s="1"/>
  <c r="S44" i="8" s="1"/>
  <c r="S45" i="8" s="1"/>
  <c r="S46" i="8" s="1"/>
  <c r="S47" i="8" s="1"/>
  <c r="S48" i="8" s="1"/>
  <c r="S49" i="8" s="1"/>
  <c r="J47" i="8"/>
  <c r="J46" i="8"/>
  <c r="M47" i="8" s="1"/>
  <c r="J45" i="8"/>
  <c r="M46" i="8" s="1"/>
  <c r="J44" i="8"/>
  <c r="M45" i="8" s="1"/>
  <c r="J43" i="8"/>
  <c r="M44" i="8"/>
  <c r="J42" i="8"/>
  <c r="M43" i="8" s="1"/>
  <c r="J41" i="8"/>
  <c r="M42" i="8"/>
  <c r="J40" i="8"/>
  <c r="M41" i="8"/>
  <c r="G38" i="8"/>
  <c r="J39" i="8" s="1"/>
  <c r="M40" i="8" s="1"/>
  <c r="G37" i="8"/>
  <c r="J38" i="8" s="1"/>
  <c r="M39" i="8" s="1"/>
  <c r="G36" i="8"/>
  <c r="J37" i="8" s="1"/>
  <c r="M38" i="8"/>
  <c r="G35" i="8"/>
  <c r="J36" i="8" s="1"/>
  <c r="M37" i="8"/>
  <c r="G34" i="8"/>
  <c r="J35" i="8"/>
  <c r="M36" i="8" s="1"/>
  <c r="J34" i="8"/>
  <c r="M35" i="8" s="1"/>
  <c r="M34" i="8"/>
  <c r="G29" i="8"/>
  <c r="J30" i="8"/>
  <c r="M31" i="8"/>
  <c r="H30" i="8"/>
  <c r="J29" i="8"/>
  <c r="M30" i="8" s="1"/>
  <c r="H29" i="8"/>
  <c r="M29" i="8"/>
  <c r="H27" i="8"/>
  <c r="E27" i="8"/>
  <c r="N17" i="8"/>
  <c r="M17" i="8"/>
  <c r="L17" i="8"/>
  <c r="K17" i="8"/>
  <c r="D39" i="12"/>
  <c r="D40" i="12" s="1"/>
  <c r="D41" i="12" s="1"/>
  <c r="D42" i="12" s="1"/>
  <c r="D43" i="12" s="1"/>
  <c r="D44" i="12" s="1"/>
  <c r="D45" i="12" s="1"/>
  <c r="D46" i="12" s="1"/>
  <c r="D47" i="12" s="1"/>
  <c r="D48" i="12" s="1"/>
  <c r="D49" i="12" s="1"/>
  <c r="D50" i="12" s="1"/>
  <c r="D51" i="12" s="1"/>
  <c r="D52" i="12" s="1"/>
  <c r="D53" i="12" s="1"/>
  <c r="D54" i="12" s="1"/>
  <c r="D55" i="12" s="1"/>
  <c r="D56" i="12" s="1"/>
  <c r="H37" i="12"/>
  <c r="F37" i="12"/>
  <c r="L33" i="12"/>
  <c r="C32" i="12"/>
  <c r="H12" i="12"/>
  <c r="F12" i="12"/>
  <c r="I12" i="12"/>
  <c r="J12" i="12" s="1"/>
  <c r="J31" i="12" s="1"/>
  <c r="C31" i="12"/>
  <c r="L30" i="12"/>
  <c r="N30" i="12"/>
  <c r="H30" i="12"/>
  <c r="H29" i="12"/>
  <c r="H28" i="12"/>
  <c r="H27" i="12"/>
  <c r="H26" i="12"/>
  <c r="H25" i="12"/>
  <c r="H24" i="12"/>
  <c r="H23" i="12"/>
  <c r="H22" i="12"/>
  <c r="H21" i="12"/>
  <c r="H20" i="12"/>
  <c r="H19" i="12"/>
  <c r="H18" i="12"/>
  <c r="H17" i="12"/>
  <c r="H16" i="12"/>
  <c r="H15" i="12"/>
  <c r="F15" i="12"/>
  <c r="I15" i="12" s="1"/>
  <c r="J15" i="12"/>
  <c r="L29" i="12"/>
  <c r="N29" i="12" s="1"/>
  <c r="L28" i="12"/>
  <c r="N28" i="12"/>
  <c r="L27" i="12"/>
  <c r="N27" i="12"/>
  <c r="L26" i="12"/>
  <c r="N26" i="12"/>
  <c r="L25" i="12"/>
  <c r="N25" i="12" s="1"/>
  <c r="L24" i="12"/>
  <c r="N24" i="12"/>
  <c r="L23" i="12"/>
  <c r="N23" i="12"/>
  <c r="L22" i="12"/>
  <c r="N22" i="12"/>
  <c r="L21" i="12"/>
  <c r="N21" i="12" s="1"/>
  <c r="L20" i="12"/>
  <c r="N20" i="12"/>
  <c r="L19" i="12"/>
  <c r="N19" i="12"/>
  <c r="L18" i="12"/>
  <c r="N18" i="12"/>
  <c r="L17" i="12"/>
  <c r="N17" i="12" s="1"/>
  <c r="L16" i="12"/>
  <c r="N16" i="12"/>
  <c r="L15" i="12"/>
  <c r="N15" i="12"/>
  <c r="L14" i="12"/>
  <c r="N14" i="12"/>
  <c r="H14" i="12"/>
  <c r="I14" i="12" s="1"/>
  <c r="J14" i="12" s="1"/>
  <c r="F14" i="12"/>
  <c r="L13" i="12"/>
  <c r="N13" i="12"/>
  <c r="H13" i="12"/>
  <c r="F13" i="12"/>
  <c r="I13" i="12"/>
  <c r="J13" i="12" s="1"/>
  <c r="L12" i="12"/>
  <c r="N12" i="12"/>
  <c r="E12" i="12"/>
  <c r="H11" i="12"/>
  <c r="D4" i="12"/>
  <c r="D6" i="12"/>
  <c r="D5" i="12"/>
  <c r="D5" i="11"/>
  <c r="E5" i="11" s="1"/>
  <c r="G5" i="11" s="1"/>
  <c r="G18" i="10"/>
  <c r="H17" i="10"/>
  <c r="H16" i="10"/>
  <c r="H15" i="10"/>
  <c r="H14" i="10"/>
  <c r="P64" i="31"/>
  <c r="Q64" i="31" s="1"/>
  <c r="R64" i="31" s="1"/>
  <c r="D64" i="31"/>
  <c r="K44" i="31"/>
  <c r="F44" i="31"/>
  <c r="H44" i="31"/>
  <c r="N44" i="31"/>
  <c r="D45" i="31"/>
  <c r="K45" i="31" s="1"/>
  <c r="D46" i="31"/>
  <c r="K46" i="31" s="1"/>
  <c r="N46" i="31"/>
  <c r="D47" i="31"/>
  <c r="K47" i="31" s="1"/>
  <c r="D48" i="31"/>
  <c r="K48" i="31"/>
  <c r="N48" i="31"/>
  <c r="D49" i="31"/>
  <c r="D50" i="31"/>
  <c r="K50" i="31" s="1"/>
  <c r="D51" i="31"/>
  <c r="K51" i="31" s="1"/>
  <c r="D52" i="31"/>
  <c r="K52" i="31" s="1"/>
  <c r="N52" i="31"/>
  <c r="D53" i="31"/>
  <c r="K53" i="31" s="1"/>
  <c r="D54" i="31"/>
  <c r="K54" i="31" s="1"/>
  <c r="N54" i="31"/>
  <c r="D55" i="31"/>
  <c r="K55" i="31" s="1"/>
  <c r="N55" i="31"/>
  <c r="D56" i="31"/>
  <c r="K56" i="31" s="1"/>
  <c r="N56" i="31"/>
  <c r="D57" i="31"/>
  <c r="K57" i="31" s="1"/>
  <c r="D58" i="31"/>
  <c r="D59" i="31"/>
  <c r="K59" i="31" s="1"/>
  <c r="D60" i="31"/>
  <c r="K60" i="31" s="1"/>
  <c r="N60" i="31"/>
  <c r="D61" i="31"/>
  <c r="K61" i="31" s="1"/>
  <c r="D62" i="31"/>
  <c r="K62" i="31" s="1"/>
  <c r="N62" i="31"/>
  <c r="D63" i="31"/>
  <c r="K63" i="31" s="1"/>
  <c r="N63" i="31"/>
  <c r="Q39" i="31"/>
  <c r="O39" i="31"/>
  <c r="P39" i="31" s="1"/>
  <c r="R39" i="31" s="1"/>
  <c r="F19" i="31"/>
  <c r="G19" i="31"/>
  <c r="H19" i="31" s="1"/>
  <c r="I19" i="31"/>
  <c r="F20" i="31"/>
  <c r="G20" i="31"/>
  <c r="H20" i="31"/>
  <c r="I20" i="31"/>
  <c r="F21" i="31"/>
  <c r="I22" i="31"/>
  <c r="D23" i="31"/>
  <c r="O38" i="31"/>
  <c r="P38" i="31" s="1"/>
  <c r="R38" i="31" s="1"/>
  <c r="Q38" i="31"/>
  <c r="T37" i="31"/>
  <c r="O37" i="31"/>
  <c r="P37" i="31"/>
  <c r="T34" i="31"/>
  <c r="Q17" i="31"/>
  <c r="P17" i="31"/>
  <c r="O17" i="31"/>
  <c r="D5" i="26"/>
  <c r="E6" i="26"/>
  <c r="E5" i="26" s="1"/>
  <c r="E7" i="26" s="1"/>
  <c r="F7" i="26" s="1"/>
  <c r="G7" i="26" s="1"/>
  <c r="F6" i="26"/>
  <c r="D6" i="26"/>
  <c r="D8" i="26"/>
  <c r="E41" i="26"/>
  <c r="G8" i="26"/>
  <c r="F41" i="26"/>
  <c r="H8" i="26"/>
  <c r="G41" i="26"/>
  <c r="I8" i="26"/>
  <c r="H41" i="26"/>
  <c r="J8" i="26"/>
  <c r="I41" i="26" s="1"/>
  <c r="K8" i="26"/>
  <c r="J41" i="26" s="1"/>
  <c r="K41" i="26"/>
  <c r="M8" i="26"/>
  <c r="N8" i="26" s="1"/>
  <c r="L41" i="26"/>
  <c r="E45" i="26"/>
  <c r="D14" i="26"/>
  <c r="E48" i="26" s="1"/>
  <c r="E56" i="26" s="1"/>
  <c r="E49" i="26"/>
  <c r="D17" i="26"/>
  <c r="D33" i="26"/>
  <c r="F19" i="26"/>
  <c r="F32" i="26" s="1"/>
  <c r="F20" i="26"/>
  <c r="G20" i="26" s="1"/>
  <c r="F21" i="26"/>
  <c r="F22" i="26"/>
  <c r="F23" i="26"/>
  <c r="F25" i="26"/>
  <c r="F26" i="26"/>
  <c r="F27" i="26"/>
  <c r="G27" i="26" s="1"/>
  <c r="H27" i="26" s="1"/>
  <c r="I27" i="26" s="1"/>
  <c r="J27" i="26" s="1"/>
  <c r="K27" i="26" s="1"/>
  <c r="L27" i="26" s="1"/>
  <c r="M27" i="26" s="1"/>
  <c r="N27" i="26" s="1"/>
  <c r="O27" i="26" s="1"/>
  <c r="P27" i="26" s="1"/>
  <c r="Q27" i="26" s="1"/>
  <c r="R27" i="26" s="1"/>
  <c r="S27" i="26" s="1"/>
  <c r="T27" i="26" s="1"/>
  <c r="U27" i="26" s="1"/>
  <c r="V27" i="26" s="1"/>
  <c r="W27" i="26" s="1"/>
  <c r="X27" i="26" s="1"/>
  <c r="Y27" i="26" s="1"/>
  <c r="F29" i="26"/>
  <c r="G29" i="26" s="1"/>
  <c r="H29" i="26" s="1"/>
  <c r="I29" i="26" s="1"/>
  <c r="J29" i="26" s="1"/>
  <c r="K29" i="26" s="1"/>
  <c r="L29" i="26" s="1"/>
  <c r="M29" i="26" s="1"/>
  <c r="N29" i="26" s="1"/>
  <c r="O29" i="26" s="1"/>
  <c r="P29" i="26" s="1"/>
  <c r="Q29" i="26" s="1"/>
  <c r="R29" i="26" s="1"/>
  <c r="S29" i="26" s="1"/>
  <c r="T29" i="26" s="1"/>
  <c r="U29" i="26" s="1"/>
  <c r="V29" i="26" s="1"/>
  <c r="W29" i="26" s="1"/>
  <c r="X29" i="26" s="1"/>
  <c r="Y29" i="26" s="1"/>
  <c r="F30" i="26"/>
  <c r="F31" i="26"/>
  <c r="G31" i="26" s="1"/>
  <c r="H31" i="26" s="1"/>
  <c r="I31" i="26" s="1"/>
  <c r="J31" i="26" s="1"/>
  <c r="K31" i="26" s="1"/>
  <c r="L31" i="26" s="1"/>
  <c r="M31" i="26" s="1"/>
  <c r="N31" i="26" s="1"/>
  <c r="O31" i="26" s="1"/>
  <c r="P31" i="26" s="1"/>
  <c r="Q31" i="26" s="1"/>
  <c r="R31" i="26" s="1"/>
  <c r="S31" i="26" s="1"/>
  <c r="T31" i="26" s="1"/>
  <c r="U31" i="26" s="1"/>
  <c r="V31" i="26" s="1"/>
  <c r="W31" i="26" s="1"/>
  <c r="X31" i="26" s="1"/>
  <c r="Y31" i="26" s="1"/>
  <c r="D34" i="26"/>
  <c r="G15" i="26"/>
  <c r="G24" i="26"/>
  <c r="G25" i="26"/>
  <c r="H25" i="26" s="1"/>
  <c r="I25" i="26" s="1"/>
  <c r="J25" i="26" s="1"/>
  <c r="K25" i="26" s="1"/>
  <c r="L25" i="26" s="1"/>
  <c r="M25" i="26" s="1"/>
  <c r="N25" i="26" s="1"/>
  <c r="O25" i="26" s="1"/>
  <c r="P25" i="26" s="1"/>
  <c r="Q25" i="26" s="1"/>
  <c r="R25" i="26" s="1"/>
  <c r="S25" i="26" s="1"/>
  <c r="T25" i="26" s="1"/>
  <c r="U25" i="26" s="1"/>
  <c r="V25" i="26" s="1"/>
  <c r="W25" i="26" s="1"/>
  <c r="X25" i="26" s="1"/>
  <c r="Y25" i="26" s="1"/>
  <c r="G28" i="26"/>
  <c r="H28" i="26" s="1"/>
  <c r="I28" i="26" s="1"/>
  <c r="J28" i="26" s="1"/>
  <c r="K28" i="26" s="1"/>
  <c r="L28" i="26" s="1"/>
  <c r="G48" i="26"/>
  <c r="H19" i="26"/>
  <c r="H21" i="26"/>
  <c r="H22" i="26"/>
  <c r="H23" i="26"/>
  <c r="H24" i="26"/>
  <c r="H26" i="26"/>
  <c r="H30" i="26"/>
  <c r="G56" i="26"/>
  <c r="H48" i="26"/>
  <c r="H56" i="26" s="1"/>
  <c r="I19" i="26"/>
  <c r="I21" i="26"/>
  <c r="J21" i="26" s="1"/>
  <c r="K21" i="26" s="1"/>
  <c r="I22" i="26"/>
  <c r="I23" i="26"/>
  <c r="I24" i="26"/>
  <c r="I26" i="26"/>
  <c r="I30" i="26"/>
  <c r="I48" i="26"/>
  <c r="J19" i="26"/>
  <c r="J22" i="26"/>
  <c r="J23" i="26"/>
  <c r="J24" i="26"/>
  <c r="J26" i="26"/>
  <c r="J30" i="26"/>
  <c r="I56" i="26"/>
  <c r="J48" i="26"/>
  <c r="K19" i="26"/>
  <c r="K22" i="26"/>
  <c r="K23" i="26"/>
  <c r="K24" i="26"/>
  <c r="K26" i="26"/>
  <c r="K30" i="26"/>
  <c r="J56" i="26"/>
  <c r="K48" i="26"/>
  <c r="L17" i="26"/>
  <c r="K51" i="26" s="1"/>
  <c r="L19" i="26"/>
  <c r="M19" i="26" s="1"/>
  <c r="L21" i="26"/>
  <c r="M21" i="26" s="1"/>
  <c r="N21" i="26" s="1"/>
  <c r="O21" i="26" s="1"/>
  <c r="P21" i="26" s="1"/>
  <c r="Q21" i="26" s="1"/>
  <c r="R21" i="26" s="1"/>
  <c r="S21" i="26" s="1"/>
  <c r="T21" i="26" s="1"/>
  <c r="U21" i="26" s="1"/>
  <c r="V21" i="26" s="1"/>
  <c r="W21" i="26" s="1"/>
  <c r="X21" i="26" s="1"/>
  <c r="Y21" i="26" s="1"/>
  <c r="L22" i="26"/>
  <c r="M22" i="26" s="1"/>
  <c r="N22" i="26" s="1"/>
  <c r="O22" i="26" s="1"/>
  <c r="P22" i="26" s="1"/>
  <c r="Q22" i="26" s="1"/>
  <c r="R22" i="26" s="1"/>
  <c r="L23" i="26"/>
  <c r="L24" i="26"/>
  <c r="L26" i="26"/>
  <c r="L30" i="26"/>
  <c r="M30" i="26" s="1"/>
  <c r="N30" i="26" s="1"/>
  <c r="O30" i="26" s="1"/>
  <c r="P30" i="26" s="1"/>
  <c r="Q30" i="26" s="1"/>
  <c r="R30" i="26" s="1"/>
  <c r="K56" i="26"/>
  <c r="L48" i="26"/>
  <c r="L56" i="26" s="1"/>
  <c r="M23" i="26"/>
  <c r="M24" i="26"/>
  <c r="M26" i="26"/>
  <c r="N26" i="26" s="1"/>
  <c r="M28" i="26"/>
  <c r="N28" i="26" s="1"/>
  <c r="O28" i="26" s="1"/>
  <c r="P28" i="26" s="1"/>
  <c r="Q28" i="26" s="1"/>
  <c r="R28" i="26" s="1"/>
  <c r="S28" i="26" s="1"/>
  <c r="T28" i="26" s="1"/>
  <c r="U28" i="26" s="1"/>
  <c r="V28" i="26" s="1"/>
  <c r="W28" i="26" s="1"/>
  <c r="X28" i="26" s="1"/>
  <c r="Y28" i="26" s="1"/>
  <c r="M48" i="26"/>
  <c r="M56" i="26" s="1"/>
  <c r="N19" i="26"/>
  <c r="N23" i="26"/>
  <c r="N24" i="26"/>
  <c r="N48" i="26"/>
  <c r="N56" i="26" s="1"/>
  <c r="O23" i="26"/>
  <c r="O24" i="26"/>
  <c r="P24" i="26" s="1"/>
  <c r="Q24" i="26" s="1"/>
  <c r="R24" i="26" s="1"/>
  <c r="S24" i="26" s="1"/>
  <c r="T24" i="26" s="1"/>
  <c r="U24" i="26" s="1"/>
  <c r="V24" i="26" s="1"/>
  <c r="W24" i="26" s="1"/>
  <c r="X24" i="26" s="1"/>
  <c r="Y24" i="26" s="1"/>
  <c r="O26" i="26"/>
  <c r="P26" i="26" s="1"/>
  <c r="Q26" i="26" s="1"/>
  <c r="O48" i="26"/>
  <c r="O56" i="26" s="1"/>
  <c r="P23" i="26"/>
  <c r="Q23" i="26" s="1"/>
  <c r="P48" i="26"/>
  <c r="P56" i="26"/>
  <c r="Q48" i="26"/>
  <c r="Q56" i="26" s="1"/>
  <c r="R23" i="26"/>
  <c r="S23" i="26" s="1"/>
  <c r="T23" i="26" s="1"/>
  <c r="U23" i="26" s="1"/>
  <c r="R26" i="26"/>
  <c r="S26" i="26" s="1"/>
  <c r="T26" i="26" s="1"/>
  <c r="U26" i="26" s="1"/>
  <c r="V26" i="26" s="1"/>
  <c r="W26" i="26" s="1"/>
  <c r="X26" i="26" s="1"/>
  <c r="Y26" i="26" s="1"/>
  <c r="R48" i="26"/>
  <c r="R56" i="26" s="1"/>
  <c r="S22" i="26"/>
  <c r="T22" i="26" s="1"/>
  <c r="U22" i="26" s="1"/>
  <c r="V22" i="26" s="1"/>
  <c r="W22" i="26" s="1"/>
  <c r="X22" i="26" s="1"/>
  <c r="Y22" i="26" s="1"/>
  <c r="S30" i="26"/>
  <c r="S48" i="26"/>
  <c r="S56" i="26" s="1"/>
  <c r="T30" i="26"/>
  <c r="T48" i="26"/>
  <c r="T56" i="26" s="1"/>
  <c r="U30" i="26"/>
  <c r="V30" i="26" s="1"/>
  <c r="W30" i="26" s="1"/>
  <c r="X30" i="26" s="1"/>
  <c r="Y30" i="26" s="1"/>
  <c r="U48" i="26"/>
  <c r="U56" i="26" s="1"/>
  <c r="V23" i="26"/>
  <c r="W23" i="26" s="1"/>
  <c r="X23" i="26" s="1"/>
  <c r="Y23" i="26" s="1"/>
  <c r="V48" i="26"/>
  <c r="V56" i="26"/>
  <c r="W48" i="26"/>
  <c r="W56" i="26"/>
  <c r="X48" i="26"/>
  <c r="X56" i="26" s="1"/>
  <c r="D68" i="26"/>
  <c r="D39" i="26"/>
  <c r="D40" i="26"/>
  <c r="D41" i="26"/>
  <c r="D45" i="26"/>
  <c r="D48" i="26"/>
  <c r="D49" i="26"/>
  <c r="E17" i="26"/>
  <c r="D51" i="26" s="1"/>
  <c r="E29" i="26"/>
  <c r="E32" i="26" s="1"/>
  <c r="D24" i="17"/>
  <c r="H24" i="17" s="1"/>
  <c r="C24" i="17"/>
  <c r="D23" i="17"/>
  <c r="H23" i="17" s="1"/>
  <c r="D22" i="17"/>
  <c r="H22" i="17" s="1"/>
  <c r="D21" i="17"/>
  <c r="H21" i="17" s="1"/>
  <c r="D20" i="17"/>
  <c r="C20" i="17"/>
  <c r="D19" i="17"/>
  <c r="D18" i="17"/>
  <c r="H18" i="17" s="1"/>
  <c r="D17" i="17"/>
  <c r="I17" i="17" s="1"/>
  <c r="D16" i="17"/>
  <c r="D15" i="17"/>
  <c r="I15" i="17" s="1"/>
  <c r="H15" i="17"/>
  <c r="D14" i="17"/>
  <c r="I14" i="17"/>
  <c r="H14" i="17"/>
  <c r="I13" i="17"/>
  <c r="H13" i="17"/>
  <c r="G13" i="17"/>
  <c r="D11" i="17"/>
  <c r="D10" i="17"/>
  <c r="D9" i="17"/>
  <c r="D8" i="17"/>
  <c r="D7" i="17"/>
  <c r="I7" i="17" s="1"/>
  <c r="H7" i="17"/>
  <c r="D6" i="17"/>
  <c r="H6" i="17"/>
  <c r="D5" i="17"/>
  <c r="F5" i="17"/>
  <c r="C16" i="25"/>
  <c r="C17" i="25"/>
  <c r="C18" i="25"/>
  <c r="C19" i="25"/>
  <c r="C20" i="25"/>
  <c r="C21" i="25"/>
  <c r="C22" i="25"/>
  <c r="C23" i="25"/>
  <c r="C24" i="25"/>
  <c r="E5" i="25"/>
  <c r="F6" i="25"/>
  <c r="F7" i="25"/>
  <c r="F8" i="25"/>
  <c r="F9" i="25"/>
  <c r="F10" i="25"/>
  <c r="F11" i="25"/>
  <c r="F12" i="25"/>
  <c r="F13" i="25"/>
  <c r="F14" i="25"/>
  <c r="F15" i="25"/>
  <c r="F16" i="25"/>
  <c r="F17" i="25"/>
  <c r="F18" i="25"/>
  <c r="F19" i="25"/>
  <c r="F20" i="25"/>
  <c r="F21" i="25"/>
  <c r="F22" i="25"/>
  <c r="F23" i="25"/>
  <c r="F24" i="25"/>
  <c r="H39" i="2"/>
  <c r="D5" i="7"/>
  <c r="C5" i="7"/>
  <c r="E5" i="7" s="1"/>
  <c r="E7" i="16" s="1"/>
  <c r="G7" i="16" s="1"/>
  <c r="K7" i="16" s="1"/>
  <c r="I6" i="17"/>
  <c r="I21" i="17"/>
  <c r="I23" i="17"/>
  <c r="N19" i="30"/>
  <c r="G5" i="7"/>
  <c r="G9" i="17"/>
  <c r="K9" i="17" s="1"/>
  <c r="H9" i="17"/>
  <c r="I9" i="17"/>
  <c r="H11" i="17"/>
  <c r="I11" i="17"/>
  <c r="N12" i="30"/>
  <c r="H10" i="17"/>
  <c r="I10" i="17"/>
  <c r="H17" i="17"/>
  <c r="G17" i="17"/>
  <c r="N8" i="30"/>
  <c r="I24" i="17"/>
  <c r="N16" i="30"/>
  <c r="H9" i="16"/>
  <c r="I8" i="16"/>
  <c r="I5" i="17"/>
  <c r="H5" i="17"/>
  <c r="H19" i="17"/>
  <c r="I19" i="17"/>
  <c r="S29" i="6"/>
  <c r="S30" i="6" s="1"/>
  <c r="S31" i="6" s="1"/>
  <c r="S32" i="6" s="1"/>
  <c r="S33" i="6" s="1"/>
  <c r="S34" i="6" s="1"/>
  <c r="S35" i="6" s="1"/>
  <c r="S36" i="6" s="1"/>
  <c r="S37" i="6" s="1"/>
  <c r="S38" i="6" s="1"/>
  <c r="S39" i="6" s="1"/>
  <c r="S40" i="6" s="1"/>
  <c r="S41" i="6" s="1"/>
  <c r="S42" i="6" s="1"/>
  <c r="S43" i="6" s="1"/>
  <c r="S44" i="6" s="1"/>
  <c r="S45" i="6" s="1"/>
  <c r="S46" i="6" s="1"/>
  <c r="S47" i="6" s="1"/>
  <c r="S48" i="6" s="1"/>
  <c r="S49" i="6" s="1"/>
  <c r="H8" i="17"/>
  <c r="I8" i="17"/>
  <c r="C5" i="17"/>
  <c r="G29" i="29"/>
  <c r="G33" i="29" s="1"/>
  <c r="G5" i="17"/>
  <c r="I9" i="16"/>
  <c r="H10" i="16"/>
  <c r="H11" i="16" s="1"/>
  <c r="N4" i="30"/>
  <c r="C6" i="17"/>
  <c r="G32" i="29"/>
  <c r="N5" i="30"/>
  <c r="I10" i="16"/>
  <c r="K5" i="17"/>
  <c r="C7" i="17"/>
  <c r="G7" i="17" s="1"/>
  <c r="G6" i="17"/>
  <c r="L6" i="17"/>
  <c r="M6" i="17" s="1"/>
  <c r="K6" i="17"/>
  <c r="L5" i="17"/>
  <c r="P46" i="30"/>
  <c r="M5" i="17"/>
  <c r="K7" i="17"/>
  <c r="H20" i="26" l="1"/>
  <c r="G32" i="26"/>
  <c r="G33" i="26" s="1"/>
  <c r="F54" i="26" s="1"/>
  <c r="G5" i="29"/>
  <c r="E47" i="29" s="1"/>
  <c r="I50" i="29" s="1"/>
  <c r="D56" i="26"/>
  <c r="E34" i="28"/>
  <c r="D55" i="28" s="1"/>
  <c r="D58" i="28"/>
  <c r="G20" i="17"/>
  <c r="K20" i="17" s="1"/>
  <c r="H20" i="17"/>
  <c r="I20" i="17"/>
  <c r="L17" i="17"/>
  <c r="M17" i="17" s="1"/>
  <c r="I16" i="17"/>
  <c r="H16" i="17"/>
  <c r="K13" i="17"/>
  <c r="L13" i="17"/>
  <c r="M13" i="17" s="1"/>
  <c r="G24" i="17"/>
  <c r="K24" i="17" s="1"/>
  <c r="D42" i="26"/>
  <c r="D58" i="26" s="1"/>
  <c r="G29" i="25"/>
  <c r="E33" i="26"/>
  <c r="D54" i="26" s="1"/>
  <c r="I11" i="16"/>
  <c r="H12" i="16"/>
  <c r="G30" i="25"/>
  <c r="F5" i="25"/>
  <c r="G5" i="25" s="1"/>
  <c r="G17" i="26"/>
  <c r="F51" i="26" s="1"/>
  <c r="H7" i="26"/>
  <c r="K17" i="17"/>
  <c r="L30" i="8"/>
  <c r="N29" i="8"/>
  <c r="E54" i="26"/>
  <c r="I18" i="17"/>
  <c r="I22" i="17"/>
  <c r="O19" i="26"/>
  <c r="H32" i="26"/>
  <c r="I20" i="26"/>
  <c r="O8" i="26"/>
  <c r="M41" i="26"/>
  <c r="F5" i="7"/>
  <c r="F49" i="26"/>
  <c r="H15" i="26"/>
  <c r="G6" i="26"/>
  <c r="G5" i="26" s="1"/>
  <c r="F39" i="26" s="1"/>
  <c r="E40" i="26"/>
  <c r="F23" i="31"/>
  <c r="D24" i="31"/>
  <c r="K58" i="31"/>
  <c r="N58" i="31"/>
  <c r="M16" i="4"/>
  <c r="G16" i="4"/>
  <c r="G31" i="29"/>
  <c r="F33" i="26"/>
  <c r="F34" i="26"/>
  <c r="E55" i="26" s="1"/>
  <c r="F5" i="26"/>
  <c r="E39" i="26" s="1"/>
  <c r="E42" i="26" s="1"/>
  <c r="F17" i="26"/>
  <c r="E51" i="26" s="1"/>
  <c r="S31" i="31"/>
  <c r="K27" i="31"/>
  <c r="N49" i="31"/>
  <c r="K49" i="31"/>
  <c r="F48" i="26"/>
  <c r="F56" i="26" s="1"/>
  <c r="N59" i="31"/>
  <c r="N51" i="31"/>
  <c r="N47" i="31"/>
  <c r="F16" i="12"/>
  <c r="O12" i="4"/>
  <c r="I12" i="4"/>
  <c r="P12" i="4" s="1"/>
  <c r="J12" i="4"/>
  <c r="G34" i="26"/>
  <c r="F55" i="26" s="1"/>
  <c r="F45" i="31"/>
  <c r="F49" i="31"/>
  <c r="F46" i="31"/>
  <c r="F50" i="31"/>
  <c r="N45" i="31"/>
  <c r="S32" i="31"/>
  <c r="N57" i="31"/>
  <c r="I16" i="12"/>
  <c r="J23" i="31"/>
  <c r="F48" i="31"/>
  <c r="F47" i="31"/>
  <c r="H33" i="8"/>
  <c r="F34" i="8"/>
  <c r="N50" i="31"/>
  <c r="H13" i="10"/>
  <c r="G19" i="10"/>
  <c r="H18" i="10"/>
  <c r="G21" i="31"/>
  <c r="H21" i="31" s="1"/>
  <c r="N61" i="31"/>
  <c r="N53" i="31"/>
  <c r="L44" i="31"/>
  <c r="P44" i="31" s="1"/>
  <c r="C33" i="8"/>
  <c r="E29" i="8"/>
  <c r="D30" i="8"/>
  <c r="Q18" i="4"/>
  <c r="R18" i="4" s="1"/>
  <c r="F30" i="6"/>
  <c r="H29" i="6"/>
  <c r="H51" i="18"/>
  <c r="I51" i="18" s="1"/>
  <c r="H53" i="18"/>
  <c r="I53" i="18" s="1"/>
  <c r="H50" i="18"/>
  <c r="I50" i="18" s="1"/>
  <c r="I54" i="18" s="1"/>
  <c r="H52" i="18"/>
  <c r="I52" i="18" s="1"/>
  <c r="Q17" i="4"/>
  <c r="R17" i="4" s="1"/>
  <c r="Q12" i="4"/>
  <c r="R12" i="4" s="1"/>
  <c r="P6" i="4"/>
  <c r="Q6" i="4"/>
  <c r="N6" i="4"/>
  <c r="M6" i="4"/>
  <c r="K7" i="4"/>
  <c r="L6" i="4"/>
  <c r="C35" i="6"/>
  <c r="C34" i="6"/>
  <c r="H66" i="18"/>
  <c r="H91" i="18"/>
  <c r="I91" i="18" s="1"/>
  <c r="H93" i="18"/>
  <c r="I93" i="18" s="1"/>
  <c r="H90" i="18"/>
  <c r="H92" i="18"/>
  <c r="I92" i="18" s="1"/>
  <c r="Q21" i="4"/>
  <c r="R21" i="4" s="1"/>
  <c r="H78" i="18"/>
  <c r="I78" i="18" s="1"/>
  <c r="H80" i="18"/>
  <c r="I80" i="18" s="1"/>
  <c r="H79" i="18"/>
  <c r="I79" i="18" s="1"/>
  <c r="H81" i="18"/>
  <c r="I81" i="18" s="1"/>
  <c r="L104" i="18"/>
  <c r="P5" i="4"/>
  <c r="O5" i="4"/>
  <c r="M5" i="4"/>
  <c r="L5" i="4"/>
  <c r="I130" i="18"/>
  <c r="E28" i="8"/>
  <c r="P32" i="6"/>
  <c r="Q27" i="6"/>
  <c r="R27" i="6" s="1"/>
  <c r="T27" i="6" s="1"/>
  <c r="I30" i="6"/>
  <c r="K29" i="6"/>
  <c r="E28" i="6"/>
  <c r="D29" i="6"/>
  <c r="D30" i="6" s="1"/>
  <c r="Q22" i="4"/>
  <c r="R22" i="4" s="1"/>
  <c r="Q19" i="4"/>
  <c r="R19" i="4" s="1"/>
  <c r="O27" i="6"/>
  <c r="O32" i="6" s="1"/>
  <c r="I28" i="8"/>
  <c r="H28" i="6"/>
  <c r="P28" i="6" s="1"/>
  <c r="Q28" i="6" s="1"/>
  <c r="R28" i="6" s="1"/>
  <c r="T28" i="6" s="1"/>
  <c r="H65" i="18"/>
  <c r="I65" i="18" s="1"/>
  <c r="P14" i="21"/>
  <c r="Q14" i="21" s="1"/>
  <c r="N103" i="18"/>
  <c r="H132" i="18"/>
  <c r="I132" i="18" s="1"/>
  <c r="E48" i="20"/>
  <c r="E49" i="20" s="1"/>
  <c r="I48" i="20"/>
  <c r="I49" i="20" s="1"/>
  <c r="Q19" i="21"/>
  <c r="M6" i="28"/>
  <c r="L5" i="28"/>
  <c r="M5" i="28" s="1"/>
  <c r="K40" i="28"/>
  <c r="M44" i="12"/>
  <c r="Q23" i="31"/>
  <c r="R23" i="31" s="1"/>
  <c r="M103" i="18"/>
  <c r="H9" i="18"/>
  <c r="H17" i="18"/>
  <c r="H25" i="18"/>
  <c r="H20" i="28"/>
  <c r="I20" i="28" s="1"/>
  <c r="J20" i="28" s="1"/>
  <c r="K20" i="28" s="1"/>
  <c r="L20" i="28" s="1"/>
  <c r="M20" i="28" s="1"/>
  <c r="N20" i="28" s="1"/>
  <c r="O20" i="28" s="1"/>
  <c r="P20" i="28" s="1"/>
  <c r="Q20" i="28" s="1"/>
  <c r="R20" i="28" s="1"/>
  <c r="S20" i="28" s="1"/>
  <c r="T20" i="28" s="1"/>
  <c r="U20" i="28" s="1"/>
  <c r="V20" i="28" s="1"/>
  <c r="W20" i="28" s="1"/>
  <c r="X20" i="28" s="1"/>
  <c r="Y20" i="28" s="1"/>
  <c r="G32" i="28"/>
  <c r="I62" i="18"/>
  <c r="H118" i="18"/>
  <c r="I118" i="18" s="1"/>
  <c r="H120" i="18"/>
  <c r="I120" i="18" s="1"/>
  <c r="E23" i="20"/>
  <c r="M21" i="20"/>
  <c r="D48" i="20"/>
  <c r="D49" i="20" s="1"/>
  <c r="H48" i="20"/>
  <c r="H49" i="20" s="1"/>
  <c r="L48" i="20"/>
  <c r="L29" i="6"/>
  <c r="L49" i="20"/>
  <c r="H35" i="18"/>
  <c r="H37" i="18"/>
  <c r="I37" i="18" s="1"/>
  <c r="H14" i="18"/>
  <c r="H22" i="18"/>
  <c r="C48" i="20"/>
  <c r="C49" i="20" s="1"/>
  <c r="G48" i="20"/>
  <c r="G49" i="20" s="1"/>
  <c r="K48" i="20"/>
  <c r="K49" i="20" s="1"/>
  <c r="E42" i="28"/>
  <c r="F60" i="30"/>
  <c r="G61" i="30"/>
  <c r="D58" i="30"/>
  <c r="E59" i="30"/>
  <c r="K107" i="18"/>
  <c r="G11" i="18"/>
  <c r="H11" i="18" s="1"/>
  <c r="G19" i="18"/>
  <c r="H19" i="18"/>
  <c r="H131" i="18"/>
  <c r="I131" i="18" s="1"/>
  <c r="H133" i="18"/>
  <c r="I133" i="18" s="1"/>
  <c r="B48" i="20"/>
  <c r="B49" i="20" s="1"/>
  <c r="F48" i="20"/>
  <c r="F49" i="20" s="1"/>
  <c r="J48" i="20"/>
  <c r="J49" i="20" s="1"/>
  <c r="H13" i="18"/>
  <c r="E40" i="28"/>
  <c r="F40" i="28"/>
  <c r="G40" i="28"/>
  <c r="H40" i="28"/>
  <c r="I40" i="28"/>
  <c r="J40" i="28"/>
  <c r="D17" i="28"/>
  <c r="K39" i="28"/>
  <c r="K42" i="28" s="1"/>
  <c r="H8" i="18"/>
  <c r="I8" i="18" s="1"/>
  <c r="H16" i="18"/>
  <c r="D61" i="30"/>
  <c r="F63" i="30"/>
  <c r="G64" i="30"/>
  <c r="E62" i="30"/>
  <c r="M19" i="28"/>
  <c r="L32" i="28"/>
  <c r="F34" i="28"/>
  <c r="E55" i="28" s="1"/>
  <c r="L39" i="28"/>
  <c r="E48" i="28"/>
  <c r="E56" i="28" s="1"/>
  <c r="D68" i="28" s="1"/>
  <c r="F48" i="28"/>
  <c r="F56" i="28" s="1"/>
  <c r="R48" i="28"/>
  <c r="R56" i="28" s="1"/>
  <c r="S48" i="28"/>
  <c r="S56" i="28" s="1"/>
  <c r="G48" i="28"/>
  <c r="G56" i="28" s="1"/>
  <c r="H48" i="28"/>
  <c r="H56" i="28" s="1"/>
  <c r="I48" i="28"/>
  <c r="I56" i="28" s="1"/>
  <c r="J48" i="28"/>
  <c r="J56" i="28" s="1"/>
  <c r="K48" i="28"/>
  <c r="K56" i="28" s="1"/>
  <c r="L48" i="28"/>
  <c r="L56" i="28" s="1"/>
  <c r="T48" i="28"/>
  <c r="T56" i="28" s="1"/>
  <c r="N48" i="28"/>
  <c r="N56" i="28" s="1"/>
  <c r="V48" i="28"/>
  <c r="V56" i="28" s="1"/>
  <c r="H7" i="28"/>
  <c r="G5" i="28"/>
  <c r="F39" i="28" s="1"/>
  <c r="F42" i="28" s="1"/>
  <c r="L49" i="28"/>
  <c r="N15" i="28"/>
  <c r="P8" i="28"/>
  <c r="N41" i="28"/>
  <c r="D50" i="30"/>
  <c r="E51" i="30"/>
  <c r="F52" i="30"/>
  <c r="E48" i="30"/>
  <c r="F49" i="30"/>
  <c r="G50" i="30"/>
  <c r="D47" i="30"/>
  <c r="H23" i="30"/>
  <c r="F48" i="30"/>
  <c r="G49" i="30"/>
  <c r="E47" i="30"/>
  <c r="I38" i="12"/>
  <c r="E6" i="24"/>
  <c r="D9" i="24"/>
  <c r="M12" i="21"/>
  <c r="Q12" i="21" s="1"/>
  <c r="N10" i="21"/>
  <c r="M10" i="21"/>
  <c r="G18" i="31"/>
  <c r="H18" i="31"/>
  <c r="E7" i="17"/>
  <c r="D6" i="29"/>
  <c r="G6" i="29" s="1"/>
  <c r="F7" i="33"/>
  <c r="G6" i="19" s="1"/>
  <c r="E8" i="33"/>
  <c r="L6" i="21"/>
  <c r="K7" i="21"/>
  <c r="Q7" i="21" s="1"/>
  <c r="Q9" i="21" s="1"/>
  <c r="Q22" i="21" s="1"/>
  <c r="M6" i="21"/>
  <c r="N6" i="21"/>
  <c r="F6" i="33"/>
  <c r="G5" i="19" s="1"/>
  <c r="H32" i="28" l="1"/>
  <c r="I32" i="28"/>
  <c r="E34" i="26"/>
  <c r="D55" i="26" s="1"/>
  <c r="F58" i="28"/>
  <c r="J32" i="28"/>
  <c r="K32" i="28"/>
  <c r="K33" i="28" s="1"/>
  <c r="J54" i="28" s="1"/>
  <c r="H49" i="29"/>
  <c r="G48" i="29"/>
  <c r="J51" i="29"/>
  <c r="F47" i="29"/>
  <c r="K47" i="29" s="1"/>
  <c r="K5" i="29"/>
  <c r="G32" i="25"/>
  <c r="I21" i="31"/>
  <c r="S33" i="31"/>
  <c r="J38" i="12"/>
  <c r="K38" i="12" s="1"/>
  <c r="L38" i="12" s="1"/>
  <c r="F39" i="12"/>
  <c r="I39" i="12" s="1"/>
  <c r="E58" i="28"/>
  <c r="E8" i="17"/>
  <c r="E9" i="17" s="1"/>
  <c r="L9" i="17" s="1"/>
  <c r="M9" i="17" s="1"/>
  <c r="E6" i="30"/>
  <c r="H6" i="30" s="1"/>
  <c r="L7" i="17"/>
  <c r="Q8" i="28"/>
  <c r="O41" i="28"/>
  <c r="F59" i="28"/>
  <c r="L33" i="28"/>
  <c r="K54" i="28" s="1"/>
  <c r="E51" i="28"/>
  <c r="F51" i="28"/>
  <c r="D51" i="28"/>
  <c r="K51" i="28"/>
  <c r="K28" i="8"/>
  <c r="P28" i="8" s="1"/>
  <c r="I29" i="8"/>
  <c r="D31" i="6"/>
  <c r="E30" i="6"/>
  <c r="O28" i="8"/>
  <c r="O32" i="8" s="1"/>
  <c r="C36" i="6"/>
  <c r="M45" i="12"/>
  <c r="Q24" i="31"/>
  <c r="R24" i="31" s="1"/>
  <c r="I7" i="28"/>
  <c r="H5" i="28"/>
  <c r="G39" i="28" s="1"/>
  <c r="G42" i="28" s="1"/>
  <c r="G58" i="28" s="1"/>
  <c r="H17" i="28"/>
  <c r="G51" i="28" s="1"/>
  <c r="N19" i="28"/>
  <c r="M32" i="28"/>
  <c r="N5" i="28"/>
  <c r="M7" i="28"/>
  <c r="M17" i="28" s="1"/>
  <c r="L51" i="28" s="1"/>
  <c r="O28" i="6"/>
  <c r="F105" i="18"/>
  <c r="G105" i="18" s="1"/>
  <c r="L105" i="18" s="1"/>
  <c r="M104" i="18"/>
  <c r="N104" i="18" s="1"/>
  <c r="C37" i="6"/>
  <c r="C34" i="8"/>
  <c r="C35" i="8"/>
  <c r="L24" i="17"/>
  <c r="M24" i="17" s="1"/>
  <c r="I35" i="18"/>
  <c r="I39" i="18" s="1"/>
  <c r="H39" i="18"/>
  <c r="Q32" i="6"/>
  <c r="R32" i="6" s="1"/>
  <c r="T32" i="6" s="1"/>
  <c r="L7" i="21"/>
  <c r="L9" i="21" s="1"/>
  <c r="L22" i="21" s="1"/>
  <c r="G6" i="22" s="1"/>
  <c r="M7" i="21"/>
  <c r="M9" i="21" s="1"/>
  <c r="M22" i="21" s="1"/>
  <c r="G7" i="22" s="1"/>
  <c r="H7" i="22" s="1"/>
  <c r="N7" i="21"/>
  <c r="N9" i="21" s="1"/>
  <c r="N22" i="21" s="1"/>
  <c r="G8" i="22" s="1"/>
  <c r="O7" i="21"/>
  <c r="O9" i="21" s="1"/>
  <c r="O22" i="21" s="1"/>
  <c r="P7" i="21"/>
  <c r="P9" i="21" s="1"/>
  <c r="P22" i="21" s="1"/>
  <c r="K58" i="28"/>
  <c r="N6" i="28"/>
  <c r="L40" i="28"/>
  <c r="L42" i="28" s="1"/>
  <c r="L58" i="28" s="1"/>
  <c r="Q44" i="31"/>
  <c r="R44" i="31" s="1"/>
  <c r="G45" i="31"/>
  <c r="H45" i="31" s="1"/>
  <c r="L45" i="31" s="1"/>
  <c r="P45" i="31" s="1"/>
  <c r="K28" i="31"/>
  <c r="I15" i="26"/>
  <c r="G49" i="26"/>
  <c r="H17" i="26"/>
  <c r="G51" i="26" s="1"/>
  <c r="I7" i="26"/>
  <c r="H13" i="16"/>
  <c r="I12" i="16"/>
  <c r="J21" i="31"/>
  <c r="K25" i="31"/>
  <c r="U18" i="31"/>
  <c r="I18" i="31"/>
  <c r="S30" i="31"/>
  <c r="N29" i="6"/>
  <c r="P29" i="6" s="1"/>
  <c r="Q29" i="6" s="1"/>
  <c r="R29" i="6" s="1"/>
  <c r="T29" i="6" s="1"/>
  <c r="L30" i="6"/>
  <c r="I122" i="18"/>
  <c r="I9" i="18"/>
  <c r="I10" i="18" s="1"/>
  <c r="I11" i="18" s="1"/>
  <c r="I12" i="18" s="1"/>
  <c r="I13" i="18" s="1"/>
  <c r="I14" i="18" s="1"/>
  <c r="I15" i="18" s="1"/>
  <c r="I16" i="18" s="1"/>
  <c r="I17" i="18" s="1"/>
  <c r="I18" i="18" s="1"/>
  <c r="I19" i="18" s="1"/>
  <c r="I20" i="18" s="1"/>
  <c r="I21" i="18" s="1"/>
  <c r="I22" i="18" s="1"/>
  <c r="I23" i="18" s="1"/>
  <c r="I24" i="18" s="1"/>
  <c r="I25" i="18" s="1"/>
  <c r="I26" i="18" s="1"/>
  <c r="I27" i="18" s="1"/>
  <c r="C4" i="18" s="1"/>
  <c r="I31" i="6"/>
  <c r="K30" i="6"/>
  <c r="H134" i="18"/>
  <c r="H30" i="6"/>
  <c r="F31" i="6"/>
  <c r="F24" i="31"/>
  <c r="D25" i="31"/>
  <c r="P8" i="26"/>
  <c r="N41" i="26"/>
  <c r="G6" i="25"/>
  <c r="H6" i="25" s="1"/>
  <c r="L20" i="17"/>
  <c r="M20" i="17" s="1"/>
  <c r="E48" i="29"/>
  <c r="K6" i="29"/>
  <c r="P19" i="26"/>
  <c r="C65" i="30"/>
  <c r="D65" i="30" s="1"/>
  <c r="N23" i="30"/>
  <c r="H33" i="28"/>
  <c r="G54" i="28" s="1"/>
  <c r="I134" i="18"/>
  <c r="H94" i="18"/>
  <c r="I90" i="18"/>
  <c r="I94" i="18" s="1"/>
  <c r="O7" i="4"/>
  <c r="N7" i="4"/>
  <c r="N9" i="4" s="1"/>
  <c r="N23" i="4" s="1"/>
  <c r="M7" i="4"/>
  <c r="L7" i="4"/>
  <c r="P7" i="4"/>
  <c r="P9" i="4" s="1"/>
  <c r="Q7" i="4"/>
  <c r="R7" i="4" s="1"/>
  <c r="J24" i="31"/>
  <c r="T35" i="31"/>
  <c r="N16" i="4"/>
  <c r="H16" i="4"/>
  <c r="G23" i="31"/>
  <c r="H23" i="31"/>
  <c r="I32" i="26"/>
  <c r="J20" i="26"/>
  <c r="G31" i="25"/>
  <c r="I38" i="25" s="1"/>
  <c r="G33" i="25"/>
  <c r="E5" i="19"/>
  <c r="L47" i="29"/>
  <c r="G33" i="28"/>
  <c r="F54" i="28" s="1"/>
  <c r="O9" i="4"/>
  <c r="R6" i="4"/>
  <c r="Q9" i="4"/>
  <c r="E9" i="33"/>
  <c r="F8" i="33"/>
  <c r="G7" i="19" s="1"/>
  <c r="D10" i="24"/>
  <c r="E17" i="23"/>
  <c r="E22" i="23" s="1"/>
  <c r="H47" i="30"/>
  <c r="M49" i="28"/>
  <c r="O15" i="28"/>
  <c r="I33" i="28"/>
  <c r="H54" i="28" s="1"/>
  <c r="I66" i="18"/>
  <c r="C46" i="18" s="1"/>
  <c r="E29" i="6"/>
  <c r="O29" i="6" s="1"/>
  <c r="L9" i="4"/>
  <c r="L23" i="4" s="1"/>
  <c r="I82" i="18"/>
  <c r="H33" i="26"/>
  <c r="G54" i="26" s="1"/>
  <c r="N30" i="8"/>
  <c r="L31" i="8"/>
  <c r="H5" i="25"/>
  <c r="F6" i="24"/>
  <c r="E9" i="24"/>
  <c r="J33" i="28"/>
  <c r="I54" i="28" s="1"/>
  <c r="C9" i="30"/>
  <c r="C10" i="17"/>
  <c r="M9" i="4"/>
  <c r="M23" i="4" s="1"/>
  <c r="D31" i="8"/>
  <c r="E30" i="8"/>
  <c r="H34" i="8"/>
  <c r="F35" i="8"/>
  <c r="J16" i="12"/>
  <c r="F17" i="12" s="1"/>
  <c r="I17" i="12" s="1"/>
  <c r="E58" i="26"/>
  <c r="F40" i="26"/>
  <c r="F42" i="26" s="1"/>
  <c r="H6" i="26"/>
  <c r="J34" i="28" l="1"/>
  <c r="I55" i="28" s="1"/>
  <c r="H34" i="28"/>
  <c r="G55" i="28" s="1"/>
  <c r="F58" i="26"/>
  <c r="G9" i="22"/>
  <c r="H8" i="22"/>
  <c r="J17" i="12"/>
  <c r="F18" i="12" s="1"/>
  <c r="I18" i="12" s="1"/>
  <c r="N24" i="4"/>
  <c r="H12" i="7"/>
  <c r="H13" i="7" s="1"/>
  <c r="H14" i="7" s="1"/>
  <c r="H15" i="7" s="1"/>
  <c r="H16" i="7" s="1"/>
  <c r="H17" i="7" s="1"/>
  <c r="H18" i="7" s="1"/>
  <c r="H19" i="7" s="1"/>
  <c r="H20" i="7" s="1"/>
  <c r="H21" i="7" s="1"/>
  <c r="H22" i="7" s="1"/>
  <c r="H23" i="7" s="1"/>
  <c r="H24" i="7" s="1"/>
  <c r="L59" i="28"/>
  <c r="D46" i="18"/>
  <c r="H35" i="8"/>
  <c r="F36" i="8"/>
  <c r="P15" i="28"/>
  <c r="N49" i="28"/>
  <c r="E10" i="33"/>
  <c r="D8" i="25"/>
  <c r="F9" i="33"/>
  <c r="G8" i="19" s="1"/>
  <c r="F33" i="6"/>
  <c r="H31" i="6"/>
  <c r="I13" i="16"/>
  <c r="H14" i="16"/>
  <c r="O19" i="28"/>
  <c r="N32" i="28"/>
  <c r="E59" i="28"/>
  <c r="E60" i="28"/>
  <c r="N31" i="8"/>
  <c r="L33" i="8"/>
  <c r="R9" i="4"/>
  <c r="T36" i="31"/>
  <c r="J52" i="29"/>
  <c r="G49" i="29"/>
  <c r="H50" i="29"/>
  <c r="I51" i="29"/>
  <c r="F48" i="29"/>
  <c r="K48" i="29" s="1"/>
  <c r="I17" i="26"/>
  <c r="H51" i="26" s="1"/>
  <c r="J7" i="26"/>
  <c r="I5" i="26"/>
  <c r="H39" i="26" s="1"/>
  <c r="Q45" i="31"/>
  <c r="R45" i="31" s="1"/>
  <c r="G46" i="31"/>
  <c r="H46" i="31" s="1"/>
  <c r="L46" i="31" s="1"/>
  <c r="P46" i="31" s="1"/>
  <c r="F106" i="18"/>
  <c r="G106" i="18" s="1"/>
  <c r="L106" i="18" s="1"/>
  <c r="M106" i="18" s="1"/>
  <c r="N106" i="18" s="1"/>
  <c r="M105" i="18"/>
  <c r="G40" i="26"/>
  <c r="I6" i="26"/>
  <c r="E10" i="24"/>
  <c r="J7" i="19" s="1"/>
  <c r="L7" i="19" s="1"/>
  <c r="F17" i="23"/>
  <c r="F22" i="23" s="1"/>
  <c r="F6" i="19"/>
  <c r="P47" i="30"/>
  <c r="J32" i="26"/>
  <c r="K20" i="26"/>
  <c r="G60" i="28"/>
  <c r="G59" i="28"/>
  <c r="R8" i="28"/>
  <c r="P41" i="28"/>
  <c r="D32" i="8"/>
  <c r="D33" i="8" s="1"/>
  <c r="E31" i="8"/>
  <c r="F9" i="24"/>
  <c r="F10" i="24" s="1"/>
  <c r="G6" i="24"/>
  <c r="H34" i="26"/>
  <c r="G55" i="26" s="1"/>
  <c r="I33" i="26"/>
  <c r="H54" i="26" s="1"/>
  <c r="H5" i="26"/>
  <c r="G39" i="26" s="1"/>
  <c r="G42" i="26" s="1"/>
  <c r="G58" i="26" s="1"/>
  <c r="C37" i="8"/>
  <c r="J7" i="28"/>
  <c r="I5" i="28"/>
  <c r="H39" i="28" s="1"/>
  <c r="H42" i="28" s="1"/>
  <c r="H58" i="28" s="1"/>
  <c r="I17" i="28"/>
  <c r="H51" i="28" s="1"/>
  <c r="M7" i="17"/>
  <c r="K34" i="28"/>
  <c r="J55" i="28" s="1"/>
  <c r="E60" i="26"/>
  <c r="E59" i="26"/>
  <c r="M24" i="4"/>
  <c r="J6" i="19"/>
  <c r="L6" i="19" s="1"/>
  <c r="I23" i="31"/>
  <c r="I33" i="6"/>
  <c r="K31" i="6"/>
  <c r="V18" i="31"/>
  <c r="W18" i="31" s="1"/>
  <c r="U19" i="31"/>
  <c r="H6" i="22"/>
  <c r="I6" i="22"/>
  <c r="C36" i="8"/>
  <c r="C10" i="30"/>
  <c r="H10" i="30" s="1"/>
  <c r="C11" i="17"/>
  <c r="D32" i="6"/>
  <c r="D33" i="6" s="1"/>
  <c r="E31" i="6"/>
  <c r="C48" i="30"/>
  <c r="N6" i="30"/>
  <c r="G10" i="17"/>
  <c r="K10" i="17" s="1"/>
  <c r="L10" i="17"/>
  <c r="M10" i="17" s="1"/>
  <c r="G34" i="28"/>
  <c r="F55" i="28" s="1"/>
  <c r="F60" i="28" s="1"/>
  <c r="Q19" i="26"/>
  <c r="Q8" i="26"/>
  <c r="O41" i="26"/>
  <c r="N25" i="31"/>
  <c r="J15" i="26"/>
  <c r="H49" i="26"/>
  <c r="O6" i="28"/>
  <c r="M40" i="28"/>
  <c r="O5" i="28"/>
  <c r="N7" i="28"/>
  <c r="N17" i="28" s="1"/>
  <c r="M51" i="28" s="1"/>
  <c r="M39" i="28"/>
  <c r="M42" i="28" s="1"/>
  <c r="M58" i="28" s="1"/>
  <c r="Q25" i="31"/>
  <c r="R25" i="31" s="1"/>
  <c r="M46" i="12"/>
  <c r="M47" i="12" s="1"/>
  <c r="I30" i="8"/>
  <c r="K29" i="8"/>
  <c r="L34" i="28"/>
  <c r="K55" i="28" s="1"/>
  <c r="K60" i="28" s="1"/>
  <c r="D62" i="28" s="1"/>
  <c r="J39" i="12"/>
  <c r="K39" i="12" s="1"/>
  <c r="L39" i="12" s="1"/>
  <c r="H9" i="30"/>
  <c r="D7" i="29"/>
  <c r="G7" i="29" s="1"/>
  <c r="G7" i="25"/>
  <c r="I16" i="4"/>
  <c r="O16" i="4"/>
  <c r="F25" i="31"/>
  <c r="D26" i="31"/>
  <c r="C114" i="18"/>
  <c r="D114" i="18" s="1"/>
  <c r="M21" i="31"/>
  <c r="O21" i="31" s="1"/>
  <c r="P21" i="31" s="1"/>
  <c r="R21" i="31" s="1"/>
  <c r="T33" i="31"/>
  <c r="Q28" i="8"/>
  <c r="R28" i="8" s="1"/>
  <c r="T28" i="8" s="1"/>
  <c r="P32" i="8"/>
  <c r="N38" i="12"/>
  <c r="D6" i="11"/>
  <c r="E6" i="11" s="1"/>
  <c r="G6" i="11" s="1"/>
  <c r="L24" i="4"/>
  <c r="I34" i="28"/>
  <c r="H55" i="28" s="1"/>
  <c r="G24" i="31"/>
  <c r="H24" i="31" s="1"/>
  <c r="L31" i="6"/>
  <c r="N30" i="6"/>
  <c r="P30" i="6" s="1"/>
  <c r="Q30" i="6" s="1"/>
  <c r="R30" i="6" s="1"/>
  <c r="T30" i="6" s="1"/>
  <c r="K29" i="31"/>
  <c r="K59" i="28"/>
  <c r="C39" i="6"/>
  <c r="M33" i="28"/>
  <c r="L54" i="28" s="1"/>
  <c r="C38" i="6"/>
  <c r="M34" i="28" l="1"/>
  <c r="L55" i="28" s="1"/>
  <c r="L60" i="28" s="1"/>
  <c r="I24" i="31"/>
  <c r="S36" i="31"/>
  <c r="J18" i="12"/>
  <c r="F19" i="12" s="1"/>
  <c r="I19" i="12" s="1"/>
  <c r="I5" i="7"/>
  <c r="K5" i="7" s="1"/>
  <c r="L5" i="7" s="1"/>
  <c r="J5" i="7"/>
  <c r="H7" i="25"/>
  <c r="P29" i="8"/>
  <c r="Q29" i="8" s="1"/>
  <c r="R29" i="8" s="1"/>
  <c r="T29" i="8" s="1"/>
  <c r="O29" i="8"/>
  <c r="P6" i="28"/>
  <c r="N40" i="28"/>
  <c r="R19" i="26"/>
  <c r="D47" i="22"/>
  <c r="L6" i="22"/>
  <c r="C39" i="8"/>
  <c r="G47" i="31"/>
  <c r="H47" i="31" s="1"/>
  <c r="L47" i="31" s="1"/>
  <c r="P47" i="31" s="1"/>
  <c r="Q46" i="31"/>
  <c r="R46" i="31" s="1"/>
  <c r="P31" i="6"/>
  <c r="Q31" i="6" s="1"/>
  <c r="R31" i="6" s="1"/>
  <c r="T31" i="6" s="1"/>
  <c r="F37" i="8"/>
  <c r="H36" i="8"/>
  <c r="E49" i="29"/>
  <c r="K7" i="29"/>
  <c r="K30" i="8"/>
  <c r="I31" i="8"/>
  <c r="D48" i="30"/>
  <c r="H48" i="30" s="1"/>
  <c r="E49" i="30"/>
  <c r="F50" i="30"/>
  <c r="G51" i="30"/>
  <c r="G60" i="26"/>
  <c r="G59" i="26"/>
  <c r="G9" i="24"/>
  <c r="H6" i="24"/>
  <c r="H33" i="6"/>
  <c r="F34" i="6"/>
  <c r="C40" i="6"/>
  <c r="K30" i="31"/>
  <c r="Q27" i="31"/>
  <c r="R27" i="31" s="1"/>
  <c r="M48" i="12"/>
  <c r="K15" i="26"/>
  <c r="I49" i="26"/>
  <c r="J8" i="19"/>
  <c r="L8" i="19" s="1"/>
  <c r="G17" i="23"/>
  <c r="G22" i="23" s="1"/>
  <c r="C7" i="30"/>
  <c r="H7" i="30" s="1"/>
  <c r="C8" i="17"/>
  <c r="F26" i="31"/>
  <c r="D27" i="31"/>
  <c r="C11" i="30"/>
  <c r="C12" i="17"/>
  <c r="D34" i="6"/>
  <c r="E33" i="6"/>
  <c r="V19" i="31"/>
  <c r="W19" i="31" s="1"/>
  <c r="U20" i="31"/>
  <c r="O30" i="6"/>
  <c r="I34" i="26"/>
  <c r="H55" i="26" s="1"/>
  <c r="H40" i="26"/>
  <c r="H42" i="26" s="1"/>
  <c r="J6" i="26"/>
  <c r="K7" i="26"/>
  <c r="J17" i="26"/>
  <c r="I51" i="26" s="1"/>
  <c r="D66" i="28"/>
  <c r="D65" i="28"/>
  <c r="N31" i="6"/>
  <c r="O31" i="6" s="1"/>
  <c r="L33" i="6"/>
  <c r="E7" i="22"/>
  <c r="C6" i="7"/>
  <c r="G25" i="31"/>
  <c r="H25" i="31"/>
  <c r="C51" i="30"/>
  <c r="N9" i="30"/>
  <c r="M59" i="28"/>
  <c r="D11" i="30"/>
  <c r="D12" i="17"/>
  <c r="G11" i="17"/>
  <c r="K11" i="17" s="1"/>
  <c r="L11" i="17"/>
  <c r="M11" i="17" s="1"/>
  <c r="D34" i="8"/>
  <c r="E33" i="8"/>
  <c r="K32" i="26"/>
  <c r="L20" i="26"/>
  <c r="N33" i="28"/>
  <c r="M54" i="28" s="1"/>
  <c r="D8" i="29"/>
  <c r="G8" i="29" s="1"/>
  <c r="G8" i="25"/>
  <c r="H8" i="25" s="1"/>
  <c r="G10" i="22"/>
  <c r="H9" i="22"/>
  <c r="Q32" i="8"/>
  <c r="R32" i="8" s="1"/>
  <c r="T32" i="8" s="1"/>
  <c r="N39" i="12"/>
  <c r="D7" i="11"/>
  <c r="E7" i="11" s="1"/>
  <c r="G7" i="11" s="1"/>
  <c r="C52" i="30"/>
  <c r="N10" i="30"/>
  <c r="D66" i="26"/>
  <c r="D65" i="26"/>
  <c r="H60" i="28"/>
  <c r="H59" i="28"/>
  <c r="O23" i="4"/>
  <c r="O24" i="4" s="1"/>
  <c r="J33" i="26"/>
  <c r="I54" i="26" s="1"/>
  <c r="J34" i="26"/>
  <c r="I55" i="26" s="1"/>
  <c r="P19" i="28"/>
  <c r="O32" i="28"/>
  <c r="D9" i="25"/>
  <c r="E11" i="33"/>
  <c r="F10" i="33"/>
  <c r="G9" i="19" s="1"/>
  <c r="C41" i="6"/>
  <c r="P16" i="4"/>
  <c r="P23" i="4" s="1"/>
  <c r="P24" i="4" s="1"/>
  <c r="J16" i="4"/>
  <c r="F40" i="12"/>
  <c r="I40" i="12" s="1"/>
  <c r="P5" i="28"/>
  <c r="O7" i="28"/>
  <c r="O17" i="28" s="1"/>
  <c r="N51" i="28" s="1"/>
  <c r="N39" i="28"/>
  <c r="N42" i="28" s="1"/>
  <c r="N58" i="28" s="1"/>
  <c r="P41" i="26"/>
  <c r="R8" i="26"/>
  <c r="C38" i="8"/>
  <c r="K33" i="6"/>
  <c r="I35" i="6"/>
  <c r="I34" i="6"/>
  <c r="K7" i="28"/>
  <c r="J17" i="28"/>
  <c r="I51" i="28" s="1"/>
  <c r="J5" i="28"/>
  <c r="I39" i="28" s="1"/>
  <c r="I42" i="28" s="1"/>
  <c r="I58" i="28" s="1"/>
  <c r="Q41" i="28"/>
  <c r="S8" i="28"/>
  <c r="N105" i="18"/>
  <c r="N107" i="18" s="1"/>
  <c r="C74" i="18" s="1"/>
  <c r="M107" i="18"/>
  <c r="E6" i="19"/>
  <c r="L48" i="29"/>
  <c r="H15" i="16"/>
  <c r="I14" i="16"/>
  <c r="S35" i="31"/>
  <c r="N33" i="8"/>
  <c r="L34" i="8"/>
  <c r="O49" i="28"/>
  <c r="Q15" i="28"/>
  <c r="F59" i="26"/>
  <c r="F60" i="26"/>
  <c r="J6" i="24" l="1"/>
  <c r="H58" i="26"/>
  <c r="J19" i="12"/>
  <c r="F20" i="12" s="1"/>
  <c r="I20" i="12" s="1"/>
  <c r="I15" i="16"/>
  <c r="H16" i="16"/>
  <c r="D26" i="23"/>
  <c r="I33" i="8"/>
  <c r="K31" i="8"/>
  <c r="E50" i="29"/>
  <c r="K8" i="29"/>
  <c r="G10" i="24"/>
  <c r="H17" i="23"/>
  <c r="H22" i="23" s="1"/>
  <c r="J9" i="24"/>
  <c r="P30" i="8"/>
  <c r="Q30" i="8" s="1"/>
  <c r="R30" i="8" s="1"/>
  <c r="T30" i="8" s="1"/>
  <c r="O30" i="8"/>
  <c r="N59" i="28"/>
  <c r="H11" i="30"/>
  <c r="G48" i="31"/>
  <c r="H48" i="31" s="1"/>
  <c r="L48" i="31" s="1"/>
  <c r="P48" i="31" s="1"/>
  <c r="Q47" i="31"/>
  <c r="R47" i="31" s="1"/>
  <c r="N33" i="6"/>
  <c r="P33" i="6" s="1"/>
  <c r="L34" i="6"/>
  <c r="C13" i="30"/>
  <c r="H13" i="30" s="1"/>
  <c r="C14" i="17"/>
  <c r="P49" i="28"/>
  <c r="R15" i="28"/>
  <c r="G12" i="17"/>
  <c r="L12" i="17" s="1"/>
  <c r="M12" i="17" s="1"/>
  <c r="K31" i="31"/>
  <c r="F48" i="22"/>
  <c r="E47" i="22"/>
  <c r="H47" i="22" s="1"/>
  <c r="G49" i="22"/>
  <c r="K5" i="28"/>
  <c r="J39" i="28" s="1"/>
  <c r="J42" i="28" s="1"/>
  <c r="J58" i="28" s="1"/>
  <c r="K17" i="28"/>
  <c r="J51" i="28" s="1"/>
  <c r="E8" i="22"/>
  <c r="I8" i="22" s="1"/>
  <c r="C7" i="7"/>
  <c r="L35" i="8"/>
  <c r="N34" i="8"/>
  <c r="I36" i="6"/>
  <c r="K34" i="6"/>
  <c r="D10" i="25"/>
  <c r="F11" i="33"/>
  <c r="G10" i="19" s="1"/>
  <c r="E12" i="33"/>
  <c r="Q16" i="4"/>
  <c r="N34" i="28"/>
  <c r="M55" i="28" s="1"/>
  <c r="M60" i="28" s="1"/>
  <c r="E52" i="30"/>
  <c r="D51" i="30"/>
  <c r="F53" i="30"/>
  <c r="G54" i="30"/>
  <c r="F27" i="31"/>
  <c r="D28" i="31"/>
  <c r="C41" i="8"/>
  <c r="Q41" i="26"/>
  <c r="S8" i="26"/>
  <c r="K6" i="26"/>
  <c r="I40" i="26"/>
  <c r="F54" i="30"/>
  <c r="G55" i="30"/>
  <c r="D52" i="30"/>
  <c r="E53" i="30"/>
  <c r="C42" i="6"/>
  <c r="O33" i="28"/>
  <c r="N54" i="28" s="1"/>
  <c r="K33" i="26"/>
  <c r="J54" i="26" s="1"/>
  <c r="J5" i="26"/>
  <c r="I39" i="26" s="1"/>
  <c r="I42" i="26" s="1"/>
  <c r="I58" i="26" s="1"/>
  <c r="V20" i="31"/>
  <c r="W20" i="31" s="1"/>
  <c r="U21" i="31"/>
  <c r="G8" i="17"/>
  <c r="L8" i="17"/>
  <c r="F49" i="29"/>
  <c r="K49" i="29" s="1"/>
  <c r="G50" i="29"/>
  <c r="J53" i="29"/>
  <c r="H51" i="29"/>
  <c r="I52" i="29"/>
  <c r="I59" i="28"/>
  <c r="I60" i="28"/>
  <c r="C43" i="6"/>
  <c r="D35" i="6"/>
  <c r="E34" i="6"/>
  <c r="I6" i="24"/>
  <c r="I9" i="24" s="1"/>
  <c r="I10" i="24" s="1"/>
  <c r="J11" i="19" s="1"/>
  <c r="H9" i="24"/>
  <c r="H10" i="24" s="1"/>
  <c r="J10" i="19" s="1"/>
  <c r="L10" i="19" s="1"/>
  <c r="K35" i="6"/>
  <c r="I37" i="6"/>
  <c r="P7" i="28"/>
  <c r="P17" i="28" s="1"/>
  <c r="O51" i="28" s="1"/>
  <c r="Q5" i="28"/>
  <c r="O39" i="28"/>
  <c r="O42" i="28" s="1"/>
  <c r="O58" i="28" s="1"/>
  <c r="L32" i="26"/>
  <c r="M20" i="26"/>
  <c r="I25" i="31"/>
  <c r="S37" i="31" s="1"/>
  <c r="G26" i="31"/>
  <c r="H26" i="31"/>
  <c r="J40" i="12"/>
  <c r="K40" i="12" s="1"/>
  <c r="L40" i="12" s="1"/>
  <c r="R41" i="28"/>
  <c r="T8" i="28"/>
  <c r="P32" i="28"/>
  <c r="Q19" i="28"/>
  <c r="I12" i="17"/>
  <c r="H12" i="17"/>
  <c r="G6" i="7"/>
  <c r="F6" i="7"/>
  <c r="E6" i="7"/>
  <c r="C49" i="30"/>
  <c r="N7" i="30"/>
  <c r="L15" i="26"/>
  <c r="J49" i="26"/>
  <c r="H34" i="6"/>
  <c r="F35" i="6"/>
  <c r="Q6" i="28"/>
  <c r="O40" i="28"/>
  <c r="D9" i="29"/>
  <c r="G9" i="29" s="1"/>
  <c r="G9" i="25"/>
  <c r="H9" i="25" s="1"/>
  <c r="S19" i="26"/>
  <c r="C40" i="8"/>
  <c r="G11" i="22"/>
  <c r="H10" i="22"/>
  <c r="D35" i="8"/>
  <c r="E34" i="8"/>
  <c r="I7" i="22"/>
  <c r="K17" i="26"/>
  <c r="J51" i="26" s="1"/>
  <c r="K5" i="26"/>
  <c r="J39" i="26" s="1"/>
  <c r="O33" i="6"/>
  <c r="O48" i="6" s="1"/>
  <c r="O49" i="6" s="1"/>
  <c r="O51" i="6" s="1"/>
  <c r="M49" i="12"/>
  <c r="Q28" i="31"/>
  <c r="R28" i="31" s="1"/>
  <c r="F7" i="19"/>
  <c r="P48" i="30"/>
  <c r="H37" i="8"/>
  <c r="F38" i="8"/>
  <c r="D24" i="23"/>
  <c r="O34" i="28" l="1"/>
  <c r="N55" i="28" s="1"/>
  <c r="N60" i="28" s="1"/>
  <c r="P48" i="6"/>
  <c r="Q33" i="6"/>
  <c r="R33" i="6" s="1"/>
  <c r="T33" i="6" s="1"/>
  <c r="J20" i="12"/>
  <c r="F21" i="12" s="1"/>
  <c r="I21" i="12" s="1"/>
  <c r="F39" i="8"/>
  <c r="H38" i="8"/>
  <c r="I39" i="6"/>
  <c r="K37" i="6"/>
  <c r="K8" i="17"/>
  <c r="R16" i="4"/>
  <c r="Q23" i="4"/>
  <c r="F7" i="7"/>
  <c r="E7" i="7"/>
  <c r="J7" i="7" s="1"/>
  <c r="G7" i="7"/>
  <c r="C55" i="30"/>
  <c r="N13" i="30"/>
  <c r="C53" i="30"/>
  <c r="N11" i="30"/>
  <c r="J9" i="19"/>
  <c r="L9" i="19" s="1"/>
  <c r="J10" i="24"/>
  <c r="V21" i="31"/>
  <c r="W21" i="31" s="1"/>
  <c r="U22" i="31"/>
  <c r="D29" i="31"/>
  <c r="F28" i="31"/>
  <c r="E13" i="33"/>
  <c r="D11" i="25"/>
  <c r="F12" i="33"/>
  <c r="G11" i="19" s="1"/>
  <c r="D49" i="22"/>
  <c r="L8" i="22"/>
  <c r="N34" i="6"/>
  <c r="O34" i="6" s="1"/>
  <c r="L35" i="6"/>
  <c r="E8" i="16"/>
  <c r="G8" i="16" s="1"/>
  <c r="K8" i="16" s="1"/>
  <c r="I6" i="7"/>
  <c r="K6" i="7" s="1"/>
  <c r="L6" i="7" s="1"/>
  <c r="E7" i="19"/>
  <c r="L49" i="29"/>
  <c r="U8" i="28"/>
  <c r="S41" i="28"/>
  <c r="C42" i="8"/>
  <c r="N40" i="12"/>
  <c r="D8" i="11"/>
  <c r="E8" i="11" s="1"/>
  <c r="G8" i="11" s="1"/>
  <c r="G27" i="31"/>
  <c r="H27" i="31" s="1"/>
  <c r="F50" i="29"/>
  <c r="K50" i="29" s="1"/>
  <c r="I53" i="29"/>
  <c r="G51" i="29"/>
  <c r="H52" i="29"/>
  <c r="J54" i="29"/>
  <c r="T19" i="26"/>
  <c r="D49" i="30"/>
  <c r="H49" i="30" s="1"/>
  <c r="E50" i="30"/>
  <c r="H50" i="30" s="1"/>
  <c r="G52" i="30"/>
  <c r="F51" i="30"/>
  <c r="F41" i="12"/>
  <c r="I41" i="12" s="1"/>
  <c r="N20" i="26"/>
  <c r="M32" i="26"/>
  <c r="K12" i="19"/>
  <c r="L11" i="19"/>
  <c r="I60" i="26"/>
  <c r="I59" i="26"/>
  <c r="T8" i="26"/>
  <c r="R41" i="26"/>
  <c r="D10" i="29"/>
  <c r="G10" i="29" s="1"/>
  <c r="G10" i="25"/>
  <c r="H10" i="25" s="1"/>
  <c r="J60" i="28"/>
  <c r="J59" i="28"/>
  <c r="E51" i="29"/>
  <c r="K9" i="29"/>
  <c r="I26" i="31"/>
  <c r="Q7" i="28"/>
  <c r="Q17" i="28" s="1"/>
  <c r="P51" i="28" s="1"/>
  <c r="R5" i="28"/>
  <c r="P39" i="28"/>
  <c r="J6" i="7"/>
  <c r="D48" i="22"/>
  <c r="L7" i="22"/>
  <c r="R6" i="28"/>
  <c r="P40" i="28"/>
  <c r="L6" i="26"/>
  <c r="J40" i="26"/>
  <c r="J42" i="26" s="1"/>
  <c r="J58" i="26" s="1"/>
  <c r="K12" i="17"/>
  <c r="C14" i="30"/>
  <c r="C15" i="17"/>
  <c r="D36" i="8"/>
  <c r="E35" i="8"/>
  <c r="F36" i="6"/>
  <c r="H35" i="6"/>
  <c r="L33" i="26"/>
  <c r="K54" i="26" s="1"/>
  <c r="L34" i="26"/>
  <c r="K55" i="26" s="1"/>
  <c r="K34" i="26"/>
  <c r="J55" i="26" s="1"/>
  <c r="C44" i="6"/>
  <c r="Q49" i="28"/>
  <c r="S15" i="28"/>
  <c r="P31" i="8"/>
  <c r="Q31" i="8" s="1"/>
  <c r="R31" i="8" s="1"/>
  <c r="T31" i="8" s="1"/>
  <c r="O31" i="8"/>
  <c r="H60" i="26"/>
  <c r="H59" i="26"/>
  <c r="M50" i="12"/>
  <c r="Q29" i="31"/>
  <c r="R29" i="31" s="1"/>
  <c r="O59" i="28"/>
  <c r="D36" i="6"/>
  <c r="E35" i="6"/>
  <c r="H51" i="30"/>
  <c r="I38" i="6"/>
  <c r="K36" i="6"/>
  <c r="D5" i="19"/>
  <c r="I5" i="19" s="1"/>
  <c r="I47" i="22"/>
  <c r="Q48" i="31"/>
  <c r="R48" i="31" s="1"/>
  <c r="G49" i="31"/>
  <c r="H49" i="31" s="1"/>
  <c r="L49" i="31" s="1"/>
  <c r="P49" i="31" s="1"/>
  <c r="K33" i="8"/>
  <c r="I35" i="8"/>
  <c r="I34" i="8"/>
  <c r="Q32" i="28"/>
  <c r="R19" i="28"/>
  <c r="P33" i="28"/>
  <c r="O54" i="28" s="1"/>
  <c r="H52" i="30"/>
  <c r="G12" i="22"/>
  <c r="H11" i="22"/>
  <c r="M15" i="26"/>
  <c r="K49" i="26"/>
  <c r="C45" i="6"/>
  <c r="M8" i="17"/>
  <c r="C43" i="8"/>
  <c r="L36" i="8"/>
  <c r="N35" i="8"/>
  <c r="L14" i="17"/>
  <c r="M14" i="17" s="1"/>
  <c r="G14" i="17"/>
  <c r="K14" i="17" s="1"/>
  <c r="I16" i="16"/>
  <c r="H17" i="16"/>
  <c r="P34" i="28" l="1"/>
  <c r="O55" i="28" s="1"/>
  <c r="O60" i="28" s="1"/>
  <c r="J59" i="26"/>
  <c r="J60" i="26"/>
  <c r="J21" i="12"/>
  <c r="F22" i="12"/>
  <c r="I22" i="12" s="1"/>
  <c r="I27" i="31"/>
  <c r="M6" i="26"/>
  <c r="L5" i="26"/>
  <c r="K40" i="26"/>
  <c r="F8" i="19"/>
  <c r="P49" i="30"/>
  <c r="C44" i="8"/>
  <c r="G28" i="31"/>
  <c r="H28" i="31"/>
  <c r="L37" i="8"/>
  <c r="N36" i="8"/>
  <c r="C15" i="30"/>
  <c r="H15" i="30" s="1"/>
  <c r="C16" i="17"/>
  <c r="C45" i="8"/>
  <c r="L49" i="26"/>
  <c r="N15" i="26"/>
  <c r="Q33" i="28"/>
  <c r="P54" i="28" s="1"/>
  <c r="M51" i="12"/>
  <c r="S34" i="31"/>
  <c r="C46" i="6"/>
  <c r="E48" i="22"/>
  <c r="H48" i="22" s="1"/>
  <c r="F49" i="22"/>
  <c r="G50" i="22"/>
  <c r="M33" i="26"/>
  <c r="L54" i="26" s="1"/>
  <c r="M34" i="26"/>
  <c r="L55" i="26" s="1"/>
  <c r="V8" i="28"/>
  <c r="T41" i="28"/>
  <c r="V22" i="31"/>
  <c r="W22" i="31" s="1"/>
  <c r="U23" i="31"/>
  <c r="I36" i="8"/>
  <c r="K34" i="8"/>
  <c r="I40" i="6"/>
  <c r="K38" i="6"/>
  <c r="D37" i="8"/>
  <c r="E36" i="8"/>
  <c r="F51" i="29"/>
  <c r="K51" i="29" s="1"/>
  <c r="G52" i="29"/>
  <c r="I54" i="29"/>
  <c r="H53" i="29"/>
  <c r="J55" i="29"/>
  <c r="E52" i="29"/>
  <c r="K10" i="29"/>
  <c r="O20" i="26"/>
  <c r="N32" i="26"/>
  <c r="G58" i="30"/>
  <c r="F57" i="30"/>
  <c r="D55" i="30"/>
  <c r="E56" i="30"/>
  <c r="E8" i="19"/>
  <c r="L50" i="29"/>
  <c r="I37" i="8"/>
  <c r="K35" i="8"/>
  <c r="P35" i="8" s="1"/>
  <c r="Q35" i="8" s="1"/>
  <c r="R35" i="8" s="1"/>
  <c r="T35" i="8" s="1"/>
  <c r="G15" i="17"/>
  <c r="K15" i="17" s="1"/>
  <c r="L15" i="17"/>
  <c r="M15" i="17" s="1"/>
  <c r="P34" i="6"/>
  <c r="Q34" i="6" s="1"/>
  <c r="R34" i="6" s="1"/>
  <c r="T34" i="6" s="1"/>
  <c r="F42" i="12"/>
  <c r="I42" i="12" s="1"/>
  <c r="J41" i="12"/>
  <c r="K41" i="12" s="1"/>
  <c r="L41" i="12" s="1"/>
  <c r="E9" i="22"/>
  <c r="C8" i="7"/>
  <c r="E49" i="22"/>
  <c r="F50" i="22"/>
  <c r="G51" i="22"/>
  <c r="P33" i="8"/>
  <c r="O33" i="8"/>
  <c r="O48" i="8" s="1"/>
  <c r="O49" i="8" s="1"/>
  <c r="O51" i="8" s="1"/>
  <c r="H14" i="30"/>
  <c r="P42" i="28"/>
  <c r="P58" i="28" s="1"/>
  <c r="U8" i="26"/>
  <c r="S41" i="26"/>
  <c r="M5" i="19"/>
  <c r="I17" i="16"/>
  <c r="H18" i="16"/>
  <c r="G13" i="22"/>
  <c r="H12" i="22"/>
  <c r="F10" i="19"/>
  <c r="P51" i="30"/>
  <c r="F11" i="19"/>
  <c r="P52" i="30"/>
  <c r="Q49" i="31"/>
  <c r="R49" i="31" s="1"/>
  <c r="G50" i="31"/>
  <c r="H50" i="31" s="1"/>
  <c r="L50" i="31" s="1"/>
  <c r="D37" i="6"/>
  <c r="E36" i="6"/>
  <c r="S6" i="28"/>
  <c r="Q40" i="28"/>
  <c r="R7" i="28"/>
  <c r="R17" i="28" s="1"/>
  <c r="Q51" i="28" s="1"/>
  <c r="Q39" i="28"/>
  <c r="Q42" i="28" s="1"/>
  <c r="Q58" i="28" s="1"/>
  <c r="S5" i="28"/>
  <c r="D11" i="29"/>
  <c r="G11" i="29" s="1"/>
  <c r="G11" i="25"/>
  <c r="I41" i="6"/>
  <c r="K39" i="6"/>
  <c r="Q48" i="6"/>
  <c r="R48" i="6" s="1"/>
  <c r="T48" i="6" s="1"/>
  <c r="P49" i="6"/>
  <c r="Q49" i="6" s="1"/>
  <c r="R49" i="6" s="1"/>
  <c r="T49" i="6" s="1"/>
  <c r="R49" i="28"/>
  <c r="T15" i="28"/>
  <c r="F9" i="19"/>
  <c r="P50" i="30"/>
  <c r="E14" i="33"/>
  <c r="F13" i="33"/>
  <c r="G12" i="19" s="1"/>
  <c r="D12" i="25"/>
  <c r="E9" i="16"/>
  <c r="G9" i="16" s="1"/>
  <c r="K9" i="16" s="1"/>
  <c r="I7" i="7"/>
  <c r="K7" i="7" s="1"/>
  <c r="L7" i="7" s="1"/>
  <c r="C47" i="6"/>
  <c r="N35" i="6"/>
  <c r="O35" i="6" s="1"/>
  <c r="L36" i="6"/>
  <c r="R32" i="28"/>
  <c r="S19" i="28"/>
  <c r="H36" i="6"/>
  <c r="F37" i="6"/>
  <c r="K13" i="19"/>
  <c r="L12" i="19"/>
  <c r="U19" i="26"/>
  <c r="D30" i="31"/>
  <c r="F29" i="31"/>
  <c r="F55" i="30"/>
  <c r="G56" i="30"/>
  <c r="D53" i="30"/>
  <c r="H53" i="30" s="1"/>
  <c r="E54" i="30"/>
  <c r="H54" i="30" s="1"/>
  <c r="R23" i="4"/>
  <c r="Q24" i="4"/>
  <c r="H39" i="8"/>
  <c r="F40" i="8"/>
  <c r="F41" i="8" l="1"/>
  <c r="H40" i="8"/>
  <c r="P59" i="28"/>
  <c r="V23" i="31"/>
  <c r="W23" i="31" s="1"/>
  <c r="U24" i="31"/>
  <c r="I18" i="16"/>
  <c r="H19" i="16"/>
  <c r="M49" i="26"/>
  <c r="O15" i="26"/>
  <c r="M5" i="26"/>
  <c r="K39" i="26"/>
  <c r="K42" i="26" s="1"/>
  <c r="K58" i="26" s="1"/>
  <c r="P35" i="6"/>
  <c r="Q35" i="6" s="1"/>
  <c r="R35" i="6" s="1"/>
  <c r="T35" i="6" s="1"/>
  <c r="O35" i="8"/>
  <c r="N6" i="26"/>
  <c r="L40" i="26"/>
  <c r="F12" i="19"/>
  <c r="P53" i="30"/>
  <c r="L13" i="19"/>
  <c r="K14" i="19"/>
  <c r="I43" i="6"/>
  <c r="K41" i="6"/>
  <c r="I9" i="22"/>
  <c r="I39" i="8"/>
  <c r="K37" i="8"/>
  <c r="H55" i="30"/>
  <c r="D38" i="8"/>
  <c r="E37" i="8"/>
  <c r="U41" i="28"/>
  <c r="W8" i="28"/>
  <c r="C47" i="8"/>
  <c r="D12" i="29"/>
  <c r="G12" i="29" s="1"/>
  <c r="G12" i="25"/>
  <c r="H12" i="25" s="1"/>
  <c r="G14" i="22"/>
  <c r="H13" i="22"/>
  <c r="P20" i="26"/>
  <c r="O32" i="26"/>
  <c r="V19" i="26"/>
  <c r="D6" i="19"/>
  <c r="I6" i="19" s="1"/>
  <c r="I48" i="22"/>
  <c r="E15" i="33"/>
  <c r="D13" i="25"/>
  <c r="F14" i="33"/>
  <c r="G13" i="19" s="1"/>
  <c r="C56" i="30"/>
  <c r="N14" i="30"/>
  <c r="G53" i="29"/>
  <c r="J56" i="29"/>
  <c r="F52" i="29"/>
  <c r="K52" i="29" s="1"/>
  <c r="H54" i="29"/>
  <c r="I55" i="29"/>
  <c r="H37" i="6"/>
  <c r="F38" i="6"/>
  <c r="H11" i="25"/>
  <c r="T6" i="28"/>
  <c r="R40" i="28"/>
  <c r="J42" i="12"/>
  <c r="K42" i="12" s="1"/>
  <c r="L42" i="12" s="1"/>
  <c r="P34" i="8"/>
  <c r="Q34" i="8" s="1"/>
  <c r="R34" i="8" s="1"/>
  <c r="T34" i="8" s="1"/>
  <c r="O34" i="8"/>
  <c r="L37" i="6"/>
  <c r="N36" i="6"/>
  <c r="L38" i="8"/>
  <c r="N37" i="8"/>
  <c r="Q59" i="28"/>
  <c r="H49" i="22"/>
  <c r="F13" i="19"/>
  <c r="P54" i="30"/>
  <c r="G8" i="7"/>
  <c r="F8" i="7"/>
  <c r="E8" i="7"/>
  <c r="J8" i="7" s="1"/>
  <c r="I28" i="31"/>
  <c r="P36" i="6"/>
  <c r="Q36" i="6" s="1"/>
  <c r="R36" i="6" s="1"/>
  <c r="T36" i="6" s="1"/>
  <c r="U15" i="28"/>
  <c r="S49" i="28"/>
  <c r="E53" i="29"/>
  <c r="K11" i="29"/>
  <c r="O36" i="6"/>
  <c r="Q33" i="8"/>
  <c r="R33" i="8" s="1"/>
  <c r="T33" i="8" s="1"/>
  <c r="P48" i="8"/>
  <c r="N41" i="12"/>
  <c r="D9" i="11"/>
  <c r="E9" i="11" s="1"/>
  <c r="G9" i="11" s="1"/>
  <c r="K40" i="6"/>
  <c r="I42" i="6"/>
  <c r="G16" i="17"/>
  <c r="C46" i="8"/>
  <c r="C57" i="30"/>
  <c r="N15" i="30"/>
  <c r="Q31" i="31"/>
  <c r="R31" i="31" s="1"/>
  <c r="M52" i="12"/>
  <c r="J22" i="12"/>
  <c r="F23" i="12"/>
  <c r="I23" i="12" s="1"/>
  <c r="D31" i="31"/>
  <c r="F30" i="31"/>
  <c r="R33" i="28"/>
  <c r="Q54" i="28" s="1"/>
  <c r="H51" i="31"/>
  <c r="L51" i="31" s="1"/>
  <c r="P50" i="31"/>
  <c r="Q50" i="31" s="1"/>
  <c r="R50" i="31" s="1"/>
  <c r="S50" i="31" s="1"/>
  <c r="V8" i="26"/>
  <c r="T41" i="26"/>
  <c r="N33" i="26"/>
  <c r="M54" i="26" s="1"/>
  <c r="E9" i="19"/>
  <c r="L51" i="29"/>
  <c r="I38" i="8"/>
  <c r="K36" i="8"/>
  <c r="P36" i="8" s="1"/>
  <c r="Q36" i="8" s="1"/>
  <c r="R36" i="8" s="1"/>
  <c r="T36" i="8" s="1"/>
  <c r="Q34" i="28"/>
  <c r="P55" i="28" s="1"/>
  <c r="P60" i="28" s="1"/>
  <c r="H29" i="31"/>
  <c r="G29" i="31"/>
  <c r="S32" i="28"/>
  <c r="T19" i="28"/>
  <c r="D38" i="6"/>
  <c r="E37" i="6"/>
  <c r="T5" i="28"/>
  <c r="S7" i="28"/>
  <c r="S17" i="28" s="1"/>
  <c r="R51" i="28" s="1"/>
  <c r="R39" i="28"/>
  <c r="R42" i="28" s="1"/>
  <c r="R58" i="28" s="1"/>
  <c r="R34" i="28" l="1"/>
  <c r="Q55" i="28" s="1"/>
  <c r="Q60" i="28" s="1"/>
  <c r="N34" i="26"/>
  <c r="M55" i="26" s="1"/>
  <c r="N49" i="26"/>
  <c r="P15" i="26"/>
  <c r="U19" i="28"/>
  <c r="T32" i="28"/>
  <c r="C17" i="30"/>
  <c r="C18" i="17"/>
  <c r="I44" i="6"/>
  <c r="K42" i="6"/>
  <c r="F43" i="12"/>
  <c r="I43" i="12" s="1"/>
  <c r="O33" i="26"/>
  <c r="N54" i="26" s="1"/>
  <c r="X8" i="28"/>
  <c r="V41" i="28"/>
  <c r="D50" i="22"/>
  <c r="L9" i="22"/>
  <c r="O6" i="26"/>
  <c r="M40" i="26"/>
  <c r="K38" i="8"/>
  <c r="P38" i="8" s="1"/>
  <c r="Q38" i="8" s="1"/>
  <c r="R38" i="8" s="1"/>
  <c r="T38" i="8" s="1"/>
  <c r="I40" i="8"/>
  <c r="D7" i="19"/>
  <c r="I7" i="19" s="1"/>
  <c r="M7" i="19" s="1"/>
  <c r="I49" i="22"/>
  <c r="G59" i="30"/>
  <c r="D56" i="30"/>
  <c r="H56" i="30" s="1"/>
  <c r="E57" i="30"/>
  <c r="F58" i="30"/>
  <c r="G30" i="31"/>
  <c r="H30" i="31" s="1"/>
  <c r="G54" i="29"/>
  <c r="F53" i="29"/>
  <c r="K53" i="29" s="1"/>
  <c r="H55" i="29"/>
  <c r="I56" i="29"/>
  <c r="J57" i="29"/>
  <c r="I8" i="7"/>
  <c r="K8" i="7" s="1"/>
  <c r="L8" i="7" s="1"/>
  <c r="E10" i="16"/>
  <c r="G10" i="16" s="1"/>
  <c r="K10" i="16" s="1"/>
  <c r="N42" i="12"/>
  <c r="D10" i="11"/>
  <c r="E10" i="11" s="1"/>
  <c r="G10" i="11" s="1"/>
  <c r="S40" i="28"/>
  <c r="U6" i="28"/>
  <c r="E10" i="19"/>
  <c r="L52" i="29"/>
  <c r="D13" i="29"/>
  <c r="G13" i="29" s="1"/>
  <c r="G13" i="25"/>
  <c r="H13" i="25" s="1"/>
  <c r="Q20" i="26"/>
  <c r="P32" i="26"/>
  <c r="W19" i="26"/>
  <c r="S33" i="28"/>
  <c r="R54" i="28" s="1"/>
  <c r="D32" i="31"/>
  <c r="F31" i="31"/>
  <c r="F59" i="30"/>
  <c r="G60" i="30"/>
  <c r="D57" i="30"/>
  <c r="H57" i="30" s="1"/>
  <c r="E58" i="30"/>
  <c r="H58" i="30" s="1"/>
  <c r="D14" i="25"/>
  <c r="E16" i="33"/>
  <c r="F15" i="33"/>
  <c r="G14" i="19" s="1"/>
  <c r="O37" i="8"/>
  <c r="K43" i="6"/>
  <c r="I45" i="6"/>
  <c r="O36" i="8"/>
  <c r="I41" i="8"/>
  <c r="K39" i="8"/>
  <c r="P39" i="8" s="1"/>
  <c r="Q39" i="8" s="1"/>
  <c r="R39" i="8" s="1"/>
  <c r="T39" i="8" s="1"/>
  <c r="R59" i="28"/>
  <c r="I29" i="31"/>
  <c r="E10" i="22"/>
  <c r="C9" i="7"/>
  <c r="T49" i="28"/>
  <c r="V15" i="28"/>
  <c r="N38" i="8"/>
  <c r="L39" i="8"/>
  <c r="L40" i="8" s="1"/>
  <c r="L41" i="8" s="1"/>
  <c r="L42" i="8" s="1"/>
  <c r="L43" i="8" s="1"/>
  <c r="L44" i="8" s="1"/>
  <c r="L45" i="8" s="1"/>
  <c r="L46" i="8" s="1"/>
  <c r="L47" i="8" s="1"/>
  <c r="G15" i="22"/>
  <c r="H14" i="22"/>
  <c r="D39" i="8"/>
  <c r="E38" i="8"/>
  <c r="L14" i="19"/>
  <c r="K15" i="19"/>
  <c r="H41" i="8"/>
  <c r="F42" i="8"/>
  <c r="H52" i="31"/>
  <c r="L52" i="31" s="1"/>
  <c r="P51" i="31"/>
  <c r="Q51" i="31" s="1"/>
  <c r="R51" i="31" s="1"/>
  <c r="V24" i="31"/>
  <c r="W24" i="31" s="1"/>
  <c r="U25" i="31"/>
  <c r="D39" i="6"/>
  <c r="E38" i="6"/>
  <c r="Q32" i="31"/>
  <c r="R32" i="31" s="1"/>
  <c r="M53" i="12"/>
  <c r="W8" i="26"/>
  <c r="U41" i="26"/>
  <c r="J23" i="12"/>
  <c r="F24" i="12" s="1"/>
  <c r="I24" i="12" s="1"/>
  <c r="Q48" i="8"/>
  <c r="R48" i="8" s="1"/>
  <c r="T48" i="8" s="1"/>
  <c r="P49" i="8"/>
  <c r="Q49" i="8" s="1"/>
  <c r="R49" i="8" s="1"/>
  <c r="T49" i="8" s="1"/>
  <c r="M6" i="19"/>
  <c r="F14" i="19"/>
  <c r="P55" i="30"/>
  <c r="K60" i="26"/>
  <c r="D62" i="26" s="1"/>
  <c r="K59" i="26"/>
  <c r="I19" i="16"/>
  <c r="H20" i="16"/>
  <c r="K16" i="17"/>
  <c r="U5" i="28"/>
  <c r="T7" i="28"/>
  <c r="T17" i="28" s="1"/>
  <c r="S51" i="28" s="1"/>
  <c r="S39" i="28"/>
  <c r="S42" i="28" s="1"/>
  <c r="S58" i="28" s="1"/>
  <c r="L16" i="17"/>
  <c r="L38" i="6"/>
  <c r="N37" i="6"/>
  <c r="P37" i="6" s="1"/>
  <c r="Q37" i="6" s="1"/>
  <c r="R37" i="6" s="1"/>
  <c r="T37" i="6" s="1"/>
  <c r="F39" i="6"/>
  <c r="H38" i="6"/>
  <c r="E54" i="29"/>
  <c r="K12" i="29"/>
  <c r="P37" i="8"/>
  <c r="Q37" i="8" s="1"/>
  <c r="R37" i="8" s="1"/>
  <c r="T37" i="8" s="1"/>
  <c r="L39" i="26"/>
  <c r="L42" i="26" s="1"/>
  <c r="L58" i="26" s="1"/>
  <c r="M7" i="26"/>
  <c r="M17" i="26" s="1"/>
  <c r="L51" i="26" s="1"/>
  <c r="N5" i="26"/>
  <c r="S34" i="28" l="1"/>
  <c r="R55" i="28" s="1"/>
  <c r="R60" i="28" s="1"/>
  <c r="O34" i="26"/>
  <c r="N55" i="26" s="1"/>
  <c r="J24" i="12"/>
  <c r="F25" i="12" s="1"/>
  <c r="I25" i="12" s="1"/>
  <c r="J33" i="31"/>
  <c r="I30" i="31"/>
  <c r="M39" i="26"/>
  <c r="M42" i="26" s="1"/>
  <c r="M58" i="26" s="1"/>
  <c r="N7" i="26"/>
  <c r="N17" i="26" s="1"/>
  <c r="M51" i="26" s="1"/>
  <c r="O5" i="26"/>
  <c r="O37" i="6"/>
  <c r="H42" i="8"/>
  <c r="F43" i="8"/>
  <c r="W38" i="31"/>
  <c r="F17" i="19"/>
  <c r="P58" i="30"/>
  <c r="X19" i="26"/>
  <c r="X24" i="31"/>
  <c r="Y8" i="28"/>
  <c r="X41" i="28" s="1"/>
  <c r="W41" i="28"/>
  <c r="T33" i="28"/>
  <c r="S54" i="28" s="1"/>
  <c r="T34" i="28"/>
  <c r="S55" i="28" s="1"/>
  <c r="S60" i="28" s="1"/>
  <c r="L39" i="6"/>
  <c r="L40" i="6" s="1"/>
  <c r="L41" i="6" s="1"/>
  <c r="L42" i="6" s="1"/>
  <c r="L43" i="6" s="1"/>
  <c r="L44" i="6" s="1"/>
  <c r="L45" i="6" s="1"/>
  <c r="L46" i="6" s="1"/>
  <c r="L47" i="6" s="1"/>
  <c r="N38" i="6"/>
  <c r="I20" i="16"/>
  <c r="H21" i="16"/>
  <c r="C18" i="30"/>
  <c r="H18" i="30" s="1"/>
  <c r="C19" i="17"/>
  <c r="P41" i="8"/>
  <c r="Q41" i="8" s="1"/>
  <c r="R41" i="8" s="1"/>
  <c r="T41" i="8" s="1"/>
  <c r="F16" i="19"/>
  <c r="P57" i="30"/>
  <c r="V19" i="28"/>
  <c r="U32" i="28"/>
  <c r="L59" i="26"/>
  <c r="L60" i="26"/>
  <c r="I47" i="6"/>
  <c r="K47" i="6" s="1"/>
  <c r="K45" i="6"/>
  <c r="F15" i="19"/>
  <c r="P56" i="30"/>
  <c r="N40" i="26"/>
  <c r="P6" i="26"/>
  <c r="O49" i="26"/>
  <c r="Q15" i="26"/>
  <c r="M54" i="12"/>
  <c r="Q33" i="31"/>
  <c r="M16" i="17"/>
  <c r="V6" i="28"/>
  <c r="T40" i="28"/>
  <c r="S59" i="28"/>
  <c r="D40" i="6"/>
  <c r="E39" i="6"/>
  <c r="J43" i="12"/>
  <c r="K43" i="12" s="1"/>
  <c r="L43" i="12" s="1"/>
  <c r="G16" i="22"/>
  <c r="H15" i="22"/>
  <c r="O38" i="6"/>
  <c r="L15" i="19"/>
  <c r="K16" i="19"/>
  <c r="V25" i="31"/>
  <c r="W25" i="31" s="1"/>
  <c r="U26" i="31"/>
  <c r="W15" i="28"/>
  <c r="U49" i="28"/>
  <c r="G31" i="31"/>
  <c r="H31" i="31"/>
  <c r="P33" i="26"/>
  <c r="O54" i="26" s="1"/>
  <c r="E11" i="19"/>
  <c r="L53" i="29"/>
  <c r="H56" i="29"/>
  <c r="I57" i="29"/>
  <c r="F54" i="29"/>
  <c r="K54" i="29" s="1"/>
  <c r="G55" i="29"/>
  <c r="J58" i="29"/>
  <c r="V5" i="28"/>
  <c r="U7" i="28"/>
  <c r="U17" i="28" s="1"/>
  <c r="T51" i="28" s="1"/>
  <c r="T39" i="28"/>
  <c r="T42" i="28" s="1"/>
  <c r="T58" i="28" s="1"/>
  <c r="D40" i="8"/>
  <c r="E39" i="8"/>
  <c r="F32" i="31"/>
  <c r="D33" i="31"/>
  <c r="R20" i="26"/>
  <c r="Q32" i="26"/>
  <c r="E11" i="22"/>
  <c r="I11" i="22" s="1"/>
  <c r="C10" i="7"/>
  <c r="I46" i="6"/>
  <c r="K46" i="6" s="1"/>
  <c r="K44" i="6"/>
  <c r="P38" i="6"/>
  <c r="Q38" i="6" s="1"/>
  <c r="R38" i="6" s="1"/>
  <c r="T38" i="6" s="1"/>
  <c r="E9" i="7"/>
  <c r="F9" i="7"/>
  <c r="G9" i="7"/>
  <c r="I43" i="8"/>
  <c r="K41" i="8"/>
  <c r="E17" i="33"/>
  <c r="F16" i="33"/>
  <c r="G15" i="19" s="1"/>
  <c r="D15" i="25"/>
  <c r="I42" i="8"/>
  <c r="K40" i="8"/>
  <c r="P40" i="8" s="1"/>
  <c r="Q40" i="8" s="1"/>
  <c r="R40" i="8" s="1"/>
  <c r="T40" i="8" s="1"/>
  <c r="E50" i="22"/>
  <c r="H50" i="22" s="1"/>
  <c r="G52" i="22"/>
  <c r="F51" i="22"/>
  <c r="G18" i="17"/>
  <c r="L18" i="17"/>
  <c r="M18" i="17" s="1"/>
  <c r="F40" i="6"/>
  <c r="H39" i="6"/>
  <c r="P39" i="6" s="1"/>
  <c r="Q39" i="6" s="1"/>
  <c r="R39" i="6" s="1"/>
  <c r="T39" i="6" s="1"/>
  <c r="X8" i="26"/>
  <c r="V41" i="26"/>
  <c r="H53" i="31"/>
  <c r="L53" i="31" s="1"/>
  <c r="P52" i="31"/>
  <c r="Q52" i="31" s="1"/>
  <c r="R52" i="31" s="1"/>
  <c r="I10" i="22"/>
  <c r="D14" i="29"/>
  <c r="G14" i="29" s="1"/>
  <c r="G14" i="25"/>
  <c r="H14" i="25" s="1"/>
  <c r="E55" i="29"/>
  <c r="K13" i="29"/>
  <c r="H17" i="30"/>
  <c r="J25" i="12" l="1"/>
  <c r="F26" i="12" s="1"/>
  <c r="I26" i="12" s="1"/>
  <c r="T59" i="28"/>
  <c r="N43" i="12"/>
  <c r="D11" i="11"/>
  <c r="E11" i="11" s="1"/>
  <c r="G11" i="11" s="1"/>
  <c r="D52" i="22"/>
  <c r="L11" i="22"/>
  <c r="K18" i="17"/>
  <c r="K17" i="19"/>
  <c r="L16" i="19"/>
  <c r="Q34" i="31"/>
  <c r="R34" i="31" s="1"/>
  <c r="M55" i="12"/>
  <c r="G19" i="17"/>
  <c r="K19" i="17" s="1"/>
  <c r="H54" i="31"/>
  <c r="L54" i="31" s="1"/>
  <c r="P53" i="31"/>
  <c r="Q53" i="31" s="1"/>
  <c r="R53" i="31" s="1"/>
  <c r="I45" i="8"/>
  <c r="K43" i="8"/>
  <c r="C60" i="30"/>
  <c r="N18" i="30"/>
  <c r="F44" i="8"/>
  <c r="H43" i="8"/>
  <c r="D8" i="19"/>
  <c r="I8" i="19" s="1"/>
  <c r="I50" i="22"/>
  <c r="G32" i="31"/>
  <c r="H32" i="31"/>
  <c r="E12" i="19"/>
  <c r="L54" i="29"/>
  <c r="I21" i="16"/>
  <c r="H22" i="16"/>
  <c r="M60" i="26"/>
  <c r="M59" i="26"/>
  <c r="D15" i="29"/>
  <c r="G15" i="29" s="1"/>
  <c r="G15" i="25"/>
  <c r="H15" i="25" s="1"/>
  <c r="V26" i="31"/>
  <c r="W26" i="31" s="1"/>
  <c r="U27" i="31"/>
  <c r="I9" i="7"/>
  <c r="K9" i="7" s="1"/>
  <c r="L9" i="7" s="1"/>
  <c r="E11" i="16"/>
  <c r="G11" i="16" s="1"/>
  <c r="K11" i="16" s="1"/>
  <c r="D51" i="22"/>
  <c r="L10" i="22"/>
  <c r="Q33" i="26"/>
  <c r="P54" i="26" s="1"/>
  <c r="S20" i="26"/>
  <c r="R32" i="26"/>
  <c r="P5" i="26"/>
  <c r="O7" i="26"/>
  <c r="O17" i="26" s="1"/>
  <c r="N51" i="26" s="1"/>
  <c r="N39" i="26"/>
  <c r="N42" i="26" s="1"/>
  <c r="N58" i="26" s="1"/>
  <c r="C59" i="30"/>
  <c r="N17" i="30"/>
  <c r="D34" i="31"/>
  <c r="F33" i="31"/>
  <c r="F55" i="29"/>
  <c r="K55" i="29" s="1"/>
  <c r="I58" i="29"/>
  <c r="H57" i="29"/>
  <c r="J59" i="29"/>
  <c r="G56" i="29"/>
  <c r="Y8" i="26"/>
  <c r="X41" i="26" s="1"/>
  <c r="W41" i="26"/>
  <c r="J9" i="7"/>
  <c r="G17" i="22"/>
  <c r="H16" i="22"/>
  <c r="W6" i="28"/>
  <c r="U40" i="28"/>
  <c r="O40" i="26"/>
  <c r="Q6" i="26"/>
  <c r="U33" i="28"/>
  <c r="T54" i="28" s="1"/>
  <c r="E18" i="33"/>
  <c r="F17" i="33"/>
  <c r="G16" i="19" s="1"/>
  <c r="W5" i="28"/>
  <c r="V7" i="28"/>
  <c r="V17" i="28" s="1"/>
  <c r="U51" i="28" s="1"/>
  <c r="U39" i="28"/>
  <c r="D41" i="6"/>
  <c r="E40" i="6"/>
  <c r="P34" i="26"/>
  <c r="O55" i="26" s="1"/>
  <c r="I31" i="31"/>
  <c r="P49" i="26"/>
  <c r="R15" i="26"/>
  <c r="K42" i="8"/>
  <c r="P42" i="8" s="1"/>
  <c r="Q42" i="8" s="1"/>
  <c r="R42" i="8" s="1"/>
  <c r="T42" i="8" s="1"/>
  <c r="I44" i="8"/>
  <c r="D41" i="8"/>
  <c r="E40" i="8"/>
  <c r="X15" i="28"/>
  <c r="V49" i="28"/>
  <c r="F44" i="12"/>
  <c r="I44" i="12" s="1"/>
  <c r="W19" i="28"/>
  <c r="V32" i="28"/>
  <c r="Y19" i="26"/>
  <c r="F41" i="6"/>
  <c r="H40" i="6"/>
  <c r="P40" i="6" s="1"/>
  <c r="Q40" i="6" s="1"/>
  <c r="R40" i="6" s="1"/>
  <c r="T40" i="6" s="1"/>
  <c r="M33" i="31"/>
  <c r="E56" i="29"/>
  <c r="K14" i="29"/>
  <c r="F10" i="7"/>
  <c r="J10" i="7" s="1"/>
  <c r="G10" i="7"/>
  <c r="E10" i="7"/>
  <c r="U34" i="28" l="1"/>
  <c r="T55" i="28" s="1"/>
  <c r="T60" i="28" s="1"/>
  <c r="J26" i="12"/>
  <c r="F27" i="12" s="1"/>
  <c r="I27" i="12" s="1"/>
  <c r="X19" i="28"/>
  <c r="W32" i="28"/>
  <c r="F45" i="12"/>
  <c r="I45" i="12" s="1"/>
  <c r="J44" i="12"/>
  <c r="K44" i="12" s="1"/>
  <c r="L44" i="12" s="1"/>
  <c r="X5" i="28"/>
  <c r="W7" i="28"/>
  <c r="W17" i="28" s="1"/>
  <c r="V51" i="28" s="1"/>
  <c r="V39" i="28"/>
  <c r="V42" i="28" s="1"/>
  <c r="V58" i="28" s="1"/>
  <c r="Q34" i="26"/>
  <c r="P55" i="26" s="1"/>
  <c r="Q35" i="31"/>
  <c r="R35" i="31" s="1"/>
  <c r="M56" i="12"/>
  <c r="X6" i="28"/>
  <c r="V40" i="28"/>
  <c r="G62" i="30"/>
  <c r="E60" i="30"/>
  <c r="D59" i="30"/>
  <c r="H59" i="30" s="1"/>
  <c r="F61" i="30"/>
  <c r="E61" i="30"/>
  <c r="F62" i="30"/>
  <c r="G63" i="30"/>
  <c r="D60" i="30"/>
  <c r="C20" i="30"/>
  <c r="H20" i="30" s="1"/>
  <c r="C21" i="17"/>
  <c r="E12" i="22"/>
  <c r="C11" i="7"/>
  <c r="G57" i="29"/>
  <c r="J60" i="29"/>
  <c r="I59" i="29"/>
  <c r="F56" i="29"/>
  <c r="K56" i="29" s="1"/>
  <c r="H58" i="29"/>
  <c r="V27" i="31"/>
  <c r="W27" i="31" s="1"/>
  <c r="U28" i="31"/>
  <c r="F53" i="22"/>
  <c r="E52" i="22"/>
  <c r="G54" i="22"/>
  <c r="W49" i="28"/>
  <c r="Y15" i="28"/>
  <c r="X49" i="28" s="1"/>
  <c r="D16" i="29"/>
  <c r="G16" i="29" s="1"/>
  <c r="G16" i="25"/>
  <c r="H16" i="25" s="1"/>
  <c r="N59" i="26"/>
  <c r="N60" i="26"/>
  <c r="E57" i="29"/>
  <c r="K15" i="29"/>
  <c r="E12" i="16"/>
  <c r="G12" i="16" s="1"/>
  <c r="K12" i="16" s="1"/>
  <c r="I10" i="7"/>
  <c r="K10" i="7" s="1"/>
  <c r="L10" i="7" s="1"/>
  <c r="F42" i="6"/>
  <c r="H41" i="6"/>
  <c r="P41" i="6" s="1"/>
  <c r="Q41" i="6" s="1"/>
  <c r="R41" i="6" s="1"/>
  <c r="T41" i="6" s="1"/>
  <c r="E19" i="33"/>
  <c r="F18" i="33"/>
  <c r="G17" i="19" s="1"/>
  <c r="G18" i="22"/>
  <c r="H17" i="22"/>
  <c r="E13" i="19"/>
  <c r="L55" i="29"/>
  <c r="I47" i="8"/>
  <c r="K47" i="8" s="1"/>
  <c r="K45" i="8"/>
  <c r="K18" i="19"/>
  <c r="L17" i="19"/>
  <c r="H44" i="8"/>
  <c r="F45" i="8"/>
  <c r="I32" i="31"/>
  <c r="D42" i="8"/>
  <c r="E41" i="8"/>
  <c r="G33" i="31"/>
  <c r="H33" i="31" s="1"/>
  <c r="Q5" i="26"/>
  <c r="O39" i="26"/>
  <c r="O42" i="26" s="1"/>
  <c r="O58" i="26" s="1"/>
  <c r="P7" i="26"/>
  <c r="P17" i="26" s="1"/>
  <c r="O51" i="26" s="1"/>
  <c r="G53" i="22"/>
  <c r="E51" i="22"/>
  <c r="H51" i="22" s="1"/>
  <c r="F52" i="22"/>
  <c r="K44" i="8"/>
  <c r="I46" i="8"/>
  <c r="K46" i="8" s="1"/>
  <c r="D42" i="6"/>
  <c r="E41" i="6"/>
  <c r="D35" i="31"/>
  <c r="F34" i="31"/>
  <c r="R33" i="26"/>
  <c r="Q54" i="26" s="1"/>
  <c r="M8" i="19"/>
  <c r="H55" i="31"/>
  <c r="L55" i="31" s="1"/>
  <c r="P54" i="31"/>
  <c r="Q54" i="31" s="1"/>
  <c r="R54" i="31" s="1"/>
  <c r="S15" i="26"/>
  <c r="Q49" i="26"/>
  <c r="V33" i="28"/>
  <c r="U54" i="28" s="1"/>
  <c r="U42" i="28"/>
  <c r="U58" i="28" s="1"/>
  <c r="R6" i="26"/>
  <c r="P40" i="26"/>
  <c r="T20" i="26"/>
  <c r="S32" i="26"/>
  <c r="I22" i="16"/>
  <c r="H23" i="16"/>
  <c r="P43" i="8"/>
  <c r="Q43" i="8" s="1"/>
  <c r="R43" i="8" s="1"/>
  <c r="T43" i="8" s="1"/>
  <c r="L19" i="17"/>
  <c r="V34" i="28" l="1"/>
  <c r="U55" i="28" s="1"/>
  <c r="I33" i="31"/>
  <c r="J27" i="12"/>
  <c r="F28" i="12" s="1"/>
  <c r="I28" i="12" s="1"/>
  <c r="U20" i="26"/>
  <c r="T32" i="26"/>
  <c r="E20" i="33"/>
  <c r="F19" i="33"/>
  <c r="G18" i="19" s="1"/>
  <c r="H56" i="31"/>
  <c r="L56" i="31" s="1"/>
  <c r="P55" i="31"/>
  <c r="Q55" i="31" s="1"/>
  <c r="R55" i="31" s="1"/>
  <c r="D43" i="6"/>
  <c r="E42" i="6"/>
  <c r="D43" i="8"/>
  <c r="E42" i="8"/>
  <c r="I12" i="22"/>
  <c r="O59" i="26"/>
  <c r="O60" i="26"/>
  <c r="M19" i="17"/>
  <c r="C62" i="30"/>
  <c r="N20" i="30"/>
  <c r="X7" i="28"/>
  <c r="X17" i="28" s="1"/>
  <c r="W51" i="28" s="1"/>
  <c r="W39" i="28"/>
  <c r="W42" i="28" s="1"/>
  <c r="W58" i="28" s="1"/>
  <c r="Y5" i="28"/>
  <c r="R34" i="26"/>
  <c r="Q55" i="26" s="1"/>
  <c r="E14" i="19"/>
  <c r="L56" i="29"/>
  <c r="H60" i="30"/>
  <c r="N44" i="12"/>
  <c r="D12" i="11"/>
  <c r="E12" i="11" s="1"/>
  <c r="G12" i="11" s="1"/>
  <c r="F18" i="19"/>
  <c r="P59" i="30"/>
  <c r="L18" i="19"/>
  <c r="K19" i="19"/>
  <c r="V59" i="28"/>
  <c r="F43" i="6"/>
  <c r="H42" i="6"/>
  <c r="P42" i="6" s="1"/>
  <c r="Q42" i="6" s="1"/>
  <c r="R42" i="6" s="1"/>
  <c r="T42" i="6" s="1"/>
  <c r="H45" i="8"/>
  <c r="P45" i="8" s="1"/>
  <c r="Q45" i="8" s="1"/>
  <c r="R45" i="8" s="1"/>
  <c r="T45" i="8" s="1"/>
  <c r="F46" i="8"/>
  <c r="Y6" i="28"/>
  <c r="X40" i="28" s="1"/>
  <c r="W40" i="28"/>
  <c r="J45" i="12"/>
  <c r="K45" i="12" s="1"/>
  <c r="L45" i="12" s="1"/>
  <c r="G34" i="31"/>
  <c r="H34" i="31"/>
  <c r="P44" i="8"/>
  <c r="Q44" i="8" s="1"/>
  <c r="R44" i="8" s="1"/>
  <c r="T44" i="8" s="1"/>
  <c r="G19" i="22"/>
  <c r="H18" i="22"/>
  <c r="Q36" i="31"/>
  <c r="R36" i="31" s="1"/>
  <c r="M57" i="12"/>
  <c r="Q37" i="31" s="1"/>
  <c r="W33" i="28"/>
  <c r="V54" i="28" s="1"/>
  <c r="E11" i="7"/>
  <c r="J11" i="7" s="1"/>
  <c r="F11" i="7"/>
  <c r="G11" i="7"/>
  <c r="V28" i="31"/>
  <c r="W28" i="31" s="1"/>
  <c r="U29" i="31"/>
  <c r="S6" i="26"/>
  <c r="Q40" i="26"/>
  <c r="L21" i="17"/>
  <c r="M21" i="17" s="1"/>
  <c r="G21" i="17"/>
  <c r="K21" i="17" s="1"/>
  <c r="U59" i="28"/>
  <c r="U60" i="28"/>
  <c r="R5" i="26"/>
  <c r="P39" i="26"/>
  <c r="P42" i="26" s="1"/>
  <c r="P58" i="26" s="1"/>
  <c r="Q7" i="26"/>
  <c r="Q17" i="26" s="1"/>
  <c r="P51" i="26" s="1"/>
  <c r="E58" i="29"/>
  <c r="K16" i="29"/>
  <c r="H24" i="16"/>
  <c r="I23" i="16"/>
  <c r="S33" i="26"/>
  <c r="R54" i="26" s="1"/>
  <c r="R49" i="26"/>
  <c r="T15" i="26"/>
  <c r="F35" i="31"/>
  <c r="D36" i="31"/>
  <c r="D9" i="19"/>
  <c r="I9" i="19" s="1"/>
  <c r="I51" i="22"/>
  <c r="F57" i="29"/>
  <c r="K57" i="29" s="1"/>
  <c r="I60" i="29"/>
  <c r="J61" i="29"/>
  <c r="H59" i="29"/>
  <c r="G58" i="29"/>
  <c r="H52" i="22"/>
  <c r="H61" i="30"/>
  <c r="C21" i="30"/>
  <c r="H21" i="30" s="1"/>
  <c r="C22" i="17"/>
  <c r="X32" i="28"/>
  <c r="Y19" i="28"/>
  <c r="Y32" i="28" s="1"/>
  <c r="D17" i="29"/>
  <c r="G17" i="29" s="1"/>
  <c r="G17" i="25"/>
  <c r="H17" i="25" s="1"/>
  <c r="J28" i="12" l="1"/>
  <c r="F29" i="12" s="1"/>
  <c r="I29" i="12" s="1"/>
  <c r="G22" i="17"/>
  <c r="K22" i="17" s="1"/>
  <c r="S34" i="26"/>
  <c r="R55" i="26" s="1"/>
  <c r="C63" i="30"/>
  <c r="N21" i="30"/>
  <c r="E13" i="22"/>
  <c r="C12" i="7"/>
  <c r="D53" i="22"/>
  <c r="L12" i="22"/>
  <c r="F20" i="33"/>
  <c r="G19" i="19" s="1"/>
  <c r="E21" i="33"/>
  <c r="F20" i="19"/>
  <c r="P61" i="30"/>
  <c r="M9" i="19"/>
  <c r="I24" i="16"/>
  <c r="H25" i="16"/>
  <c r="G20" i="22"/>
  <c r="H19" i="22"/>
  <c r="F47" i="8"/>
  <c r="H47" i="8" s="1"/>
  <c r="P47" i="8" s="1"/>
  <c r="Q47" i="8" s="1"/>
  <c r="R47" i="8" s="1"/>
  <c r="T47" i="8" s="1"/>
  <c r="H46" i="8"/>
  <c r="P46" i="8" s="1"/>
  <c r="Q46" i="8" s="1"/>
  <c r="R46" i="8" s="1"/>
  <c r="T46" i="8" s="1"/>
  <c r="F19" i="19"/>
  <c r="P60" i="30"/>
  <c r="D18" i="29"/>
  <c r="G18" i="29" s="1"/>
  <c r="G18" i="25"/>
  <c r="H18" i="25" s="1"/>
  <c r="N45" i="12"/>
  <c r="D13" i="11"/>
  <c r="E13" i="11" s="1"/>
  <c r="G13" i="11" s="1"/>
  <c r="H57" i="31"/>
  <c r="L57" i="31" s="1"/>
  <c r="P56" i="31"/>
  <c r="Q56" i="31" s="1"/>
  <c r="R56" i="31" s="1"/>
  <c r="L19" i="19"/>
  <c r="K20" i="19"/>
  <c r="V20" i="26"/>
  <c r="U32" i="26"/>
  <c r="E59" i="29"/>
  <c r="K17" i="29"/>
  <c r="S49" i="26"/>
  <c r="U15" i="26"/>
  <c r="T6" i="26"/>
  <c r="R40" i="26"/>
  <c r="W34" i="28"/>
  <c r="V55" i="28" s="1"/>
  <c r="V60" i="28" s="1"/>
  <c r="H43" i="6"/>
  <c r="P43" i="6" s="1"/>
  <c r="Q43" i="6" s="1"/>
  <c r="R43" i="6" s="1"/>
  <c r="T43" i="6" s="1"/>
  <c r="F44" i="6"/>
  <c r="D44" i="6"/>
  <c r="E43" i="6"/>
  <c r="O43" i="6" s="1"/>
  <c r="X33" i="28"/>
  <c r="W54" i="28" s="1"/>
  <c r="W59" i="28"/>
  <c r="E15" i="19"/>
  <c r="L57" i="29"/>
  <c r="C22" i="30"/>
  <c r="C23" i="17"/>
  <c r="D10" i="19"/>
  <c r="I10" i="19" s="1"/>
  <c r="M10" i="19" s="1"/>
  <c r="I52" i="22"/>
  <c r="F36" i="31"/>
  <c r="D37" i="31"/>
  <c r="F37" i="31" s="1"/>
  <c r="G65" i="30"/>
  <c r="D62" i="30"/>
  <c r="H62" i="30" s="1"/>
  <c r="F64" i="30"/>
  <c r="E63" i="30"/>
  <c r="D44" i="8"/>
  <c r="E43" i="8"/>
  <c r="T33" i="26"/>
  <c r="S54" i="26" s="1"/>
  <c r="G35" i="31"/>
  <c r="H35" i="31" s="1"/>
  <c r="F58" i="29"/>
  <c r="K58" i="29" s="1"/>
  <c r="H60" i="29"/>
  <c r="I61" i="29"/>
  <c r="G59" i="29"/>
  <c r="J62" i="29"/>
  <c r="E13" i="16"/>
  <c r="G13" i="16" s="1"/>
  <c r="K13" i="16" s="1"/>
  <c r="I11" i="7"/>
  <c r="K11" i="7" s="1"/>
  <c r="L11" i="7" s="1"/>
  <c r="I34" i="31"/>
  <c r="Y33" i="28"/>
  <c r="X54" i="28" s="1"/>
  <c r="P60" i="26"/>
  <c r="P59" i="26"/>
  <c r="V29" i="31"/>
  <c r="W29" i="31" s="1"/>
  <c r="U30" i="31"/>
  <c r="F46" i="12"/>
  <c r="I46" i="12" s="1"/>
  <c r="X39" i="28"/>
  <c r="X42" i="28" s="1"/>
  <c r="Y7" i="28"/>
  <c r="Y17" i="28" s="1"/>
  <c r="X51" i="28" s="1"/>
  <c r="S5" i="26"/>
  <c r="Q39" i="26"/>
  <c r="Q42" i="26" s="1"/>
  <c r="Q58" i="26" s="1"/>
  <c r="R7" i="26"/>
  <c r="R17" i="26" s="1"/>
  <c r="Q51" i="26" s="1"/>
  <c r="I35" i="31" l="1"/>
  <c r="J29" i="12"/>
  <c r="F30" i="12"/>
  <c r="I30" i="12" s="1"/>
  <c r="J30" i="12" s="1"/>
  <c r="U33" i="26"/>
  <c r="T54" i="26" s="1"/>
  <c r="H26" i="16"/>
  <c r="I26" i="16" s="1"/>
  <c r="I25" i="16"/>
  <c r="G37" i="31"/>
  <c r="H37" i="31" s="1"/>
  <c r="W20" i="26"/>
  <c r="V32" i="26"/>
  <c r="E60" i="29"/>
  <c r="K18" i="29"/>
  <c r="F12" i="7"/>
  <c r="E12" i="7"/>
  <c r="G12" i="7"/>
  <c r="V30" i="31"/>
  <c r="W30" i="31" s="1"/>
  <c r="U31" i="31"/>
  <c r="D19" i="29"/>
  <c r="G19" i="29" s="1"/>
  <c r="G19" i="25"/>
  <c r="H19" i="25" s="1"/>
  <c r="T34" i="26"/>
  <c r="S55" i="26" s="1"/>
  <c r="G36" i="31"/>
  <c r="H36" i="31" s="1"/>
  <c r="L20" i="19"/>
  <c r="K21" i="19"/>
  <c r="L22" i="17"/>
  <c r="M22" i="17" s="1"/>
  <c r="F65" i="30"/>
  <c r="D63" i="30"/>
  <c r="H63" i="30" s="1"/>
  <c r="E64" i="30"/>
  <c r="Q60" i="26"/>
  <c r="Q59" i="26"/>
  <c r="X34" i="28"/>
  <c r="W55" i="28" s="1"/>
  <c r="W60" i="28" s="1"/>
  <c r="U6" i="26"/>
  <c r="S40" i="26"/>
  <c r="H58" i="31"/>
  <c r="L58" i="31" s="1"/>
  <c r="P57" i="31"/>
  <c r="Q57" i="31" s="1"/>
  <c r="R57" i="31" s="1"/>
  <c r="X58" i="28"/>
  <c r="D67" i="28"/>
  <c r="T5" i="26"/>
  <c r="S7" i="26"/>
  <c r="S17" i="26" s="1"/>
  <c r="R51" i="26" s="1"/>
  <c r="R39" i="26"/>
  <c r="R42" i="26" s="1"/>
  <c r="R58" i="26" s="1"/>
  <c r="Y34" i="28"/>
  <c r="X55" i="28" s="1"/>
  <c r="D45" i="8"/>
  <c r="E44" i="8"/>
  <c r="T49" i="26"/>
  <c r="V15" i="26"/>
  <c r="E53" i="22"/>
  <c r="H53" i="22" s="1"/>
  <c r="F54" i="22"/>
  <c r="G55" i="22"/>
  <c r="G23" i="17"/>
  <c r="L23" i="17" s="1"/>
  <c r="I29" i="17"/>
  <c r="E16" i="19"/>
  <c r="L58" i="29"/>
  <c r="H22" i="30"/>
  <c r="H28" i="30"/>
  <c r="D45" i="6"/>
  <c r="E44" i="6"/>
  <c r="E22" i="33"/>
  <c r="F21" i="33"/>
  <c r="G20" i="19" s="1"/>
  <c r="I13" i="22"/>
  <c r="F47" i="12"/>
  <c r="I47" i="12" s="1"/>
  <c r="J46" i="12"/>
  <c r="K46" i="12" s="1"/>
  <c r="L46" i="12" s="1"/>
  <c r="F21" i="19"/>
  <c r="P62" i="30"/>
  <c r="H44" i="6"/>
  <c r="P44" i="6" s="1"/>
  <c r="Q44" i="6" s="1"/>
  <c r="R44" i="6" s="1"/>
  <c r="T44" i="6" s="1"/>
  <c r="F45" i="6"/>
  <c r="H61" i="29"/>
  <c r="F59" i="29"/>
  <c r="K59" i="29" s="1"/>
  <c r="I62" i="29"/>
  <c r="G60" i="29"/>
  <c r="J63" i="29"/>
  <c r="E14" i="22"/>
  <c r="I14" i="22" s="1"/>
  <c r="C13" i="7"/>
  <c r="G21" i="22"/>
  <c r="H20" i="22"/>
  <c r="I37" i="31" l="1"/>
  <c r="M23" i="17"/>
  <c r="M25" i="17" s="1"/>
  <c r="I27" i="17"/>
  <c r="F37" i="17" s="1"/>
  <c r="I28" i="17"/>
  <c r="G37" i="17" s="1"/>
  <c r="I36" i="31"/>
  <c r="H32" i="30"/>
  <c r="H30" i="30"/>
  <c r="H31" i="30"/>
  <c r="E17" i="19"/>
  <c r="L59" i="29"/>
  <c r="C64" i="30"/>
  <c r="N22" i="30"/>
  <c r="N24" i="30" s="1"/>
  <c r="H27" i="30"/>
  <c r="H26" i="30"/>
  <c r="D11" i="19"/>
  <c r="I11" i="19" s="1"/>
  <c r="M11" i="19" s="1"/>
  <c r="I53" i="22"/>
  <c r="U5" i="26"/>
  <c r="S39" i="26"/>
  <c r="S42" i="26" s="1"/>
  <c r="S58" i="26" s="1"/>
  <c r="T7" i="26"/>
  <c r="T17" i="26" s="1"/>
  <c r="S51" i="26" s="1"/>
  <c r="I12" i="7"/>
  <c r="K12" i="7" s="1"/>
  <c r="L12" i="7" s="1"/>
  <c r="E14" i="16"/>
  <c r="G14" i="16" s="1"/>
  <c r="K14" i="16" s="1"/>
  <c r="D54" i="22"/>
  <c r="L13" i="22"/>
  <c r="W15" i="26"/>
  <c r="U49" i="26"/>
  <c r="D69" i="28"/>
  <c r="D71" i="28"/>
  <c r="D70" i="28"/>
  <c r="E61" i="29"/>
  <c r="K19" i="29"/>
  <c r="U34" i="26"/>
  <c r="T55" i="26" s="1"/>
  <c r="F48" i="12"/>
  <c r="I48" i="12" s="1"/>
  <c r="J47" i="12"/>
  <c r="K47" i="12" s="1"/>
  <c r="L47" i="12" s="1"/>
  <c r="G22" i="22"/>
  <c r="H21" i="22"/>
  <c r="H45" i="6"/>
  <c r="P45" i="6" s="1"/>
  <c r="Q45" i="6" s="1"/>
  <c r="R45" i="6" s="1"/>
  <c r="T45" i="6" s="1"/>
  <c r="F46" i="6"/>
  <c r="X60" i="28"/>
  <c r="X59" i="28"/>
  <c r="V6" i="26"/>
  <c r="T40" i="26"/>
  <c r="V31" i="31"/>
  <c r="W31" i="31" s="1"/>
  <c r="U32" i="31"/>
  <c r="H62" i="29"/>
  <c r="I63" i="29"/>
  <c r="G61" i="29"/>
  <c r="J64" i="29"/>
  <c r="F60" i="29"/>
  <c r="K60" i="29" s="1"/>
  <c r="F13" i="7"/>
  <c r="E13" i="7"/>
  <c r="G13" i="7"/>
  <c r="J13" i="7"/>
  <c r="D20" i="29"/>
  <c r="G20" i="29" s="1"/>
  <c r="G20" i="25"/>
  <c r="H20" i="25" s="1"/>
  <c r="L21" i="19"/>
  <c r="K22" i="19"/>
  <c r="V33" i="26"/>
  <c r="U54" i="26" s="1"/>
  <c r="V34" i="26"/>
  <c r="U55" i="26" s="1"/>
  <c r="D55" i="22"/>
  <c r="L14" i="22"/>
  <c r="E23" i="33"/>
  <c r="F22" i="33"/>
  <c r="G21" i="19" s="1"/>
  <c r="D46" i="8"/>
  <c r="E45" i="8"/>
  <c r="H59" i="31"/>
  <c r="L59" i="31" s="1"/>
  <c r="P58" i="31"/>
  <c r="Q58" i="31" s="1"/>
  <c r="R58" i="31" s="1"/>
  <c r="X20" i="26"/>
  <c r="W32" i="26"/>
  <c r="O44" i="6"/>
  <c r="K23" i="17"/>
  <c r="I30" i="17"/>
  <c r="I32" i="17" s="1"/>
  <c r="J12" i="7"/>
  <c r="F22" i="19"/>
  <c r="P63" i="30"/>
  <c r="N46" i="12"/>
  <c r="D14" i="11"/>
  <c r="E14" i="11" s="1"/>
  <c r="G14" i="11" s="1"/>
  <c r="D46" i="6"/>
  <c r="E45" i="6"/>
  <c r="O45" i="6" s="1"/>
  <c r="R60" i="26"/>
  <c r="R59" i="26"/>
  <c r="F47" i="6" l="1"/>
  <c r="H47" i="6" s="1"/>
  <c r="P47" i="6" s="1"/>
  <c r="Q47" i="6" s="1"/>
  <c r="R47" i="6" s="1"/>
  <c r="T47" i="6" s="1"/>
  <c r="H46" i="6"/>
  <c r="P46" i="6" s="1"/>
  <c r="Q46" i="6" s="1"/>
  <c r="R46" i="6" s="1"/>
  <c r="T46" i="6" s="1"/>
  <c r="F56" i="22"/>
  <c r="G57" i="22"/>
  <c r="E55" i="22"/>
  <c r="H55" i="22" s="1"/>
  <c r="E54" i="22"/>
  <c r="H54" i="22" s="1"/>
  <c r="F55" i="22"/>
  <c r="G56" i="22"/>
  <c r="E62" i="29"/>
  <c r="K20" i="29"/>
  <c r="E15" i="16"/>
  <c r="G15" i="16" s="1"/>
  <c r="K15" i="16" s="1"/>
  <c r="I13" i="7"/>
  <c r="K13" i="7" s="1"/>
  <c r="L13" i="7" s="1"/>
  <c r="G23" i="22"/>
  <c r="H22" i="22"/>
  <c r="S59" i="26"/>
  <c r="S60" i="26"/>
  <c r="H63" i="29"/>
  <c r="I64" i="29"/>
  <c r="G62" i="29"/>
  <c r="J65" i="29"/>
  <c r="F61" i="29"/>
  <c r="K61" i="29" s="1"/>
  <c r="D47" i="8"/>
  <c r="E47" i="8" s="1"/>
  <c r="E46" i="8"/>
  <c r="D47" i="6"/>
  <c r="E47" i="6" s="1"/>
  <c r="O47" i="6" s="1"/>
  <c r="E46" i="6"/>
  <c r="D21" i="29"/>
  <c r="G21" i="29" s="1"/>
  <c r="G21" i="25"/>
  <c r="H21" i="25" s="1"/>
  <c r="I33" i="17"/>
  <c r="N47" i="12"/>
  <c r="D15" i="11"/>
  <c r="E15" i="11" s="1"/>
  <c r="G15" i="11" s="1"/>
  <c r="T39" i="26"/>
  <c r="T42" i="26" s="1"/>
  <c r="T58" i="26" s="1"/>
  <c r="V5" i="26"/>
  <c r="U7" i="26"/>
  <c r="U17" i="26" s="1"/>
  <c r="T51" i="26" s="1"/>
  <c r="L22" i="19"/>
  <c r="K23" i="19"/>
  <c r="W33" i="26"/>
  <c r="V54" i="26" s="1"/>
  <c r="I31" i="17"/>
  <c r="H37" i="17" s="1"/>
  <c r="E18" i="19"/>
  <c r="L60" i="29"/>
  <c r="W6" i="26"/>
  <c r="U40" i="26"/>
  <c r="J48" i="12"/>
  <c r="K48" i="12" s="1"/>
  <c r="L48" i="12" s="1"/>
  <c r="F49" i="12"/>
  <c r="I49" i="12" s="1"/>
  <c r="V49" i="26"/>
  <c r="X15" i="26"/>
  <c r="H60" i="31"/>
  <c r="L60" i="31" s="1"/>
  <c r="P59" i="31"/>
  <c r="Q59" i="31" s="1"/>
  <c r="R59" i="31" s="1"/>
  <c r="V32" i="31"/>
  <c r="W32" i="31" s="1"/>
  <c r="U33" i="31"/>
  <c r="D64" i="30"/>
  <c r="H64" i="30" s="1"/>
  <c r="E65" i="30"/>
  <c r="H65" i="30" s="1"/>
  <c r="E24" i="33"/>
  <c r="F23" i="33"/>
  <c r="G22" i="19" s="1"/>
  <c r="E15" i="22"/>
  <c r="I15" i="22" s="1"/>
  <c r="C14" i="7"/>
  <c r="Y20" i="26"/>
  <c r="Y32" i="26" s="1"/>
  <c r="X32" i="26"/>
  <c r="D56" i="22" l="1"/>
  <c r="L15" i="22"/>
  <c r="H61" i="31"/>
  <c r="L61" i="31" s="1"/>
  <c r="P60" i="31"/>
  <c r="Q60" i="31" s="1"/>
  <c r="R60" i="31" s="1"/>
  <c r="T59" i="26"/>
  <c r="T60" i="26"/>
  <c r="E25" i="33"/>
  <c r="F24" i="33"/>
  <c r="G23" i="19" s="1"/>
  <c r="W49" i="26"/>
  <c r="Y15" i="26"/>
  <c r="X49" i="26" s="1"/>
  <c r="D12" i="19"/>
  <c r="I12" i="19" s="1"/>
  <c r="M12" i="19" s="1"/>
  <c r="I54" i="22"/>
  <c r="D22" i="29"/>
  <c r="G22" i="29" s="1"/>
  <c r="G22" i="25"/>
  <c r="H22" i="25" s="1"/>
  <c r="W34" i="26"/>
  <c r="V55" i="26" s="1"/>
  <c r="E16" i="22"/>
  <c r="I16" i="22" s="1"/>
  <c r="C15" i="7"/>
  <c r="E19" i="19"/>
  <c r="L61" i="29"/>
  <c r="G24" i="22"/>
  <c r="H23" i="22"/>
  <c r="D13" i="19"/>
  <c r="I13" i="19" s="1"/>
  <c r="M13" i="19" s="1"/>
  <c r="I55" i="22"/>
  <c r="U39" i="26"/>
  <c r="U42" i="26" s="1"/>
  <c r="U58" i="26" s="1"/>
  <c r="W5" i="26"/>
  <c r="V7" i="26"/>
  <c r="V17" i="26" s="1"/>
  <c r="U51" i="26" s="1"/>
  <c r="F24" i="19"/>
  <c r="P65" i="30"/>
  <c r="P66" i="30" s="1"/>
  <c r="J49" i="12"/>
  <c r="K49" i="12" s="1"/>
  <c r="L49" i="12" s="1"/>
  <c r="F50" i="12"/>
  <c r="I50" i="12" s="1"/>
  <c r="X33" i="26"/>
  <c r="W54" i="26" s="1"/>
  <c r="F23" i="19"/>
  <c r="P64" i="30"/>
  <c r="N48" i="12"/>
  <c r="D16" i="11"/>
  <c r="E16" i="11" s="1"/>
  <c r="G16" i="11" s="1"/>
  <c r="L23" i="19"/>
  <c r="K24" i="19"/>
  <c r="L24" i="19" s="1"/>
  <c r="I34" i="19" s="1"/>
  <c r="V33" i="31"/>
  <c r="W33" i="31" s="1"/>
  <c r="U34" i="31"/>
  <c r="E63" i="29"/>
  <c r="K21" i="29"/>
  <c r="Y33" i="26"/>
  <c r="X54" i="26" s="1"/>
  <c r="E14" i="7"/>
  <c r="F14" i="7"/>
  <c r="J14" i="7" s="1"/>
  <c r="G14" i="7"/>
  <c r="V40" i="26"/>
  <c r="X6" i="26"/>
  <c r="O46" i="6"/>
  <c r="H64" i="29"/>
  <c r="I65" i="29"/>
  <c r="G63" i="29"/>
  <c r="J66" i="29"/>
  <c r="F62" i="29"/>
  <c r="K62" i="29" s="1"/>
  <c r="Y34" i="26" l="1"/>
  <c r="X55" i="26" s="1"/>
  <c r="F51" i="12"/>
  <c r="I51" i="12" s="1"/>
  <c r="J50" i="12"/>
  <c r="K50" i="12" s="1"/>
  <c r="L50" i="12" s="1"/>
  <c r="F25" i="33"/>
  <c r="G24" i="19" s="1"/>
  <c r="E16" i="16"/>
  <c r="G16" i="16" s="1"/>
  <c r="K16" i="16" s="1"/>
  <c r="I14" i="7"/>
  <c r="K14" i="7" s="1"/>
  <c r="L14" i="7" s="1"/>
  <c r="N49" i="12"/>
  <c r="D17" i="11"/>
  <c r="E17" i="11" s="1"/>
  <c r="G17" i="11" s="1"/>
  <c r="E64" i="29"/>
  <c r="K22" i="29"/>
  <c r="G25" i="22"/>
  <c r="H24" i="22"/>
  <c r="W40" i="26"/>
  <c r="Y6" i="26"/>
  <c r="X40" i="26" s="1"/>
  <c r="E17" i="22"/>
  <c r="I17" i="22" s="1"/>
  <c r="C16" i="7"/>
  <c r="H62" i="31"/>
  <c r="L62" i="31" s="1"/>
  <c r="P61" i="31"/>
  <c r="Q61" i="31" s="1"/>
  <c r="R61" i="31" s="1"/>
  <c r="E20" i="19"/>
  <c r="L62" i="29"/>
  <c r="F63" i="29"/>
  <c r="K63" i="29" s="1"/>
  <c r="H65" i="29"/>
  <c r="I66" i="29"/>
  <c r="G64" i="29"/>
  <c r="E15" i="7"/>
  <c r="F15" i="7"/>
  <c r="J15" i="7" s="1"/>
  <c r="G15" i="7"/>
  <c r="X5" i="26"/>
  <c r="W7" i="26"/>
  <c r="W17" i="26" s="1"/>
  <c r="V51" i="26" s="1"/>
  <c r="V39" i="26"/>
  <c r="V42" i="26" s="1"/>
  <c r="V58" i="26" s="1"/>
  <c r="V34" i="31"/>
  <c r="W34" i="31" s="1"/>
  <c r="U35" i="31"/>
  <c r="X34" i="26"/>
  <c r="W55" i="26" s="1"/>
  <c r="U60" i="26"/>
  <c r="U59" i="26"/>
  <c r="D57" i="22"/>
  <c r="L16" i="22"/>
  <c r="D23" i="29"/>
  <c r="G23" i="29" s="1"/>
  <c r="G23" i="25"/>
  <c r="H23" i="25" s="1"/>
  <c r="E56" i="22"/>
  <c r="H56" i="22" s="1"/>
  <c r="G58" i="22"/>
  <c r="F57" i="22"/>
  <c r="E18" i="22" l="1"/>
  <c r="I18" i="22" s="1"/>
  <c r="C17" i="7"/>
  <c r="F58" i="22"/>
  <c r="E57" i="22"/>
  <c r="H57" i="22" s="1"/>
  <c r="G59" i="22"/>
  <c r="Y5" i="26"/>
  <c r="W39" i="26"/>
  <c r="W42" i="26" s="1"/>
  <c r="W58" i="26" s="1"/>
  <c r="X7" i="26"/>
  <c r="X17" i="26" s="1"/>
  <c r="W51" i="26" s="1"/>
  <c r="D58" i="22"/>
  <c r="L17" i="22"/>
  <c r="E21" i="19"/>
  <c r="L63" i="29"/>
  <c r="H25" i="22"/>
  <c r="I32" i="22"/>
  <c r="D24" i="29"/>
  <c r="G24" i="29" s="1"/>
  <c r="G24" i="25"/>
  <c r="D14" i="19"/>
  <c r="I14" i="19" s="1"/>
  <c r="M14" i="19" s="1"/>
  <c r="I56" i="22"/>
  <c r="V35" i="31"/>
  <c r="W35" i="31" s="1"/>
  <c r="U36" i="31"/>
  <c r="I15" i="7"/>
  <c r="K15" i="7" s="1"/>
  <c r="L15" i="7" s="1"/>
  <c r="E17" i="16"/>
  <c r="G17" i="16" s="1"/>
  <c r="K17" i="16" s="1"/>
  <c r="N50" i="12"/>
  <c r="D18" i="11"/>
  <c r="E18" i="11" s="1"/>
  <c r="G18" i="11" s="1"/>
  <c r="H63" i="31"/>
  <c r="L63" i="31" s="1"/>
  <c r="P63" i="31" s="1"/>
  <c r="Q63" i="31" s="1"/>
  <c r="R63" i="31" s="1"/>
  <c r="S63" i="31" s="1"/>
  <c r="P62" i="31"/>
  <c r="Q62" i="31" s="1"/>
  <c r="R62" i="31" s="1"/>
  <c r="F64" i="29"/>
  <c r="K64" i="29" s="1"/>
  <c r="H66" i="29"/>
  <c r="G65" i="29"/>
  <c r="F52" i="12"/>
  <c r="I52" i="12" s="1"/>
  <c r="J51" i="12"/>
  <c r="K51" i="12" s="1"/>
  <c r="L51" i="12" s="1"/>
  <c r="E65" i="29"/>
  <c r="K23" i="29"/>
  <c r="V59" i="26"/>
  <c r="V60" i="26"/>
  <c r="E16" i="7"/>
  <c r="J16" i="7" s="1"/>
  <c r="F16" i="7"/>
  <c r="G16" i="7"/>
  <c r="N51" i="12" l="1"/>
  <c r="D19" i="11"/>
  <c r="E19" i="11" s="1"/>
  <c r="G19" i="11" s="1"/>
  <c r="E19" i="22"/>
  <c r="I19" i="22" s="1"/>
  <c r="C18" i="7"/>
  <c r="E66" i="29"/>
  <c r="F66" i="29" s="1"/>
  <c r="K24" i="29"/>
  <c r="K25" i="29" s="1"/>
  <c r="G28" i="29"/>
  <c r="G27" i="29"/>
  <c r="W59" i="26"/>
  <c r="W60" i="26"/>
  <c r="J52" i="12"/>
  <c r="K52" i="12" s="1"/>
  <c r="L52" i="12" s="1"/>
  <c r="F53" i="12"/>
  <c r="I53" i="12" s="1"/>
  <c r="X39" i="26"/>
  <c r="X42" i="26" s="1"/>
  <c r="Y7" i="26"/>
  <c r="Y17" i="26" s="1"/>
  <c r="X51" i="26" s="1"/>
  <c r="I16" i="7"/>
  <c r="K16" i="7" s="1"/>
  <c r="L16" i="7" s="1"/>
  <c r="E18" i="16"/>
  <c r="G18" i="16" s="1"/>
  <c r="K18" i="16" s="1"/>
  <c r="V36" i="31"/>
  <c r="W36" i="31" s="1"/>
  <c r="U37" i="31"/>
  <c r="V37" i="31" s="1"/>
  <c r="W37" i="31" s="1"/>
  <c r="D15" i="19"/>
  <c r="I15" i="19" s="1"/>
  <c r="M15" i="19" s="1"/>
  <c r="I57" i="22"/>
  <c r="F65" i="29"/>
  <c r="K65" i="29" s="1"/>
  <c r="G66" i="29"/>
  <c r="E22" i="19"/>
  <c r="L64" i="29"/>
  <c r="H24" i="25"/>
  <c r="H25" i="25" s="1"/>
  <c r="G27" i="25"/>
  <c r="G38" i="25" s="1"/>
  <c r="G28" i="25"/>
  <c r="H38" i="25" s="1"/>
  <c r="G17" i="7"/>
  <c r="E17" i="7"/>
  <c r="J17" i="7"/>
  <c r="F17" i="7"/>
  <c r="E58" i="22"/>
  <c r="H58" i="22" s="1"/>
  <c r="G60" i="22"/>
  <c r="F59" i="22"/>
  <c r="D59" i="22"/>
  <c r="L18" i="22"/>
  <c r="I17" i="7" l="1"/>
  <c r="K17" i="7" s="1"/>
  <c r="L17" i="7" s="1"/>
  <c r="E19" i="16"/>
  <c r="G19" i="16" s="1"/>
  <c r="K19" i="16" s="1"/>
  <c r="E23" i="19"/>
  <c r="L65" i="29"/>
  <c r="X58" i="26"/>
  <c r="D67" i="26"/>
  <c r="G61" i="22"/>
  <c r="E59" i="22"/>
  <c r="H59" i="22" s="1"/>
  <c r="F60" i="22"/>
  <c r="K66" i="29"/>
  <c r="J53" i="12"/>
  <c r="K53" i="12" s="1"/>
  <c r="L53" i="12" s="1"/>
  <c r="F18" i="7"/>
  <c r="G18" i="7"/>
  <c r="E18" i="7"/>
  <c r="J18" i="7" s="1"/>
  <c r="W39" i="31"/>
  <c r="X37" i="31"/>
  <c r="N52" i="12"/>
  <c r="D20" i="11"/>
  <c r="E20" i="11" s="1"/>
  <c r="G20" i="11" s="1"/>
  <c r="D60" i="22"/>
  <c r="L19" i="22"/>
  <c r="D16" i="19"/>
  <c r="I16" i="19" s="1"/>
  <c r="M16" i="19" s="1"/>
  <c r="I58" i="22"/>
  <c r="E20" i="22"/>
  <c r="I20" i="22" s="1"/>
  <c r="C19" i="7"/>
  <c r="D17" i="19" l="1"/>
  <c r="I17" i="19" s="1"/>
  <c r="M17" i="19" s="1"/>
  <c r="I59" i="22"/>
  <c r="G62" i="22"/>
  <c r="F61" i="22"/>
  <c r="E60" i="22"/>
  <c r="H60" i="22" s="1"/>
  <c r="D71" i="26"/>
  <c r="D69" i="26"/>
  <c r="D70" i="26"/>
  <c r="X60" i="26"/>
  <c r="X59" i="26"/>
  <c r="E21" i="22"/>
  <c r="I21" i="22" s="1"/>
  <c r="C20" i="7"/>
  <c r="N53" i="12"/>
  <c r="D21" i="11"/>
  <c r="E21" i="11" s="1"/>
  <c r="G21" i="11" s="1"/>
  <c r="E19" i="7"/>
  <c r="F19" i="7"/>
  <c r="G19" i="7"/>
  <c r="F54" i="12"/>
  <c r="I54" i="12" s="1"/>
  <c r="D61" i="22"/>
  <c r="L20" i="22"/>
  <c r="E24" i="19"/>
  <c r="L66" i="29"/>
  <c r="L67" i="29" s="1"/>
  <c r="I18" i="7"/>
  <c r="K18" i="7" s="1"/>
  <c r="L18" i="7" s="1"/>
  <c r="E20" i="16"/>
  <c r="G20" i="16" s="1"/>
  <c r="K20" i="16" s="1"/>
  <c r="E21" i="16" l="1"/>
  <c r="G21" i="16" s="1"/>
  <c r="K21" i="16" s="1"/>
  <c r="I19" i="7"/>
  <c r="K19" i="7" s="1"/>
  <c r="L19" i="7" s="1"/>
  <c r="G63" i="22"/>
  <c r="F62" i="22"/>
  <c r="E61" i="22"/>
  <c r="H61" i="22" s="1"/>
  <c r="E22" i="22"/>
  <c r="I22" i="22" s="1"/>
  <c r="C21" i="7"/>
  <c r="D18" i="19"/>
  <c r="I18" i="19" s="1"/>
  <c r="M18" i="19" s="1"/>
  <c r="I60" i="22"/>
  <c r="F55" i="12"/>
  <c r="I55" i="12" s="1"/>
  <c r="J54" i="12"/>
  <c r="K54" i="12" s="1"/>
  <c r="L54" i="12" s="1"/>
  <c r="F20" i="7"/>
  <c r="J20" i="7" s="1"/>
  <c r="E20" i="7"/>
  <c r="G20" i="7"/>
  <c r="J19" i="7"/>
  <c r="D62" i="22"/>
  <c r="L21" i="22"/>
  <c r="G21" i="7" l="1"/>
  <c r="E21" i="7"/>
  <c r="F21" i="7"/>
  <c r="D63" i="22"/>
  <c r="L22" i="22"/>
  <c r="I20" i="7"/>
  <c r="K20" i="7" s="1"/>
  <c r="L20" i="7" s="1"/>
  <c r="E22" i="16"/>
  <c r="G22" i="16" s="1"/>
  <c r="K22" i="16" s="1"/>
  <c r="D19" i="19"/>
  <c r="I19" i="19" s="1"/>
  <c r="M19" i="19" s="1"/>
  <c r="I61" i="22"/>
  <c r="N54" i="12"/>
  <c r="D22" i="11"/>
  <c r="E22" i="11" s="1"/>
  <c r="G22" i="11" s="1"/>
  <c r="G64" i="22"/>
  <c r="E62" i="22"/>
  <c r="H62" i="22" s="1"/>
  <c r="F63" i="22"/>
  <c r="J55" i="12"/>
  <c r="K55" i="12" s="1"/>
  <c r="L55" i="12" s="1"/>
  <c r="E63" i="22" l="1"/>
  <c r="H63" i="22" s="1"/>
  <c r="G65" i="22"/>
  <c r="F64" i="22"/>
  <c r="E23" i="22"/>
  <c r="I23" i="22" s="1"/>
  <c r="C22" i="7"/>
  <c r="E23" i="16"/>
  <c r="G23" i="16" s="1"/>
  <c r="K23" i="16" s="1"/>
  <c r="I21" i="7"/>
  <c r="K21" i="7" s="1"/>
  <c r="L21" i="7" s="1"/>
  <c r="J21" i="7"/>
  <c r="D20" i="19"/>
  <c r="I20" i="19" s="1"/>
  <c r="M20" i="19" s="1"/>
  <c r="I62" i="22"/>
  <c r="N55" i="12"/>
  <c r="D23" i="11"/>
  <c r="E23" i="11" s="1"/>
  <c r="G23" i="11" s="1"/>
  <c r="F56" i="12"/>
  <c r="I56" i="12" s="1"/>
  <c r="J56" i="12" l="1"/>
  <c r="K56" i="12" s="1"/>
  <c r="L56" i="12" s="1"/>
  <c r="I57" i="12"/>
  <c r="J57" i="12" s="1"/>
  <c r="K57" i="12" s="1"/>
  <c r="L57" i="12" s="1"/>
  <c r="N57" i="12" s="1"/>
  <c r="F22" i="7"/>
  <c r="G22" i="7"/>
  <c r="E22" i="7"/>
  <c r="J22" i="7"/>
  <c r="D64" i="22"/>
  <c r="L23" i="22"/>
  <c r="E24" i="22"/>
  <c r="I24" i="22" s="1"/>
  <c r="C23" i="7"/>
  <c r="D21" i="19"/>
  <c r="I21" i="19" s="1"/>
  <c r="M21" i="19" s="1"/>
  <c r="I63" i="22"/>
  <c r="E24" i="16" l="1"/>
  <c r="G24" i="16" s="1"/>
  <c r="K24" i="16" s="1"/>
  <c r="I22" i="7"/>
  <c r="K22" i="7" s="1"/>
  <c r="L22" i="7" s="1"/>
  <c r="E64" i="22"/>
  <c r="H64" i="22" s="1"/>
  <c r="G66" i="22"/>
  <c r="F65" i="22"/>
  <c r="J23" i="7"/>
  <c r="F23" i="7"/>
  <c r="G23" i="7"/>
  <c r="E23" i="7"/>
  <c r="D65" i="22"/>
  <c r="L24" i="22"/>
  <c r="N56" i="12"/>
  <c r="D24" i="11"/>
  <c r="E24" i="11" s="1"/>
  <c r="G24" i="11" s="1"/>
  <c r="E25" i="22" l="1"/>
  <c r="C24" i="7"/>
  <c r="E65" i="22"/>
  <c r="H65" i="22" s="1"/>
  <c r="F66" i="22"/>
  <c r="D22" i="19"/>
  <c r="I22" i="19" s="1"/>
  <c r="M22" i="19" s="1"/>
  <c r="I64" i="22"/>
  <c r="I23" i="7"/>
  <c r="K23" i="7" s="1"/>
  <c r="L23" i="7" s="1"/>
  <c r="E25" i="16"/>
  <c r="G25" i="16" s="1"/>
  <c r="K25" i="16" s="1"/>
  <c r="F24" i="7" l="1"/>
  <c r="E24" i="7"/>
  <c r="G24" i="7"/>
  <c r="G31" i="7" s="1"/>
  <c r="G33" i="7" s="1"/>
  <c r="J24" i="7"/>
  <c r="G30" i="7"/>
  <c r="D23" i="19"/>
  <c r="I23" i="19" s="1"/>
  <c r="M23" i="19" s="1"/>
  <c r="I65" i="22"/>
  <c r="I25" i="22"/>
  <c r="I31" i="22"/>
  <c r="G34" i="7" l="1"/>
  <c r="G32" i="7"/>
  <c r="H39" i="7" s="1"/>
  <c r="I24" i="7"/>
  <c r="K24" i="7" s="1"/>
  <c r="L24" i="7" s="1"/>
  <c r="L25" i="7" s="1"/>
  <c r="E26" i="16"/>
  <c r="G26" i="16" s="1"/>
  <c r="K26" i="16" s="1"/>
  <c r="I35" i="22"/>
  <c r="I33" i="22"/>
  <c r="I34" i="22"/>
  <c r="G29" i="7"/>
  <c r="G39" i="7" s="1"/>
  <c r="G28" i="7"/>
  <c r="F39" i="7" s="1"/>
  <c r="D66" i="22"/>
  <c r="E66" i="22" s="1"/>
  <c r="H66" i="22" s="1"/>
  <c r="L25" i="22"/>
  <c r="L26" i="22" s="1"/>
  <c r="I30" i="22"/>
  <c r="I29" i="22"/>
  <c r="D24" i="19" l="1"/>
  <c r="I24" i="19" s="1"/>
  <c r="I66" i="22"/>
  <c r="I67" i="22" s="1"/>
  <c r="M24" i="19" l="1"/>
  <c r="I33" i="19"/>
  <c r="I32" i="19" l="1"/>
  <c r="I42" i="19" s="1"/>
  <c r="M25" i="19"/>
  <c r="M26" i="19"/>
  <c r="I31" i="19"/>
  <c r="H42" i="19" s="1"/>
  <c r="I37" i="19"/>
  <c r="I35" i="19"/>
  <c r="J42" i="19" s="1"/>
  <c r="I36" i="19"/>
</calcChain>
</file>

<file path=xl/sharedStrings.xml><?xml version="1.0" encoding="utf-8"?>
<sst xmlns="http://schemas.openxmlformats.org/spreadsheetml/2006/main" count="1808" uniqueCount="852">
  <si>
    <t> No</t>
  </si>
  <si>
    <t>Name of CREMA</t>
  </si>
  <si>
    <t>Closest Park / Forest Reserve</t>
  </si>
  <si>
    <t>Size(ha)</t>
  </si>
  <si>
    <t>District/ Region</t>
  </si>
  <si>
    <t xml:space="preserve">Status </t>
  </si>
  <si>
    <t>Year Issued with certificate of Devolution</t>
  </si>
  <si>
    <t>Constituent communities</t>
  </si>
  <si>
    <t>Collaborating organization</t>
  </si>
  <si>
    <t xml:space="preserve">Amokwasuazo </t>
  </si>
  <si>
    <t>Ankasa Resource Reserve</t>
  </si>
  <si>
    <t>Jomoro / WR</t>
  </si>
  <si>
    <t xml:space="preserve">Certificate of Devolution </t>
  </si>
  <si>
    <t>Wildlife Division(WD)</t>
  </si>
  <si>
    <t>Cocotown –Ghana  Nungua</t>
  </si>
  <si>
    <t>Jomoro/ WR</t>
  </si>
  <si>
    <t>Certificate of Devolution</t>
  </si>
  <si>
    <t>WD</t>
  </si>
  <si>
    <t>Tweakor -Navrongo</t>
  </si>
  <si>
    <t>Ohiamadwen – Fiasoro</t>
  </si>
  <si>
    <t>Ankasa Resource Reserve &amp; Draw Forest Reserve</t>
  </si>
  <si>
    <t>Jomoro&amp;Ellembelle/WR</t>
  </si>
  <si>
    <t xml:space="preserve">SenduAnsongkrom (Fia) </t>
  </si>
  <si>
    <t xml:space="preserve">Ebi Forest Reserve </t>
  </si>
  <si>
    <t>Ellembelle&amp;Jomoro/ WR</t>
  </si>
  <si>
    <t>Ayinaseayawora</t>
  </si>
  <si>
    <t xml:space="preserve">Draw Forest Reserve </t>
  </si>
  <si>
    <t>Ellembelle/WR</t>
  </si>
  <si>
    <t>New Adiembra</t>
  </si>
  <si>
    <t xml:space="preserve">NiniSuhien NP &amp; Draw Forest Reserve </t>
  </si>
  <si>
    <t>Ellembelle / WR</t>
  </si>
  <si>
    <t>Asomase -Dadwen</t>
  </si>
  <si>
    <t>NiniSuhien NP</t>
  </si>
  <si>
    <t xml:space="preserve">NAPTOMAN </t>
  </si>
  <si>
    <t xml:space="preserve">NiniSuhien NP </t>
  </si>
  <si>
    <t>WassaAmenfi West/WR</t>
  </si>
  <si>
    <t>Jema –Asemkrom</t>
  </si>
  <si>
    <t xml:space="preserve">Jema –Asemkrom Forest Reserve </t>
  </si>
  <si>
    <t>No Data</t>
  </si>
  <si>
    <t>Aowin- Suaman / WR</t>
  </si>
  <si>
    <t>Creation  still in progress</t>
  </si>
  <si>
    <t>Not inaugurated</t>
  </si>
  <si>
    <t>Care International</t>
  </si>
  <si>
    <t>Elluokrom</t>
  </si>
  <si>
    <t>Bia Conservation Area (BCA)</t>
  </si>
  <si>
    <t>Juabeso/Western Region</t>
  </si>
  <si>
    <t xml:space="preserve">Krokosua Hills </t>
  </si>
  <si>
    <t>BCA</t>
  </si>
  <si>
    <t>Kwamebikrom Stool Lands</t>
  </si>
  <si>
    <t>Bia /WR</t>
  </si>
  <si>
    <t>River Asuopri</t>
  </si>
  <si>
    <t xml:space="preserve">BCA </t>
  </si>
  <si>
    <t>4 + Satellites</t>
  </si>
  <si>
    <t>Cape three points Princess Town</t>
  </si>
  <si>
    <t>Cape Three Points Forest Reserve (CTP)</t>
  </si>
  <si>
    <t>Ahanta West/ WR</t>
  </si>
  <si>
    <t>Akyekyere-Sureso -Pebaseman</t>
  </si>
  <si>
    <t>Bura river and Mamiri forest reserves</t>
  </si>
  <si>
    <t>Amenfi West and Central/ WR</t>
  </si>
  <si>
    <t>Pusupu - Akyem</t>
  </si>
  <si>
    <t xml:space="preserve">Kyabobo National Park </t>
  </si>
  <si>
    <t>Nkwanta South/ VR</t>
  </si>
  <si>
    <t>Creation still in progress</t>
  </si>
  <si>
    <t>Avu - Lagoon</t>
  </si>
  <si>
    <t>Keta Lagoon Ramsar</t>
  </si>
  <si>
    <t>Keta Municipal, Akatsi , and South Tongu  / VR</t>
  </si>
  <si>
    <t>NCRC / WD</t>
  </si>
  <si>
    <t>AyumAsuokow</t>
  </si>
  <si>
    <t>Biodiversity Inventory Monitoring Unit, Goaso</t>
  </si>
  <si>
    <t>Asunafo North Municipal B/A</t>
  </si>
  <si>
    <r>
      <t>1</t>
    </r>
    <r>
      <rPr>
        <vertAlign val="superscript"/>
        <sz val="10"/>
        <color rgb="FF000000"/>
        <rFont val="Calibri"/>
        <family val="2"/>
      </rPr>
      <t>st</t>
    </r>
    <r>
      <rPr>
        <sz val="10"/>
        <color rgb="FF000000"/>
        <rFont val="Calibri"/>
        <family val="2"/>
      </rPr>
      <t xml:space="preserve"> September 2016</t>
    </r>
  </si>
  <si>
    <t>36,  plus satellite</t>
  </si>
  <si>
    <t>Conservation Foundation</t>
  </si>
  <si>
    <t>Lake Bosomtwe</t>
  </si>
  <si>
    <t>Kumasi Zoo</t>
  </si>
  <si>
    <t>Bosomtwe District, BosomeFreho  District A/R</t>
  </si>
  <si>
    <t>EPA/WD</t>
  </si>
  <si>
    <t>Murugu-Mognori</t>
  </si>
  <si>
    <t>Mole National Park (MNP)</t>
  </si>
  <si>
    <t xml:space="preserve"> West Gonja District / NR</t>
  </si>
  <si>
    <t>Inaugurated</t>
  </si>
  <si>
    <t>Arocha / WD</t>
  </si>
  <si>
    <t>Kunlog (Jilinkon)</t>
  </si>
  <si>
    <t>MNP</t>
  </si>
  <si>
    <t>Sawla Tuna Kalba District/NR</t>
  </si>
  <si>
    <t>1 + Satellites</t>
  </si>
  <si>
    <t>Yazori</t>
  </si>
  <si>
    <t>North Gonja District/NR</t>
  </si>
  <si>
    <t xml:space="preserve">Creation  still in progress </t>
  </si>
  <si>
    <t>Arocha</t>
  </si>
  <si>
    <t>Zukpiri Wildlife Sanctuary</t>
  </si>
  <si>
    <t>Gbele Resource Reserve</t>
  </si>
  <si>
    <t>Nadowli  / UW</t>
  </si>
  <si>
    <t>Zintang/GEF SGP</t>
  </si>
  <si>
    <t>Kalvaa CREMA</t>
  </si>
  <si>
    <t>Nadowli /  UW</t>
  </si>
  <si>
    <t xml:space="preserve">Preparation towards establishment </t>
  </si>
  <si>
    <t>Initiated in 2007</t>
  </si>
  <si>
    <t>Wechiau Hippo Sanctuary</t>
  </si>
  <si>
    <t>Gbele Resource Reserve (GRR)</t>
  </si>
  <si>
    <t>Wa West / UW</t>
  </si>
  <si>
    <t>NCRC/WD</t>
  </si>
  <si>
    <t>SanyigaKasenaGavara Kara</t>
  </si>
  <si>
    <t>South of the Nazinga Game Ranch in Burkina Faso</t>
  </si>
  <si>
    <t>Kassena-Nankana West District U/E Sissala East District U/W</t>
  </si>
  <si>
    <r>
      <t>13</t>
    </r>
    <r>
      <rPr>
        <vertAlign val="superscript"/>
        <sz val="10"/>
        <color rgb="FF000000"/>
        <rFont val="Calibri"/>
        <family val="2"/>
      </rPr>
      <t>th</t>
    </r>
    <r>
      <rPr>
        <sz val="10"/>
        <color rgb="FF000000"/>
        <rFont val="Calibri"/>
        <family val="2"/>
      </rPr>
      <t xml:space="preserve"> January 2016</t>
    </r>
  </si>
  <si>
    <t>MoagduriWuntanluriKuwomsaasi</t>
  </si>
  <si>
    <t xml:space="preserve">Gbele  Resource Reserve </t>
  </si>
  <si>
    <t>Mamprusi-Moagduri District N/R</t>
  </si>
  <si>
    <t>18/01/2016 (yet to be Inaugurated)</t>
  </si>
  <si>
    <t>Bulsa Yenning</t>
  </si>
  <si>
    <t>Builsa South District, U/E</t>
  </si>
  <si>
    <t>18/01/2016 (yet to be inaugurated</t>
  </si>
  <si>
    <t>BULKAWE CREMA (SITE 2A),</t>
  </si>
  <si>
    <t>KasenaNankana West/ UE , District, Builsa North District/UE , Builsa South District/ UE</t>
  </si>
  <si>
    <t>SISSALA-KASENA FRAAH CREMA</t>
  </si>
  <si>
    <t>Sissala East District / UW</t>
  </si>
  <si>
    <t>ChakaliSungmaaluu CREMA</t>
  </si>
  <si>
    <t>Wa East / UW</t>
  </si>
  <si>
    <t xml:space="preserve">TOTAL AREA </t>
  </si>
  <si>
    <r>
      <t>1.</t>
    </r>
    <r>
      <rPr>
        <sz val="7"/>
        <color theme="1"/>
        <rFont val="Times New Roman"/>
        <family val="1"/>
      </rPr>
      <t xml:space="preserve">       </t>
    </r>
    <r>
      <rPr>
        <sz val="11"/>
        <color theme="1"/>
        <rFont val="Calibri"/>
        <family val="2"/>
        <scheme val="minor"/>
      </rPr>
      <t xml:space="preserve">The size of each CREMA does not tell us much. There is no distinction between household/agricultural lands and community lands/resources. </t>
    </r>
  </si>
  <si>
    <t>Comments Roy/ Davis:</t>
  </si>
  <si>
    <t>Average CREMA size (ha)</t>
  </si>
  <si>
    <t xml:space="preserve"> but assume only 50% under effective community forestry enterprise</t>
  </si>
  <si>
    <t>Year 1</t>
  </si>
  <si>
    <t>Year 2</t>
  </si>
  <si>
    <t>Year2</t>
  </si>
  <si>
    <t>Year3</t>
  </si>
  <si>
    <t>Year4</t>
  </si>
  <si>
    <t>Year 5</t>
  </si>
  <si>
    <t>Year 6</t>
  </si>
  <si>
    <t>Year 7</t>
  </si>
  <si>
    <t>Year 8</t>
  </si>
  <si>
    <t>Year 9</t>
  </si>
  <si>
    <t>Year 10</t>
  </si>
  <si>
    <r>
      <t xml:space="preserve">CREMAs in their </t>
    </r>
    <r>
      <rPr>
        <sz val="11"/>
        <color rgb="FF00B0F0"/>
        <rFont val="Calibri"/>
        <family val="2"/>
        <scheme val="minor"/>
      </rPr>
      <t>first year</t>
    </r>
    <r>
      <rPr>
        <sz val="11"/>
        <color theme="1"/>
        <rFont val="Calibri"/>
        <family val="2"/>
        <scheme val="minor"/>
      </rPr>
      <t xml:space="preserve"> of community foresty enterprise</t>
    </r>
  </si>
  <si>
    <r>
      <t xml:space="preserve">CREMAs in their </t>
    </r>
    <r>
      <rPr>
        <sz val="11"/>
        <color rgb="FF00B0F0"/>
        <rFont val="Calibri"/>
        <family val="2"/>
        <scheme val="minor"/>
      </rPr>
      <t>fifth year</t>
    </r>
    <r>
      <rPr>
        <sz val="11"/>
        <color theme="1"/>
        <rFont val="Calibri"/>
        <family val="2"/>
        <scheme val="minor"/>
      </rPr>
      <t xml:space="preserve"> of community foresty enterprise</t>
    </r>
  </si>
  <si>
    <r>
      <t xml:space="preserve">CREMAs in their  </t>
    </r>
    <r>
      <rPr>
        <sz val="11"/>
        <color rgb="FF00B0F0"/>
        <rFont val="Calibri"/>
        <family val="2"/>
        <scheme val="minor"/>
      </rPr>
      <t>second year</t>
    </r>
    <r>
      <rPr>
        <sz val="11"/>
        <color theme="1"/>
        <rFont val="Calibri"/>
        <family val="2"/>
        <scheme val="minor"/>
      </rPr>
      <t xml:space="preserve"> of community foresty enterprise</t>
    </r>
  </si>
  <si>
    <r>
      <t xml:space="preserve">CREMAs in their </t>
    </r>
    <r>
      <rPr>
        <sz val="11"/>
        <color rgb="FF00B0F0"/>
        <rFont val="Calibri"/>
        <family val="2"/>
        <scheme val="minor"/>
      </rPr>
      <t>third year</t>
    </r>
    <r>
      <rPr>
        <sz val="11"/>
        <color theme="1"/>
        <rFont val="Calibri"/>
        <family val="2"/>
        <scheme val="minor"/>
      </rPr>
      <t xml:space="preserve"> of community foresty enterprise</t>
    </r>
  </si>
  <si>
    <r>
      <t xml:space="preserve">CREMAs in their </t>
    </r>
    <r>
      <rPr>
        <sz val="11"/>
        <color rgb="FF00B0F0"/>
        <rFont val="Calibri"/>
        <family val="2"/>
        <scheme val="minor"/>
      </rPr>
      <t>fourth year</t>
    </r>
    <r>
      <rPr>
        <sz val="11"/>
        <color theme="1"/>
        <rFont val="Calibri"/>
        <family val="2"/>
        <scheme val="minor"/>
      </rPr>
      <t xml:space="preserve"> of community foresty enterprise</t>
    </r>
  </si>
  <si>
    <r>
      <t xml:space="preserve">CREMAs in their </t>
    </r>
    <r>
      <rPr>
        <sz val="11"/>
        <color rgb="FF00B0F0"/>
        <rFont val="Calibri"/>
        <family val="2"/>
        <scheme val="minor"/>
      </rPr>
      <t>sixth year</t>
    </r>
    <r>
      <rPr>
        <sz val="11"/>
        <color theme="1"/>
        <rFont val="Calibri"/>
        <family val="2"/>
        <scheme val="minor"/>
      </rPr>
      <t xml:space="preserve"> of community foresty enterprise</t>
    </r>
  </si>
  <si>
    <r>
      <t xml:space="preserve">CREMAs in their </t>
    </r>
    <r>
      <rPr>
        <sz val="11"/>
        <color rgb="FF00B0F0"/>
        <rFont val="Calibri"/>
        <family val="2"/>
        <scheme val="minor"/>
      </rPr>
      <t>seventh year</t>
    </r>
    <r>
      <rPr>
        <sz val="11"/>
        <color theme="1"/>
        <rFont val="Calibri"/>
        <family val="2"/>
        <scheme val="minor"/>
      </rPr>
      <t xml:space="preserve"> of community foresty enterprise</t>
    </r>
  </si>
  <si>
    <r>
      <t xml:space="preserve">CREMAs in their </t>
    </r>
    <r>
      <rPr>
        <sz val="11"/>
        <color rgb="FF00B0F0"/>
        <rFont val="Calibri"/>
        <family val="2"/>
        <scheme val="minor"/>
      </rPr>
      <t>eighth year</t>
    </r>
    <r>
      <rPr>
        <sz val="11"/>
        <color theme="1"/>
        <rFont val="Calibri"/>
        <family val="2"/>
        <scheme val="minor"/>
      </rPr>
      <t xml:space="preserve"> of community foresty enterprise</t>
    </r>
  </si>
  <si>
    <r>
      <t xml:space="preserve">CREMAs in their </t>
    </r>
    <r>
      <rPr>
        <sz val="11"/>
        <color rgb="FF00B0F0"/>
        <rFont val="Calibri"/>
        <family val="2"/>
        <scheme val="minor"/>
      </rPr>
      <t xml:space="preserve">nineth year </t>
    </r>
    <r>
      <rPr>
        <sz val="11"/>
        <color theme="1"/>
        <rFont val="Calibri"/>
        <family val="2"/>
        <scheme val="minor"/>
      </rPr>
      <t>of community foresty enterprise</t>
    </r>
  </si>
  <si>
    <r>
      <t xml:space="preserve">CREMAs in their </t>
    </r>
    <r>
      <rPr>
        <sz val="11"/>
        <color rgb="FF00B0F0"/>
        <rFont val="Calibri"/>
        <family val="2"/>
        <scheme val="minor"/>
      </rPr>
      <t>tenth year</t>
    </r>
    <r>
      <rPr>
        <sz val="11"/>
        <color theme="1"/>
        <rFont val="Calibri"/>
        <family val="2"/>
        <scheme val="minor"/>
      </rPr>
      <t xml:space="preserve"> of community foresty enterprise</t>
    </r>
  </si>
  <si>
    <t>Short list from:</t>
  </si>
  <si>
    <t>Northen Region</t>
  </si>
  <si>
    <t>Upper Western</t>
  </si>
  <si>
    <t>Upper Eastern</t>
  </si>
  <si>
    <t>Year 3</t>
  </si>
  <si>
    <t>Year 4</t>
  </si>
  <si>
    <t>Quantities</t>
  </si>
  <si>
    <t>Unit</t>
  </si>
  <si>
    <t>Unit costs</t>
  </si>
  <si>
    <t>Base costs</t>
  </si>
  <si>
    <t>Forester</t>
  </si>
  <si>
    <t>month</t>
  </si>
  <si>
    <t>Total</t>
  </si>
  <si>
    <t>Baseline</t>
  </si>
  <si>
    <t>Ha</t>
  </si>
  <si>
    <t xml:space="preserve">Ha </t>
  </si>
  <si>
    <t xml:space="preserve">Year </t>
  </si>
  <si>
    <t>Thined</t>
  </si>
  <si>
    <t xml:space="preserve"> Remvd</t>
  </si>
  <si>
    <t>thinned</t>
  </si>
  <si>
    <t xml:space="preserve"> thinned</t>
  </si>
  <si>
    <t xml:space="preserve"> sqstrd</t>
  </si>
  <si>
    <t>Total Yrs 6 to 20</t>
  </si>
  <si>
    <t>Total over 20 years</t>
  </si>
  <si>
    <t>Phasing of CREMAs</t>
  </si>
  <si>
    <t>Total carbon sequestered on 200,000 ha end of 20 years:</t>
  </si>
  <si>
    <t>CREMA size</t>
  </si>
  <si>
    <t>Degraded Savanna forests</t>
  </si>
  <si>
    <t xml:space="preserve"> Total C removed by year/ T</t>
  </si>
  <si>
    <t>Equivalent wood weight/ T</t>
  </si>
  <si>
    <t>Charcoal equivalent at 30% efficiency/ T</t>
  </si>
  <si>
    <t>Charcoal whole sale price/ Cedis/ T</t>
  </si>
  <si>
    <t>Benefits</t>
  </si>
  <si>
    <t>Carbon Impact of out put 1 only</t>
  </si>
  <si>
    <t>Benefits stream</t>
  </si>
  <si>
    <t># Ha</t>
  </si>
  <si>
    <t>#</t>
  </si>
  <si>
    <t>aggregate gross cash flow to the 10 CREMAs</t>
  </si>
  <si>
    <t xml:space="preserve">Baseline </t>
  </si>
  <si>
    <t>Total Yrs 1 to 5</t>
  </si>
  <si>
    <t>Cedis</t>
  </si>
  <si>
    <t>Sub-total salaries</t>
  </si>
  <si>
    <t>Travel costs for traditional chiefs to deal with infractions by outsiders</t>
  </si>
  <si>
    <t>Annual audit.</t>
  </si>
  <si>
    <t>Grant total</t>
  </si>
  <si>
    <t>Y1</t>
  </si>
  <si>
    <t>Y2</t>
  </si>
  <si>
    <t>Y3</t>
  </si>
  <si>
    <t>Y4</t>
  </si>
  <si>
    <t>Y5</t>
  </si>
  <si>
    <t>Year</t>
  </si>
  <si>
    <t>Budget USD</t>
  </si>
  <si>
    <t>notes</t>
  </si>
  <si>
    <t>CREMA Assessment</t>
  </si>
  <si>
    <t>self explanatory (one time cost)</t>
  </si>
  <si>
    <t>Community Entry and Engagement</t>
  </si>
  <si>
    <t>meeting with chiefs, opinion leaders and other stakeholders (one time cost )</t>
  </si>
  <si>
    <t>Formation of CRMC's</t>
  </si>
  <si>
    <t>formation of community resource management committes (one time cost)</t>
  </si>
  <si>
    <t>Formation of CEC</t>
  </si>
  <si>
    <t>formation of cmmunity executive committee (one time cost)</t>
  </si>
  <si>
    <t>Preparation of CREMA Constitution</t>
  </si>
  <si>
    <t>Drafting of CREMA constitution (one time cost)</t>
  </si>
  <si>
    <t>Preparation of CREMA Bye-Laws</t>
  </si>
  <si>
    <t>Negotiation of CREMA community bye-laws governing NR use (one time cost)</t>
  </si>
  <si>
    <t>Training,  Workshops &amp; Meetings</t>
  </si>
  <si>
    <t>self explanatory (3 trainings per year at $3000 each) (recurrent)</t>
  </si>
  <si>
    <t>Survey and Mapping</t>
  </si>
  <si>
    <t>Collecting GPS data points and mapping GIS (one time cost)</t>
  </si>
  <si>
    <t>Exchange and learning visits to established CREMA</t>
  </si>
  <si>
    <t>Organized exchange visits of new CREMA to established mature CREMA to learn</t>
  </si>
  <si>
    <t>Biomass assessment and carbon calculations</t>
  </si>
  <si>
    <t>Expert study on biomass and carbon calculations (one time cost)</t>
  </si>
  <si>
    <t>Assessment of NTFP and income generation potentials</t>
  </si>
  <si>
    <t>Expert study on CREMA income generation potential including NTFPs</t>
  </si>
  <si>
    <t>Travel and Transport</t>
  </si>
  <si>
    <t>include vehicle use, fuel, local transport (recurrent)</t>
  </si>
  <si>
    <t>CREMA management plan development</t>
  </si>
  <si>
    <t>Support participatory process to prepare 5 year management plan for CREMA  (one time cost)</t>
  </si>
  <si>
    <t xml:space="preserve">CREMA financial sustainability model </t>
  </si>
  <si>
    <t>Support development of CREMA financial plan and sustainability model (one time cost)</t>
  </si>
  <si>
    <t>Expert consultancy time</t>
  </si>
  <si>
    <t>consultancy time to support design n planning n implementation (annual recurrent)</t>
  </si>
  <si>
    <t>sub total</t>
  </si>
  <si>
    <t>Admin/Ohs /support staff (7%)</t>
  </si>
  <si>
    <t>Grand Total</t>
  </si>
  <si>
    <t>Note: All budget figures in USD.</t>
  </si>
  <si>
    <t>This is budget for Year 1. Many activities are one time expenditures while others are recurrent.</t>
  </si>
  <si>
    <t>Yr 2 budget will be articulated from the Management Plan document produced in Year 1 (Activity 12)</t>
  </si>
  <si>
    <t>FIRR</t>
  </si>
  <si>
    <t>Area restored ha</t>
  </si>
  <si>
    <t>tCO2e Sequestered</t>
  </si>
  <si>
    <t xml:space="preserve"> -   </t>
  </si>
  <si>
    <t>C: tCO2e Sequestered</t>
  </si>
  <si>
    <t>T CO2e/ha/yr</t>
  </si>
  <si>
    <t>T CO2 eSqstrd</t>
  </si>
  <si>
    <t>T CO2 e/ha</t>
  </si>
  <si>
    <t>Net T CO2e</t>
  </si>
  <si>
    <t>Target</t>
  </si>
  <si>
    <t>ha</t>
  </si>
  <si>
    <t>tCO2e/ ha</t>
  </si>
  <si>
    <t>tCO2e- agreggate</t>
  </si>
  <si>
    <t>Remvd</t>
  </si>
  <si>
    <t>Agregate income from 10 CREMAs Cedis</t>
  </si>
  <si>
    <t>Unit of measure</t>
  </si>
  <si>
    <t>bag</t>
  </si>
  <si>
    <t>Price/ costs</t>
  </si>
  <si>
    <t>%</t>
  </si>
  <si>
    <t>Purchase from charcoal burners</t>
  </si>
  <si>
    <t>Transport/ loading from village to aggregation points</t>
  </si>
  <si>
    <t>Ls</t>
  </si>
  <si>
    <t>Transport from aggregaion points to Accra</t>
  </si>
  <si>
    <t>Packing bag</t>
  </si>
  <si>
    <t>Less: Direct costs</t>
  </si>
  <si>
    <t>Source: Field interviews</t>
  </si>
  <si>
    <t>Community mobilisation officer</t>
  </si>
  <si>
    <t>Early burning costs</t>
  </si>
  <si>
    <t>per/ days</t>
  </si>
  <si>
    <t>Salaries/a</t>
  </si>
  <si>
    <t>Accountant/ b</t>
  </si>
  <si>
    <t>a/ salaries of a Forester and community mobilisation officer to be initially under project financing until harvesting commences</t>
  </si>
  <si>
    <t>Business Advisory services/c</t>
  </si>
  <si>
    <t>Clerk/ b</t>
  </si>
  <si>
    <t>b/ accountant and clerk will be needed when harvesting starts</t>
  </si>
  <si>
    <t>c/ instead of hiring a full time business manager, business advisory services will be sourced from existing business support centres</t>
  </si>
  <si>
    <t xml:space="preserve">   Labour to set-up the fires/ d</t>
  </si>
  <si>
    <t xml:space="preserve">     which translates to 400 fire lines and each line will need 4 person- hours or 1600 person hours for the CREMA </t>
  </si>
  <si>
    <t xml:space="preserve">d/ Assumes 2 person hours per kilometer twice  a season. 1 ha = 0.01 square KM. 20,000 ha therefore = 200 sq km. The fires would be set at 0.5 Km intervals </t>
  </si>
  <si>
    <t>Person hours</t>
  </si>
  <si>
    <t>Set</t>
  </si>
  <si>
    <t xml:space="preserve">e/ assumes replacement of vests and rubber boots each burning season. One person can work on this kind of task a max of 5 hours  (about 125 hours a month). </t>
  </si>
  <si>
    <t xml:space="preserve">    The early burning exercise must be completed within a month and with the above 1,600 person hour need 13 persons will be needed per CREMA</t>
  </si>
  <si>
    <t xml:space="preserve">   Fire Vests/ e</t>
  </si>
  <si>
    <t>set</t>
  </si>
  <si>
    <t xml:space="preserve">    Protective Boots/ e</t>
  </si>
  <si>
    <t>per month</t>
  </si>
  <si>
    <t xml:space="preserve">    Drip torches</t>
  </si>
  <si>
    <t>Travel costs for committee members</t>
  </si>
  <si>
    <t>Training costs</t>
  </si>
  <si>
    <t>Other Operational costs</t>
  </si>
  <si>
    <t>T CO2 e</t>
  </si>
  <si>
    <r>
      <t>African dry forest &lt;20 years 2.4 tonnes dry matter per ha = 1.128 tC per ha = 4.136 tCO</t>
    </r>
    <r>
      <rPr>
        <sz val="10"/>
        <color theme="1"/>
        <rFont val="Calibri"/>
        <family val="2"/>
        <scheme val="minor"/>
      </rPr>
      <t>2</t>
    </r>
    <r>
      <rPr>
        <sz val="11"/>
        <color theme="1"/>
        <rFont val="Calibri"/>
        <family val="2"/>
        <scheme val="minor"/>
      </rPr>
      <t>e</t>
    </r>
  </si>
  <si>
    <t>aggregate  1 CREMA</t>
  </si>
  <si>
    <t>Charges to the Local chief/ Police</t>
  </si>
  <si>
    <t>Retail price- Accra</t>
  </si>
  <si>
    <t>Total costs to retail markets</t>
  </si>
  <si>
    <t>Margin left</t>
  </si>
  <si>
    <t>Equivalent in bags</t>
  </si>
  <si>
    <t>Aggregated annula benefits due to aggregation per bag- GHC</t>
  </si>
  <si>
    <t>Efficiency gain per bag due to aggregation- GHC net after internal CREMA costs</t>
  </si>
  <si>
    <t>Table 2: Phasing of CREMAs</t>
  </si>
  <si>
    <t>Table 2: Prices reported by charcoal dealers (Cedis)</t>
  </si>
  <si>
    <t xml:space="preserve">Table 3: Benefits from Aggregation </t>
  </si>
  <si>
    <t>Agregate income from 1 CREMAs Cedis</t>
  </si>
  <si>
    <t xml:space="preserve">Table 4: Net CO2-e and estimation of wood fuel benefits per CMSF under CREMA management </t>
  </si>
  <si>
    <t xml:space="preserve"> Patrolling</t>
  </si>
  <si>
    <t>Table 5: OPEX costs for running a CREMA</t>
  </si>
  <si>
    <t>Charcoal equivalent at 20% efficiency/ T</t>
  </si>
  <si>
    <t>31- Kg bag</t>
  </si>
  <si>
    <t>f/ minimum wage in Ghana is currently set at Cedis</t>
  </si>
  <si>
    <t xml:space="preserve">Output 1: </t>
  </si>
  <si>
    <t>Targets</t>
  </si>
  <si>
    <t>Area</t>
  </si>
  <si>
    <t>Carbon Impact</t>
  </si>
  <si>
    <t>200,000 forest under sustainable community management for woodfuel</t>
  </si>
  <si>
    <t>200,000ha forest having a reduced level of fire impact</t>
  </si>
  <si>
    <t xml:space="preserve">Total </t>
  </si>
  <si>
    <t>Removals from active management for fuel wood</t>
  </si>
  <si>
    <t>YEAR</t>
  </si>
  <si>
    <t>AREA (ha)</t>
  </si>
  <si>
    <t>Existing C per ha</t>
  </si>
  <si>
    <t>Existing C stock of area added</t>
  </si>
  <si>
    <t xml:space="preserve">Existing C stock of area under management </t>
  </si>
  <si>
    <t>Total Existing C stock</t>
  </si>
  <si>
    <t>Mean annual biomass growth  (dm/ha/yr)</t>
  </si>
  <si>
    <t>Annual increase in ABG carbon stocks</t>
  </si>
  <si>
    <t>Total C stock at end of year</t>
  </si>
  <si>
    <t>Annual harvest (estimated as 40% of 10% of the total stock based on a 50% loss in area harvested and areas on 10 year rotational cycles)</t>
  </si>
  <si>
    <t>Agregate income from  all CREMAs Cedis</t>
  </si>
  <si>
    <t>TOTAL</t>
  </si>
  <si>
    <t>Conversion of C to CO2</t>
  </si>
  <si>
    <t>IRR</t>
  </si>
  <si>
    <t>Wage rate ('000Cedis)</t>
  </si>
  <si>
    <t>Discount rate</t>
  </si>
  <si>
    <t>B/C ratio</t>
  </si>
  <si>
    <t>Switching values Benefits</t>
  </si>
  <si>
    <t>Switching values Costs</t>
  </si>
  <si>
    <t>NPV @ 0.10  GHC'000)</t>
  </si>
  <si>
    <t>Total costs</t>
  </si>
  <si>
    <t>Table 1: Overall financial analysis (Ghana Cedis'000)</t>
  </si>
  <si>
    <t>Table 7: Employment potential</t>
  </si>
  <si>
    <t>Table 6: Unit Cost Of Developing 1 CREMA (year 1)</t>
  </si>
  <si>
    <t>Other farm operating costs</t>
  </si>
  <si>
    <t>NPV @ 0.10  GHC)</t>
  </si>
  <si>
    <t xml:space="preserve">Option 1: </t>
  </si>
  <si>
    <t>18,000ha MTS and 18,000 ha under fire management Forest Management</t>
  </si>
  <si>
    <t>Impact</t>
  </si>
  <si>
    <t>Area (ha)</t>
  </si>
  <si>
    <t>Mean Annual Biomass Growth (dm/ha/yr)</t>
  </si>
  <si>
    <t>Annual Increase in biomass (dm/yr)</t>
  </si>
  <si>
    <t>10% failure</t>
  </si>
  <si>
    <t>Net biomass increase (tones dm)</t>
  </si>
  <si>
    <t>Total Biomass</t>
  </si>
  <si>
    <t>Harvest</t>
  </si>
  <si>
    <t xml:space="preserve">Remaining </t>
  </si>
  <si>
    <t>Removals due to improved fire management</t>
  </si>
  <si>
    <t>Carbon Fraction (tC/dm)</t>
  </si>
  <si>
    <t>Level of effectiveness on regrowth once impacts of other drivers are discounted inefficiencies due to incomplete management</t>
  </si>
  <si>
    <t>Net increase in carbon stocks (tC/yr)</t>
  </si>
  <si>
    <t>Net CO2 Sequestered (tCO2)</t>
  </si>
  <si>
    <t xml:space="preserve">  -   </t>
  </si>
  <si>
    <t xml:space="preserve">   -    </t>
  </si>
  <si>
    <t>Level of effectiveness</t>
  </si>
  <si>
    <t xml:space="preserve">Option 2: </t>
  </si>
  <si>
    <t>22,000ha MTS and 22,000 ha under fire management Forest Management</t>
  </si>
  <si>
    <t>Additional to option 1</t>
  </si>
  <si>
    <t>10% failure (assumed)</t>
  </si>
  <si>
    <t>Total increase in cabon stock (tC/yr)</t>
  </si>
  <si>
    <t xml:space="preserve">Option 3: </t>
  </si>
  <si>
    <t>18,000ha MTS and 18,000 ha under fire management Forest Management, 50,000ha managed for fuelwood</t>
  </si>
  <si>
    <t>Removals from areas managed for fuel wood production</t>
  </si>
  <si>
    <t xml:space="preserve"> </t>
  </si>
  <si>
    <t>MEAN ANNUAL BIOMASS GROWTH (dm/ha/yr)</t>
  </si>
  <si>
    <t>CARBON FRACTION (tC/dm)</t>
  </si>
  <si>
    <t>ANNUAL INCREASE IN BIOMASS CARBON STOCKS FOR EACH YEAR</t>
  </si>
  <si>
    <t>TOTAL INCREASE IN BIOMASS CARBON STOCKS (tC/yr)</t>
  </si>
  <si>
    <t>ANNUAL CARBON LOSS FROM FUELWOOD REMOVAL (estimated as 30% of 10% of the total stock based on a 50% loss in area harvested and areas on 10 year rotational cycles)</t>
  </si>
  <si>
    <t xml:space="preserve">Option 4: </t>
  </si>
  <si>
    <t>50,000ha MTS and 50,000 ha under fire management Forest Management</t>
  </si>
  <si>
    <r>
      <t>Annual Carbon Increase (tC y</t>
    </r>
    <r>
      <rPr>
        <b/>
        <vertAlign val="superscript"/>
        <sz val="10"/>
        <color rgb="FF000000"/>
        <rFont val="Calibri"/>
        <family val="2"/>
      </rPr>
      <t>-1</t>
    </r>
    <r>
      <rPr>
        <b/>
        <sz val="10"/>
        <color rgb="FF000000"/>
        <rFont val="Calibri"/>
        <family val="2"/>
      </rPr>
      <t>)</t>
    </r>
  </si>
  <si>
    <r>
      <t>Annual Increase in Carbon stock (tC ha</t>
    </r>
    <r>
      <rPr>
        <b/>
        <vertAlign val="superscript"/>
        <sz val="10"/>
        <color rgb="FF000000"/>
        <rFont val="Calibri"/>
        <family val="2"/>
      </rPr>
      <t>-1</t>
    </r>
    <r>
      <rPr>
        <b/>
        <sz val="10"/>
        <color rgb="FF000000"/>
        <rFont val="Calibri"/>
        <family val="2"/>
      </rPr>
      <t>)</t>
    </r>
  </si>
  <si>
    <t>NET CO2 SEQUESTERED (tCO2)</t>
  </si>
  <si>
    <t>Table 1: Overall financial analysis (Ghana Cedis)</t>
  </si>
  <si>
    <t>Peroid</t>
  </si>
  <si>
    <t>Costs</t>
  </si>
  <si>
    <t>Increamental benefits</t>
  </si>
  <si>
    <r>
      <t>Implement</t>
    </r>
    <r>
      <rPr>
        <i/>
        <sz val="11"/>
        <color indexed="8"/>
        <rFont val="Calibri"/>
        <family val="2"/>
      </rPr>
      <t>/a</t>
    </r>
  </si>
  <si>
    <t>Net benefits</t>
  </si>
  <si>
    <t>PY1</t>
  </si>
  <si>
    <t>PY2</t>
  </si>
  <si>
    <t>PY3</t>
  </si>
  <si>
    <t>PY4</t>
  </si>
  <si>
    <t>PY5</t>
  </si>
  <si>
    <t>PY6</t>
  </si>
  <si>
    <t>PY7</t>
  </si>
  <si>
    <t>PY8</t>
  </si>
  <si>
    <t>PY9</t>
  </si>
  <si>
    <t>PY10</t>
  </si>
  <si>
    <t>PY11</t>
  </si>
  <si>
    <t>PY12</t>
  </si>
  <si>
    <t>PY13</t>
  </si>
  <si>
    <t>PY14</t>
  </si>
  <si>
    <t>PY15</t>
  </si>
  <si>
    <t>PY16</t>
  </si>
  <si>
    <t>PY17</t>
  </si>
  <si>
    <t>PY18</t>
  </si>
  <si>
    <t>PY19</t>
  </si>
  <si>
    <t>PY20</t>
  </si>
  <si>
    <t>a/ Post project CREMA operational costs are inclusive in the model.</t>
  </si>
  <si>
    <t xml:space="preserve">PROJECTED 1ST YEAR EXPENDITURE FOR THE ESTABLISHMENT OF A ONE HECTARE PLANTATION </t>
  </si>
  <si>
    <t>ESTIMATED COSTS FOR MEDIUM-SCALE INVESTORS ( ¢)</t>
  </si>
  <si>
    <t>EXOTIC SPECIES</t>
  </si>
  <si>
    <t>INDIGENOUS SPECIES</t>
  </si>
  <si>
    <t>ACTIVITY</t>
  </si>
  <si>
    <t>TEAK</t>
  </si>
  <si>
    <t>CEDRELLA</t>
  </si>
  <si>
    <t>PINUS SPP.</t>
  </si>
  <si>
    <t>EUCALYPTUS</t>
  </si>
  <si>
    <t>GMELINA</t>
  </si>
  <si>
    <t>WAWA</t>
  </si>
  <si>
    <t>EMERI</t>
  </si>
  <si>
    <t xml:space="preserve">OFRAM </t>
  </si>
  <si>
    <t>KUSIA</t>
  </si>
  <si>
    <t>MAHOGANY</t>
  </si>
  <si>
    <t>CEIBA</t>
  </si>
  <si>
    <t>NURSERY ESTABLISHMENT</t>
  </si>
  <si>
    <t>Seed Procurement</t>
  </si>
  <si>
    <t>Germination &amp; Potting</t>
  </si>
  <si>
    <t>Maintenance</t>
  </si>
  <si>
    <t>Transportation of Seedlings</t>
  </si>
  <si>
    <t>SUB-TOTAL</t>
  </si>
  <si>
    <t>PLANTATION DEVELOPMENT</t>
  </si>
  <si>
    <t>Site Surveying &amp; Documentation</t>
  </si>
  <si>
    <t>Site Preparation</t>
  </si>
  <si>
    <t xml:space="preserve">Weeding </t>
  </si>
  <si>
    <t>Felling of trees &amp; Stumping</t>
  </si>
  <si>
    <t>Ploughing &amp; Harrowing</t>
  </si>
  <si>
    <t>Physical Structures/Technical Expertise</t>
  </si>
  <si>
    <t>Pegging, Planting &amp; Beating up</t>
  </si>
  <si>
    <t>Weeding &amp; Tending</t>
  </si>
  <si>
    <t>Construction of Fire Traces and Access Routes</t>
  </si>
  <si>
    <t>GRAND TOTAL</t>
  </si>
  <si>
    <t>ESTIMATED COSTS FOR MEDIUM-SCALE INVESTORS  ( US$)</t>
  </si>
  <si>
    <t>**Costs are medium term investor. Therefore for a small farmers costs would be aquarter of these</t>
  </si>
  <si>
    <t>Conversion factor</t>
  </si>
  <si>
    <t>Labour</t>
  </si>
  <si>
    <t>CREMAs formed</t>
  </si>
  <si>
    <t>Aggregation (Ghana Cedis'000)</t>
  </si>
  <si>
    <t>Table : Aggregated project benefits  and costs (Cedis 000)</t>
  </si>
  <si>
    <t>Y6</t>
  </si>
  <si>
    <t>Y7</t>
  </si>
  <si>
    <t>Y8</t>
  </si>
  <si>
    <t>Y9</t>
  </si>
  <si>
    <t>Y10</t>
  </si>
  <si>
    <t>Y11</t>
  </si>
  <si>
    <t>Y12</t>
  </si>
  <si>
    <t>Y13</t>
  </si>
  <si>
    <t>Y14</t>
  </si>
  <si>
    <t>Y15</t>
  </si>
  <si>
    <t>Y16</t>
  </si>
  <si>
    <t>Y17</t>
  </si>
  <si>
    <t>Y18</t>
  </si>
  <si>
    <t>Y19</t>
  </si>
  <si>
    <t>Y20</t>
  </si>
  <si>
    <t>Output 1: Increamental tCO2e Sequestered for all CREMAs</t>
  </si>
  <si>
    <t>Output 1:  Co-benefit wood fuel benefits  from all CREMAs</t>
  </si>
  <si>
    <t>Output 2: Benefits from shea butter sales</t>
  </si>
  <si>
    <t>Output 2: Benefists from sustained crop yield</t>
  </si>
  <si>
    <t>Output 3: tCO2e Sequestered from revamped govt reserves</t>
  </si>
  <si>
    <t>Output 3: Co-benefit wood fuel benefits</t>
  </si>
  <si>
    <t>Total income from output one</t>
  </si>
  <si>
    <t>Project  implementation costs (from the budget tool)</t>
  </si>
  <si>
    <t>Opportunity cost(current incomes foregone)</t>
  </si>
  <si>
    <t>Transaction/ certification costs/</t>
  </si>
  <si>
    <t>Net benefits- Cedis'000</t>
  </si>
  <si>
    <t>NPV- Cedis'000</t>
  </si>
  <si>
    <t>Total Year 1</t>
  </si>
  <si>
    <t>Total Year 2</t>
  </si>
  <si>
    <t>Total Year 3</t>
  </si>
  <si>
    <t>Total Year 4</t>
  </si>
  <si>
    <t>Total Year 5</t>
  </si>
  <si>
    <t>USD</t>
  </si>
  <si>
    <t>YIELDS, INPUTS &amp; PRICES</t>
  </si>
  <si>
    <t>1.00 USD=</t>
  </si>
  <si>
    <t>SSL</t>
  </si>
  <si>
    <t>UNIT</t>
  </si>
  <si>
    <t>PRICE</t>
  </si>
  <si>
    <t>WOP</t>
  </si>
  <si>
    <t>PY11-20</t>
  </si>
  <si>
    <t>Production</t>
  </si>
  <si>
    <t>Saleable rice</t>
  </si>
  <si>
    <t>kg</t>
  </si>
  <si>
    <t>Rice own consumption</t>
  </si>
  <si>
    <t>Maize (short season, Feb-Mar)</t>
  </si>
  <si>
    <t>Initial investment</t>
  </si>
  <si>
    <t>Farm costs</t>
  </si>
  <si>
    <t>Seeds</t>
  </si>
  <si>
    <t>Fertilizer aquisation</t>
  </si>
  <si>
    <t>Off-farm costs</t>
  </si>
  <si>
    <t>Post harvest losses (5% of yield)</t>
  </si>
  <si>
    <t>Brushing</t>
  </si>
  <si>
    <t>pers. day</t>
  </si>
  <si>
    <t>Nursery</t>
  </si>
  <si>
    <t>Clearing</t>
  </si>
  <si>
    <t>Tilling</t>
  </si>
  <si>
    <t>Poddling</t>
  </si>
  <si>
    <t>Transplanting</t>
  </si>
  <si>
    <t>Weeding 1</t>
  </si>
  <si>
    <t>Weeding 2</t>
  </si>
  <si>
    <t xml:space="preserve">Bird Scaring </t>
  </si>
  <si>
    <t>Harvesting</t>
  </si>
  <si>
    <t>Marketing</t>
  </si>
  <si>
    <t>Sub-total (S/F) labour days</t>
  </si>
  <si>
    <t>paid labour (S)</t>
  </si>
  <si>
    <t>Family labour (F)</t>
  </si>
  <si>
    <t>WP</t>
  </si>
  <si>
    <t>PY0</t>
  </si>
  <si>
    <t>Income</t>
  </si>
  <si>
    <t>Rice commercial production</t>
  </si>
  <si>
    <t xml:space="preserve">Maize (short season, Feb-Mar) </t>
  </si>
  <si>
    <t>Labour as detailed above</t>
  </si>
  <si>
    <t>Basal Fertilizer application</t>
  </si>
  <si>
    <t>Fertilizer application 2</t>
  </si>
  <si>
    <t xml:space="preserve">  Paid labour (S)</t>
  </si>
  <si>
    <t xml:space="preserve">  Family labour (F)</t>
  </si>
  <si>
    <t>TOTAL COSTS</t>
  </si>
  <si>
    <t>Income (after Labour costs)</t>
  </si>
  <si>
    <t>Return to family labour*</t>
  </si>
  <si>
    <t>*consider full development year family labour requirements</t>
  </si>
  <si>
    <t>Export Sawnwood Prices</t>
  </si>
  <si>
    <t>Ghana Sawnwood, FOB</t>
  </si>
  <si>
    <t>US$ per m³</t>
  </si>
  <si>
    <t>FAS 25-100mm x 150mm up x 2.4m up</t>
  </si>
  <si>
    <t>Air-dried</t>
  </si>
  <si>
    <t>Kiln-dried</t>
  </si>
  <si>
    <t>Afrormosia</t>
  </si>
  <si>
    <t>Asanfina</t>
  </si>
  <si>
    <t>Ceiba</t>
  </si>
  <si>
    <t>Dahoma</t>
  </si>
  <si>
    <t>Edinam (mixed redwood)</t>
  </si>
  <si>
    <t>Emeri</t>
  </si>
  <si>
    <t>African mahogany (Ivorensis)</t>
  </si>
  <si>
    <t>Makore</t>
  </si>
  <si>
    <t>Niangon</t>
  </si>
  <si>
    <t>Odum</t>
  </si>
  <si>
    <t>Sapele</t>
  </si>
  <si>
    <t>Wawa 1C &amp; Select</t>
  </si>
  <si>
    <t>One hector: Paddy rice Model</t>
  </si>
  <si>
    <t xml:space="preserve">   Total Paddy rice yield /a</t>
  </si>
  <si>
    <t>INCREMENTAL NET INCOME /ha</t>
  </si>
  <si>
    <t>Income (before family labour costs) /ha</t>
  </si>
  <si>
    <t>Notes:</t>
  </si>
  <si>
    <t>Paddy rice Financial budeget (Cedis)</t>
  </si>
  <si>
    <t>NPV @ 0.17  (Cedis)</t>
  </si>
  <si>
    <t>NPVb (Cedis)</t>
  </si>
  <si>
    <t>NPVc  (Cedis)</t>
  </si>
  <si>
    <t>CAPEX</t>
  </si>
  <si>
    <t>hectares</t>
  </si>
  <si>
    <t>Output 1</t>
  </si>
  <si>
    <t>Output 2</t>
  </si>
  <si>
    <t>Output 3</t>
  </si>
  <si>
    <t>Production benefits</t>
  </si>
  <si>
    <t>33,000ha MTS and 26,000 ha under fire management Forest Management</t>
  </si>
  <si>
    <t>33,000 MTS</t>
  </si>
  <si>
    <t xml:space="preserve">26,000ha fire management </t>
  </si>
  <si>
    <t>Growth rate of Gmelina arborea</t>
  </si>
  <si>
    <t>m3 per ha per year</t>
  </si>
  <si>
    <t>Wood density IPCC table 4.13</t>
  </si>
  <si>
    <t>dm/ha/yr</t>
  </si>
  <si>
    <t>Net AGB increase (tones dm)</t>
  </si>
  <si>
    <t>Below ground biomass</t>
  </si>
  <si>
    <t xml:space="preserve">Thining </t>
  </si>
  <si>
    <t>Second thining</t>
  </si>
  <si>
    <t>Regrowth (including AGB and BGB and 10% failure)</t>
  </si>
  <si>
    <t xml:space="preserve">First thinning of second rotation </t>
  </si>
  <si>
    <t>Net Biomass increase</t>
  </si>
  <si>
    <t>Net CO2 Sequestered per annum</t>
  </si>
  <si>
    <t>Total 7 year project span:</t>
  </si>
  <si>
    <t>Total 20 year period:</t>
  </si>
  <si>
    <t>No agricultural loss</t>
  </si>
  <si>
    <t>Carbon Fraction  (tC/dm)</t>
  </si>
  <si>
    <t>Burning 20% of area</t>
  </si>
  <si>
    <t>Late season burns</t>
  </si>
  <si>
    <t>Annual harvest (estimated as 50% of 10% of the total stock based on a 50% loss in area harvested and areas on 10 year rotational cycles)</t>
  </si>
  <si>
    <t>Total carbon stock at end of year</t>
  </si>
  <si>
    <t>Net Carbon Increase</t>
  </si>
  <si>
    <t>Net CO2 Sequestered</t>
  </si>
  <si>
    <t>Project Impact</t>
  </si>
  <si>
    <t>Wood fuel</t>
  </si>
  <si>
    <t>Saw timber</t>
  </si>
  <si>
    <t>1. Thinning is to be done at  the age 4 and 8 and 40% of the standing volume is removed in each thinning</t>
  </si>
  <si>
    <t xml:space="preserve">2. All of the first thinning goes for wood fuels. </t>
  </si>
  <si>
    <t>3. In the second thinning,  2/3 of the volume goes for wood fuels and 1/3 for saw timber</t>
  </si>
  <si>
    <t xml:space="preserve"> Modelling assumptions</t>
  </si>
  <si>
    <t>4. A clear cut will be done after 12 years, 70% will go to saw timber and 30%  wood fuels</t>
  </si>
  <si>
    <t>Wood fuel Income-Cedis</t>
  </si>
  <si>
    <t>(www.traditionaloven.com/building/charcoal-wood/convert-tonne-…)</t>
  </si>
  <si>
    <t>Area under management (ha)</t>
  </si>
  <si>
    <t>Existing biomass (MT)</t>
  </si>
  <si>
    <t>Total Biomass stock at end of year (MT)</t>
  </si>
  <si>
    <t>Conversion by a factor of 1.3 of harvested wood to that going into Klins (removed twigs, small branches) (MT)</t>
  </si>
  <si>
    <t>Charcoal equivalent at 20% efficiency/ MT</t>
  </si>
  <si>
    <t>Charcoal whole sale price(Cedis)/ MT</t>
  </si>
  <si>
    <t>Agregate income from  one CREMA (Cedis)</t>
  </si>
  <si>
    <t>Annual harvest (estimated as 50% of 10% of the total Biomass  on a 40% loss in area harvested and areas on 10 year rotational cycles) (MT)</t>
  </si>
  <si>
    <t>Above ground wood (MT/ha)</t>
  </si>
  <si>
    <t>Existing woody biomass (MT/ha)</t>
  </si>
  <si>
    <t>Mean annual woody biomass growth (dm/ha/yr)</t>
  </si>
  <si>
    <t>Annual increase in Biomass- (MT/yr)</t>
  </si>
  <si>
    <t>cost/year</t>
  </si>
  <si>
    <t>Transportation for  staff/f</t>
  </si>
  <si>
    <t>f/ This includes; motor cycles, fuels and maintenance operating costs</t>
  </si>
  <si>
    <t>Benefits from woodfuel (Cedis'000)</t>
  </si>
  <si>
    <t>CREMA start-up costs (Cedis'000)</t>
  </si>
  <si>
    <t>Payments to wood cutters/ processors at 50% (Cedis'000)</t>
  </si>
  <si>
    <t>Payments to Local Chiefs- 5% (Cedis'000)</t>
  </si>
  <si>
    <t>Payments to Districts- 5% (Cedis'000)</t>
  </si>
  <si>
    <t>Other CREMA operating costs (Cedis'000)</t>
  </si>
  <si>
    <t>CREMA recurrent costs (Cedis'000)</t>
  </si>
  <si>
    <t>Total costs(Cedis'000)</t>
  </si>
  <si>
    <t>Net benefits for one CREMA(Cedis'000)</t>
  </si>
  <si>
    <t>Total costs (Cedis'000)</t>
  </si>
  <si>
    <t>Benefits from woodfuel (table 4)(Cedis'000)</t>
  </si>
  <si>
    <t>CREMA start-up costs(Cedis'000)</t>
  </si>
  <si>
    <t>Net benefits for one CREMA (Cedis'000)</t>
  </si>
  <si>
    <t>Potential   # of wood cutters (persons)</t>
  </si>
  <si>
    <t>Fire Management payments ('000Cedis)</t>
  </si>
  <si>
    <t>Professional staff working for CREMA (persons)</t>
  </si>
  <si>
    <t>Total potential employment in one CREMA (persons)</t>
  </si>
  <si>
    <t>NPV</t>
  </si>
  <si>
    <t>Cedis'000</t>
  </si>
  <si>
    <t>Base case</t>
  </si>
  <si>
    <t>Decrease in prices by 10%</t>
  </si>
  <si>
    <t>Increase in Opex by 10%</t>
  </si>
  <si>
    <t>Increase in Capex by 10%</t>
  </si>
  <si>
    <t>Net benefits for all CREMAs Cedis'000</t>
  </si>
  <si>
    <t xml:space="preserve">hectares </t>
  </si>
  <si>
    <t>Net benefits (Cedis'000) for one farmer/ha</t>
  </si>
  <si>
    <t>Net benefits (Cedis'000) for all farmers/ hectares</t>
  </si>
  <si>
    <t>Net benefits (Cedis'000)  for one farmer/ha</t>
  </si>
  <si>
    <t>Net benefits (Cedis'000)  for all farmers/ hectares</t>
  </si>
  <si>
    <t>Benefits (Cedis) from intercroping (Rice)</t>
  </si>
  <si>
    <t>MTS start-up costs (Cedis)</t>
  </si>
  <si>
    <t>Total costs (Cedis)</t>
  </si>
  <si>
    <t>Net benefits (Cedis) for one farmer/ha</t>
  </si>
  <si>
    <t>Benefits  (Cedis) from  wood  fuel /ha</t>
  </si>
  <si>
    <t>Benefits  (Cedis) from saw timber /ha</t>
  </si>
  <si>
    <t xml:space="preserve">O&amp;M </t>
  </si>
  <si>
    <t>Assumptions</t>
  </si>
  <si>
    <t xml:space="preserve">2. Fifty (50) trees/per hectare after restoration. </t>
  </si>
  <si>
    <t>3. Current price of shea kernels paid to collectors is Cedes 0.588/kg</t>
  </si>
  <si>
    <t>4. The production and sale of the two-year old shea seedlings will initially be subsidized by the project.</t>
  </si>
  <si>
    <t>5. Monetary support for the restoration of shea parklands will subsequently be taken over by public private partnerships that will be developed with the shea using companieswho have a vested interest in ensuring the supply of their raw material.</t>
  </si>
  <si>
    <t>6. Current shea kernelscollection per person is 255-425kgs (i.e. 3 to 5 bags) per year and this is expected to increase significantly following the awareness creation and restocking of Shea parklands.</t>
  </si>
  <si>
    <t xml:space="preserve">7. An agro forestry system in which annual crops are intercropped with the shea trees. </t>
  </si>
  <si>
    <t xml:space="preserve">1. The charcoal production efficiency of is 20%.   </t>
  </si>
  <si>
    <t xml:space="preserve">2. Each CREMA will manage 20,000ha. </t>
  </si>
  <si>
    <r>
      <t>3. Existing woody  biomass</t>
    </r>
    <r>
      <rPr>
        <sz val="8"/>
        <color theme="1"/>
        <rFont val="Calibri"/>
        <family val="2"/>
        <scheme val="minor"/>
      </rPr>
      <t> </t>
    </r>
    <r>
      <rPr>
        <sz val="10"/>
        <color theme="1"/>
        <rFont val="Arial"/>
        <family val="2"/>
      </rPr>
      <t>in tonnes dm/ha (12t carbon/ha divided by 0.47 conversion factor</t>
    </r>
  </si>
  <si>
    <t>4. Annual increase in tonnes of woody biomass/ha is 2.4 (dm/ha/yr)</t>
  </si>
  <si>
    <t>5. Charcoal wholesale price under aggregation is 419 cedis/tonne</t>
  </si>
  <si>
    <t>1. Refer to worksheet ''TC4 wood fuel potential''</t>
  </si>
  <si>
    <r>
      <rPr>
        <i/>
        <sz val="9"/>
        <color rgb="FF000000"/>
        <rFont val="Times New Roman"/>
        <family val="1"/>
      </rPr>
      <t xml:space="preserve">1. </t>
    </r>
    <r>
      <rPr>
        <i/>
        <sz val="9"/>
        <color rgb="FF000000"/>
        <rFont val="Arial"/>
        <family val="2"/>
      </rPr>
      <t xml:space="preserve">Early fruiting can be induced by grafting scions from old trees onto large seedlings. </t>
    </r>
  </si>
  <si>
    <t>2. Fifty (50)% of benefits goes to wood cutters, whereas local chiefs and district take 5% each.</t>
  </si>
  <si>
    <t>3. CREMA establishment costs are about USD 80,960-refer to worksheet ''Table 6 CREMA establishment Costs''</t>
  </si>
  <si>
    <t>4. Annual OPEX for a well consituted CREMA is USD 679,000.</t>
  </si>
  <si>
    <t>5. 1 USD=4.5 Cedis</t>
  </si>
  <si>
    <t>8. 1 USD=4.5 Cedis</t>
  </si>
  <si>
    <t>2. The share for wood cutters, local chiefs and district is not an economic cost.</t>
  </si>
  <si>
    <t>Benefits from shea nut collection (Cedis)</t>
  </si>
  <si>
    <t>start-up costs (seedlings &amp; planting costs) (Cedis)</t>
  </si>
  <si>
    <t>Net benefits for one farmer/ha (Cedis)</t>
  </si>
  <si>
    <t>Benefits from shea nut collection  (Cedis)</t>
  </si>
  <si>
    <t>Net benefits for one farmer/ha  (Cedis)</t>
  </si>
  <si>
    <t xml:space="preserve">Benefits (Cedis) from  wood  fuel </t>
  </si>
  <si>
    <t xml:space="preserve">Benefits (Cedis) from saw timber </t>
  </si>
  <si>
    <t>Payments (Cedis) to wood cutters at 50%</t>
  </si>
  <si>
    <t>Payments (Cedis) to Local Chiefs- 5%</t>
  </si>
  <si>
    <t>Payments (Cedis) to Districts- 5%</t>
  </si>
  <si>
    <t>Net benefits (Cedis)for one farmer/ha</t>
  </si>
  <si>
    <t>1. Refer to worksheet ''Gmelina Arborea''</t>
  </si>
  <si>
    <t>2. One tonne (metric tonne) = 3.29 cubic meters</t>
  </si>
  <si>
    <t>3. The export price of one cubic meter of dry sawn wood is at least USD 240 of which the farm gatestumpage price is 20% of this amount</t>
  </si>
  <si>
    <t>4. One (1) USD= 4.5 Cedis</t>
  </si>
  <si>
    <t>5. Fifty (50)% of benefits goes to wood cutters, whereas local chiefs and district take 5% each.</t>
  </si>
  <si>
    <t>6. Canopy will be close in Yr 3</t>
  </si>
  <si>
    <t>CHECK</t>
  </si>
  <si>
    <t>ok</t>
  </si>
  <si>
    <r>
      <t xml:space="preserve">Base costs </t>
    </r>
    <r>
      <rPr>
        <b/>
        <sz val="10"/>
        <color rgb="FFFF0000"/>
        <rFont val="Arial"/>
        <family val="2"/>
      </rPr>
      <t>(cedis)</t>
    </r>
  </si>
  <si>
    <t>OK</t>
  </si>
  <si>
    <t>PVb (GHC'000)</t>
  </si>
  <si>
    <t>PVc  (GHC'000)</t>
  </si>
  <si>
    <t>4. Annual OPEX for a well consituted CREMA is 679,000 Cedis.</t>
  </si>
  <si>
    <t>Decrease in benefits by 10%</t>
  </si>
  <si>
    <t>Increase in Recurrent costs by 10%</t>
  </si>
  <si>
    <t>PVb (GHC)</t>
  </si>
  <si>
    <t>PVc  (GHC)</t>
  </si>
  <si>
    <t>Charcoal production as per table table C4</t>
  </si>
  <si>
    <t>Sensitivity Analysis</t>
  </si>
  <si>
    <t>Sensitivity analysis</t>
  </si>
  <si>
    <t>Carbon Valuation</t>
  </si>
  <si>
    <t>Reduction in fuel wood use</t>
  </si>
  <si>
    <t>Output2</t>
  </si>
  <si>
    <t>Output3</t>
  </si>
  <si>
    <t>Reduced Conversion to Cropland</t>
  </si>
  <si>
    <t>Reduced Conversion to Grassland</t>
  </si>
  <si>
    <t>Reduced degradation from logging</t>
  </si>
  <si>
    <t>Reduced Impact of Fire</t>
  </si>
  <si>
    <t>Cross cutting</t>
  </si>
  <si>
    <t>Cumulative Net CO2 Sequestered</t>
  </si>
  <si>
    <r>
      <t>NPV(</t>
    </r>
    <r>
      <rPr>
        <sz val="11"/>
        <color rgb="FFFF0000"/>
        <rFont val="Calibri (Body)_x0000_"/>
      </rPr>
      <t>Cedis</t>
    </r>
    <r>
      <rPr>
        <sz val="11"/>
        <color theme="1"/>
        <rFont val="Calibri"/>
        <family val="2"/>
        <scheme val="minor"/>
      </rPr>
      <t xml:space="preserve"> 000)</t>
    </r>
  </si>
  <si>
    <t>Overall ERR computation in Cedis ('000)</t>
  </si>
  <si>
    <t>Table 1: Overall economic analysis (Ghana Cedis'000)</t>
  </si>
  <si>
    <t>Project Costs</t>
  </si>
  <si>
    <t>Wood cutters/ charcoal processors - 50% of gross revenues ('000Cedis)</t>
  </si>
  <si>
    <t>Potential employment from fire management (persons)</t>
  </si>
  <si>
    <t>NPV GHC'000)</t>
  </si>
  <si>
    <t>NPV  GHC)</t>
  </si>
  <si>
    <t>NPV GHC)</t>
  </si>
  <si>
    <t>1. Fixed Deposits: Range between 13% and 15% depending on quantum. Exceptional cases of 16%</t>
  </si>
  <si>
    <t>3. Government Bonds/Securities</t>
  </si>
  <si>
    <t>a. 1 Year Note - 15%</t>
  </si>
  <si>
    <t>b. Treasury Bills (91 Days) -13.36%</t>
  </si>
  <si>
    <t>c. Treasury Bills (182 Days) - 13.9%</t>
  </si>
  <si>
    <t>4. Inflation (Y on Y) February: 10.6% </t>
  </si>
  <si>
    <t>Justification for discount rates</t>
  </si>
  <si>
    <t xml:space="preserve">2. Savings Accounts: About 5% </t>
  </si>
  <si>
    <t>ENPV @ 0.10  GHC'000)</t>
  </si>
  <si>
    <t>EIRR</t>
  </si>
  <si>
    <t>Decrease in benefits by 20%</t>
  </si>
  <si>
    <t>Increase in Recurrent costs by 20%</t>
  </si>
  <si>
    <t>GCF</t>
  </si>
  <si>
    <t>Private Sector</t>
  </si>
  <si>
    <t>UNDP</t>
  </si>
  <si>
    <t>Total Year 6</t>
  </si>
  <si>
    <t>Total Year 7</t>
  </si>
  <si>
    <t>Removals from planting 1.75m shea trees Project life</t>
  </si>
  <si>
    <t>Forestry Commission/ GoG</t>
  </si>
  <si>
    <t>CO2 benefits: Reduced emissions</t>
  </si>
  <si>
    <t xml:space="preserve">Cumulative Number of women trained </t>
  </si>
  <si>
    <t>Aggregation training benefits</t>
  </si>
  <si>
    <t>a</t>
  </si>
  <si>
    <t>Totals</t>
  </si>
  <si>
    <t>Table 2: Output 1 Economic Model(Ghana Cedis'000)</t>
  </si>
  <si>
    <t>Table 4: Benefits from Shea kernels aggregation trainings</t>
  </si>
  <si>
    <t>Increase in costs by 10%</t>
  </si>
  <si>
    <t>Output 2: Economic model</t>
  </si>
  <si>
    <t>EIRR @10%)</t>
  </si>
  <si>
    <t>Social cost for CO2 at $ 38 ( e,g FP030)</t>
  </si>
  <si>
    <t>Social cost discount rate up to 15%</t>
  </si>
  <si>
    <t>Social cost discount rate up to 20%</t>
  </si>
  <si>
    <t>Monetary value in Cedis ($ 30/ CO2) at 4 to a Cedi</t>
  </si>
  <si>
    <t>Benefits (Cedis)from intercroping</t>
  </si>
  <si>
    <t>Increase in price paid to Collectors after organising Shea Nut Collection (50%)</t>
  </si>
  <si>
    <t>3. Current price of shea kernels paid to collectors is Cedis 0.588/kg</t>
  </si>
  <si>
    <t>Aggregation training benefits (Cedis)</t>
  </si>
  <si>
    <t>5. Monetary support for the restoration of shea parklands will subsequently be taken over by public private partnerships that will be developed with the shea using companies who have a vested interest in ensuring the supply of their raw material.</t>
  </si>
  <si>
    <t>6. Current shea kernels collection per person is 255-425kgs (i.e. 3 to 5 bags) per year and this is expected to increase significantly following the awareness creation and restocking of Shea parklands.</t>
  </si>
  <si>
    <t xml:space="preserve">7. An agroforestry system in which annual crops are intercropped with the shea trees. </t>
  </si>
  <si>
    <t>9. Impact of training/aggregation begins from Y2  and improves revenues from current collection of kernels by at least 30% to reach 75 cedis per year per hectare</t>
  </si>
  <si>
    <t xml:space="preserve">1. Early fruiting can be induced by grafting scions from old trees onto large seedlings. </t>
  </si>
  <si>
    <t xml:space="preserve">6. Income from thinning existing forest areas for fuel wood and charcoal will begin from year 2.  Communities will not have to pay start up costs. </t>
  </si>
  <si>
    <t>4. The production and sale of the two-year old shea seedlings will initially be subsidized by the project and cooperatives will not have to pay start-up costs</t>
  </si>
  <si>
    <t>6. Canopy will be close in Yr 3-4</t>
  </si>
  <si>
    <t>7. Taungya communities will benefit from various crops that they can grow in the first three years. The assessment here is conservative and does not take into account all the various crops that could potentially be grown</t>
  </si>
  <si>
    <t>Total from sustainable management and enhancement of carbon stock</t>
  </si>
  <si>
    <t>Total reductions in deforestation and forest degradation</t>
  </si>
  <si>
    <t>Output 3:</t>
  </si>
  <si>
    <t xml:space="preserve">Output 2: </t>
  </si>
  <si>
    <t>20 years</t>
  </si>
  <si>
    <t>7 years</t>
  </si>
  <si>
    <t>4 years</t>
  </si>
  <si>
    <t>Total project reductions</t>
  </si>
  <si>
    <t>Mid term</t>
  </si>
  <si>
    <t xml:space="preserve">Reduction </t>
  </si>
  <si>
    <t>70% effective</t>
  </si>
  <si>
    <t>T per ha</t>
  </si>
  <si>
    <t>Area remaining after agriculture loss</t>
  </si>
  <si>
    <t>Removals from fire management</t>
  </si>
  <si>
    <t>late</t>
  </si>
  <si>
    <t>early</t>
  </si>
  <si>
    <t>Combustion factor</t>
  </si>
  <si>
    <t>Project total</t>
  </si>
  <si>
    <t>From my model on left</t>
  </si>
  <si>
    <t xml:space="preserve">Late burn </t>
  </si>
  <si>
    <t>Available Biomass</t>
  </si>
  <si>
    <t>Early Burn</t>
  </si>
  <si>
    <t xml:space="preserve">Mid term </t>
  </si>
  <si>
    <t>Total Co2</t>
  </si>
  <si>
    <t xml:space="preserve">Combustion Factors </t>
  </si>
  <si>
    <t>Biomass</t>
  </si>
  <si>
    <t xml:space="preserve">FRL Figures </t>
  </si>
  <si>
    <t xml:space="preserve">20 years </t>
  </si>
  <si>
    <t>Total in project</t>
  </si>
  <si>
    <r>
      <t>Conversion of C to CO</t>
    </r>
    <r>
      <rPr>
        <i/>
        <sz val="8"/>
        <color theme="1"/>
        <rFont val="Calibri"/>
        <family val="2"/>
        <scheme val="minor"/>
      </rPr>
      <t>2</t>
    </r>
  </si>
  <si>
    <t xml:space="preserve">Per annum </t>
  </si>
  <si>
    <t>Butter</t>
  </si>
  <si>
    <t xml:space="preserve">Raw kernel </t>
  </si>
  <si>
    <t>Reduced emissions CO2</t>
  </si>
  <si>
    <t>70% reduction</t>
  </si>
  <si>
    <t xml:space="preserve">Carbon </t>
  </si>
  <si>
    <t xml:space="preserve">Carbon fraction </t>
  </si>
  <si>
    <t>In field wood</t>
  </si>
  <si>
    <t>Tonnes of Fuel Wood</t>
  </si>
  <si>
    <t>Ration of fuel wood to shea product</t>
  </si>
  <si>
    <t>Percentage of market impacted by project</t>
  </si>
  <si>
    <t>Exports tonnes</t>
  </si>
  <si>
    <t>Quantity of Fuel Wood utilised in Development</t>
  </si>
  <si>
    <t xml:space="preserve">20 year total: </t>
  </si>
  <si>
    <t>Total project life</t>
  </si>
  <si>
    <t>CO2 Sequestered</t>
  </si>
  <si>
    <t>Total Annual Increase in Carbon Stock (tC/yr)</t>
  </si>
  <si>
    <t>Mean Annual Growth  (c/tree/yr)</t>
  </si>
  <si>
    <t>Trees</t>
  </si>
  <si>
    <t>REMOVALS FROM INTEGRATION OF SHEA TREES IN AGROFORESTRY LANDSCAPES</t>
  </si>
  <si>
    <t>7 Years</t>
  </si>
  <si>
    <r>
      <t>Conversion of C to CO</t>
    </r>
    <r>
      <rPr>
        <i/>
        <sz val="8"/>
        <color rgb="FF000000"/>
        <rFont val="Calibri"/>
        <family val="2"/>
      </rPr>
      <t>2</t>
    </r>
  </si>
  <si>
    <t xml:space="preserve">Lifetime </t>
  </si>
  <si>
    <t>Project end</t>
  </si>
  <si>
    <t xml:space="preserve">10% failure </t>
  </si>
  <si>
    <t>25% failure</t>
  </si>
  <si>
    <t>25,500 plantations</t>
  </si>
  <si>
    <t>25,50000ha plantations and 26,000 ha under fire management Forest Management</t>
  </si>
  <si>
    <t>7 Year project</t>
  </si>
  <si>
    <t>15% decrease</t>
  </si>
  <si>
    <t>10% decrease</t>
  </si>
  <si>
    <t>5% decrease</t>
  </si>
  <si>
    <t>Average annual emissions from burning</t>
  </si>
  <si>
    <t>Impact over 20 years</t>
  </si>
  <si>
    <t>Impact over 7 years</t>
  </si>
  <si>
    <t>15% reduction</t>
  </si>
  <si>
    <t>10% reduction</t>
  </si>
  <si>
    <t>5% reduction</t>
  </si>
  <si>
    <t>Annual average (2010-17)</t>
  </si>
  <si>
    <r>
      <t>Emissions tCO</t>
    </r>
    <r>
      <rPr>
        <b/>
        <vertAlign val="subscript"/>
        <sz val="10"/>
        <color rgb="FF000000"/>
        <rFont val="Calibri"/>
        <family val="2"/>
      </rPr>
      <t>2</t>
    </r>
    <r>
      <rPr>
        <b/>
        <sz val="10"/>
        <color rgb="FF000000"/>
        <rFont val="Calibri"/>
        <family val="2"/>
      </rPr>
      <t>e</t>
    </r>
  </si>
  <si>
    <t>Average value per m3</t>
  </si>
  <si>
    <t>Value of exports</t>
  </si>
  <si>
    <t>M3 Exported[1]</t>
  </si>
  <si>
    <t>Reduced Degradation</t>
  </si>
  <si>
    <t>Total 20 years</t>
  </si>
  <si>
    <t>Total 7 years</t>
  </si>
  <si>
    <t xml:space="preserve">Total emisions avoided </t>
  </si>
  <si>
    <t>Emission factor Open forest to cropland</t>
  </si>
  <si>
    <t xml:space="preserve">Area of avoided deforestation </t>
  </si>
  <si>
    <t xml:space="preserve">Percentage reduction in deforestion </t>
  </si>
  <si>
    <t xml:space="preserve">Existing Level of Deforestation </t>
  </si>
  <si>
    <t>Incremental impact reaching 15%</t>
  </si>
  <si>
    <t xml:space="preserve">Reduced Deforesation </t>
  </si>
  <si>
    <t>Annual average</t>
  </si>
  <si>
    <t xml:space="preserve">Total 7 years: </t>
  </si>
  <si>
    <t>Reduced Degradation 20 years</t>
  </si>
  <si>
    <t xml:space="preserve">Reduced degradation 7 years: </t>
  </si>
  <si>
    <t>Reduced degradation mid term</t>
  </si>
  <si>
    <t>Reduced Deforestation 20 years:</t>
  </si>
  <si>
    <t>Reduced Deforesation 7 years:</t>
  </si>
  <si>
    <t>Reduced Def mid term</t>
  </si>
  <si>
    <t xml:space="preserve">Cross Cutting Actions </t>
  </si>
  <si>
    <t>New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</si>
</sst>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_-* #,##0.00_-;\-* #,##0.00_-;_-* &quot;-&quot;??_-;_-@_-"/>
    <numFmt numFmtId="165" formatCode="_(* #,##0_);_(* \(#,##0\);_(* &quot;-&quot;??_);_(@_)"/>
    <numFmt numFmtId="166" formatCode="_-* #,##0_-;\-* #,##0_-;_-* \-??_-;_-@_-"/>
    <numFmt numFmtId="167" formatCode="_(* #,##0_);_(* \(#,##0\);_(* \-??_);_(@_)"/>
    <numFmt numFmtId="168" formatCode="_(* #,##0.0_);_(* \(#,##0.0\);_(* &quot;-&quot;??_);_(@_)"/>
    <numFmt numFmtId="169" formatCode="_-* #,##0_-;\-* #,##0_-;_-* &quot;-&quot;??_-;_-@_-"/>
    <numFmt numFmtId="170" formatCode="_(&quot;$&quot;* #,##0_);_(&quot;$&quot;* \(#,##0\);_(&quot;$&quot;* &quot;-&quot;??_);_(@_)"/>
    <numFmt numFmtId="171" formatCode="_(* #,##0.000000_);_(* \(#,##0.000000\);_(* &quot;-&quot;??_);_(@_)"/>
    <numFmt numFmtId="172" formatCode="#,##0.0"/>
  </numFmts>
  <fonts count="101">
    <font>
      <sz val="11"/>
      <color theme="1"/>
      <name val="Calibri"/>
      <family val="2"/>
      <scheme val="minor"/>
    </font>
    <font>
      <sz val="11"/>
      <color theme="1"/>
      <name val="Calibri"/>
      <family val="2"/>
      <scheme val="minor"/>
    </font>
    <font>
      <sz val="11"/>
      <color rgb="FF00B0F0"/>
      <name val="Calibri"/>
      <family val="2"/>
      <scheme val="minor"/>
    </font>
    <font>
      <sz val="10"/>
      <color theme="1"/>
      <name val="Times New Roman"/>
      <family val="1"/>
    </font>
    <font>
      <sz val="13"/>
      <color theme="1"/>
      <name val="Times New Roman"/>
      <family val="1"/>
    </font>
    <font>
      <b/>
      <sz val="10"/>
      <color rgb="FF000000"/>
      <name val="Calibri"/>
      <family val="2"/>
    </font>
    <font>
      <sz val="10"/>
      <color rgb="FF000000"/>
      <name val="Calibri"/>
      <family val="2"/>
    </font>
    <font>
      <vertAlign val="superscript"/>
      <sz val="10"/>
      <color rgb="FF000000"/>
      <name val="Calibri"/>
      <family val="2"/>
    </font>
    <font>
      <sz val="10"/>
      <color rgb="FF000000"/>
      <name val="Times New Roman"/>
      <family val="1"/>
    </font>
    <font>
      <sz val="11"/>
      <color rgb="FF000000"/>
      <name val="Calibri"/>
      <family val="2"/>
    </font>
    <font>
      <b/>
      <sz val="11"/>
      <color rgb="FF000000"/>
      <name val="Calibri"/>
      <family val="2"/>
    </font>
    <font>
      <sz val="7"/>
      <color theme="1"/>
      <name val="Times New Roman"/>
      <family val="1"/>
    </font>
    <font>
      <sz val="10"/>
      <color theme="1"/>
      <name val="Arial"/>
      <family val="2"/>
    </font>
    <font>
      <b/>
      <sz val="10"/>
      <color rgb="FF0070C0"/>
      <name val="Arial"/>
      <family val="2"/>
    </font>
    <font>
      <b/>
      <sz val="10"/>
      <color theme="1"/>
      <name val="Arial"/>
      <family val="2"/>
    </font>
    <font>
      <b/>
      <sz val="12"/>
      <color rgb="FF0070C0"/>
      <name val="Arial"/>
      <family val="2"/>
    </font>
    <font>
      <b/>
      <sz val="14"/>
      <color rgb="FF0070C0"/>
      <name val="Arial"/>
      <family val="2"/>
    </font>
    <font>
      <i/>
      <sz val="10"/>
      <color theme="1"/>
      <name val="Arial"/>
      <family val="2"/>
    </font>
    <font>
      <b/>
      <i/>
      <sz val="10"/>
      <color theme="1"/>
      <name val="Arial"/>
      <family val="2"/>
    </font>
    <font>
      <b/>
      <sz val="14"/>
      <color rgb="FF00B0F0"/>
      <name val="Arial"/>
      <family val="2"/>
    </font>
    <font>
      <sz val="11"/>
      <color theme="1"/>
      <name val="Cambria"/>
      <family val="1"/>
    </font>
    <font>
      <sz val="10"/>
      <color theme="1"/>
      <name val="Calibri"/>
      <family val="2"/>
      <scheme val="minor"/>
    </font>
    <font>
      <b/>
      <sz val="10"/>
      <color rgb="FF00B0F0"/>
      <name val="Arial"/>
      <family val="2"/>
    </font>
    <font>
      <b/>
      <sz val="11"/>
      <color rgb="FF00B0F0"/>
      <name val="Arial"/>
      <family val="2"/>
    </font>
    <font>
      <sz val="10"/>
      <color rgb="FF000000"/>
      <name val="Arial"/>
      <family val="2"/>
    </font>
    <font>
      <sz val="10"/>
      <color theme="1"/>
      <name val="Calibri"/>
      <family val="2"/>
      <scheme val="minor"/>
    </font>
    <font>
      <b/>
      <sz val="10"/>
      <color theme="1"/>
      <name val="Calibri"/>
      <family val="2"/>
      <scheme val="minor"/>
    </font>
    <font>
      <sz val="10"/>
      <color indexed="8"/>
      <name val="Arial"/>
      <family val="2"/>
    </font>
    <font>
      <i/>
      <sz val="10"/>
      <color theme="1"/>
      <name val="Calibri"/>
      <family val="2"/>
      <scheme val="minor"/>
    </font>
    <font>
      <sz val="10"/>
      <name val="Arial"/>
      <family val="2"/>
    </font>
    <font>
      <b/>
      <sz val="11"/>
      <color theme="1"/>
      <name val="Calibri"/>
      <family val="2"/>
      <scheme val="minor"/>
    </font>
    <font>
      <sz val="10"/>
      <color theme="1"/>
      <name val="Cambria"/>
      <family val="1"/>
    </font>
    <font>
      <sz val="10"/>
      <color theme="1"/>
      <name val="Calibri"/>
      <family val="2"/>
    </font>
    <font>
      <b/>
      <sz val="10"/>
      <color theme="1"/>
      <name val="Cambria"/>
      <family val="1"/>
    </font>
    <font>
      <i/>
      <sz val="11"/>
      <color theme="1"/>
      <name val="Calibri"/>
      <family val="2"/>
      <scheme val="minor"/>
    </font>
    <font>
      <i/>
      <sz val="10"/>
      <color rgb="FF000000"/>
      <name val="Calibri"/>
      <family val="2"/>
    </font>
    <font>
      <i/>
      <sz val="10"/>
      <color rgb="FF000000"/>
      <name val="Calibri"/>
      <family val="2"/>
      <scheme val="minor"/>
    </font>
    <font>
      <sz val="10"/>
      <color rgb="FF000000"/>
      <name val="Calibri"/>
      <family val="2"/>
      <scheme val="minor"/>
    </font>
    <font>
      <b/>
      <vertAlign val="superscript"/>
      <sz val="10"/>
      <color rgb="FF000000"/>
      <name val="Calibri"/>
      <family val="2"/>
    </font>
    <font>
      <i/>
      <sz val="11"/>
      <color indexed="8"/>
      <name val="Calibri"/>
      <family val="2"/>
    </font>
    <font>
      <b/>
      <sz val="13"/>
      <name val="Arial"/>
      <family val="2"/>
    </font>
    <font>
      <sz val="9"/>
      <color indexed="8"/>
      <name val="Calibri"/>
      <family val="2"/>
    </font>
    <font>
      <b/>
      <sz val="9"/>
      <name val="Arial"/>
      <family val="2"/>
    </font>
    <font>
      <b/>
      <sz val="10"/>
      <name val="Arial"/>
      <family val="2"/>
    </font>
    <font>
      <b/>
      <sz val="8"/>
      <name val="Arial"/>
      <family val="2"/>
    </font>
    <font>
      <sz val="8"/>
      <name val="Arial"/>
      <family val="2"/>
    </font>
    <font>
      <sz val="8"/>
      <name val="Times New Roman"/>
      <family val="1"/>
    </font>
    <font>
      <sz val="11"/>
      <name val="Calibri"/>
      <family val="2"/>
    </font>
    <font>
      <sz val="11"/>
      <color indexed="10"/>
      <name val="Calibri"/>
      <family val="2"/>
    </font>
    <font>
      <i/>
      <sz val="11"/>
      <color indexed="10"/>
      <name val="Calibri"/>
      <family val="2"/>
    </font>
    <font>
      <b/>
      <sz val="13"/>
      <color indexed="10"/>
      <name val="Arial"/>
      <family val="2"/>
    </font>
    <font>
      <b/>
      <sz val="12"/>
      <color indexed="10"/>
      <name val="Arial"/>
      <family val="2"/>
    </font>
    <font>
      <b/>
      <sz val="10"/>
      <color indexed="10"/>
      <name val="Arial"/>
      <family val="2"/>
    </font>
    <font>
      <b/>
      <sz val="8"/>
      <color indexed="10"/>
      <name val="Arial"/>
      <family val="2"/>
    </font>
    <font>
      <sz val="8"/>
      <color indexed="10"/>
      <name val="Arial"/>
      <family val="2"/>
    </font>
    <font>
      <b/>
      <sz val="9"/>
      <color indexed="40"/>
      <name val="Arial"/>
      <family val="2"/>
    </font>
    <font>
      <sz val="9"/>
      <color indexed="8"/>
      <name val="Arial"/>
      <family val="2"/>
    </font>
    <font>
      <b/>
      <sz val="9"/>
      <color indexed="8"/>
      <name val="Arial"/>
      <family val="2"/>
    </font>
    <font>
      <i/>
      <sz val="9"/>
      <color indexed="8"/>
      <name val="Arial"/>
      <family val="2"/>
    </font>
    <font>
      <b/>
      <sz val="10"/>
      <color indexed="8"/>
      <name val="Arial"/>
      <family val="2"/>
    </font>
    <font>
      <i/>
      <sz val="10"/>
      <color indexed="8"/>
      <name val="Arial"/>
      <family val="2"/>
    </font>
    <font>
      <sz val="10"/>
      <color indexed="10"/>
      <name val="Arial"/>
      <family val="2"/>
    </font>
    <font>
      <sz val="11"/>
      <color rgb="FF333333"/>
      <name val="Arial"/>
      <family val="2"/>
    </font>
    <font>
      <b/>
      <sz val="11"/>
      <color rgb="FF333333"/>
      <name val="Arial"/>
      <family val="2"/>
    </font>
    <font>
      <sz val="10"/>
      <color theme="0"/>
      <name val="Arial"/>
      <family val="2"/>
    </font>
    <font>
      <b/>
      <sz val="8"/>
      <color rgb="FF000000"/>
      <name val="Arial"/>
      <family val="2"/>
    </font>
    <font>
      <sz val="8"/>
      <color theme="1"/>
      <name val="Arial"/>
      <family val="2"/>
    </font>
    <font>
      <b/>
      <sz val="10"/>
      <color rgb="FF000000"/>
      <name val="Arial"/>
      <family val="2"/>
    </font>
    <font>
      <i/>
      <sz val="10"/>
      <color rgb="FF000000"/>
      <name val="Arial"/>
      <family val="2"/>
    </font>
    <font>
      <i/>
      <sz val="9"/>
      <color theme="1"/>
      <name val="Arial"/>
      <family val="2"/>
    </font>
    <font>
      <i/>
      <sz val="9"/>
      <color rgb="FF000000"/>
      <name val="Arial"/>
      <family val="2"/>
    </font>
    <font>
      <b/>
      <sz val="8"/>
      <color theme="1"/>
      <name val="Calibri"/>
      <family val="2"/>
      <scheme val="minor"/>
    </font>
    <font>
      <sz val="8"/>
      <color theme="1"/>
      <name val="Calibri"/>
      <family val="2"/>
      <scheme val="minor"/>
    </font>
    <font>
      <sz val="8"/>
      <color rgb="FF000000"/>
      <name val="Arial"/>
      <family val="2"/>
    </font>
    <font>
      <sz val="14"/>
      <color theme="1"/>
      <name val="Calibri"/>
      <family val="2"/>
      <scheme val="minor"/>
    </font>
    <font>
      <b/>
      <sz val="14"/>
      <color theme="1"/>
      <name val="Calibri"/>
      <family val="2"/>
      <scheme val="minor"/>
    </font>
    <font>
      <i/>
      <sz val="9"/>
      <color rgb="FF000000"/>
      <name val="Times New Roman"/>
      <family val="1"/>
    </font>
    <font>
      <i/>
      <sz val="9"/>
      <color theme="1"/>
      <name val="Calibri"/>
      <family val="2"/>
      <scheme val="minor"/>
    </font>
    <font>
      <sz val="9"/>
      <color theme="1"/>
      <name val="Arial"/>
      <family val="2"/>
    </font>
    <font>
      <i/>
      <sz val="9"/>
      <name val="Arial"/>
      <family val="2"/>
    </font>
    <font>
      <sz val="12"/>
      <color theme="1"/>
      <name val="Arial"/>
      <family val="2"/>
    </font>
    <font>
      <b/>
      <sz val="12"/>
      <color theme="1"/>
      <name val="Arial"/>
      <family val="2"/>
    </font>
    <font>
      <sz val="11"/>
      <color rgb="FFFF0000"/>
      <name val="Calibri"/>
      <family val="2"/>
      <scheme val="minor"/>
    </font>
    <font>
      <sz val="10"/>
      <color rgb="FFFF0000"/>
      <name val="Arial"/>
      <family val="2"/>
    </font>
    <font>
      <sz val="9"/>
      <color rgb="FFFF0000"/>
      <name val="Arial"/>
      <family val="2"/>
    </font>
    <font>
      <i/>
      <sz val="9"/>
      <color rgb="FFFF0000"/>
      <name val="Arial"/>
      <family val="2"/>
    </font>
    <font>
      <sz val="10"/>
      <color rgb="FFFF0000"/>
      <name val="Calibri"/>
      <family val="2"/>
      <scheme val="minor"/>
    </font>
    <font>
      <sz val="12"/>
      <color rgb="FF4A6291"/>
      <name val="Helvetica"/>
      <family val="2"/>
    </font>
    <font>
      <sz val="11"/>
      <color rgb="FFFF0000"/>
      <name val="Calibri (Body)_x0000_"/>
    </font>
    <font>
      <b/>
      <sz val="10"/>
      <color rgb="FFFF0000"/>
      <name val="Arial"/>
      <family val="2"/>
    </font>
    <font>
      <b/>
      <sz val="10"/>
      <color rgb="FF000000"/>
      <name val="Calibri"/>
      <family val="2"/>
      <scheme val="minor"/>
    </font>
    <font>
      <i/>
      <sz val="8"/>
      <color theme="1"/>
      <name val="Calibri"/>
      <family val="2"/>
      <scheme val="minor"/>
    </font>
    <font>
      <sz val="11"/>
      <color rgb="FF000000"/>
      <name val="Calibri"/>
      <family val="2"/>
      <scheme val="minor"/>
    </font>
    <font>
      <i/>
      <sz val="11"/>
      <color rgb="FF000000"/>
      <name val="Calibri"/>
      <family val="2"/>
      <scheme val="minor"/>
    </font>
    <font>
      <i/>
      <sz val="11"/>
      <color rgb="FF000000"/>
      <name val="Calibri"/>
      <family val="2"/>
    </font>
    <font>
      <i/>
      <sz val="8"/>
      <color rgb="FF000000"/>
      <name val="Calibri"/>
      <family val="2"/>
    </font>
    <font>
      <b/>
      <sz val="11"/>
      <color rgb="FF000000"/>
      <name val="Calibri"/>
      <family val="2"/>
      <scheme val="minor"/>
    </font>
    <font>
      <vertAlign val="superscript"/>
      <sz val="10"/>
      <color theme="1"/>
      <name val="Calibri"/>
      <family val="2"/>
      <scheme val="minor"/>
    </font>
    <font>
      <b/>
      <vertAlign val="subscript"/>
      <sz val="10"/>
      <color rgb="FF000000"/>
      <name val="Calibri"/>
      <family val="2"/>
    </font>
    <font>
      <u/>
      <sz val="11"/>
      <color theme="10"/>
      <name val="Calibri"/>
      <family val="2"/>
      <scheme val="minor"/>
    </font>
    <font>
      <sz val="11"/>
      <color theme="1"/>
      <name val="Calibri"/>
      <family val="2"/>
    </font>
  </fonts>
  <fills count="20">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rgb="FFBFBFBF"/>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indexed="22"/>
        <bgColor indexed="64"/>
      </patternFill>
    </fill>
    <fill>
      <patternFill patternType="solid">
        <fgColor theme="0"/>
        <bgColor indexed="34"/>
      </patternFill>
    </fill>
    <fill>
      <patternFill patternType="solid">
        <fgColor theme="2"/>
        <bgColor indexed="64"/>
      </patternFill>
    </fill>
    <fill>
      <patternFill patternType="solid">
        <fgColor theme="6" tint="0.79998168889431442"/>
        <bgColor indexed="64"/>
      </patternFill>
    </fill>
    <fill>
      <patternFill patternType="solid">
        <fgColor theme="6" tint="0.79998168889431442"/>
        <bgColor indexed="34"/>
      </patternFill>
    </fill>
    <fill>
      <patternFill patternType="solid">
        <fgColor rgb="FFFFFFFF"/>
        <bgColor indexed="64"/>
      </patternFill>
    </fill>
    <fill>
      <patternFill patternType="solid">
        <fgColor theme="8" tint="0.79998168889431442"/>
        <bgColor indexed="64"/>
      </patternFill>
    </fill>
    <fill>
      <patternFill patternType="solid">
        <fgColor rgb="FF00B050"/>
        <bgColor indexed="64"/>
      </patternFill>
    </fill>
    <fill>
      <patternFill patternType="solid">
        <fgColor theme="0" tint="-0.34998626667073579"/>
        <bgColor indexed="64"/>
      </patternFill>
    </fill>
    <fill>
      <patternFill patternType="solid">
        <fgColor theme="0" tint="-4.9989318521683403E-2"/>
        <bgColor indexed="64"/>
      </patternFill>
    </fill>
  </fills>
  <borders count="64">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medium">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bottom style="thin">
        <color auto="1"/>
      </bottom>
      <diagonal/>
    </border>
    <border>
      <left/>
      <right/>
      <top style="thin">
        <color auto="1"/>
      </top>
      <bottom/>
      <diagonal/>
    </border>
    <border>
      <left style="medium">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medium">
        <color rgb="FF000000"/>
      </right>
      <top/>
      <bottom style="medium">
        <color rgb="FF000000"/>
      </bottom>
      <diagonal/>
    </border>
    <border>
      <left style="medium">
        <color auto="1"/>
      </left>
      <right/>
      <top/>
      <bottom style="medium">
        <color auto="1"/>
      </bottom>
      <diagonal/>
    </border>
    <border>
      <left style="medium">
        <color auto="1"/>
      </left>
      <right style="medium">
        <color auto="1"/>
      </right>
      <top/>
      <bottom/>
      <diagonal/>
    </border>
    <border>
      <left/>
      <right/>
      <top/>
      <bottom style="medium">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bottom style="hair">
        <color auto="1"/>
      </bottom>
      <diagonal/>
    </border>
    <border>
      <left/>
      <right style="thin">
        <color auto="1"/>
      </right>
      <top/>
      <bottom style="hair">
        <color auto="1"/>
      </bottom>
      <diagonal/>
    </border>
    <border>
      <left style="thin">
        <color auto="1"/>
      </left>
      <right style="thin">
        <color auto="1"/>
      </right>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theme="9" tint="0.39997558519241921"/>
      </top>
      <bottom style="thin">
        <color theme="9" tint="0.39997558519241921"/>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29" fillId="0" borderId="0"/>
    <xf numFmtId="44" fontId="1" fillId="0" borderId="0" applyFont="0" applyFill="0" applyBorder="0" applyAlignment="0" applyProtection="0"/>
    <xf numFmtId="0" fontId="99" fillId="0" borderId="0" applyNumberFormat="0" applyFill="0" applyBorder="0" applyAlignment="0" applyProtection="0"/>
  </cellStyleXfs>
  <cellXfs count="883">
    <xf numFmtId="0" fontId="0" fillId="0" borderId="0" xfId="0"/>
    <xf numFmtId="165" fontId="0" fillId="0" borderId="0" xfId="1" applyNumberFormat="1" applyFont="1"/>
    <xf numFmtId="0" fontId="5" fillId="0" borderId="1" xfId="0" applyFont="1" applyBorder="1" applyAlignment="1">
      <alignment vertical="top" wrapText="1"/>
    </xf>
    <xf numFmtId="0" fontId="5" fillId="0" borderId="2" xfId="0" applyFont="1" applyBorder="1" applyAlignment="1">
      <alignment vertical="top" wrapText="1"/>
    </xf>
    <xf numFmtId="0" fontId="5" fillId="0" borderId="2" xfId="0" applyFont="1" applyBorder="1" applyAlignment="1">
      <alignment horizontal="center" vertical="top" wrapText="1"/>
    </xf>
    <xf numFmtId="0" fontId="3" fillId="0" borderId="0" xfId="0" applyFont="1" applyAlignment="1">
      <alignment wrapText="1"/>
    </xf>
    <xf numFmtId="0" fontId="6" fillId="0" borderId="3" xfId="0" applyFont="1" applyBorder="1" applyAlignment="1">
      <alignment horizontal="right" vertical="top" wrapText="1"/>
    </xf>
    <xf numFmtId="0" fontId="6" fillId="0" borderId="4" xfId="0" applyFont="1" applyBorder="1" applyAlignment="1">
      <alignment vertical="top" wrapText="1"/>
    </xf>
    <xf numFmtId="0" fontId="6" fillId="0" borderId="4" xfId="0" applyFont="1" applyBorder="1" applyAlignment="1">
      <alignment horizontal="center" vertical="top" wrapText="1"/>
    </xf>
    <xf numFmtId="0" fontId="4" fillId="0" borderId="0" xfId="0" applyFont="1"/>
    <xf numFmtId="14" fontId="6" fillId="0" borderId="4" xfId="0" applyNumberFormat="1" applyFont="1" applyBorder="1" applyAlignment="1">
      <alignment horizontal="center" vertical="top" wrapText="1"/>
    </xf>
    <xf numFmtId="14" fontId="6" fillId="0" borderId="5" xfId="0" applyNumberFormat="1" applyFont="1" applyBorder="1" applyAlignment="1">
      <alignment horizontal="center" vertical="top" wrapText="1"/>
    </xf>
    <xf numFmtId="16" fontId="6" fillId="0" borderId="4" xfId="0" applyNumberFormat="1" applyFont="1" applyBorder="1" applyAlignment="1">
      <alignment horizontal="center" vertical="top" wrapText="1"/>
    </xf>
    <xf numFmtId="15" fontId="6" fillId="0" borderId="4" xfId="0" applyNumberFormat="1" applyFont="1" applyBorder="1" applyAlignment="1">
      <alignment horizontal="center" vertical="top" wrapText="1"/>
    </xf>
    <xf numFmtId="0" fontId="3" fillId="0" borderId="4" xfId="0" applyFont="1" applyBorder="1" applyAlignment="1">
      <alignment vertical="top" wrapText="1"/>
    </xf>
    <xf numFmtId="0" fontId="3" fillId="0" borderId="3" xfId="0" applyFont="1" applyBorder="1"/>
    <xf numFmtId="0" fontId="3" fillId="0" borderId="4" xfId="0" applyFont="1" applyBorder="1"/>
    <xf numFmtId="0" fontId="5" fillId="0" borderId="4" xfId="0" applyFont="1" applyBorder="1" applyAlignment="1">
      <alignment vertical="top" wrapText="1"/>
    </xf>
    <xf numFmtId="0" fontId="0" fillId="0" borderId="0" xfId="0" applyAlignment="1">
      <alignment horizontal="left" indent="5"/>
    </xf>
    <xf numFmtId="0" fontId="6" fillId="0" borderId="6" xfId="0" applyFont="1" applyBorder="1" applyAlignment="1">
      <alignment horizontal="right" vertical="top" wrapText="1"/>
    </xf>
    <xf numFmtId="0" fontId="6" fillId="0" borderId="6" xfId="0" applyFont="1" applyBorder="1" applyAlignment="1">
      <alignment vertical="top" wrapText="1"/>
    </xf>
    <xf numFmtId="0" fontId="6" fillId="0" borderId="6" xfId="0" applyFont="1" applyBorder="1" applyAlignment="1">
      <alignment horizontal="center" vertical="top" wrapText="1"/>
    </xf>
    <xf numFmtId="0" fontId="3" fillId="0" borderId="7" xfId="0" applyFont="1" applyBorder="1" applyAlignment="1">
      <alignment wrapText="1"/>
    </xf>
    <xf numFmtId="14" fontId="6" fillId="0" borderId="6" xfId="0" applyNumberFormat="1" applyFont="1" applyBorder="1" applyAlignment="1">
      <alignment horizontal="center" vertical="top" wrapText="1"/>
    </xf>
    <xf numFmtId="0" fontId="9" fillId="0" borderId="6" xfId="0" applyFont="1" applyBorder="1" applyAlignment="1">
      <alignment vertical="top" wrapText="1"/>
    </xf>
    <xf numFmtId="165" fontId="5" fillId="0" borderId="2" xfId="1" applyNumberFormat="1" applyFont="1" applyBorder="1" applyAlignment="1">
      <alignment vertical="top" wrapText="1"/>
    </xf>
    <xf numFmtId="165" fontId="6" fillId="0" borderId="6" xfId="1" applyNumberFormat="1" applyFont="1" applyBorder="1" applyAlignment="1">
      <alignment horizontal="right" vertical="top" wrapText="1"/>
    </xf>
    <xf numFmtId="165" fontId="6" fillId="0" borderId="4" xfId="1" applyNumberFormat="1" applyFont="1" applyBorder="1" applyAlignment="1">
      <alignment horizontal="right" vertical="top" wrapText="1"/>
    </xf>
    <xf numFmtId="165" fontId="6" fillId="0" borderId="6" xfId="1" applyNumberFormat="1" applyFont="1" applyBorder="1" applyAlignment="1">
      <alignment vertical="top" wrapText="1"/>
    </xf>
    <xf numFmtId="165" fontId="8" fillId="0" borderId="4" xfId="1" applyNumberFormat="1" applyFont="1" applyBorder="1" applyAlignment="1">
      <alignment horizontal="right" vertical="top" wrapText="1"/>
    </xf>
    <xf numFmtId="165" fontId="10" fillId="0" borderId="4" xfId="1" applyNumberFormat="1" applyFont="1" applyBorder="1" applyAlignment="1">
      <alignment horizontal="right"/>
    </xf>
    <xf numFmtId="165" fontId="0" fillId="0" borderId="0" xfId="0" applyNumberFormat="1"/>
    <xf numFmtId="43" fontId="0" fillId="0" borderId="0" xfId="0" applyNumberFormat="1"/>
    <xf numFmtId="0" fontId="0" fillId="0" borderId="8" xfId="0" applyBorder="1"/>
    <xf numFmtId="165" fontId="0" fillId="0" borderId="8" xfId="1" applyNumberFormat="1" applyFont="1" applyBorder="1"/>
    <xf numFmtId="0" fontId="12" fillId="0" borderId="0" xfId="0" applyFont="1"/>
    <xf numFmtId="165" fontId="12" fillId="0" borderId="0" xfId="1" applyNumberFormat="1" applyFont="1"/>
    <xf numFmtId="0" fontId="14" fillId="0" borderId="0" xfId="0" applyFont="1" applyAlignment="1">
      <alignment horizontal="center"/>
    </xf>
    <xf numFmtId="0" fontId="13" fillId="0" borderId="0" xfId="0" applyFont="1" applyAlignment="1">
      <alignment horizontal="center"/>
    </xf>
    <xf numFmtId="165" fontId="14" fillId="0" borderId="0" xfId="1" applyNumberFormat="1" applyFont="1" applyAlignment="1">
      <alignment horizontal="center"/>
    </xf>
    <xf numFmtId="3" fontId="14" fillId="0" borderId="0" xfId="0" applyNumberFormat="1" applyFont="1" applyAlignment="1">
      <alignment horizontal="center"/>
    </xf>
    <xf numFmtId="165" fontId="14" fillId="0" borderId="0" xfId="1" applyNumberFormat="1" applyFont="1"/>
    <xf numFmtId="3" fontId="12" fillId="0" borderId="0" xfId="0" applyNumberFormat="1" applyFont="1"/>
    <xf numFmtId="0" fontId="12" fillId="0" borderId="36" xfId="0" applyFont="1" applyBorder="1"/>
    <xf numFmtId="165" fontId="12" fillId="0" borderId="36" xfId="1" applyNumberFormat="1" applyFont="1" applyBorder="1"/>
    <xf numFmtId="3" fontId="12" fillId="0" borderId="36" xfId="0" applyNumberFormat="1" applyFont="1" applyBorder="1"/>
    <xf numFmtId="0" fontId="12" fillId="0" borderId="0" xfId="0" applyFont="1" applyBorder="1"/>
    <xf numFmtId="165" fontId="12" fillId="0" borderId="0" xfId="1" applyNumberFormat="1" applyFont="1" applyBorder="1"/>
    <xf numFmtId="3" fontId="12" fillId="0" borderId="0" xfId="0" applyNumberFormat="1" applyFont="1" applyBorder="1"/>
    <xf numFmtId="0" fontId="14" fillId="0" borderId="0" xfId="0" applyFont="1" applyBorder="1" applyAlignment="1">
      <alignment horizontal="center"/>
    </xf>
    <xf numFmtId="0" fontId="12" fillId="0" borderId="35" xfId="0" applyFont="1" applyBorder="1"/>
    <xf numFmtId="165" fontId="12" fillId="0" borderId="35" xfId="1" applyNumberFormat="1" applyFont="1" applyBorder="1"/>
    <xf numFmtId="3" fontId="12" fillId="0" borderId="35" xfId="0" applyNumberFormat="1" applyFont="1" applyBorder="1"/>
    <xf numFmtId="0" fontId="12" fillId="0" borderId="30" xfId="0" applyFont="1" applyBorder="1" applyAlignment="1">
      <alignment horizontal="center"/>
    </xf>
    <xf numFmtId="165" fontId="12" fillId="0" borderId="30" xfId="1" applyNumberFormat="1" applyFont="1" applyBorder="1"/>
    <xf numFmtId="0" fontId="12" fillId="0" borderId="21" xfId="0" applyFont="1" applyBorder="1" applyAlignment="1">
      <alignment horizontal="center"/>
    </xf>
    <xf numFmtId="165" fontId="12" fillId="0" borderId="21" xfId="1" applyNumberFormat="1" applyFont="1" applyBorder="1" applyAlignment="1">
      <alignment horizontal="center"/>
    </xf>
    <xf numFmtId="0" fontId="12" fillId="0" borderId="16" xfId="0" applyFont="1" applyBorder="1" applyAlignment="1">
      <alignment horizontal="center"/>
    </xf>
    <xf numFmtId="0" fontId="12" fillId="0" borderId="8" xfId="0" applyFont="1" applyBorder="1" applyAlignment="1">
      <alignment horizontal="center"/>
    </xf>
    <xf numFmtId="0" fontId="12" fillId="0" borderId="17" xfId="0" applyFont="1" applyBorder="1" applyAlignment="1">
      <alignment horizontal="center"/>
    </xf>
    <xf numFmtId="0" fontId="12" fillId="0" borderId="16" xfId="0" applyFont="1" applyBorder="1" applyAlignment="1">
      <alignment horizontal="center" wrapText="1"/>
    </xf>
    <xf numFmtId="0" fontId="12" fillId="0" borderId="8" xfId="0" applyFont="1" applyBorder="1" applyAlignment="1">
      <alignment horizontal="center" wrapText="1"/>
    </xf>
    <xf numFmtId="165" fontId="12" fillId="0" borderId="8" xfId="1" applyNumberFormat="1" applyFont="1" applyBorder="1" applyAlignment="1">
      <alignment horizontal="center" wrapText="1"/>
    </xf>
    <xf numFmtId="0" fontId="12" fillId="0" borderId="8" xfId="0" applyFont="1" applyBorder="1" applyAlignment="1">
      <alignment wrapText="1"/>
    </xf>
    <xf numFmtId="165" fontId="12" fillId="0" borderId="17" xfId="1" applyNumberFormat="1" applyFont="1" applyBorder="1" applyAlignment="1">
      <alignment wrapText="1"/>
    </xf>
    <xf numFmtId="0" fontId="12" fillId="0" borderId="16" xfId="0" applyFont="1" applyBorder="1"/>
    <xf numFmtId="0" fontId="12" fillId="0" borderId="8" xfId="0" applyFont="1" applyBorder="1"/>
    <xf numFmtId="165" fontId="12" fillId="0" borderId="8" xfId="1" applyNumberFormat="1" applyFont="1" applyBorder="1"/>
    <xf numFmtId="165" fontId="12" fillId="0" borderId="17" xfId="1" applyNumberFormat="1" applyFont="1" applyBorder="1"/>
    <xf numFmtId="165" fontId="12" fillId="0" borderId="21" xfId="1" applyNumberFormat="1" applyFont="1" applyBorder="1"/>
    <xf numFmtId="165" fontId="12" fillId="0" borderId="8" xfId="0" applyNumberFormat="1" applyFont="1" applyBorder="1"/>
    <xf numFmtId="165" fontId="12" fillId="0" borderId="16" xfId="1" applyNumberFormat="1" applyFont="1" applyBorder="1"/>
    <xf numFmtId="0" fontId="12" fillId="0" borderId="27" xfId="0" applyFont="1" applyBorder="1"/>
    <xf numFmtId="165" fontId="12" fillId="0" borderId="28" xfId="1" applyNumberFormat="1" applyFont="1" applyBorder="1"/>
    <xf numFmtId="165" fontId="12" fillId="0" borderId="9" xfId="1" applyNumberFormat="1" applyFont="1" applyBorder="1"/>
    <xf numFmtId="165" fontId="12" fillId="0" borderId="9" xfId="0" applyNumberFormat="1" applyFont="1" applyBorder="1"/>
    <xf numFmtId="0" fontId="14" fillId="0" borderId="0" xfId="0" applyFont="1"/>
    <xf numFmtId="0" fontId="15" fillId="0" borderId="0" xfId="0" applyFont="1" applyAlignment="1">
      <alignment horizontal="left"/>
    </xf>
    <xf numFmtId="165" fontId="14" fillId="0" borderId="0" xfId="1" applyNumberFormat="1" applyFont="1" applyBorder="1" applyAlignment="1">
      <alignment horizontal="center"/>
    </xf>
    <xf numFmtId="165" fontId="12" fillId="0" borderId="8" xfId="1" applyNumberFormat="1" applyFont="1" applyBorder="1" applyAlignment="1">
      <alignment horizontal="center"/>
    </xf>
    <xf numFmtId="165" fontId="14" fillId="0" borderId="0" xfId="1" applyNumberFormat="1" applyFont="1" applyBorder="1"/>
    <xf numFmtId="3" fontId="14" fillId="0" borderId="0" xfId="0" applyNumberFormat="1" applyFont="1" applyBorder="1" applyAlignment="1">
      <alignment horizontal="center"/>
    </xf>
    <xf numFmtId="0" fontId="15" fillId="0" borderId="35" xfId="0" applyFont="1" applyBorder="1" applyAlignment="1">
      <alignment horizontal="left"/>
    </xf>
    <xf numFmtId="165" fontId="14" fillId="0" borderId="35" xfId="1" applyNumberFormat="1" applyFont="1" applyBorder="1" applyAlignment="1">
      <alignment horizontal="center"/>
    </xf>
    <xf numFmtId="3" fontId="14" fillId="0" borderId="35" xfId="0" applyNumberFormat="1" applyFont="1" applyBorder="1" applyAlignment="1">
      <alignment horizontal="center"/>
    </xf>
    <xf numFmtId="0" fontId="14" fillId="0" borderId="31" xfId="0" applyFont="1" applyBorder="1" applyAlignment="1">
      <alignment horizontal="center"/>
    </xf>
    <xf numFmtId="165" fontId="14" fillId="0" borderId="31" xfId="1" applyNumberFormat="1" applyFont="1" applyBorder="1" applyAlignment="1">
      <alignment horizontal="center"/>
    </xf>
    <xf numFmtId="165" fontId="12" fillId="0" borderId="0" xfId="1" applyNumberFormat="1" applyFont="1" applyBorder="1" applyAlignment="1">
      <alignment horizontal="center"/>
    </xf>
    <xf numFmtId="165" fontId="12" fillId="0" borderId="0" xfId="1" applyNumberFormat="1" applyFont="1" applyBorder="1" applyAlignment="1"/>
    <xf numFmtId="165" fontId="14" fillId="0" borderId="35" xfId="1" applyNumberFormat="1" applyFont="1" applyBorder="1" applyAlignment="1"/>
    <xf numFmtId="165" fontId="12" fillId="0" borderId="35" xfId="1" applyNumberFormat="1" applyFont="1" applyBorder="1" applyAlignment="1">
      <alignment horizontal="right"/>
    </xf>
    <xf numFmtId="0" fontId="16" fillId="0" borderId="0" xfId="0" applyFont="1" applyAlignment="1">
      <alignment horizontal="left"/>
    </xf>
    <xf numFmtId="0" fontId="13" fillId="0" borderId="0" xfId="0" applyFont="1" applyBorder="1" applyAlignment="1">
      <alignment horizontal="center"/>
    </xf>
    <xf numFmtId="0" fontId="12" fillId="0" borderId="0" xfId="0" applyFont="1" applyBorder="1" applyAlignment="1">
      <alignment horizontal="center"/>
    </xf>
    <xf numFmtId="0" fontId="15" fillId="0" borderId="31" xfId="0" applyFont="1" applyBorder="1" applyAlignment="1">
      <alignment horizontal="left"/>
    </xf>
    <xf numFmtId="43" fontId="12" fillId="2" borderId="35" xfId="1" applyFont="1" applyFill="1" applyBorder="1" applyAlignment="1">
      <alignment horizontal="center" vertical="center"/>
    </xf>
    <xf numFmtId="165" fontId="12" fillId="0" borderId="0" xfId="0" applyNumberFormat="1" applyFont="1" applyBorder="1"/>
    <xf numFmtId="0" fontId="12" fillId="0" borderId="22" xfId="0" applyFont="1" applyBorder="1" applyAlignment="1">
      <alignment horizontal="center"/>
    </xf>
    <xf numFmtId="165" fontId="12" fillId="0" borderId="22" xfId="1" applyNumberFormat="1" applyFont="1" applyBorder="1"/>
    <xf numFmtId="0" fontId="12" fillId="0" borderId="18" xfId="0" applyFont="1" applyBorder="1"/>
    <xf numFmtId="165" fontId="12" fillId="0" borderId="13" xfId="1" applyNumberFormat="1" applyFont="1" applyBorder="1"/>
    <xf numFmtId="165" fontId="12" fillId="0" borderId="19" xfId="1" applyNumberFormat="1" applyFont="1" applyBorder="1"/>
    <xf numFmtId="165" fontId="12" fillId="0" borderId="13" xfId="0" applyNumberFormat="1" applyFont="1" applyBorder="1"/>
    <xf numFmtId="0" fontId="12" fillId="0" borderId="20" xfId="0" applyFont="1" applyBorder="1" applyAlignment="1">
      <alignment horizontal="center"/>
    </xf>
    <xf numFmtId="165" fontId="12" fillId="0" borderId="20" xfId="1" applyNumberFormat="1" applyFont="1" applyBorder="1"/>
    <xf numFmtId="0" fontId="12" fillId="0" borderId="14" xfId="0" applyFont="1" applyBorder="1"/>
    <xf numFmtId="165" fontId="12" fillId="0" borderId="15" xfId="1" applyNumberFormat="1" applyFont="1" applyBorder="1"/>
    <xf numFmtId="0" fontId="18" fillId="0" borderId="1" xfId="0" applyFont="1" applyBorder="1" applyAlignment="1">
      <alignment horizontal="center"/>
    </xf>
    <xf numFmtId="165" fontId="18" fillId="0" borderId="1" xfId="1" applyNumberFormat="1" applyFont="1" applyBorder="1"/>
    <xf numFmtId="0" fontId="18" fillId="0" borderId="10" xfId="0" applyFont="1" applyBorder="1"/>
    <xf numFmtId="165" fontId="18" fillId="0" borderId="11" xfId="1" applyNumberFormat="1" applyFont="1" applyBorder="1"/>
    <xf numFmtId="0" fontId="18" fillId="0" borderId="11" xfId="0" applyFont="1" applyBorder="1"/>
    <xf numFmtId="165" fontId="18" fillId="0" borderId="12" xfId="1" applyNumberFormat="1" applyFont="1" applyBorder="1"/>
    <xf numFmtId="165" fontId="18" fillId="0" borderId="10" xfId="1" applyNumberFormat="1" applyFont="1" applyBorder="1"/>
    <xf numFmtId="165" fontId="18" fillId="0" borderId="11" xfId="0" applyNumberFormat="1" applyFont="1" applyBorder="1"/>
    <xf numFmtId="0" fontId="18" fillId="0" borderId="0" xfId="0" applyFont="1"/>
    <xf numFmtId="0" fontId="14" fillId="0" borderId="24" xfId="0" applyFont="1" applyBorder="1"/>
    <xf numFmtId="0" fontId="14" fillId="0" borderId="25" xfId="0" applyFont="1" applyBorder="1"/>
    <xf numFmtId="165" fontId="14" fillId="0" borderId="26" xfId="1" applyNumberFormat="1" applyFont="1" applyBorder="1"/>
    <xf numFmtId="0" fontId="14" fillId="0" borderId="27" xfId="0" applyFont="1" applyBorder="1"/>
    <xf numFmtId="0" fontId="14" fillId="0" borderId="28" xfId="0" applyFont="1" applyBorder="1"/>
    <xf numFmtId="0" fontId="14" fillId="0" borderId="0" xfId="0" applyFont="1" applyBorder="1"/>
    <xf numFmtId="165" fontId="14" fillId="0" borderId="29" xfId="0" applyNumberFormat="1" applyFont="1" applyBorder="1"/>
    <xf numFmtId="165" fontId="14" fillId="0" borderId="10" xfId="1" applyNumberFormat="1" applyFont="1" applyBorder="1"/>
    <xf numFmtId="165" fontId="14" fillId="0" borderId="11" xfId="0" applyNumberFormat="1" applyFont="1" applyBorder="1"/>
    <xf numFmtId="165" fontId="14" fillId="0" borderId="11" xfId="1" applyNumberFormat="1" applyFont="1" applyBorder="1"/>
    <xf numFmtId="165" fontId="14" fillId="0" borderId="12" xfId="1" applyNumberFormat="1" applyFont="1" applyBorder="1"/>
    <xf numFmtId="0" fontId="19" fillId="0" borderId="0" xfId="0" applyFont="1"/>
    <xf numFmtId="43" fontId="12" fillId="0" borderId="16" xfId="0" applyNumberFormat="1" applyFont="1" applyBorder="1"/>
    <xf numFmtId="43" fontId="12" fillId="0" borderId="0" xfId="0" applyNumberFormat="1" applyFont="1"/>
    <xf numFmtId="0" fontId="20" fillId="6" borderId="1" xfId="0" applyFont="1" applyFill="1" applyBorder="1"/>
    <xf numFmtId="0" fontId="5" fillId="6" borderId="2" xfId="0" applyFont="1" applyFill="1" applyBorder="1"/>
    <xf numFmtId="3" fontId="6" fillId="0" borderId="4" xfId="0" applyNumberFormat="1" applyFont="1" applyBorder="1" applyAlignment="1">
      <alignment horizontal="right"/>
    </xf>
    <xf numFmtId="3" fontId="5" fillId="0" borderId="4" xfId="0" applyNumberFormat="1" applyFont="1" applyBorder="1" applyAlignment="1">
      <alignment horizontal="right"/>
    </xf>
    <xf numFmtId="0" fontId="6" fillId="0" borderId="3" xfId="0" applyFont="1" applyBorder="1"/>
    <xf numFmtId="0" fontId="6" fillId="0" borderId="4" xfId="0" applyFont="1" applyBorder="1" applyAlignment="1">
      <alignment horizontal="right"/>
    </xf>
    <xf numFmtId="43" fontId="12" fillId="0" borderId="0" xfId="1" applyFont="1"/>
    <xf numFmtId="43" fontId="12" fillId="0" borderId="8" xfId="1" applyFont="1" applyBorder="1" applyAlignment="1">
      <alignment horizontal="center"/>
    </xf>
    <xf numFmtId="43" fontId="12" fillId="0" borderId="0" xfId="1" applyFont="1" applyBorder="1"/>
    <xf numFmtId="165" fontId="14" fillId="0" borderId="8" xfId="1" applyNumberFormat="1" applyFont="1" applyBorder="1"/>
    <xf numFmtId="3" fontId="14" fillId="0" borderId="8" xfId="0" applyNumberFormat="1" applyFont="1" applyBorder="1" applyAlignment="1">
      <alignment horizontal="center"/>
    </xf>
    <xf numFmtId="0" fontId="6" fillId="0" borderId="8" xfId="0" applyFont="1" applyBorder="1" applyAlignment="1">
      <alignment horizontal="center"/>
    </xf>
    <xf numFmtId="0" fontId="6" fillId="0" borderId="8" xfId="0" applyFont="1" applyBorder="1" applyAlignment="1">
      <alignment horizontal="center" wrapText="1"/>
    </xf>
    <xf numFmtId="3" fontId="12" fillId="0" borderId="8" xfId="0" applyNumberFormat="1" applyFont="1" applyBorder="1"/>
    <xf numFmtId="0" fontId="14" fillId="0" borderId="8" xfId="0" applyFont="1" applyBorder="1" applyAlignment="1">
      <alignment horizontal="center"/>
    </xf>
    <xf numFmtId="165" fontId="14" fillId="0" borderId="8" xfId="1" applyNumberFormat="1" applyFont="1" applyBorder="1" applyAlignment="1">
      <alignment horizontal="left"/>
    </xf>
    <xf numFmtId="0" fontId="12" fillId="2" borderId="8" xfId="0" applyFont="1" applyFill="1" applyBorder="1"/>
    <xf numFmtId="165" fontId="12" fillId="0" borderId="8" xfId="1" applyNumberFormat="1" applyFont="1" applyBorder="1" applyAlignment="1"/>
    <xf numFmtId="0" fontId="0" fillId="0" borderId="0" xfId="0" applyBorder="1" applyAlignment="1">
      <alignment vertical="center"/>
    </xf>
    <xf numFmtId="0" fontId="6" fillId="0" borderId="37" xfId="0" applyFont="1" applyBorder="1" applyAlignment="1">
      <alignment horizontal="center"/>
    </xf>
    <xf numFmtId="165" fontId="12" fillId="0" borderId="0" xfId="0" applyNumberFormat="1" applyFont="1"/>
    <xf numFmtId="0" fontId="14" fillId="0" borderId="8" xfId="0" applyFont="1" applyBorder="1"/>
    <xf numFmtId="9" fontId="12" fillId="0" borderId="8" xfId="2" applyFont="1" applyBorder="1"/>
    <xf numFmtId="9" fontId="14" fillId="0" borderId="8" xfId="2" applyFont="1" applyBorder="1"/>
    <xf numFmtId="165" fontId="12" fillId="0" borderId="29" xfId="1" applyNumberFormat="1" applyFont="1" applyBorder="1"/>
    <xf numFmtId="0" fontId="19" fillId="0" borderId="38" xfId="0" applyFont="1" applyBorder="1"/>
    <xf numFmtId="0" fontId="12" fillId="0" borderId="9" xfId="0" applyFont="1" applyBorder="1"/>
    <xf numFmtId="0" fontId="12" fillId="0" borderId="39" xfId="0" applyFont="1" applyBorder="1"/>
    <xf numFmtId="0" fontId="12" fillId="0" borderId="16" xfId="0" applyFont="1" applyBorder="1" applyAlignment="1"/>
    <xf numFmtId="0" fontId="24" fillId="0" borderId="8" xfId="0" applyFont="1" applyBorder="1" applyAlignment="1"/>
    <xf numFmtId="165" fontId="24" fillId="0" borderId="8" xfId="1" applyNumberFormat="1" applyFont="1" applyBorder="1" applyAlignment="1"/>
    <xf numFmtId="165" fontId="24" fillId="0" borderId="17" xfId="1" applyNumberFormat="1" applyFont="1" applyBorder="1" applyAlignment="1"/>
    <xf numFmtId="0" fontId="12" fillId="0" borderId="8" xfId="0" applyFont="1" applyBorder="1" applyAlignment="1"/>
    <xf numFmtId="0" fontId="12" fillId="0" borderId="16" xfId="0" applyFont="1" applyFill="1" applyBorder="1"/>
    <xf numFmtId="0" fontId="14" fillId="0" borderId="27" xfId="0" applyFont="1" applyFill="1" applyBorder="1" applyAlignment="1"/>
    <xf numFmtId="165" fontId="14" fillId="0" borderId="28" xfId="1" applyNumberFormat="1" applyFont="1" applyBorder="1"/>
    <xf numFmtId="0" fontId="23" fillId="0" borderId="41" xfId="0" applyFont="1" applyBorder="1"/>
    <xf numFmtId="0" fontId="12" fillId="0" borderId="40" xfId="0" applyFont="1" applyBorder="1"/>
    <xf numFmtId="0" fontId="17" fillId="0" borderId="16" xfId="0" applyFont="1" applyBorder="1"/>
    <xf numFmtId="0" fontId="12" fillId="0" borderId="15" xfId="0" applyFont="1" applyBorder="1"/>
    <xf numFmtId="0" fontId="23" fillId="0" borderId="0" xfId="0" applyFont="1" applyBorder="1"/>
    <xf numFmtId="0" fontId="22" fillId="0" borderId="0" xfId="0" applyFont="1" applyBorder="1"/>
    <xf numFmtId="0" fontId="25" fillId="0" borderId="8" xfId="0" applyFont="1" applyBorder="1"/>
    <xf numFmtId="0" fontId="26" fillId="0" borderId="8" xfId="0" applyFont="1" applyBorder="1"/>
    <xf numFmtId="0" fontId="26" fillId="0" borderId="8" xfId="0" applyFont="1" applyBorder="1" applyAlignment="1">
      <alignment wrapText="1"/>
    </xf>
    <xf numFmtId="165" fontId="26" fillId="0" borderId="8" xfId="1" applyNumberFormat="1" applyFont="1" applyBorder="1"/>
    <xf numFmtId="0" fontId="28" fillId="0" borderId="8" xfId="0" applyFont="1" applyBorder="1" applyAlignment="1">
      <alignment wrapText="1"/>
    </xf>
    <xf numFmtId="0" fontId="28" fillId="0" borderId="8" xfId="0" applyFont="1" applyBorder="1"/>
    <xf numFmtId="37" fontId="12" fillId="7" borderId="0" xfId="1" applyNumberFormat="1" applyFont="1" applyFill="1" applyBorder="1" applyAlignment="1">
      <alignment horizontal="center" vertical="center"/>
    </xf>
    <xf numFmtId="37" fontId="12" fillId="7" borderId="43" xfId="1" applyNumberFormat="1" applyFont="1" applyFill="1" applyBorder="1" applyAlignment="1">
      <alignment horizontal="left" vertical="center"/>
    </xf>
    <xf numFmtId="37" fontId="12" fillId="7" borderId="36" xfId="1" applyNumberFormat="1" applyFont="1" applyFill="1" applyBorder="1" applyAlignment="1">
      <alignment horizontal="center" vertical="center"/>
    </xf>
    <xf numFmtId="37" fontId="12" fillId="7" borderId="45" xfId="1" applyNumberFormat="1" applyFont="1" applyFill="1" applyBorder="1" applyAlignment="1">
      <alignment horizontal="left" vertical="center"/>
    </xf>
    <xf numFmtId="37" fontId="12" fillId="7" borderId="46" xfId="1" applyNumberFormat="1" applyFont="1" applyFill="1" applyBorder="1" applyAlignment="1">
      <alignment horizontal="right" vertical="center"/>
    </xf>
    <xf numFmtId="9" fontId="12" fillId="7" borderId="46" xfId="2" applyFont="1" applyFill="1" applyBorder="1" applyAlignment="1">
      <alignment horizontal="right" vertical="center"/>
    </xf>
    <xf numFmtId="37" fontId="12" fillId="7" borderId="45" xfId="1" applyNumberFormat="1" applyFont="1" applyFill="1" applyBorder="1" applyAlignment="1">
      <alignment horizontal="right" vertical="center"/>
    </xf>
    <xf numFmtId="37" fontId="12" fillId="7" borderId="46" xfId="2" applyNumberFormat="1" applyFont="1" applyFill="1" applyBorder="1" applyAlignment="1">
      <alignment horizontal="right" vertical="center"/>
    </xf>
    <xf numFmtId="43" fontId="12" fillId="7" borderId="46" xfId="1" applyFont="1" applyFill="1" applyBorder="1" applyAlignment="1">
      <alignment horizontal="right" vertical="center"/>
    </xf>
    <xf numFmtId="37" fontId="12" fillId="7" borderId="47" xfId="1" applyNumberFormat="1" applyFont="1" applyFill="1" applyBorder="1" applyAlignment="1">
      <alignment horizontal="left" vertical="center"/>
    </xf>
    <xf numFmtId="37" fontId="12" fillId="7" borderId="35" xfId="1" applyNumberFormat="1" applyFont="1" applyFill="1" applyBorder="1" applyAlignment="1">
      <alignment horizontal="center" vertical="center"/>
    </xf>
    <xf numFmtId="9" fontId="12" fillId="7" borderId="48" xfId="2" applyFont="1" applyFill="1" applyBorder="1" applyAlignment="1">
      <alignment horizontal="right" vertical="center"/>
    </xf>
    <xf numFmtId="165" fontId="12" fillId="0" borderId="37" xfId="1" applyNumberFormat="1" applyFont="1" applyBorder="1"/>
    <xf numFmtId="165" fontId="12" fillId="0" borderId="27" xfId="1" applyNumberFormat="1" applyFont="1" applyBorder="1"/>
    <xf numFmtId="0" fontId="12" fillId="0" borderId="21" xfId="0" applyFont="1" applyBorder="1"/>
    <xf numFmtId="0" fontId="12" fillId="0" borderId="37" xfId="0" applyFont="1" applyBorder="1"/>
    <xf numFmtId="0" fontId="12" fillId="0" borderId="45" xfId="0" applyFont="1" applyBorder="1"/>
    <xf numFmtId="0" fontId="12" fillId="0" borderId="47" xfId="0" applyFont="1" applyBorder="1"/>
    <xf numFmtId="0" fontId="14" fillId="4" borderId="8" xfId="0" applyFont="1" applyFill="1" applyBorder="1"/>
    <xf numFmtId="0" fontId="14" fillId="4" borderId="8" xfId="0" applyFont="1" applyFill="1" applyBorder="1" applyAlignment="1">
      <alignment horizontal="center"/>
    </xf>
    <xf numFmtId="43" fontId="12" fillId="0" borderId="8" xfId="1" applyFont="1" applyBorder="1"/>
    <xf numFmtId="43" fontId="12" fillId="0" borderId="8" xfId="1" applyFont="1" applyFill="1" applyBorder="1"/>
    <xf numFmtId="43" fontId="29" fillId="0" borderId="8" xfId="1" applyFont="1" applyBorder="1"/>
    <xf numFmtId="0" fontId="14" fillId="5" borderId="8" xfId="0" applyFont="1" applyFill="1" applyBorder="1"/>
    <xf numFmtId="43" fontId="14" fillId="5" borderId="8" xfId="1" applyFont="1" applyFill="1" applyBorder="1"/>
    <xf numFmtId="9" fontId="12" fillId="7" borderId="44" xfId="2" applyFont="1" applyFill="1" applyBorder="1" applyAlignment="1">
      <alignment horizontal="right" vertical="center"/>
    </xf>
    <xf numFmtId="0" fontId="12" fillId="0" borderId="30" xfId="0" applyFont="1" applyBorder="1" applyAlignment="1">
      <alignment vertical="top"/>
    </xf>
    <xf numFmtId="0" fontId="12" fillId="0" borderId="30" xfId="0" applyFont="1" applyBorder="1" applyAlignment="1">
      <alignment vertical="top" wrapText="1"/>
    </xf>
    <xf numFmtId="0" fontId="12" fillId="0" borderId="24" xfId="0" applyFont="1" applyBorder="1" applyAlignment="1">
      <alignment vertical="top" wrapText="1"/>
    </xf>
    <xf numFmtId="165" fontId="12" fillId="0" borderId="25" xfId="1" applyNumberFormat="1" applyFont="1" applyBorder="1" applyAlignment="1">
      <alignment vertical="top" wrapText="1"/>
    </xf>
    <xf numFmtId="165" fontId="12" fillId="0" borderId="26" xfId="1" applyNumberFormat="1" applyFont="1" applyBorder="1" applyAlignment="1">
      <alignment vertical="top" wrapText="1"/>
    </xf>
    <xf numFmtId="165" fontId="12" fillId="0" borderId="30" xfId="1" applyNumberFormat="1" applyFont="1" applyBorder="1" applyAlignment="1">
      <alignment vertical="top" wrapText="1"/>
    </xf>
    <xf numFmtId="165" fontId="12" fillId="0" borderId="0" xfId="1" applyNumberFormat="1" applyFont="1" applyAlignment="1">
      <alignment vertical="top"/>
    </xf>
    <xf numFmtId="0" fontId="12" fillId="0" borderId="0" xfId="0" applyFont="1" applyAlignment="1">
      <alignment vertical="top"/>
    </xf>
    <xf numFmtId="0" fontId="31" fillId="0" borderId="4" xfId="0" applyFont="1" applyBorder="1" applyAlignment="1">
      <alignment vertical="top"/>
    </xf>
    <xf numFmtId="4" fontId="6" fillId="0" borderId="4" xfId="0" applyNumberFormat="1" applyFont="1" applyBorder="1" applyAlignment="1">
      <alignment horizontal="right" vertical="center"/>
    </xf>
    <xf numFmtId="4" fontId="32" fillId="0" borderId="49" xfId="0" applyNumberFormat="1" applyFont="1" applyBorder="1" applyAlignment="1">
      <alignment horizontal="right" vertical="center" wrapText="1"/>
    </xf>
    <xf numFmtId="0" fontId="33" fillId="0" borderId="4" xfId="0" applyFont="1" applyBorder="1" applyAlignment="1">
      <alignment vertical="top"/>
    </xf>
    <xf numFmtId="9" fontId="0" fillId="0" borderId="0" xfId="0" applyNumberFormat="1"/>
    <xf numFmtId="165" fontId="30" fillId="0" borderId="8" xfId="1" applyNumberFormat="1" applyFont="1" applyBorder="1"/>
    <xf numFmtId="0" fontId="26" fillId="8" borderId="0" xfId="0" applyFont="1" applyFill="1"/>
    <xf numFmtId="0" fontId="26" fillId="4" borderId="0" xfId="0" applyFont="1" applyFill="1"/>
    <xf numFmtId="165" fontId="21" fillId="4" borderId="0" xfId="0" applyNumberFormat="1" applyFont="1" applyFill="1"/>
    <xf numFmtId="3" fontId="21" fillId="4" borderId="0" xfId="0" applyNumberFormat="1" applyFont="1" applyFill="1"/>
    <xf numFmtId="0" fontId="21" fillId="4" borderId="0" xfId="0" applyFont="1" applyFill="1"/>
    <xf numFmtId="0" fontId="21" fillId="0" borderId="0" xfId="0" applyFont="1"/>
    <xf numFmtId="0" fontId="5" fillId="9" borderId="1" xfId="0" applyFont="1" applyFill="1" applyBorder="1" applyAlignment="1">
      <alignment vertical="center"/>
    </xf>
    <xf numFmtId="0" fontId="5" fillId="9" borderId="2" xfId="0" applyFont="1" applyFill="1" applyBorder="1" applyAlignment="1">
      <alignment vertical="center"/>
    </xf>
    <xf numFmtId="0" fontId="5" fillId="9" borderId="2" xfId="0" applyFont="1" applyFill="1" applyBorder="1" applyAlignment="1">
      <alignment vertical="center" wrapText="1"/>
    </xf>
    <xf numFmtId="0" fontId="5" fillId="9" borderId="5" xfId="0" applyFont="1" applyFill="1" applyBorder="1" applyAlignment="1">
      <alignment vertical="center" wrapText="1"/>
    </xf>
    <xf numFmtId="0" fontId="6" fillId="0" borderId="3" xfId="0" applyFont="1" applyBorder="1" applyAlignment="1">
      <alignment horizontal="right" vertical="center"/>
    </xf>
    <xf numFmtId="0" fontId="6" fillId="0" borderId="4" xfId="0" applyFont="1" applyBorder="1" applyAlignment="1">
      <alignment vertical="center"/>
    </xf>
    <xf numFmtId="0" fontId="6" fillId="0" borderId="4" xfId="0" applyFont="1" applyBorder="1" applyAlignment="1">
      <alignment horizontal="right" vertical="center"/>
    </xf>
    <xf numFmtId="3" fontId="6" fillId="0" borderId="4" xfId="0" applyNumberFormat="1" applyFont="1" applyBorder="1" applyAlignment="1">
      <alignment horizontal="right" vertical="center"/>
    </xf>
    <xf numFmtId="0" fontId="5" fillId="0" borderId="3" xfId="0" applyFont="1" applyBorder="1" applyAlignment="1">
      <alignment vertical="center"/>
    </xf>
    <xf numFmtId="3" fontId="5" fillId="0" borderId="4" xfId="0" applyNumberFormat="1" applyFont="1" applyBorder="1" applyAlignment="1">
      <alignment horizontal="right" vertical="center"/>
    </xf>
    <xf numFmtId="0" fontId="35" fillId="0" borderId="3" xfId="0" applyFont="1" applyBorder="1" applyAlignment="1">
      <alignment vertical="center" wrapText="1"/>
    </xf>
    <xf numFmtId="0" fontId="35" fillId="0" borderId="4" xfId="0" applyFont="1" applyBorder="1" applyAlignment="1">
      <alignment horizontal="right" vertical="center"/>
    </xf>
    <xf numFmtId="0" fontId="5" fillId="0" borderId="4" xfId="0" applyFont="1" applyBorder="1" applyAlignment="1">
      <alignment vertical="center"/>
    </xf>
    <xf numFmtId="0" fontId="21" fillId="0" borderId="0" xfId="0" applyFont="1" applyBorder="1"/>
    <xf numFmtId="3" fontId="21" fillId="0" borderId="0" xfId="0" applyNumberFormat="1" applyFont="1" applyBorder="1"/>
    <xf numFmtId="165" fontId="21" fillId="0" borderId="0" xfId="1" applyNumberFormat="1" applyFont="1" applyBorder="1"/>
    <xf numFmtId="0" fontId="37" fillId="0" borderId="0" xfId="0" applyFont="1" applyBorder="1"/>
    <xf numFmtId="3" fontId="21" fillId="0" borderId="8" xfId="0" applyNumberFormat="1" applyFont="1" applyBorder="1"/>
    <xf numFmtId="4" fontId="21" fillId="0" borderId="0" xfId="0" applyNumberFormat="1" applyFont="1"/>
    <xf numFmtId="9" fontId="21" fillId="0" borderId="0" xfId="0" applyNumberFormat="1" applyFont="1"/>
    <xf numFmtId="0" fontId="21" fillId="0" borderId="8" xfId="0" applyFont="1" applyBorder="1"/>
    <xf numFmtId="165" fontId="21" fillId="0" borderId="8" xfId="1" applyNumberFormat="1" applyFont="1" applyBorder="1"/>
    <xf numFmtId="165" fontId="21" fillId="0" borderId="0" xfId="0" applyNumberFormat="1" applyFont="1"/>
    <xf numFmtId="165" fontId="1" fillId="0" borderId="0" xfId="1" applyNumberFormat="1" applyFont="1"/>
    <xf numFmtId="0" fontId="0" fillId="0" borderId="0" xfId="0" applyAlignment="1">
      <alignment vertical="center"/>
    </xf>
    <xf numFmtId="0" fontId="34" fillId="0" borderId="0" xfId="0" applyFont="1"/>
    <xf numFmtId="0" fontId="0" fillId="10" borderId="0" xfId="0" applyFill="1"/>
    <xf numFmtId="0" fontId="44" fillId="0" borderId="8" xfId="0" applyFont="1" applyBorder="1" applyAlignment="1">
      <alignment vertical="top" wrapText="1"/>
    </xf>
    <xf numFmtId="0" fontId="44" fillId="10" borderId="8" xfId="0" applyFont="1" applyFill="1" applyBorder="1" applyAlignment="1">
      <alignment vertical="top" wrapText="1"/>
    </xf>
    <xf numFmtId="0" fontId="0" fillId="0" borderId="0" xfId="0" applyAlignment="1">
      <alignment vertical="top"/>
    </xf>
    <xf numFmtId="0" fontId="48" fillId="0" borderId="0" xfId="0" applyFont="1" applyFill="1"/>
    <xf numFmtId="0" fontId="49" fillId="0" borderId="0" xfId="0" applyFont="1" applyFill="1"/>
    <xf numFmtId="0" fontId="50" fillId="0" borderId="0" xfId="0" applyFont="1" applyFill="1" applyAlignment="1">
      <alignment horizontal="centerContinuous"/>
    </xf>
    <xf numFmtId="0" fontId="51" fillId="0" borderId="0" xfId="0" applyFont="1" applyFill="1" applyAlignment="1">
      <alignment horizontal="centerContinuous"/>
    </xf>
    <xf numFmtId="0" fontId="52" fillId="0" borderId="0" xfId="0" applyFont="1" applyFill="1" applyAlignment="1">
      <alignment horizontal="centerContinuous"/>
    </xf>
    <xf numFmtId="0" fontId="53" fillId="0" borderId="0" xfId="0" applyFont="1" applyFill="1" applyAlignment="1">
      <alignment wrapText="1"/>
    </xf>
    <xf numFmtId="0" fontId="52" fillId="0" borderId="0" xfId="0" applyFont="1" applyFill="1" applyAlignment="1">
      <alignment horizontal="left" wrapText="1"/>
    </xf>
    <xf numFmtId="0" fontId="48" fillId="0" borderId="0" xfId="0" applyFont="1" applyFill="1" applyAlignment="1">
      <alignment wrapText="1"/>
    </xf>
    <xf numFmtId="0" fontId="54" fillId="0" borderId="0" xfId="0" applyFont="1" applyFill="1" applyAlignment="1">
      <alignment wrapText="1"/>
    </xf>
    <xf numFmtId="3" fontId="54" fillId="0" borderId="0" xfId="0" applyNumberFormat="1" applyFont="1" applyFill="1" applyAlignment="1">
      <alignment wrapText="1"/>
    </xf>
    <xf numFmtId="3" fontId="53" fillId="0" borderId="0" xfId="0" applyNumberFormat="1" applyFont="1" applyFill="1" applyAlignment="1">
      <alignment wrapText="1"/>
    </xf>
    <xf numFmtId="0" fontId="54" fillId="0" borderId="0" xfId="0" applyFont="1" applyFill="1" applyAlignment="1">
      <alignment horizontal="left" wrapText="1"/>
    </xf>
    <xf numFmtId="0" fontId="52" fillId="0" borderId="0" xfId="0" applyFont="1" applyFill="1" applyAlignment="1">
      <alignment wrapText="1"/>
    </xf>
    <xf numFmtId="0" fontId="45" fillId="0" borderId="8" xfId="0" applyFont="1" applyBorder="1" applyAlignment="1">
      <alignment vertical="top" wrapText="1"/>
    </xf>
    <xf numFmtId="3" fontId="45" fillId="0" borderId="8" xfId="0" applyNumberFormat="1" applyFont="1" applyBorder="1" applyAlignment="1">
      <alignment vertical="top" wrapText="1"/>
    </xf>
    <xf numFmtId="3" fontId="45" fillId="10" borderId="8" xfId="0" applyNumberFormat="1" applyFont="1" applyFill="1" applyBorder="1" applyAlignment="1">
      <alignment vertical="top" wrapText="1"/>
    </xf>
    <xf numFmtId="0" fontId="40" fillId="0" borderId="0" xfId="0" applyFont="1" applyAlignment="1">
      <alignment horizontal="centerContinuous" vertical="top"/>
    </xf>
    <xf numFmtId="0" fontId="0" fillId="10" borderId="0" xfId="0" applyFill="1" applyAlignment="1">
      <alignment vertical="top"/>
    </xf>
    <xf numFmtId="0" fontId="41" fillId="0" borderId="0" xfId="0" applyFont="1" applyAlignment="1">
      <alignment vertical="top"/>
    </xf>
    <xf numFmtId="0" fontId="42" fillId="0" borderId="0" xfId="0" applyFont="1" applyAlignment="1">
      <alignment horizontal="centerContinuous" vertical="top"/>
    </xf>
    <xf numFmtId="0" fontId="0" fillId="0" borderId="8" xfId="0" applyBorder="1" applyAlignment="1">
      <alignment vertical="top"/>
    </xf>
    <xf numFmtId="0" fontId="43" fillId="0" borderId="8" xfId="0" applyFont="1" applyBorder="1" applyAlignment="1">
      <alignment horizontal="centerContinuous" vertical="top"/>
    </xf>
    <xf numFmtId="0" fontId="43" fillId="0" borderId="8" xfId="0" applyFont="1" applyBorder="1" applyAlignment="1">
      <alignment horizontal="left" vertical="top" wrapText="1"/>
    </xf>
    <xf numFmtId="0" fontId="0" fillId="0" borderId="8" xfId="0" applyBorder="1" applyAlignment="1">
      <alignment vertical="top" wrapText="1"/>
    </xf>
    <xf numFmtId="0" fontId="0" fillId="10" borderId="8" xfId="0" applyFill="1" applyBorder="1" applyAlignment="1">
      <alignment vertical="top" wrapText="1"/>
    </xf>
    <xf numFmtId="3" fontId="46" fillId="0" borderId="8" xfId="0" applyNumberFormat="1" applyFont="1" applyBorder="1" applyAlignment="1">
      <alignment vertical="top"/>
    </xf>
    <xf numFmtId="3" fontId="44" fillId="0" borderId="8" xfId="0" applyNumberFormat="1" applyFont="1" applyBorder="1" applyAlignment="1">
      <alignment vertical="top" wrapText="1"/>
    </xf>
    <xf numFmtId="3" fontId="44" fillId="10" borderId="8" xfId="0" applyNumberFormat="1" applyFont="1" applyFill="1" applyBorder="1" applyAlignment="1">
      <alignment vertical="top" wrapText="1"/>
    </xf>
    <xf numFmtId="0" fontId="47" fillId="0" borderId="0" xfId="0" applyFont="1" applyAlignment="1">
      <alignment vertical="top"/>
    </xf>
    <xf numFmtId="0" fontId="0" fillId="10" borderId="8" xfId="0" applyFill="1" applyBorder="1" applyAlignment="1">
      <alignment vertical="top"/>
    </xf>
    <xf numFmtId="0" fontId="45" fillId="0" borderId="8" xfId="0" applyFont="1" applyBorder="1" applyAlignment="1">
      <alignment horizontal="left" vertical="top" wrapText="1"/>
    </xf>
    <xf numFmtId="0" fontId="43" fillId="0" borderId="8" xfId="0" applyFont="1" applyBorder="1" applyAlignment="1">
      <alignment vertical="top" wrapText="1"/>
    </xf>
    <xf numFmtId="0" fontId="14" fillId="0" borderId="0" xfId="0" applyFont="1" applyAlignment="1">
      <alignment horizontal="right"/>
    </xf>
    <xf numFmtId="0" fontId="12" fillId="0" borderId="0" xfId="0" applyFont="1" applyAlignment="1">
      <alignment horizontal="right"/>
    </xf>
    <xf numFmtId="165" fontId="22" fillId="0" borderId="0" xfId="1" applyNumberFormat="1" applyFont="1" applyBorder="1"/>
    <xf numFmtId="165" fontId="12" fillId="7" borderId="36" xfId="1" applyNumberFormat="1" applyFont="1" applyFill="1" applyBorder="1" applyAlignment="1">
      <alignment horizontal="center" vertical="center"/>
    </xf>
    <xf numFmtId="165" fontId="12" fillId="7" borderId="0" xfId="1" applyNumberFormat="1" applyFont="1" applyFill="1" applyBorder="1" applyAlignment="1">
      <alignment horizontal="center" vertical="center"/>
    </xf>
    <xf numFmtId="165" fontId="12" fillId="7" borderId="35" xfId="1" applyNumberFormat="1" applyFont="1" applyFill="1" applyBorder="1" applyAlignment="1">
      <alignment horizontal="center" vertical="center"/>
    </xf>
    <xf numFmtId="0" fontId="14" fillId="0" borderId="8" xfId="0" applyFont="1" applyBorder="1" applyAlignment="1">
      <alignment vertical="top"/>
    </xf>
    <xf numFmtId="165" fontId="12" fillId="0" borderId="8" xfId="0" applyNumberFormat="1" applyFont="1" applyBorder="1" applyAlignment="1">
      <alignment vertical="top" wrapText="1"/>
    </xf>
    <xf numFmtId="165" fontId="12" fillId="0" borderId="8" xfId="1" applyNumberFormat="1" applyFont="1" applyBorder="1" applyAlignment="1">
      <alignment vertical="top"/>
    </xf>
    <xf numFmtId="165" fontId="12" fillId="0" borderId="8" xfId="1" applyNumberFormat="1" applyFont="1" applyBorder="1" applyAlignment="1">
      <alignment vertical="top" wrapText="1"/>
    </xf>
    <xf numFmtId="165" fontId="14" fillId="0" borderId="8" xfId="1" applyNumberFormat="1" applyFont="1" applyBorder="1" applyAlignment="1">
      <alignment vertical="top" wrapText="1"/>
    </xf>
    <xf numFmtId="0" fontId="22" fillId="0" borderId="8" xfId="0" applyFont="1" applyBorder="1"/>
    <xf numFmtId="0" fontId="55" fillId="0" borderId="0" xfId="0" applyFont="1" applyBorder="1"/>
    <xf numFmtId="165" fontId="56" fillId="0" borderId="0" xfId="1" applyNumberFormat="1" applyFont="1"/>
    <xf numFmtId="0" fontId="56" fillId="0" borderId="0" xfId="0" applyFont="1"/>
    <xf numFmtId="0" fontId="57" fillId="0" borderId="24" xfId="0" applyFont="1" applyBorder="1" applyAlignment="1">
      <alignment horizontal="center"/>
    </xf>
    <xf numFmtId="165" fontId="57" fillId="0" borderId="25" xfId="1" applyNumberFormat="1" applyFont="1" applyBorder="1" applyAlignment="1">
      <alignment horizontal="center"/>
    </xf>
    <xf numFmtId="165" fontId="57" fillId="0" borderId="26" xfId="1" applyNumberFormat="1" applyFont="1" applyBorder="1" applyAlignment="1">
      <alignment horizontal="center"/>
    </xf>
    <xf numFmtId="0" fontId="57" fillId="0" borderId="0" xfId="0" applyFont="1" applyAlignment="1">
      <alignment horizontal="center"/>
    </xf>
    <xf numFmtId="0" fontId="57" fillId="0" borderId="14" xfId="0" applyFont="1" applyBorder="1"/>
    <xf numFmtId="165" fontId="57" fillId="0" borderId="9" xfId="1" applyNumberFormat="1" applyFont="1" applyBorder="1"/>
    <xf numFmtId="165" fontId="57" fillId="0" borderId="15" xfId="1" applyNumberFormat="1" applyFont="1" applyBorder="1"/>
    <xf numFmtId="0" fontId="57" fillId="0" borderId="0" xfId="0" applyFont="1"/>
    <xf numFmtId="0" fontId="56" fillId="0" borderId="16" xfId="0" applyFont="1" applyBorder="1"/>
    <xf numFmtId="165" fontId="56" fillId="0" borderId="0" xfId="1" applyNumberFormat="1" applyFont="1" applyBorder="1"/>
    <xf numFmtId="165" fontId="56" fillId="0" borderId="8" xfId="1" applyNumberFormat="1" applyFont="1" applyBorder="1"/>
    <xf numFmtId="165" fontId="56" fillId="0" borderId="17" xfId="1" applyNumberFormat="1" applyFont="1" applyBorder="1"/>
    <xf numFmtId="165" fontId="56" fillId="0" borderId="53" xfId="1" applyNumberFormat="1" applyFont="1" applyBorder="1"/>
    <xf numFmtId="43" fontId="56" fillId="0" borderId="16" xfId="1" applyFont="1" applyBorder="1"/>
    <xf numFmtId="43" fontId="56" fillId="0" borderId="0" xfId="1" applyFont="1"/>
    <xf numFmtId="0" fontId="57" fillId="0" borderId="16" xfId="0" applyFont="1" applyBorder="1"/>
    <xf numFmtId="165" fontId="57" fillId="0" borderId="8" xfId="1" applyNumberFormat="1" applyFont="1" applyBorder="1"/>
    <xf numFmtId="165" fontId="57" fillId="0" borderId="17" xfId="1" applyNumberFormat="1" applyFont="1" applyBorder="1"/>
    <xf numFmtId="165" fontId="56" fillId="0" borderId="8" xfId="1" applyNumberFormat="1" applyFont="1" applyBorder="1" applyAlignment="1">
      <alignment vertical="top"/>
    </xf>
    <xf numFmtId="165" fontId="56" fillId="0" borderId="17" xfId="1" applyNumberFormat="1" applyFont="1" applyBorder="1" applyAlignment="1">
      <alignment vertical="top"/>
    </xf>
    <xf numFmtId="0" fontId="56" fillId="0" borderId="0" xfId="0" applyFont="1" applyAlignment="1">
      <alignment vertical="top"/>
    </xf>
    <xf numFmtId="165" fontId="58" fillId="0" borderId="8" xfId="1" applyNumberFormat="1" applyFont="1" applyBorder="1"/>
    <xf numFmtId="0" fontId="56" fillId="0" borderId="18" xfId="0" applyFont="1" applyBorder="1"/>
    <xf numFmtId="165" fontId="56" fillId="0" borderId="13" xfId="1" applyNumberFormat="1" applyFont="1" applyBorder="1"/>
    <xf numFmtId="165" fontId="58" fillId="0" borderId="13" xfId="1" applyNumberFormat="1" applyFont="1" applyBorder="1"/>
    <xf numFmtId="165" fontId="56" fillId="0" borderId="19" xfId="1" applyNumberFormat="1" applyFont="1" applyBorder="1"/>
    <xf numFmtId="0" fontId="56" fillId="0" borderId="27" xfId="0" applyFont="1" applyBorder="1"/>
    <xf numFmtId="165" fontId="56" fillId="0" borderId="28" xfId="1" applyNumberFormat="1" applyFont="1" applyBorder="1"/>
    <xf numFmtId="165" fontId="56" fillId="0" borderId="29" xfId="1" applyNumberFormat="1" applyFont="1" applyBorder="1"/>
    <xf numFmtId="0" fontId="56" fillId="0" borderId="8" xfId="0" applyFont="1" applyBorder="1"/>
    <xf numFmtId="9" fontId="12" fillId="0" borderId="8" xfId="0" applyNumberFormat="1" applyFont="1" applyBorder="1"/>
    <xf numFmtId="0" fontId="56" fillId="0" borderId="16" xfId="0" applyFont="1" applyBorder="1" applyAlignment="1">
      <alignment vertical="top"/>
    </xf>
    <xf numFmtId="165" fontId="30" fillId="0" borderId="0" xfId="1" applyNumberFormat="1" applyFont="1"/>
    <xf numFmtId="0" fontId="59" fillId="0" borderId="42" xfId="0" applyFont="1" applyBorder="1"/>
    <xf numFmtId="0" fontId="59" fillId="0" borderId="42" xfId="0" applyFont="1" applyBorder="1" applyAlignment="1">
      <alignment horizontal="center"/>
    </xf>
    <xf numFmtId="0" fontId="59" fillId="0" borderId="8" xfId="0" applyFont="1" applyBorder="1" applyAlignment="1">
      <alignment horizontal="center"/>
    </xf>
    <xf numFmtId="165" fontId="59" fillId="0" borderId="8" xfId="1" applyNumberFormat="1" applyFont="1" applyBorder="1"/>
    <xf numFmtId="0" fontId="59" fillId="0" borderId="54" xfId="0" applyNumberFormat="1" applyFont="1" applyBorder="1" applyAlignment="1">
      <alignment horizontal="right"/>
    </xf>
    <xf numFmtId="0" fontId="59" fillId="0" borderId="8" xfId="0" applyNumberFormat="1" applyFont="1" applyBorder="1" applyAlignment="1">
      <alignment horizontal="right"/>
    </xf>
    <xf numFmtId="0" fontId="59" fillId="0" borderId="45" xfId="0" applyFont="1" applyBorder="1"/>
    <xf numFmtId="0" fontId="59" fillId="0" borderId="45" xfId="0" applyFont="1" applyBorder="1" applyAlignment="1">
      <alignment horizontal="center"/>
    </xf>
    <xf numFmtId="165" fontId="27" fillId="11" borderId="43" xfId="1" applyNumberFormat="1" applyFont="1" applyFill="1" applyBorder="1" applyAlignment="1">
      <alignment horizontal="center"/>
    </xf>
    <xf numFmtId="165" fontId="27" fillId="11" borderId="13" xfId="1" applyNumberFormat="1" applyFont="1" applyFill="1" applyBorder="1" applyAlignment="1">
      <alignment horizontal="center"/>
    </xf>
    <xf numFmtId="165" fontId="27" fillId="11" borderId="13" xfId="1" applyNumberFormat="1" applyFont="1" applyFill="1" applyBorder="1" applyAlignment="1">
      <alignment horizontal="right"/>
    </xf>
    <xf numFmtId="165" fontId="27" fillId="0" borderId="0" xfId="1" applyNumberFormat="1" applyFont="1" applyFill="1" applyBorder="1" applyAlignment="1" applyProtection="1">
      <alignment horizontal="right"/>
    </xf>
    <xf numFmtId="165" fontId="12" fillId="0" borderId="46" xfId="1" applyNumberFormat="1" applyFont="1" applyBorder="1" applyAlignment="1">
      <alignment horizontal="right"/>
    </xf>
    <xf numFmtId="165" fontId="12" fillId="0" borderId="13" xfId="1" applyNumberFormat="1" applyFont="1" applyBorder="1" applyAlignment="1">
      <alignment horizontal="right"/>
    </xf>
    <xf numFmtId="165" fontId="12" fillId="0" borderId="44" xfId="1" applyNumberFormat="1" applyFont="1" applyBorder="1" applyAlignment="1">
      <alignment horizontal="right"/>
    </xf>
    <xf numFmtId="165" fontId="12" fillId="0" borderId="43" xfId="1" applyNumberFormat="1" applyFont="1" applyBorder="1"/>
    <xf numFmtId="0" fontId="27" fillId="0" borderId="45" xfId="0" applyFont="1" applyBorder="1"/>
    <xf numFmtId="165" fontId="27" fillId="0" borderId="45" xfId="1" applyNumberFormat="1" applyFont="1" applyBorder="1" applyAlignment="1">
      <alignment horizontal="center"/>
    </xf>
    <xf numFmtId="165" fontId="27" fillId="11" borderId="55" xfId="1" applyNumberFormat="1" applyFont="1" applyFill="1" applyBorder="1" applyAlignment="1">
      <alignment horizontal="center"/>
    </xf>
    <xf numFmtId="165" fontId="27" fillId="11" borderId="0" xfId="1" applyNumberFormat="1" applyFont="1" applyFill="1" applyBorder="1" applyAlignment="1">
      <alignment horizontal="right"/>
    </xf>
    <xf numFmtId="165" fontId="12" fillId="0" borderId="55" xfId="1" applyNumberFormat="1" applyFont="1" applyBorder="1" applyAlignment="1">
      <alignment horizontal="right"/>
    </xf>
    <xf numFmtId="0" fontId="27" fillId="0" borderId="56" xfId="0" applyFont="1" applyBorder="1"/>
    <xf numFmtId="0" fontId="27" fillId="0" borderId="56" xfId="0" applyFont="1" applyBorder="1" applyAlignment="1">
      <alignment horizontal="center"/>
    </xf>
    <xf numFmtId="3" fontId="27" fillId="11" borderId="57" xfId="0" applyNumberFormat="1" applyFont="1" applyFill="1" applyBorder="1" applyAlignment="1">
      <alignment horizontal="right"/>
    </xf>
    <xf numFmtId="165" fontId="27" fillId="0" borderId="58" xfId="1" applyNumberFormat="1" applyFont="1" applyBorder="1" applyAlignment="1">
      <alignment horizontal="right"/>
    </xf>
    <xf numFmtId="0" fontId="60" fillId="0" borderId="45" xfId="0" applyFont="1" applyBorder="1"/>
    <xf numFmtId="0" fontId="27" fillId="0" borderId="45" xfId="0" applyFont="1" applyBorder="1" applyAlignment="1">
      <alignment horizontal="center"/>
    </xf>
    <xf numFmtId="3" fontId="27" fillId="11" borderId="45" xfId="0" applyNumberFormat="1" applyFont="1" applyFill="1" applyBorder="1" applyAlignment="1">
      <alignment horizontal="right"/>
    </xf>
    <xf numFmtId="3" fontId="27" fillId="11" borderId="55" xfId="0" applyNumberFormat="1" applyFont="1" applyFill="1" applyBorder="1" applyAlignment="1">
      <alignment horizontal="right"/>
    </xf>
    <xf numFmtId="165" fontId="27" fillId="0" borderId="46" xfId="1" applyNumberFormat="1" applyFont="1" applyBorder="1" applyAlignment="1">
      <alignment horizontal="right"/>
    </xf>
    <xf numFmtId="165" fontId="27" fillId="0" borderId="55" xfId="1" applyNumberFormat="1" applyFont="1" applyBorder="1" applyAlignment="1">
      <alignment horizontal="right"/>
    </xf>
    <xf numFmtId="0" fontId="43" fillId="0" borderId="45" xfId="0" applyFont="1" applyBorder="1"/>
    <xf numFmtId="0" fontId="43" fillId="0" borderId="45" xfId="0" applyFont="1" applyBorder="1" applyAlignment="1">
      <alignment horizontal="center"/>
    </xf>
    <xf numFmtId="165" fontId="27" fillId="0" borderId="55" xfId="1" applyNumberFormat="1" applyFont="1" applyBorder="1"/>
    <xf numFmtId="165" fontId="59" fillId="0" borderId="46" xfId="1" applyNumberFormat="1" applyFont="1" applyBorder="1" applyAlignment="1">
      <alignment horizontal="right"/>
    </xf>
    <xf numFmtId="165" fontId="59" fillId="0" borderId="0" xfId="1" applyNumberFormat="1" applyFont="1" applyBorder="1" applyAlignment="1">
      <alignment horizontal="right"/>
    </xf>
    <xf numFmtId="165" fontId="59" fillId="0" borderId="55" xfId="1" applyNumberFormat="1" applyFont="1" applyBorder="1" applyAlignment="1">
      <alignment horizontal="right"/>
    </xf>
    <xf numFmtId="165" fontId="59" fillId="0" borderId="45" xfId="1" applyNumberFormat="1" applyFont="1" applyBorder="1" applyAlignment="1">
      <alignment horizontal="right"/>
    </xf>
    <xf numFmtId="0" fontId="59" fillId="0" borderId="55" xfId="0" applyFont="1" applyBorder="1"/>
    <xf numFmtId="3" fontId="27" fillId="11" borderId="0" xfId="0" applyNumberFormat="1" applyFont="1" applyFill="1" applyBorder="1" applyAlignment="1">
      <alignment horizontal="right"/>
    </xf>
    <xf numFmtId="166" fontId="27" fillId="0" borderId="55" xfId="1" applyNumberFormat="1" applyFont="1" applyFill="1" applyBorder="1" applyAlignment="1" applyProtection="1">
      <alignment horizontal="right"/>
    </xf>
    <xf numFmtId="166" fontId="27" fillId="0" borderId="0" xfId="1" applyNumberFormat="1" applyFont="1" applyFill="1" applyBorder="1" applyAlignment="1" applyProtection="1">
      <alignment horizontal="right"/>
    </xf>
    <xf numFmtId="0" fontId="61" fillId="0" borderId="55" xfId="0" applyFont="1" applyBorder="1" applyAlignment="1">
      <alignment horizontal="right"/>
    </xf>
    <xf numFmtId="0" fontId="12" fillId="0" borderId="46" xfId="0" applyFont="1" applyBorder="1" applyAlignment="1">
      <alignment horizontal="right"/>
    </xf>
    <xf numFmtId="0" fontId="12" fillId="0" borderId="0" xfId="0" applyFont="1" applyBorder="1" applyAlignment="1">
      <alignment horizontal="right"/>
    </xf>
    <xf numFmtId="0" fontId="12" fillId="0" borderId="55" xfId="0" applyFont="1" applyBorder="1" applyAlignment="1">
      <alignment horizontal="right"/>
    </xf>
    <xf numFmtId="0" fontId="12" fillId="0" borderId="55" xfId="0" applyFont="1" applyBorder="1"/>
    <xf numFmtId="0" fontId="60" fillId="0" borderId="55" xfId="0" applyFont="1" applyBorder="1" applyAlignment="1">
      <alignment horizontal="left" vertical="top"/>
    </xf>
    <xf numFmtId="0" fontId="60" fillId="0" borderId="0" xfId="0" applyFont="1" applyBorder="1" applyAlignment="1">
      <alignment horizontal="center" vertical="top"/>
    </xf>
    <xf numFmtId="0" fontId="27" fillId="0" borderId="9" xfId="0" applyFont="1" applyBorder="1"/>
    <xf numFmtId="0" fontId="27" fillId="0" borderId="47" xfId="0" applyFont="1" applyBorder="1" applyAlignment="1">
      <alignment horizontal="center"/>
    </xf>
    <xf numFmtId="165" fontId="27" fillId="11" borderId="9" xfId="1" applyNumberFormat="1" applyFont="1" applyFill="1" applyBorder="1" applyAlignment="1">
      <alignment horizontal="center"/>
    </xf>
    <xf numFmtId="3" fontId="27" fillId="11" borderId="35" xfId="0" applyNumberFormat="1" applyFont="1" applyFill="1" applyBorder="1" applyAlignment="1">
      <alignment horizontal="right"/>
    </xf>
    <xf numFmtId="3" fontId="27" fillId="11" borderId="9" xfId="0" applyNumberFormat="1" applyFont="1" applyFill="1" applyBorder="1" applyAlignment="1">
      <alignment horizontal="right"/>
    </xf>
    <xf numFmtId="166" fontId="27" fillId="0" borderId="9" xfId="1" applyNumberFormat="1" applyFont="1" applyFill="1" applyBorder="1" applyAlignment="1" applyProtection="1">
      <alignment horizontal="right"/>
    </xf>
    <xf numFmtId="166" fontId="27" fillId="0" borderId="35" xfId="1" applyNumberFormat="1" applyFont="1" applyFill="1" applyBorder="1" applyAlignment="1" applyProtection="1">
      <alignment horizontal="right"/>
    </xf>
    <xf numFmtId="0" fontId="61" fillId="0" borderId="9" xfId="0" applyFont="1" applyBorder="1" applyAlignment="1">
      <alignment horizontal="right"/>
    </xf>
    <xf numFmtId="0" fontId="12" fillId="0" borderId="48" xfId="0" applyFont="1" applyBorder="1" applyAlignment="1">
      <alignment horizontal="right"/>
    </xf>
    <xf numFmtId="0" fontId="12" fillId="0" borderId="35" xfId="0" applyFont="1" applyBorder="1" applyAlignment="1">
      <alignment horizontal="right"/>
    </xf>
    <xf numFmtId="0" fontId="12" fillId="0" borderId="9" xfId="0" applyFont="1" applyBorder="1" applyAlignment="1">
      <alignment horizontal="right"/>
    </xf>
    <xf numFmtId="0" fontId="43" fillId="0" borderId="13" xfId="0" applyFont="1" applyBorder="1"/>
    <xf numFmtId="0" fontId="43" fillId="0" borderId="43" xfId="0" applyFont="1" applyBorder="1" applyAlignment="1">
      <alignment horizontal="center"/>
    </xf>
    <xf numFmtId="3" fontId="27" fillId="7" borderId="36" xfId="0" applyNumberFormat="1" applyFont="1" applyFill="1" applyBorder="1" applyAlignment="1">
      <alignment horizontal="right"/>
    </xf>
    <xf numFmtId="3" fontId="27" fillId="7" borderId="13" xfId="0" applyNumberFormat="1" applyFont="1" applyFill="1" applyBorder="1" applyAlignment="1">
      <alignment horizontal="right"/>
    </xf>
    <xf numFmtId="3" fontId="43" fillId="0" borderId="13" xfId="0" applyNumberFormat="1" applyFont="1" applyBorder="1" applyAlignment="1">
      <alignment horizontal="right"/>
    </xf>
    <xf numFmtId="3" fontId="27" fillId="7" borderId="44" xfId="0" applyNumberFormat="1" applyFont="1" applyFill="1" applyBorder="1" applyAlignment="1">
      <alignment horizontal="right"/>
    </xf>
    <xf numFmtId="0" fontId="61" fillId="0" borderId="13" xfId="0" applyFont="1" applyBorder="1" applyAlignment="1">
      <alignment horizontal="right"/>
    </xf>
    <xf numFmtId="0" fontId="12" fillId="0" borderId="44" xfId="0" applyFont="1" applyBorder="1" applyAlignment="1">
      <alignment horizontal="right"/>
    </xf>
    <xf numFmtId="0" fontId="12" fillId="0" borderId="13" xfId="0" applyFont="1" applyBorder="1" applyAlignment="1">
      <alignment horizontal="right"/>
    </xf>
    <xf numFmtId="0" fontId="12" fillId="0" borderId="13" xfId="0" applyFont="1" applyBorder="1"/>
    <xf numFmtId="0" fontId="12" fillId="0" borderId="43" xfId="0" applyFont="1" applyBorder="1"/>
    <xf numFmtId="0" fontId="29" fillId="0" borderId="55" xfId="0" applyFont="1" applyBorder="1"/>
    <xf numFmtId="0" fontId="29" fillId="0" borderId="55" xfId="0" applyFont="1" applyBorder="1" applyAlignment="1">
      <alignment horizontal="center"/>
    </xf>
    <xf numFmtId="0" fontId="29" fillId="0" borderId="9" xfId="0" applyFont="1" applyBorder="1"/>
    <xf numFmtId="0" fontId="29" fillId="0" borderId="9" xfId="0" applyFont="1" applyBorder="1" applyAlignment="1">
      <alignment horizontal="center"/>
    </xf>
    <xf numFmtId="0" fontId="43" fillId="0" borderId="13" xfId="0" applyFont="1" applyBorder="1" applyAlignment="1">
      <alignment horizontal="center"/>
    </xf>
    <xf numFmtId="3" fontId="27" fillId="7" borderId="43" xfId="0" applyNumberFormat="1" applyFont="1" applyFill="1" applyBorder="1" applyAlignment="1">
      <alignment horizontal="right"/>
    </xf>
    <xf numFmtId="0" fontId="43" fillId="0" borderId="55" xfId="0" applyFont="1" applyBorder="1"/>
    <xf numFmtId="0" fontId="43" fillId="0" borderId="55" xfId="0" applyFont="1" applyBorder="1" applyAlignment="1">
      <alignment horizontal="center"/>
    </xf>
    <xf numFmtId="165" fontId="27" fillId="7" borderId="55" xfId="1" applyNumberFormat="1" applyFont="1" applyFill="1" applyBorder="1" applyAlignment="1">
      <alignment horizontal="right"/>
    </xf>
    <xf numFmtId="165" fontId="27" fillId="11" borderId="55" xfId="1" applyNumberFormat="1" applyFont="1" applyFill="1" applyBorder="1" applyAlignment="1">
      <alignment horizontal="right"/>
    </xf>
    <xf numFmtId="3" fontId="27" fillId="7" borderId="0" xfId="0" applyNumberFormat="1" applyFont="1" applyFill="1" applyBorder="1" applyAlignment="1">
      <alignment horizontal="right"/>
    </xf>
    <xf numFmtId="3" fontId="27" fillId="7" borderId="55" xfId="0" applyNumberFormat="1" applyFont="1" applyFill="1" applyBorder="1" applyAlignment="1">
      <alignment horizontal="right"/>
    </xf>
    <xf numFmtId="3" fontId="27" fillId="7" borderId="46" xfId="0" applyNumberFormat="1" applyFont="1" applyFill="1" applyBorder="1" applyAlignment="1">
      <alignment horizontal="right"/>
    </xf>
    <xf numFmtId="3" fontId="27" fillId="7" borderId="45" xfId="0" applyNumberFormat="1" applyFont="1" applyFill="1" applyBorder="1" applyAlignment="1">
      <alignment horizontal="right"/>
    </xf>
    <xf numFmtId="0" fontId="29" fillId="0" borderId="45" xfId="0" applyFont="1" applyBorder="1"/>
    <xf numFmtId="3" fontId="27" fillId="11" borderId="55" xfId="0" applyNumberFormat="1" applyFont="1" applyFill="1" applyBorder="1" applyAlignment="1"/>
    <xf numFmtId="0" fontId="29" fillId="0" borderId="56" xfId="0" applyFont="1" applyBorder="1"/>
    <xf numFmtId="0" fontId="29" fillId="0" borderId="56" xfId="0" applyFont="1" applyBorder="1" applyAlignment="1">
      <alignment horizontal="center"/>
    </xf>
    <xf numFmtId="3" fontId="27" fillId="11" borderId="57" xfId="0" applyNumberFormat="1" applyFont="1" applyFill="1" applyBorder="1" applyAlignment="1"/>
    <xf numFmtId="165" fontId="59" fillId="7" borderId="55" xfId="1" applyNumberFormat="1" applyFont="1" applyFill="1" applyBorder="1" applyAlignment="1">
      <alignment horizontal="center"/>
    </xf>
    <xf numFmtId="165" fontId="59" fillId="7" borderId="55" xfId="1" applyNumberFormat="1" applyFont="1" applyFill="1" applyBorder="1" applyAlignment="1">
      <alignment horizontal="right"/>
    </xf>
    <xf numFmtId="165" fontId="29" fillId="0" borderId="9" xfId="0" applyNumberFormat="1" applyFont="1" applyBorder="1" applyAlignment="1">
      <alignment horizontal="center"/>
    </xf>
    <xf numFmtId="165" fontId="27" fillId="7" borderId="9" xfId="1" applyNumberFormat="1" applyFont="1" applyFill="1" applyBorder="1" applyAlignment="1">
      <alignment horizontal="right"/>
    </xf>
    <xf numFmtId="0" fontId="29" fillId="0" borderId="0" xfId="0" applyFont="1" applyBorder="1"/>
    <xf numFmtId="0" fontId="14" fillId="0" borderId="47" xfId="0" applyFont="1" applyBorder="1" applyAlignment="1"/>
    <xf numFmtId="0" fontId="14" fillId="0" borderId="35" xfId="0" applyFont="1" applyBorder="1" applyAlignment="1"/>
    <xf numFmtId="0" fontId="43" fillId="0" borderId="47" xfId="0" applyFont="1" applyBorder="1"/>
    <xf numFmtId="0" fontId="43" fillId="0" borderId="47" xfId="0" applyFont="1" applyBorder="1" applyAlignment="1">
      <alignment horizontal="center"/>
    </xf>
    <xf numFmtId="165" fontId="59" fillId="0" borderId="48" xfId="1" applyNumberFormat="1" applyFont="1" applyBorder="1" applyAlignment="1">
      <alignment horizontal="right"/>
    </xf>
    <xf numFmtId="165" fontId="59" fillId="0" borderId="35" xfId="1" applyNumberFormat="1" applyFont="1" applyBorder="1" applyAlignment="1">
      <alignment horizontal="right"/>
    </xf>
    <xf numFmtId="165" fontId="59" fillId="0" borderId="9" xfId="1" applyNumberFormat="1" applyFont="1" applyBorder="1" applyAlignment="1">
      <alignment horizontal="right"/>
    </xf>
    <xf numFmtId="165" fontId="59" fillId="0" borderId="47" xfId="1" applyNumberFormat="1" applyFont="1" applyBorder="1" applyAlignment="1">
      <alignment horizontal="right"/>
    </xf>
    <xf numFmtId="0" fontId="27" fillId="0" borderId="13" xfId="0" applyFont="1" applyBorder="1"/>
    <xf numFmtId="0" fontId="27" fillId="0" borderId="43" xfId="0" applyFont="1" applyBorder="1" applyAlignment="1">
      <alignment horizontal="center"/>
    </xf>
    <xf numFmtId="0" fontId="60" fillId="0" borderId="45" xfId="0" applyFont="1" applyBorder="1" applyAlignment="1">
      <alignment horizontal="center" vertical="top"/>
    </xf>
    <xf numFmtId="0" fontId="27" fillId="0" borderId="55" xfId="0" applyFont="1" applyBorder="1"/>
    <xf numFmtId="0" fontId="29" fillId="0" borderId="45" xfId="0" applyFont="1" applyBorder="1" applyAlignment="1">
      <alignment horizontal="center"/>
    </xf>
    <xf numFmtId="165" fontId="29" fillId="0" borderId="47" xfId="0" applyNumberFormat="1" applyFont="1" applyBorder="1" applyAlignment="1">
      <alignment horizontal="center"/>
    </xf>
    <xf numFmtId="0" fontId="29" fillId="0" borderId="8" xfId="0" applyFont="1" applyBorder="1" applyAlignment="1">
      <alignment horizontal="center"/>
    </xf>
    <xf numFmtId="0" fontId="29" fillId="0" borderId="42" xfId="0" applyFont="1" applyBorder="1" applyAlignment="1">
      <alignment horizontal="center"/>
    </xf>
    <xf numFmtId="3" fontId="59" fillId="7" borderId="8" xfId="0" applyNumberFormat="1" applyFont="1" applyFill="1" applyBorder="1" applyAlignment="1">
      <alignment horizontal="right"/>
    </xf>
    <xf numFmtId="3" fontId="59" fillId="7" borderId="42" xfId="0" applyNumberFormat="1" applyFont="1" applyFill="1" applyBorder="1" applyAlignment="1">
      <alignment horizontal="right"/>
    </xf>
    <xf numFmtId="0" fontId="29" fillId="0" borderId="8" xfId="0" applyFont="1" applyBorder="1"/>
    <xf numFmtId="165" fontId="43" fillId="11" borderId="8" xfId="1" applyNumberFormat="1" applyFont="1" applyFill="1" applyBorder="1" applyAlignment="1">
      <alignment horizontal="center"/>
    </xf>
    <xf numFmtId="166" fontId="43" fillId="0" borderId="8" xfId="1" applyNumberFormat="1" applyFont="1" applyFill="1" applyBorder="1" applyAlignment="1" applyProtection="1">
      <alignment horizontal="right"/>
    </xf>
    <xf numFmtId="166" fontId="43" fillId="0" borderId="42" xfId="1" applyNumberFormat="1" applyFont="1" applyFill="1" applyBorder="1" applyAlignment="1" applyProtection="1">
      <alignment horizontal="right"/>
    </xf>
    <xf numFmtId="0" fontId="12" fillId="0" borderId="59" xfId="0" applyFont="1" applyBorder="1" applyAlignment="1">
      <alignment horizontal="right"/>
    </xf>
    <xf numFmtId="0" fontId="29" fillId="12" borderId="8" xfId="0" applyFont="1" applyFill="1" applyBorder="1"/>
    <xf numFmtId="0" fontId="29" fillId="12" borderId="42" xfId="0" applyFont="1" applyFill="1" applyBorder="1" applyAlignment="1">
      <alignment horizontal="center"/>
    </xf>
    <xf numFmtId="3" fontId="43" fillId="12" borderId="8" xfId="0" applyNumberFormat="1" applyFont="1" applyFill="1" applyBorder="1" applyAlignment="1">
      <alignment horizontal="right"/>
    </xf>
    <xf numFmtId="3" fontId="43" fillId="12" borderId="42" xfId="0" applyNumberFormat="1" applyFont="1" applyFill="1" applyBorder="1" applyAlignment="1">
      <alignment horizontal="right"/>
    </xf>
    <xf numFmtId="3" fontId="43" fillId="7" borderId="9" xfId="0" applyNumberFormat="1" applyFont="1" applyFill="1" applyBorder="1" applyAlignment="1">
      <alignment horizontal="right"/>
    </xf>
    <xf numFmtId="0" fontId="29" fillId="13" borderId="8" xfId="0" applyFont="1" applyFill="1" applyBorder="1" applyAlignment="1">
      <alignment horizontal="center"/>
    </xf>
    <xf numFmtId="0" fontId="29" fillId="13" borderId="42" xfId="0" applyFont="1" applyFill="1" applyBorder="1" applyAlignment="1">
      <alignment horizontal="center"/>
    </xf>
    <xf numFmtId="165" fontId="29" fillId="14" borderId="8" xfId="1" applyNumberFormat="1" applyFont="1" applyFill="1" applyBorder="1" applyAlignment="1">
      <alignment horizontal="center"/>
    </xf>
    <xf numFmtId="3" fontId="29" fillId="13" borderId="8" xfId="0" applyNumberFormat="1" applyFont="1" applyFill="1" applyBorder="1" applyAlignment="1">
      <alignment horizontal="right"/>
    </xf>
    <xf numFmtId="3" fontId="29" fillId="13" borderId="42" xfId="0" applyNumberFormat="1" applyFont="1" applyFill="1" applyBorder="1" applyAlignment="1">
      <alignment horizontal="right"/>
    </xf>
    <xf numFmtId="165" fontId="29" fillId="12" borderId="8" xfId="1" applyNumberFormat="1" applyFont="1" applyFill="1" applyBorder="1"/>
    <xf numFmtId="165" fontId="29" fillId="12" borderId="42" xfId="1" applyNumberFormat="1" applyFont="1" applyFill="1" applyBorder="1"/>
    <xf numFmtId="0" fontId="29" fillId="7" borderId="0" xfId="0" applyFont="1" applyFill="1" applyBorder="1" applyAlignment="1">
      <alignment horizontal="right"/>
    </xf>
    <xf numFmtId="0" fontId="29" fillId="7" borderId="0" xfId="0" applyFont="1" applyFill="1" applyBorder="1" applyAlignment="1">
      <alignment horizontal="center"/>
    </xf>
    <xf numFmtId="0" fontId="29" fillId="11" borderId="0" xfId="0" applyFont="1" applyFill="1" applyBorder="1" applyAlignment="1">
      <alignment horizontal="center"/>
    </xf>
    <xf numFmtId="165" fontId="29" fillId="11" borderId="0" xfId="1" applyNumberFormat="1" applyFont="1" applyFill="1" applyBorder="1" applyAlignment="1">
      <alignment horizontal="center"/>
    </xf>
    <xf numFmtId="3" fontId="29" fillId="7" borderId="0" xfId="0" applyNumberFormat="1" applyFont="1" applyFill="1" applyBorder="1" applyAlignment="1">
      <alignment horizontal="right"/>
    </xf>
    <xf numFmtId="3" fontId="43" fillId="7" borderId="0" xfId="0" applyNumberFormat="1" applyFont="1" applyFill="1" applyBorder="1" applyAlignment="1">
      <alignment horizontal="right"/>
    </xf>
    <xf numFmtId="37" fontId="14" fillId="7" borderId="38" xfId="1" applyNumberFormat="1" applyFont="1" applyFill="1" applyBorder="1" applyAlignment="1">
      <alignment horizontal="right" vertical="center"/>
    </xf>
    <xf numFmtId="37" fontId="14" fillId="7" borderId="39" xfId="1" applyNumberFormat="1" applyFont="1" applyFill="1" applyBorder="1" applyAlignment="1">
      <alignment horizontal="center" vertical="center"/>
    </xf>
    <xf numFmtId="165" fontId="12" fillId="7" borderId="40" xfId="1" applyNumberFormat="1" applyFont="1" applyFill="1" applyBorder="1" applyAlignment="1">
      <alignment horizontal="right" vertical="center"/>
    </xf>
    <xf numFmtId="37" fontId="12" fillId="7" borderId="7" xfId="1" applyNumberFormat="1" applyFont="1" applyFill="1" applyBorder="1" applyAlignment="1">
      <alignment horizontal="left" vertical="center"/>
    </xf>
    <xf numFmtId="37" fontId="12" fillId="7" borderId="5" xfId="1" applyNumberFormat="1" applyFont="1" applyFill="1" applyBorder="1" applyAlignment="1">
      <alignment horizontal="right" vertical="center"/>
    </xf>
    <xf numFmtId="4" fontId="29" fillId="7" borderId="0" xfId="0" applyNumberFormat="1" applyFont="1" applyFill="1" applyBorder="1" applyAlignment="1">
      <alignment horizontal="right"/>
    </xf>
    <xf numFmtId="37" fontId="14" fillId="7" borderId="7" xfId="1" applyNumberFormat="1" applyFont="1" applyFill="1" applyBorder="1" applyAlignment="1">
      <alignment horizontal="right" vertical="center"/>
    </xf>
    <xf numFmtId="37" fontId="14" fillId="7" borderId="0" xfId="1" applyNumberFormat="1" applyFont="1" applyFill="1" applyBorder="1" applyAlignment="1">
      <alignment horizontal="center" vertical="center"/>
    </xf>
    <xf numFmtId="9" fontId="12" fillId="7" borderId="5" xfId="2" applyFont="1" applyFill="1" applyBorder="1" applyAlignment="1">
      <alignment horizontal="right" vertical="center"/>
    </xf>
    <xf numFmtId="37" fontId="12" fillId="7" borderId="5" xfId="2" applyNumberFormat="1" applyFont="1" applyFill="1" applyBorder="1" applyAlignment="1">
      <alignment horizontal="right" vertical="center"/>
    </xf>
    <xf numFmtId="43" fontId="12" fillId="7" borderId="5" xfId="1" applyFont="1" applyFill="1" applyBorder="1" applyAlignment="1">
      <alignment horizontal="right" vertical="center"/>
    </xf>
    <xf numFmtId="37" fontId="14" fillId="7" borderId="50" xfId="1" applyNumberFormat="1" applyFont="1" applyFill="1" applyBorder="1" applyAlignment="1">
      <alignment horizontal="right" vertical="center"/>
    </xf>
    <xf numFmtId="37" fontId="14" fillId="7" borderId="52" xfId="1" applyNumberFormat="1" applyFont="1" applyFill="1" applyBorder="1" applyAlignment="1">
      <alignment horizontal="center" vertical="center"/>
    </xf>
    <xf numFmtId="9" fontId="12" fillId="7" borderId="4" xfId="2" applyFont="1" applyFill="1" applyBorder="1" applyAlignment="1">
      <alignment horizontal="right" vertical="center"/>
    </xf>
    <xf numFmtId="3" fontId="60" fillId="0" borderId="0" xfId="0" applyNumberFormat="1" applyFont="1" applyBorder="1" applyAlignment="1">
      <alignment horizontal="left"/>
    </xf>
    <xf numFmtId="0" fontId="12" fillId="0" borderId="0" xfId="0" applyFont="1" applyAlignment="1">
      <alignment horizontal="center"/>
    </xf>
    <xf numFmtId="3" fontId="59" fillId="0" borderId="0" xfId="0" applyNumberFormat="1" applyFont="1" applyBorder="1" applyAlignment="1">
      <alignment horizontal="center"/>
    </xf>
    <xf numFmtId="0" fontId="27" fillId="0" borderId="0" xfId="0" applyFont="1" applyBorder="1" applyAlignment="1">
      <alignment horizontal="center"/>
    </xf>
    <xf numFmtId="3" fontId="27" fillId="0" borderId="0" xfId="0" applyNumberFormat="1" applyFont="1" applyBorder="1" applyAlignment="1">
      <alignment horizontal="right"/>
    </xf>
    <xf numFmtId="3" fontId="59" fillId="0" borderId="0" xfId="0" applyNumberFormat="1" applyFont="1" applyBorder="1" applyAlignment="1">
      <alignment horizontal="right"/>
    </xf>
    <xf numFmtId="1" fontId="59" fillId="0" borderId="0" xfId="0" applyNumberFormat="1" applyFont="1" applyBorder="1" applyAlignment="1">
      <alignment horizontal="right"/>
    </xf>
    <xf numFmtId="167" fontId="27" fillId="0" borderId="0" xfId="1" applyNumberFormat="1" applyFont="1" applyBorder="1"/>
    <xf numFmtId="167" fontId="27" fillId="0" borderId="0" xfId="1" applyNumberFormat="1" applyFont="1" applyFill="1" applyBorder="1" applyAlignment="1">
      <alignment horizontal="right"/>
    </xf>
    <xf numFmtId="0" fontId="63" fillId="0" borderId="0" xfId="0" applyFont="1" applyAlignment="1">
      <alignment horizontal="left"/>
    </xf>
    <xf numFmtId="0" fontId="0" fillId="0" borderId="0" xfId="0" applyAlignment="1"/>
    <xf numFmtId="0" fontId="63" fillId="15" borderId="60" xfId="0" applyFont="1" applyFill="1" applyBorder="1" applyAlignment="1">
      <alignment vertical="top"/>
    </xf>
    <xf numFmtId="0" fontId="62" fillId="15" borderId="60" xfId="0" applyFont="1" applyFill="1" applyBorder="1" applyAlignment="1">
      <alignment vertical="top"/>
    </xf>
    <xf numFmtId="0" fontId="62" fillId="15" borderId="60" xfId="0" applyFont="1" applyFill="1" applyBorder="1" applyAlignment="1">
      <alignment horizontal="center" vertical="top"/>
    </xf>
    <xf numFmtId="0" fontId="62" fillId="15" borderId="0" xfId="0" applyFont="1" applyFill="1" applyBorder="1" applyAlignment="1">
      <alignment vertical="top"/>
    </xf>
    <xf numFmtId="0" fontId="62" fillId="2" borderId="60" xfId="0" applyFont="1" applyFill="1" applyBorder="1" applyAlignment="1">
      <alignment vertical="top"/>
    </xf>
    <xf numFmtId="0" fontId="62" fillId="2" borderId="60" xfId="0" applyFont="1" applyFill="1" applyBorder="1" applyAlignment="1">
      <alignment horizontal="center" vertical="top"/>
    </xf>
    <xf numFmtId="9" fontId="12" fillId="0" borderId="0" xfId="2" applyFont="1" applyAlignment="1">
      <alignment vertical="top"/>
    </xf>
    <xf numFmtId="165" fontId="29" fillId="0" borderId="55" xfId="0" applyNumberFormat="1" applyFont="1" applyBorder="1" applyAlignment="1">
      <alignment horizontal="center"/>
    </xf>
    <xf numFmtId="43" fontId="27" fillId="11" borderId="45" xfId="1" applyFont="1" applyFill="1" applyBorder="1" applyAlignment="1">
      <alignment horizontal="right"/>
    </xf>
    <xf numFmtId="43" fontId="27" fillId="11" borderId="56" xfId="1" applyFont="1" applyFill="1" applyBorder="1" applyAlignment="1">
      <alignment horizontal="right"/>
    </xf>
    <xf numFmtId="43" fontId="27" fillId="0" borderId="45" xfId="1" applyFont="1" applyBorder="1" applyAlignment="1">
      <alignment horizontal="center"/>
    </xf>
    <xf numFmtId="43" fontId="27" fillId="11" borderId="55" xfId="1" applyFont="1" applyFill="1" applyBorder="1" applyAlignment="1">
      <alignment horizontal="center"/>
    </xf>
    <xf numFmtId="43" fontId="12" fillId="0" borderId="55" xfId="1" applyFont="1" applyBorder="1"/>
    <xf numFmtId="43" fontId="27" fillId="11" borderId="9" xfId="1" applyFont="1" applyFill="1" applyBorder="1" applyAlignment="1">
      <alignment horizontal="center"/>
    </xf>
    <xf numFmtId="43" fontId="27" fillId="11" borderId="43" xfId="1" applyFont="1" applyFill="1" applyBorder="1" applyAlignment="1">
      <alignment horizontal="center"/>
    </xf>
    <xf numFmtId="43" fontId="27" fillId="0" borderId="55" xfId="1" applyFont="1" applyFill="1" applyBorder="1" applyAlignment="1" applyProtection="1">
      <alignment horizontal="right"/>
    </xf>
    <xf numFmtId="43" fontId="27" fillId="0" borderId="9" xfId="1" applyFont="1" applyFill="1" applyBorder="1" applyAlignment="1" applyProtection="1">
      <alignment horizontal="right"/>
    </xf>
    <xf numFmtId="43" fontId="27" fillId="7" borderId="13" xfId="1" applyFont="1" applyFill="1" applyBorder="1" applyAlignment="1">
      <alignment horizontal="right"/>
    </xf>
    <xf numFmtId="43" fontId="29" fillId="7" borderId="55" xfId="1" applyFont="1" applyFill="1" applyBorder="1" applyAlignment="1">
      <alignment horizontal="center"/>
    </xf>
    <xf numFmtId="0" fontId="64" fillId="7" borderId="0" xfId="0" applyFont="1" applyFill="1"/>
    <xf numFmtId="3" fontId="64" fillId="7" borderId="0" xfId="0" applyNumberFormat="1" applyFont="1" applyFill="1"/>
    <xf numFmtId="0" fontId="64" fillId="7" borderId="0" xfId="0" applyFont="1" applyFill="1" applyBorder="1"/>
    <xf numFmtId="165" fontId="64" fillId="7" borderId="0" xfId="1" applyNumberFormat="1" applyFont="1" applyFill="1" applyBorder="1"/>
    <xf numFmtId="165" fontId="14" fillId="0" borderId="8" xfId="1" applyNumberFormat="1" applyFont="1" applyBorder="1" applyAlignment="1">
      <alignment horizontal="right"/>
    </xf>
    <xf numFmtId="165" fontId="12" fillId="0" borderId="8" xfId="1" applyNumberFormat="1" applyFont="1" applyBorder="1" applyAlignment="1">
      <alignment horizontal="right"/>
    </xf>
    <xf numFmtId="0" fontId="26" fillId="0" borderId="8" xfId="0" applyFont="1" applyBorder="1" applyAlignment="1">
      <alignment vertical="top"/>
    </xf>
    <xf numFmtId="0" fontId="12" fillId="0" borderId="8" xfId="0" applyFont="1" applyBorder="1" applyAlignment="1">
      <alignment vertical="top" wrapText="1"/>
    </xf>
    <xf numFmtId="0" fontId="12" fillId="0" borderId="8" xfId="0" applyFont="1" applyBorder="1" applyAlignment="1">
      <alignment vertical="top"/>
    </xf>
    <xf numFmtId="165" fontId="34" fillId="0" borderId="0" xfId="1" applyNumberFormat="1" applyFont="1"/>
    <xf numFmtId="0" fontId="65" fillId="9" borderId="8" xfId="0" applyFont="1" applyFill="1" applyBorder="1" applyAlignment="1">
      <alignment vertical="top"/>
    </xf>
    <xf numFmtId="0" fontId="65" fillId="9" borderId="8" xfId="0" applyFont="1" applyFill="1" applyBorder="1" applyAlignment="1">
      <alignment vertical="top" wrapText="1"/>
    </xf>
    <xf numFmtId="0" fontId="65" fillId="16" borderId="8" xfId="0" applyFont="1" applyFill="1" applyBorder="1" applyAlignment="1">
      <alignment horizontal="center" vertical="top" wrapText="1"/>
    </xf>
    <xf numFmtId="0" fontId="66" fillId="0" borderId="0" xfId="0" applyFont="1" applyAlignment="1">
      <alignment vertical="top"/>
    </xf>
    <xf numFmtId="164" fontId="12" fillId="0" borderId="0" xfId="0" applyNumberFormat="1" applyFont="1"/>
    <xf numFmtId="0" fontId="14" fillId="8" borderId="0" xfId="0" applyFont="1" applyFill="1"/>
    <xf numFmtId="0" fontId="14" fillId="4" borderId="0" xfId="0" applyFont="1" applyFill="1"/>
    <xf numFmtId="165" fontId="12" fillId="4" borderId="0" xfId="0" applyNumberFormat="1" applyFont="1" applyFill="1"/>
    <xf numFmtId="3" fontId="12" fillId="4" borderId="0" xfId="0" applyNumberFormat="1" applyFont="1" applyFill="1"/>
    <xf numFmtId="0" fontId="12" fillId="4" borderId="0" xfId="0" applyFont="1" applyFill="1"/>
    <xf numFmtId="0" fontId="24" fillId="0" borderId="8" xfId="0" applyFont="1" applyBorder="1" applyAlignment="1">
      <alignment horizontal="right" vertical="center"/>
    </xf>
    <xf numFmtId="3" fontId="24" fillId="0" borderId="8" xfId="0" applyNumberFormat="1" applyFont="1" applyBorder="1" applyAlignment="1">
      <alignment horizontal="right" vertical="center"/>
    </xf>
    <xf numFmtId="3" fontId="24" fillId="16" borderId="8" xfId="0" applyNumberFormat="1" applyFont="1" applyFill="1" applyBorder="1" applyAlignment="1">
      <alignment horizontal="right" vertical="center"/>
    </xf>
    <xf numFmtId="0" fontId="67" fillId="0" borderId="8" xfId="0" applyFont="1" applyBorder="1" applyAlignment="1">
      <alignment vertical="center"/>
    </xf>
    <xf numFmtId="3" fontId="67" fillId="0" borderId="8" xfId="0" applyNumberFormat="1" applyFont="1" applyBorder="1" applyAlignment="1">
      <alignment horizontal="right" vertical="center"/>
    </xf>
    <xf numFmtId="0" fontId="24" fillId="0" borderId="0" xfId="0" applyFont="1" applyBorder="1"/>
    <xf numFmtId="0" fontId="14" fillId="0" borderId="8" xfId="0" applyFont="1" applyBorder="1" applyAlignment="1">
      <alignment vertical="top" wrapText="1"/>
    </xf>
    <xf numFmtId="0" fontId="14" fillId="0" borderId="0" xfId="0" applyFont="1" applyAlignment="1">
      <alignment vertical="top" wrapText="1"/>
    </xf>
    <xf numFmtId="169" fontId="14" fillId="0" borderId="0" xfId="0" applyNumberFormat="1" applyFont="1"/>
    <xf numFmtId="0" fontId="69" fillId="0" borderId="0" xfId="0" applyFont="1"/>
    <xf numFmtId="0" fontId="70" fillId="0" borderId="0" xfId="0" applyFont="1"/>
    <xf numFmtId="165" fontId="24" fillId="16" borderId="8" xfId="1" applyNumberFormat="1" applyFont="1" applyFill="1" applyBorder="1" applyAlignment="1">
      <alignment horizontal="right" vertical="center"/>
    </xf>
    <xf numFmtId="0" fontId="14" fillId="0" borderId="0" xfId="0" applyFont="1" applyFill="1"/>
    <xf numFmtId="0" fontId="12" fillId="0" borderId="0" xfId="0" applyFont="1" applyFill="1"/>
    <xf numFmtId="0" fontId="66" fillId="0" borderId="0" xfId="0" applyFont="1" applyFill="1" applyAlignment="1">
      <alignment vertical="top"/>
    </xf>
    <xf numFmtId="0" fontId="12" fillId="0" borderId="0" xfId="0" applyFont="1" applyFill="1" applyAlignment="1">
      <alignment vertical="top"/>
    </xf>
    <xf numFmtId="0" fontId="12" fillId="0" borderId="8" xfId="0" applyFont="1" applyBorder="1" applyAlignment="1">
      <alignment horizontal="center" vertical="top" wrapText="1"/>
    </xf>
    <xf numFmtId="165" fontId="12" fillId="0" borderId="8" xfId="1" applyNumberFormat="1" applyFont="1" applyBorder="1" applyAlignment="1">
      <alignment horizontal="center" vertical="top" wrapText="1"/>
    </xf>
    <xf numFmtId="165" fontId="12" fillId="0" borderId="0" xfId="1" applyNumberFormat="1" applyFont="1" applyBorder="1" applyAlignment="1">
      <alignment horizontal="center" vertical="top" wrapText="1"/>
    </xf>
    <xf numFmtId="0" fontId="12" fillId="0" borderId="8" xfId="0" applyFont="1" applyFill="1" applyBorder="1"/>
    <xf numFmtId="0" fontId="14" fillId="0" borderId="8" xfId="0" applyFont="1" applyFill="1" applyBorder="1"/>
    <xf numFmtId="43" fontId="14" fillId="0" borderId="8" xfId="0" applyNumberFormat="1" applyFont="1" applyFill="1" applyBorder="1"/>
    <xf numFmtId="0" fontId="12" fillId="0" borderId="8" xfId="0" applyFont="1" applyBorder="1" applyAlignment="1">
      <alignment horizontal="center" vertical="top"/>
    </xf>
    <xf numFmtId="0" fontId="0" fillId="0" borderId="39" xfId="0" applyBorder="1"/>
    <xf numFmtId="0" fontId="65" fillId="0" borderId="6" xfId="0" applyFont="1" applyBorder="1" applyAlignment="1">
      <alignment horizontal="right"/>
    </xf>
    <xf numFmtId="0" fontId="65" fillId="0" borderId="40" xfId="0" applyFont="1" applyBorder="1" applyAlignment="1">
      <alignment horizontal="right"/>
    </xf>
    <xf numFmtId="0" fontId="65" fillId="0" borderId="51" xfId="0" applyFont="1" applyBorder="1" applyAlignment="1">
      <alignment horizontal="right"/>
    </xf>
    <xf numFmtId="0" fontId="65" fillId="0" borderId="5" xfId="0" applyFont="1" applyBorder="1" applyAlignment="1">
      <alignment horizontal="right"/>
    </xf>
    <xf numFmtId="3" fontId="65" fillId="0" borderId="51" xfId="0" applyNumberFormat="1" applyFont="1" applyBorder="1" applyAlignment="1">
      <alignment horizontal="right"/>
    </xf>
    <xf numFmtId="9" fontId="65" fillId="0" borderId="5" xfId="0" applyNumberFormat="1" applyFont="1" applyBorder="1" applyAlignment="1">
      <alignment horizontal="right"/>
    </xf>
    <xf numFmtId="9" fontId="73" fillId="0" borderId="5" xfId="0" applyNumberFormat="1" applyFont="1" applyBorder="1" applyAlignment="1">
      <alignment horizontal="right"/>
    </xf>
    <xf numFmtId="0" fontId="73" fillId="0" borderId="5" xfId="0" applyFont="1" applyBorder="1" applyAlignment="1">
      <alignment horizontal="right"/>
    </xf>
    <xf numFmtId="0" fontId="0" fillId="0" borderId="52" xfId="0" applyBorder="1"/>
    <xf numFmtId="9" fontId="73" fillId="0" borderId="4" xfId="0" applyNumberFormat="1" applyFont="1" applyBorder="1" applyAlignment="1">
      <alignment horizontal="right"/>
    </xf>
    <xf numFmtId="0" fontId="73" fillId="0" borderId="4" xfId="0" applyFont="1" applyBorder="1" applyAlignment="1">
      <alignment horizontal="right"/>
    </xf>
    <xf numFmtId="43" fontId="65" fillId="0" borderId="5" xfId="0" applyNumberFormat="1" applyFont="1" applyBorder="1" applyAlignment="1">
      <alignment horizontal="right"/>
    </xf>
    <xf numFmtId="3" fontId="73" fillId="0" borderId="51" xfId="0" applyNumberFormat="1" applyFont="1" applyBorder="1" applyAlignment="1">
      <alignment horizontal="right"/>
    </xf>
    <xf numFmtId="3" fontId="73" fillId="0" borderId="3" xfId="0" applyNumberFormat="1" applyFont="1" applyBorder="1" applyAlignment="1">
      <alignment horizontal="right"/>
    </xf>
    <xf numFmtId="0" fontId="14" fillId="0" borderId="8" xfId="0" applyFont="1" applyBorder="1" applyAlignment="1">
      <alignment horizontal="center" vertical="top"/>
    </xf>
    <xf numFmtId="165" fontId="12" fillId="0" borderId="8" xfId="0" applyNumberFormat="1" applyFont="1" applyBorder="1" applyAlignment="1">
      <alignment horizontal="center" vertical="top" wrapText="1"/>
    </xf>
    <xf numFmtId="165" fontId="12" fillId="0" borderId="8" xfId="1" applyNumberFormat="1" applyFont="1" applyBorder="1" applyAlignment="1">
      <alignment horizontal="center" vertical="top"/>
    </xf>
    <xf numFmtId="165" fontId="14" fillId="0" borderId="8" xfId="1" applyNumberFormat="1" applyFont="1" applyBorder="1" applyAlignment="1">
      <alignment horizontal="center" vertical="top" wrapText="1"/>
    </xf>
    <xf numFmtId="165" fontId="14" fillId="0" borderId="8" xfId="1" applyNumberFormat="1" applyFont="1" applyBorder="1" applyAlignment="1">
      <alignment horizontal="center" vertical="top"/>
    </xf>
    <xf numFmtId="165" fontId="1" fillId="0" borderId="8" xfId="1" applyNumberFormat="1" applyFont="1" applyBorder="1" applyAlignment="1">
      <alignment horizontal="center" vertical="top"/>
    </xf>
    <xf numFmtId="165" fontId="0" fillId="0" borderId="8" xfId="1" applyNumberFormat="1" applyFont="1" applyBorder="1" applyAlignment="1">
      <alignment vertical="top"/>
    </xf>
    <xf numFmtId="165" fontId="1" fillId="0" borderId="8" xfId="1" applyNumberFormat="1" applyFont="1" applyBorder="1" applyAlignment="1">
      <alignment vertical="top"/>
    </xf>
    <xf numFmtId="165" fontId="0" fillId="0" borderId="8" xfId="1" applyNumberFormat="1" applyFont="1" applyBorder="1" applyAlignment="1">
      <alignment horizontal="center" vertical="top"/>
    </xf>
    <xf numFmtId="165" fontId="0" fillId="0" borderId="8" xfId="1" applyNumberFormat="1" applyFont="1" applyBorder="1" applyAlignment="1">
      <alignment vertical="top" wrapText="1"/>
    </xf>
    <xf numFmtId="165" fontId="1" fillId="0" borderId="8" xfId="1" applyNumberFormat="1" applyFont="1" applyBorder="1" applyAlignment="1">
      <alignment horizontal="center" vertical="center"/>
    </xf>
    <xf numFmtId="165" fontId="1" fillId="0" borderId="8" xfId="1" applyNumberFormat="1" applyFont="1" applyBorder="1"/>
    <xf numFmtId="0" fontId="0" fillId="0" borderId="8" xfId="0" applyBorder="1" applyAlignment="1"/>
    <xf numFmtId="0" fontId="0" fillId="0" borderId="8" xfId="0" applyBorder="1" applyAlignment="1">
      <alignment horizontal="left"/>
    </xf>
    <xf numFmtId="165" fontId="14" fillId="0" borderId="42" xfId="1" applyNumberFormat="1" applyFont="1" applyBorder="1" applyAlignment="1">
      <alignment horizontal="center"/>
    </xf>
    <xf numFmtId="165" fontId="14" fillId="0" borderId="31" xfId="1" applyNumberFormat="1" applyFont="1" applyBorder="1" applyAlignment="1">
      <alignment horizontal="center"/>
    </xf>
    <xf numFmtId="165" fontId="14" fillId="0" borderId="54" xfId="1" applyNumberFormat="1" applyFont="1" applyBorder="1" applyAlignment="1">
      <alignment horizontal="center"/>
    </xf>
    <xf numFmtId="0" fontId="12" fillId="0" borderId="43" xfId="0" applyFont="1" applyBorder="1" applyAlignment="1">
      <alignment horizontal="center"/>
    </xf>
    <xf numFmtId="0" fontId="12" fillId="0" borderId="44" xfId="0" applyFont="1" applyBorder="1" applyAlignment="1">
      <alignment horizontal="center"/>
    </xf>
    <xf numFmtId="0" fontId="12" fillId="0" borderId="47" xfId="0" applyFont="1" applyBorder="1" applyAlignment="1">
      <alignment horizontal="center"/>
    </xf>
    <xf numFmtId="0" fontId="12" fillId="0" borderId="48" xfId="0" applyFont="1" applyBorder="1" applyAlignment="1">
      <alignment horizontal="center"/>
    </xf>
    <xf numFmtId="0" fontId="75" fillId="0" borderId="0" xfId="0" applyFont="1" applyBorder="1"/>
    <xf numFmtId="0" fontId="17" fillId="0" borderId="0" xfId="0" applyFont="1"/>
    <xf numFmtId="165" fontId="70" fillId="0" borderId="0" xfId="1" applyNumberFormat="1" applyFont="1" applyAlignment="1">
      <alignment vertical="top"/>
    </xf>
    <xf numFmtId="165" fontId="69" fillId="0" borderId="0" xfId="1" applyNumberFormat="1" applyFont="1"/>
    <xf numFmtId="165" fontId="69" fillId="0" borderId="0" xfId="1" applyNumberFormat="1" applyFont="1" applyAlignment="1">
      <alignment vertical="top"/>
    </xf>
    <xf numFmtId="165" fontId="77" fillId="0" borderId="0" xfId="1" applyNumberFormat="1" applyFont="1" applyAlignment="1">
      <alignment vertical="top"/>
    </xf>
    <xf numFmtId="0" fontId="69" fillId="0" borderId="0" xfId="0" applyFont="1" applyAlignment="1">
      <alignment horizontal="left" vertical="top"/>
    </xf>
    <xf numFmtId="0" fontId="78" fillId="0" borderId="0" xfId="0" applyFont="1"/>
    <xf numFmtId="165" fontId="78" fillId="0" borderId="0" xfId="1" applyNumberFormat="1" applyFont="1"/>
    <xf numFmtId="9" fontId="12" fillId="7" borderId="0" xfId="2" applyFont="1" applyFill="1" applyBorder="1" applyAlignment="1">
      <alignment horizontal="right" vertical="center"/>
    </xf>
    <xf numFmtId="165" fontId="14" fillId="0" borderId="8" xfId="1" applyNumberFormat="1" applyFont="1" applyBorder="1" applyAlignment="1">
      <alignment vertical="center" wrapText="1"/>
    </xf>
    <xf numFmtId="0" fontId="79" fillId="0" borderId="0" xfId="0" applyFont="1"/>
    <xf numFmtId="165" fontId="79" fillId="0" borderId="0" xfId="1" applyNumberFormat="1" applyFont="1"/>
    <xf numFmtId="0" fontId="79" fillId="0" borderId="0" xfId="0" applyFont="1" applyAlignment="1">
      <alignment horizontal="left"/>
    </xf>
    <xf numFmtId="0" fontId="79" fillId="0" borderId="0" xfId="0" applyFont="1" applyAlignment="1">
      <alignment horizontal="left" vertical="top"/>
    </xf>
    <xf numFmtId="0" fontId="80" fillId="0" borderId="0" xfId="0" applyFont="1" applyFill="1"/>
    <xf numFmtId="0" fontId="81" fillId="0" borderId="0" xfId="0" applyFont="1"/>
    <xf numFmtId="0" fontId="80" fillId="0" borderId="0" xfId="0" applyFont="1"/>
    <xf numFmtId="0" fontId="83" fillId="0" borderId="0" xfId="0" applyFont="1"/>
    <xf numFmtId="165" fontId="84" fillId="0" borderId="0" xfId="1" applyNumberFormat="1" applyFont="1"/>
    <xf numFmtId="165" fontId="83" fillId="0" borderId="0" xfId="1" applyNumberFormat="1" applyFont="1" applyAlignment="1">
      <alignment vertical="top"/>
    </xf>
    <xf numFmtId="165" fontId="83" fillId="0" borderId="0" xfId="1" applyNumberFormat="1" applyFont="1"/>
    <xf numFmtId="165" fontId="85" fillId="0" borderId="0" xfId="1" applyNumberFormat="1" applyFont="1"/>
    <xf numFmtId="0" fontId="82" fillId="0" borderId="0" xfId="0" applyFont="1"/>
    <xf numFmtId="0" fontId="87" fillId="0" borderId="0" xfId="0" applyFont="1"/>
    <xf numFmtId="165" fontId="12" fillId="17" borderId="0" xfId="1" applyNumberFormat="1" applyFont="1" applyFill="1"/>
    <xf numFmtId="165" fontId="29" fillId="11" borderId="0" xfId="1" applyNumberFormat="1" applyFont="1" applyFill="1" applyBorder="1" applyAlignment="1"/>
    <xf numFmtId="168" fontId="12" fillId="0" borderId="0" xfId="0" applyNumberFormat="1" applyFont="1"/>
    <xf numFmtId="43" fontId="12" fillId="0" borderId="0" xfId="1" applyNumberFormat="1" applyFont="1"/>
    <xf numFmtId="170" fontId="12" fillId="0" borderId="0" xfId="4" applyNumberFormat="1" applyFont="1"/>
    <xf numFmtId="43" fontId="12" fillId="17" borderId="0" xfId="0" applyNumberFormat="1" applyFont="1" applyFill="1" applyAlignment="1">
      <alignment horizontal="center"/>
    </xf>
    <xf numFmtId="10" fontId="83" fillId="7" borderId="46" xfId="2" applyNumberFormat="1" applyFont="1" applyFill="1" applyBorder="1" applyAlignment="1">
      <alignment horizontal="right" vertical="center"/>
    </xf>
    <xf numFmtId="0" fontId="0" fillId="0" borderId="39" xfId="0" applyBorder="1"/>
    <xf numFmtId="0" fontId="65" fillId="0" borderId="7" xfId="0" applyFont="1" applyBorder="1"/>
    <xf numFmtId="0" fontId="73" fillId="0" borderId="7" xfId="0" applyFont="1" applyBorder="1" applyAlignment="1"/>
    <xf numFmtId="0" fontId="73" fillId="0" borderId="0" xfId="0" applyFont="1" applyBorder="1" applyAlignment="1"/>
    <xf numFmtId="0" fontId="0" fillId="0" borderId="0" xfId="0" applyBorder="1"/>
    <xf numFmtId="3" fontId="65" fillId="0" borderId="3" xfId="0" applyNumberFormat="1" applyFont="1" applyBorder="1" applyAlignment="1">
      <alignment horizontal="right"/>
    </xf>
    <xf numFmtId="9" fontId="65" fillId="0" borderId="4" xfId="0" applyNumberFormat="1" applyFont="1" applyBorder="1" applyAlignment="1">
      <alignment horizontal="right"/>
    </xf>
    <xf numFmtId="43" fontId="65" fillId="0" borderId="4" xfId="0" applyNumberFormat="1" applyFont="1" applyBorder="1" applyAlignment="1">
      <alignment horizontal="right"/>
    </xf>
    <xf numFmtId="43" fontId="24" fillId="0" borderId="8" xfId="1" applyFont="1" applyBorder="1" applyAlignment="1">
      <alignment vertical="center"/>
    </xf>
    <xf numFmtId="43" fontId="24" fillId="0" borderId="8" xfId="1" applyFont="1" applyBorder="1" applyAlignment="1">
      <alignment horizontal="right" vertical="center"/>
    </xf>
    <xf numFmtId="0" fontId="0" fillId="0" borderId="39" xfId="0" applyBorder="1"/>
    <xf numFmtId="0" fontId="65" fillId="0" borderId="7" xfId="0" applyFont="1" applyBorder="1"/>
    <xf numFmtId="165" fontId="0" fillId="0" borderId="8" xfId="1" applyNumberFormat="1" applyFont="1" applyBorder="1" applyAlignment="1">
      <alignment horizontal="center" vertical="top"/>
    </xf>
    <xf numFmtId="3" fontId="65" fillId="0" borderId="0" xfId="0" applyNumberFormat="1" applyFont="1" applyBorder="1" applyAlignment="1">
      <alignment horizontal="right"/>
    </xf>
    <xf numFmtId="9" fontId="65" fillId="0" borderId="0" xfId="0" applyNumberFormat="1" applyFont="1" applyBorder="1" applyAlignment="1">
      <alignment horizontal="right"/>
    </xf>
    <xf numFmtId="0" fontId="65" fillId="0" borderId="0" xfId="0" applyFont="1" applyBorder="1" applyAlignment="1">
      <alignment horizontal="right"/>
    </xf>
    <xf numFmtId="0" fontId="65" fillId="0" borderId="39" xfId="0" applyFont="1" applyBorder="1" applyAlignment="1">
      <alignment horizontal="right"/>
    </xf>
    <xf numFmtId="3" fontId="65" fillId="0" borderId="52" xfId="0" applyNumberFormat="1" applyFont="1" applyBorder="1" applyAlignment="1">
      <alignment horizontal="right"/>
    </xf>
    <xf numFmtId="9" fontId="65" fillId="0" borderId="52" xfId="0" applyNumberFormat="1" applyFont="1" applyBorder="1" applyAlignment="1">
      <alignment horizontal="right"/>
    </xf>
    <xf numFmtId="37" fontId="12" fillId="7" borderId="0" xfId="1" applyNumberFormat="1" applyFont="1" applyFill="1" applyBorder="1" applyAlignment="1">
      <alignment horizontal="left" vertical="center"/>
    </xf>
    <xf numFmtId="0" fontId="0" fillId="0" borderId="39" xfId="0" applyBorder="1"/>
    <xf numFmtId="0" fontId="65" fillId="0" borderId="7" xfId="0" applyFont="1" applyBorder="1"/>
    <xf numFmtId="165" fontId="0" fillId="0" borderId="8" xfId="1" applyNumberFormat="1" applyFont="1" applyBorder="1" applyAlignment="1">
      <alignment horizontal="center" vertical="top" wrapText="1"/>
    </xf>
    <xf numFmtId="0" fontId="30" fillId="0" borderId="0" xfId="0" applyFont="1"/>
    <xf numFmtId="165" fontId="37" fillId="0" borderId="8" xfId="0" applyNumberFormat="1" applyFont="1" applyBorder="1" applyAlignment="1">
      <alignment horizontal="center" wrapText="1"/>
    </xf>
    <xf numFmtId="165" fontId="37" fillId="0" borderId="16" xfId="0" applyNumberFormat="1" applyFont="1" applyBorder="1" applyAlignment="1">
      <alignment horizontal="center" wrapText="1"/>
    </xf>
    <xf numFmtId="165" fontId="37" fillId="0" borderId="17" xfId="0" applyNumberFormat="1" applyFont="1" applyBorder="1" applyAlignment="1">
      <alignment horizontal="center" wrapText="1"/>
    </xf>
    <xf numFmtId="165" fontId="0" fillId="0" borderId="16" xfId="1" applyNumberFormat="1" applyFont="1" applyBorder="1"/>
    <xf numFmtId="165" fontId="0" fillId="0" borderId="17" xfId="1" applyNumberFormat="1" applyFont="1" applyBorder="1"/>
    <xf numFmtId="165" fontId="0" fillId="0" borderId="27" xfId="1" applyNumberFormat="1" applyFont="1" applyBorder="1"/>
    <xf numFmtId="165" fontId="0" fillId="0" borderId="29" xfId="1" applyNumberFormat="1" applyFont="1" applyBorder="1"/>
    <xf numFmtId="165" fontId="0" fillId="0" borderId="28" xfId="1" applyNumberFormat="1" applyFont="1" applyBorder="1"/>
    <xf numFmtId="0" fontId="0" fillId="0" borderId="24" xfId="0" applyBorder="1"/>
    <xf numFmtId="0" fontId="0" fillId="0" borderId="26" xfId="0" applyBorder="1"/>
    <xf numFmtId="0" fontId="0" fillId="0" borderId="16" xfId="0" applyBorder="1"/>
    <xf numFmtId="0" fontId="0" fillId="0" borderId="17" xfId="0" applyBorder="1"/>
    <xf numFmtId="165" fontId="0" fillId="0" borderId="17" xfId="0" applyNumberFormat="1" applyBorder="1"/>
    <xf numFmtId="165" fontId="0" fillId="0" borderId="29" xfId="0" applyNumberFormat="1" applyBorder="1"/>
    <xf numFmtId="0" fontId="0" fillId="0" borderId="30" xfId="0" applyBorder="1"/>
    <xf numFmtId="0" fontId="0" fillId="0" borderId="21" xfId="0" applyBorder="1"/>
    <xf numFmtId="165" fontId="37" fillId="0" borderId="21" xfId="0" applyNumberFormat="1" applyFont="1" applyBorder="1" applyAlignment="1">
      <alignment horizontal="center" wrapText="1"/>
    </xf>
    <xf numFmtId="165" fontId="0" fillId="0" borderId="21" xfId="1" applyNumberFormat="1" applyFont="1" applyBorder="1"/>
    <xf numFmtId="0" fontId="12" fillId="0" borderId="21" xfId="0" applyFont="1" applyBorder="1" applyAlignment="1">
      <alignment horizontal="center" vertical="top"/>
    </xf>
    <xf numFmtId="9" fontId="1" fillId="0" borderId="8" xfId="2" applyFont="1" applyBorder="1" applyAlignment="1">
      <alignment vertical="top"/>
    </xf>
    <xf numFmtId="0" fontId="14" fillId="7" borderId="8" xfId="0" applyFont="1" applyFill="1" applyBorder="1" applyAlignment="1">
      <alignment vertical="top" wrapText="1"/>
    </xf>
    <xf numFmtId="0" fontId="12" fillId="7" borderId="8" xfId="0" applyFont="1" applyFill="1" applyBorder="1"/>
    <xf numFmtId="43" fontId="12" fillId="7" borderId="8" xfId="1" applyFont="1" applyFill="1" applyBorder="1"/>
    <xf numFmtId="168" fontId="12" fillId="7" borderId="8" xfId="1" applyNumberFormat="1" applyFont="1" applyFill="1" applyBorder="1"/>
    <xf numFmtId="43" fontId="12" fillId="7" borderId="8" xfId="1" applyNumberFormat="1" applyFont="1" applyFill="1" applyBorder="1"/>
    <xf numFmtId="0" fontId="25" fillId="7" borderId="0" xfId="0" applyFont="1" applyFill="1"/>
    <xf numFmtId="0" fontId="21" fillId="7" borderId="0" xfId="0" applyFont="1" applyFill="1"/>
    <xf numFmtId="0" fontId="26" fillId="7" borderId="0" xfId="0" applyFont="1" applyFill="1"/>
    <xf numFmtId="165" fontId="25" fillId="7" borderId="0" xfId="0" applyNumberFormat="1" applyFont="1" applyFill="1"/>
    <xf numFmtId="165" fontId="26" fillId="7" borderId="0" xfId="0" applyNumberFormat="1" applyFont="1" applyFill="1"/>
    <xf numFmtId="0" fontId="26" fillId="7" borderId="42" xfId="0" applyFont="1" applyFill="1" applyBorder="1" applyAlignment="1"/>
    <xf numFmtId="0" fontId="26" fillId="7" borderId="31" xfId="0" applyFont="1" applyFill="1" applyBorder="1" applyAlignment="1"/>
    <xf numFmtId="0" fontId="25" fillId="7" borderId="8" xfId="0" applyFont="1" applyFill="1" applyBorder="1"/>
    <xf numFmtId="0" fontId="21" fillId="7" borderId="8" xfId="0" applyFont="1" applyFill="1" applyBorder="1"/>
    <xf numFmtId="0" fontId="26" fillId="7" borderId="8" xfId="0" applyFont="1" applyFill="1" applyBorder="1"/>
    <xf numFmtId="0" fontId="26" fillId="7" borderId="8" xfId="0" applyFont="1" applyFill="1" applyBorder="1" applyAlignment="1">
      <alignment wrapText="1"/>
    </xf>
    <xf numFmtId="165" fontId="27" fillId="7" borderId="8" xfId="1" applyNumberFormat="1" applyFont="1" applyFill="1" applyBorder="1" applyAlignment="1">
      <alignment horizontal="center" wrapText="1"/>
    </xf>
    <xf numFmtId="0" fontId="27" fillId="7" borderId="8" xfId="0" applyFont="1" applyFill="1" applyBorder="1" applyAlignment="1">
      <alignment wrapText="1"/>
    </xf>
    <xf numFmtId="165" fontId="27" fillId="7" borderId="17" xfId="1" applyNumberFormat="1" applyFont="1" applyFill="1" applyBorder="1" applyAlignment="1">
      <alignment wrapText="1"/>
    </xf>
    <xf numFmtId="3" fontId="25" fillId="7" borderId="8" xfId="0" applyNumberFormat="1" applyFont="1" applyFill="1" applyBorder="1"/>
    <xf numFmtId="3" fontId="21" fillId="7" borderId="8" xfId="0" applyNumberFormat="1" applyFont="1" applyFill="1" applyBorder="1"/>
    <xf numFmtId="165" fontId="25" fillId="7" borderId="8" xfId="1" applyNumberFormat="1" applyFont="1" applyFill="1" applyBorder="1"/>
    <xf numFmtId="165" fontId="26" fillId="7" borderId="8" xfId="1" applyNumberFormat="1" applyFont="1" applyFill="1" applyBorder="1"/>
    <xf numFmtId="0" fontId="28" fillId="7" borderId="8" xfId="0" applyFont="1" applyFill="1" applyBorder="1" applyAlignment="1">
      <alignment wrapText="1"/>
    </xf>
    <xf numFmtId="0" fontId="28" fillId="7" borderId="8" xfId="0" applyFont="1" applyFill="1" applyBorder="1"/>
    <xf numFmtId="0" fontId="28" fillId="7" borderId="0" xfId="0" applyFont="1" applyFill="1" applyBorder="1" applyAlignment="1">
      <alignment wrapText="1"/>
    </xf>
    <xf numFmtId="0" fontId="28" fillId="7" borderId="0" xfId="0" applyFont="1" applyFill="1" applyBorder="1"/>
    <xf numFmtId="0" fontId="25" fillId="7" borderId="0" xfId="0" applyFont="1" applyFill="1" applyBorder="1"/>
    <xf numFmtId="0" fontId="26" fillId="7" borderId="32" xfId="0" applyFont="1" applyFill="1" applyBorder="1" applyAlignment="1"/>
    <xf numFmtId="0" fontId="26" fillId="7" borderId="33" xfId="0" applyFont="1" applyFill="1" applyBorder="1" applyAlignment="1"/>
    <xf numFmtId="0" fontId="25" fillId="7" borderId="16" xfId="0" applyFont="1" applyFill="1" applyBorder="1"/>
    <xf numFmtId="0" fontId="71" fillId="7" borderId="16" xfId="0" applyFont="1" applyFill="1" applyBorder="1" applyAlignment="1">
      <alignment vertical="top"/>
    </xf>
    <xf numFmtId="0" fontId="71" fillId="7" borderId="8" xfId="0" applyFont="1" applyFill="1" applyBorder="1" applyAlignment="1">
      <alignment horizontal="center" vertical="top" wrapText="1"/>
    </xf>
    <xf numFmtId="0" fontId="72" fillId="7" borderId="0" xfId="0" applyFont="1" applyFill="1" applyAlignment="1">
      <alignment vertical="top"/>
    </xf>
    <xf numFmtId="9" fontId="72" fillId="7" borderId="0" xfId="0" applyNumberFormat="1" applyFont="1" applyFill="1" applyAlignment="1">
      <alignment vertical="top"/>
    </xf>
    <xf numFmtId="0" fontId="86" fillId="7" borderId="0" xfId="0" applyFont="1" applyFill="1"/>
    <xf numFmtId="43" fontId="25" fillId="7" borderId="0" xfId="0" applyNumberFormat="1" applyFont="1" applyFill="1"/>
    <xf numFmtId="0" fontId="26" fillId="7" borderId="16" xfId="0" applyFont="1" applyFill="1" applyBorder="1"/>
    <xf numFmtId="165" fontId="26" fillId="7" borderId="8" xfId="0" applyNumberFormat="1" applyFont="1" applyFill="1" applyBorder="1"/>
    <xf numFmtId="0" fontId="21" fillId="7" borderId="0" xfId="0" applyFont="1" applyFill="1" applyBorder="1"/>
    <xf numFmtId="0" fontId="74" fillId="7" borderId="0" xfId="0" applyFont="1" applyFill="1"/>
    <xf numFmtId="0" fontId="75" fillId="7" borderId="0" xfId="0" applyFont="1" applyFill="1" applyBorder="1"/>
    <xf numFmtId="0" fontId="74" fillId="7" borderId="0" xfId="0" applyFont="1" applyFill="1" applyBorder="1"/>
    <xf numFmtId="0" fontId="24" fillId="7" borderId="0" xfId="0" applyFont="1" applyFill="1" applyBorder="1"/>
    <xf numFmtId="0" fontId="12" fillId="7" borderId="0" xfId="0" applyFont="1" applyFill="1"/>
    <xf numFmtId="0" fontId="26" fillId="7" borderId="0" xfId="0" applyFont="1" applyFill="1" applyBorder="1" applyAlignment="1"/>
    <xf numFmtId="0" fontId="0" fillId="7" borderId="0" xfId="0" applyFill="1"/>
    <xf numFmtId="0" fontId="86" fillId="7" borderId="0" xfId="0" applyFont="1" applyFill="1" applyBorder="1"/>
    <xf numFmtId="0" fontId="26" fillId="7" borderId="0" xfId="0" applyFont="1" applyFill="1" applyBorder="1" applyAlignment="1">
      <alignment wrapText="1"/>
    </xf>
    <xf numFmtId="0" fontId="67" fillId="7" borderId="0" xfId="0" applyFont="1" applyFill="1" applyAlignment="1">
      <alignment horizontal="justify"/>
    </xf>
    <xf numFmtId="165" fontId="25" fillId="7" borderId="0" xfId="1" applyNumberFormat="1" applyFont="1" applyFill="1" applyBorder="1"/>
    <xf numFmtId="3" fontId="25" fillId="7" borderId="0" xfId="0" applyNumberFormat="1" applyFont="1" applyFill="1" applyBorder="1"/>
    <xf numFmtId="0" fontId="26" fillId="7" borderId="0" xfId="0" applyFont="1" applyFill="1" applyBorder="1"/>
    <xf numFmtId="165" fontId="26" fillId="7" borderId="0" xfId="1" applyNumberFormat="1" applyFont="1" applyFill="1" applyBorder="1"/>
    <xf numFmtId="37" fontId="12" fillId="7" borderId="0" xfId="1" applyNumberFormat="1" applyFont="1" applyFill="1" applyBorder="1" applyAlignment="1">
      <alignment horizontal="right" vertical="center"/>
    </xf>
    <xf numFmtId="37" fontId="12" fillId="7" borderId="0" xfId="2" applyNumberFormat="1" applyFont="1" applyFill="1" applyBorder="1" applyAlignment="1">
      <alignment horizontal="right" vertical="center"/>
    </xf>
    <xf numFmtId="43" fontId="12" fillId="7" borderId="0" xfId="1" applyFont="1" applyFill="1" applyBorder="1" applyAlignment="1">
      <alignment horizontal="right" vertical="center"/>
    </xf>
    <xf numFmtId="0" fontId="73" fillId="0" borderId="50" xfId="0" applyFont="1" applyBorder="1" applyAlignment="1"/>
    <xf numFmtId="165" fontId="0" fillId="0" borderId="52" xfId="1" applyNumberFormat="1" applyFont="1" applyBorder="1"/>
    <xf numFmtId="0" fontId="0" fillId="0" borderId="16" xfId="1" applyNumberFormat="1" applyFont="1" applyBorder="1"/>
    <xf numFmtId="169" fontId="0" fillId="0" borderId="16" xfId="1" applyNumberFormat="1" applyFont="1" applyBorder="1"/>
    <xf numFmtId="169" fontId="0" fillId="0" borderId="27" xfId="1" applyNumberFormat="1" applyFont="1" applyBorder="1"/>
    <xf numFmtId="0" fontId="0" fillId="0" borderId="17" xfId="1" applyNumberFormat="1" applyFont="1" applyBorder="1"/>
    <xf numFmtId="169" fontId="0" fillId="0" borderId="17" xfId="1" applyNumberFormat="1" applyFont="1" applyBorder="1"/>
    <xf numFmtId="169" fontId="0" fillId="0" borderId="29" xfId="1" applyNumberFormat="1" applyFont="1" applyBorder="1"/>
    <xf numFmtId="43" fontId="0" fillId="0" borderId="16" xfId="1" applyNumberFormat="1" applyFont="1" applyBorder="1"/>
    <xf numFmtId="3" fontId="0" fillId="0" borderId="16" xfId="1" applyNumberFormat="1" applyFont="1" applyBorder="1"/>
    <xf numFmtId="3" fontId="0" fillId="0" borderId="27" xfId="1" applyNumberFormat="1" applyFont="1" applyBorder="1"/>
    <xf numFmtId="169" fontId="0" fillId="0" borderId="8" xfId="1" applyNumberFormat="1" applyFont="1" applyBorder="1"/>
    <xf numFmtId="0" fontId="0" fillId="0" borderId="39" xfId="0" applyBorder="1"/>
    <xf numFmtId="165" fontId="0" fillId="0" borderId="8" xfId="1" applyNumberFormat="1" applyFont="1" applyBorder="1" applyAlignment="1">
      <alignment horizontal="center" vertical="top"/>
    </xf>
    <xf numFmtId="0" fontId="65" fillId="0" borderId="0" xfId="0" applyFont="1" applyBorder="1"/>
    <xf numFmtId="0" fontId="73" fillId="0" borderId="7" xfId="0" applyFont="1" applyBorder="1"/>
    <xf numFmtId="165" fontId="1" fillId="0" borderId="8" xfId="1" applyNumberFormat="1" applyFont="1" applyBorder="1" applyAlignment="1">
      <alignment horizontal="right" vertical="top" wrapText="1"/>
    </xf>
    <xf numFmtId="0" fontId="0" fillId="0" borderId="8" xfId="0" applyFont="1" applyBorder="1" applyAlignment="1"/>
    <xf numFmtId="0" fontId="73" fillId="0" borderId="39" xfId="0" applyFont="1" applyBorder="1" applyAlignment="1">
      <alignment horizontal="right"/>
    </xf>
    <xf numFmtId="0" fontId="73" fillId="0" borderId="0" xfId="0" applyFont="1" applyBorder="1" applyAlignment="1">
      <alignment horizontal="right"/>
    </xf>
    <xf numFmtId="9" fontId="73" fillId="0" borderId="0" xfId="0" applyNumberFormat="1" applyFont="1" applyBorder="1" applyAlignment="1">
      <alignment horizontal="right"/>
    </xf>
    <xf numFmtId="9" fontId="73" fillId="0" borderId="52" xfId="0" applyNumberFormat="1" applyFont="1" applyBorder="1" applyAlignment="1">
      <alignment horizontal="right"/>
    </xf>
    <xf numFmtId="0" fontId="0" fillId="0" borderId="8" xfId="0" applyBorder="1" applyAlignment="1">
      <alignment horizontal="center" wrapText="1"/>
    </xf>
    <xf numFmtId="0" fontId="0" fillId="0" borderId="8" xfId="0" applyBorder="1" applyAlignment="1">
      <alignment wrapText="1"/>
    </xf>
    <xf numFmtId="3" fontId="73" fillId="0" borderId="0" xfId="0" applyNumberFormat="1" applyFont="1" applyBorder="1" applyAlignment="1">
      <alignment horizontal="right"/>
    </xf>
    <xf numFmtId="3" fontId="73" fillId="0" borderId="52" xfId="0" applyNumberFormat="1" applyFont="1" applyBorder="1" applyAlignment="1">
      <alignment horizontal="right"/>
    </xf>
    <xf numFmtId="43" fontId="73" fillId="0" borderId="5" xfId="0" applyNumberFormat="1" applyFont="1" applyBorder="1" applyAlignment="1">
      <alignment horizontal="right"/>
    </xf>
    <xf numFmtId="43" fontId="73" fillId="0" borderId="4" xfId="0" applyNumberFormat="1" applyFont="1" applyBorder="1" applyAlignment="1">
      <alignment horizontal="right"/>
    </xf>
    <xf numFmtId="0" fontId="0" fillId="0" borderId="0" xfId="0" applyAlignment="1">
      <alignment wrapText="1"/>
    </xf>
    <xf numFmtId="3" fontId="0" fillId="0" borderId="63" xfId="0" applyNumberFormat="1" applyFont="1" applyBorder="1"/>
    <xf numFmtId="43" fontId="0" fillId="0" borderId="21" xfId="1" applyNumberFormat="1" applyFont="1" applyBorder="1"/>
    <xf numFmtId="0" fontId="65" fillId="0" borderId="0" xfId="0" applyFont="1" applyBorder="1"/>
    <xf numFmtId="0" fontId="12" fillId="0" borderId="8" xfId="0" applyFont="1" applyBorder="1" applyAlignment="1">
      <alignment horizontal="left" vertical="top" wrapText="1"/>
    </xf>
    <xf numFmtId="0" fontId="29" fillId="0" borderId="30" xfId="0" applyFont="1" applyFill="1" applyBorder="1" applyAlignment="1">
      <alignment vertical="top" wrapText="1"/>
    </xf>
    <xf numFmtId="165" fontId="83" fillId="0" borderId="21" xfId="1" applyNumberFormat="1" applyFont="1" applyFill="1" applyBorder="1"/>
    <xf numFmtId="165" fontId="12" fillId="0" borderId="21" xfId="1" applyNumberFormat="1" applyFont="1" applyFill="1" applyBorder="1"/>
    <xf numFmtId="165" fontId="29" fillId="0" borderId="21" xfId="1" applyNumberFormat="1" applyFont="1" applyFill="1" applyBorder="1"/>
    <xf numFmtId="0" fontId="0" fillId="0" borderId="38" xfId="0" applyBorder="1"/>
    <xf numFmtId="0" fontId="0" fillId="0" borderId="39" xfId="0" applyBorder="1"/>
    <xf numFmtId="0" fontId="65" fillId="0" borderId="7" xfId="0" applyFont="1" applyBorder="1"/>
    <xf numFmtId="0" fontId="65" fillId="0" borderId="0" xfId="0" applyFont="1" applyBorder="1"/>
    <xf numFmtId="0" fontId="73" fillId="0" borderId="7" xfId="0" applyFont="1" applyBorder="1"/>
    <xf numFmtId="0" fontId="73" fillId="0" borderId="0" xfId="0" applyFont="1" applyBorder="1"/>
    <xf numFmtId="0" fontId="73" fillId="0" borderId="50" xfId="0" applyFont="1" applyBorder="1"/>
    <xf numFmtId="0" fontId="73" fillId="0" borderId="52" xfId="0" applyFont="1" applyBorder="1"/>
    <xf numFmtId="165" fontId="70" fillId="0" borderId="0" xfId="1" applyNumberFormat="1" applyFont="1" applyAlignment="1">
      <alignment horizontal="left" vertical="top" wrapText="1"/>
    </xf>
    <xf numFmtId="0" fontId="14" fillId="0" borderId="35" xfId="0" applyFont="1" applyBorder="1" applyAlignment="1">
      <alignment horizontal="center"/>
    </xf>
    <xf numFmtId="0" fontId="68" fillId="0" borderId="0" xfId="0" applyFont="1" applyBorder="1" applyAlignment="1">
      <alignment horizontal="center" wrapText="1"/>
    </xf>
    <xf numFmtId="0" fontId="26" fillId="7" borderId="8" xfId="0" applyFont="1" applyFill="1" applyBorder="1" applyAlignment="1">
      <alignment horizontal="center"/>
    </xf>
    <xf numFmtId="0" fontId="14" fillId="2" borderId="32" xfId="0" applyFont="1" applyFill="1" applyBorder="1" applyAlignment="1">
      <alignment horizontal="center"/>
    </xf>
    <xf numFmtId="0" fontId="14" fillId="2" borderId="33" xfId="0" applyFont="1" applyFill="1" applyBorder="1" applyAlignment="1">
      <alignment horizontal="center"/>
    </xf>
    <xf numFmtId="0" fontId="14" fillId="2" borderId="34" xfId="0" applyFont="1" applyFill="1" applyBorder="1" applyAlignment="1">
      <alignment horizontal="center"/>
    </xf>
    <xf numFmtId="0" fontId="14" fillId="3" borderId="32" xfId="0" applyFont="1" applyFill="1" applyBorder="1" applyAlignment="1">
      <alignment horizontal="center"/>
    </xf>
    <xf numFmtId="0" fontId="14" fillId="3" borderId="33" xfId="0" applyFont="1" applyFill="1" applyBorder="1" applyAlignment="1">
      <alignment horizontal="center"/>
    </xf>
    <xf numFmtId="0" fontId="14" fillId="3" borderId="34" xfId="0" applyFont="1" applyFill="1" applyBorder="1" applyAlignment="1">
      <alignment horizontal="center"/>
    </xf>
    <xf numFmtId="0" fontId="6" fillId="0" borderId="23" xfId="0" applyFont="1" applyBorder="1"/>
    <xf numFmtId="0" fontId="6" fillId="0" borderId="2" xfId="0" applyFont="1" applyBorder="1"/>
    <xf numFmtId="0" fontId="14" fillId="0" borderId="28" xfId="0" applyFont="1" applyBorder="1" applyAlignment="1">
      <alignment horizontal="center"/>
    </xf>
    <xf numFmtId="0" fontId="14" fillId="0" borderId="29" xfId="0" applyFont="1" applyBorder="1" applyAlignment="1">
      <alignment horizontal="center"/>
    </xf>
    <xf numFmtId="0" fontId="63" fillId="15" borderId="61" xfId="0" applyFont="1" applyFill="1" applyBorder="1" applyAlignment="1">
      <alignment horizontal="center" vertical="top"/>
    </xf>
    <xf numFmtId="0" fontId="63" fillId="15" borderId="62" xfId="0" applyFont="1" applyFill="1" applyBorder="1" applyAlignment="1">
      <alignment horizontal="center" vertical="top"/>
    </xf>
    <xf numFmtId="0" fontId="36" fillId="0" borderId="0" xfId="0" applyFont="1" applyBorder="1" applyAlignment="1">
      <alignment horizontal="center" wrapText="1"/>
    </xf>
    <xf numFmtId="0" fontId="26" fillId="0" borderId="8" xfId="0" applyFont="1" applyBorder="1" applyAlignment="1">
      <alignment horizontal="center"/>
    </xf>
    <xf numFmtId="0" fontId="0" fillId="0" borderId="24" xfId="0" applyBorder="1" applyAlignment="1">
      <alignment horizontal="center"/>
    </xf>
    <xf numFmtId="0" fontId="0" fillId="0" borderId="26" xfId="0" applyBorder="1" applyAlignment="1">
      <alignment horizontal="center"/>
    </xf>
    <xf numFmtId="0" fontId="0" fillId="0" borderId="25" xfId="0" applyBorder="1" applyAlignment="1">
      <alignment horizontal="center"/>
    </xf>
    <xf numFmtId="0" fontId="0" fillId="0" borderId="8" xfId="0" applyBorder="1" applyAlignment="1">
      <alignment horizontal="center" vertical="top"/>
    </xf>
    <xf numFmtId="165" fontId="0" fillId="0" borderId="8" xfId="1" applyNumberFormat="1" applyFont="1" applyBorder="1" applyAlignment="1">
      <alignment horizontal="center" vertical="top"/>
    </xf>
    <xf numFmtId="165" fontId="12" fillId="0" borderId="13" xfId="1" applyNumberFormat="1" applyFont="1" applyBorder="1" applyAlignment="1">
      <alignment horizontal="center"/>
    </xf>
    <xf numFmtId="165" fontId="12" fillId="0" borderId="9" xfId="1" applyNumberFormat="1" applyFont="1" applyBorder="1" applyAlignment="1">
      <alignment horizontal="center"/>
    </xf>
    <xf numFmtId="169" fontId="30" fillId="0" borderId="0" xfId="0" applyNumberFormat="1" applyFont="1"/>
    <xf numFmtId="165" fontId="30" fillId="0" borderId="0" xfId="0" applyNumberFormat="1" applyFont="1"/>
    <xf numFmtId="165" fontId="90" fillId="0" borderId="0" xfId="1" applyNumberFormat="1" applyFont="1"/>
    <xf numFmtId="0" fontId="90" fillId="0" borderId="0" xfId="0" applyFont="1"/>
    <xf numFmtId="165" fontId="37" fillId="0" borderId="0" xfId="1" applyNumberFormat="1" applyFont="1"/>
    <xf numFmtId="0" fontId="21" fillId="0" borderId="9" xfId="0" applyFont="1" applyBorder="1"/>
    <xf numFmtId="0" fontId="28" fillId="0" borderId="9" xfId="0" applyFont="1" applyBorder="1"/>
    <xf numFmtId="165" fontId="21" fillId="0" borderId="9" xfId="1" applyNumberFormat="1" applyFont="1" applyBorder="1"/>
    <xf numFmtId="0" fontId="28" fillId="0" borderId="9" xfId="0" applyFont="1" applyBorder="1" applyAlignment="1">
      <alignment wrapText="1"/>
    </xf>
    <xf numFmtId="164" fontId="21" fillId="0" borderId="0" xfId="0" applyNumberFormat="1" applyFont="1"/>
    <xf numFmtId="169" fontId="21" fillId="0" borderId="8" xfId="0" applyNumberFormat="1" applyFont="1" applyBorder="1"/>
    <xf numFmtId="164" fontId="21" fillId="0" borderId="8" xfId="1" applyNumberFormat="1" applyFont="1" applyBorder="1"/>
    <xf numFmtId="43" fontId="21" fillId="0" borderId="0" xfId="1" applyFont="1"/>
    <xf numFmtId="169" fontId="21" fillId="0" borderId="0" xfId="0" applyNumberFormat="1" applyFont="1"/>
    <xf numFmtId="169" fontId="21" fillId="0" borderId="8" xfId="1" applyNumberFormat="1" applyFont="1" applyBorder="1"/>
    <xf numFmtId="0" fontId="26" fillId="0" borderId="0" xfId="0" applyFont="1"/>
    <xf numFmtId="0" fontId="26" fillId="0" borderId="8" xfId="0" applyFont="1" applyBorder="1" applyAlignment="1">
      <alignment horizontal="center" wrapText="1"/>
    </xf>
    <xf numFmtId="0" fontId="21" fillId="0" borderId="13" xfId="0" applyFont="1" applyBorder="1"/>
    <xf numFmtId="0" fontId="26" fillId="0" borderId="54" xfId="0" applyFont="1" applyBorder="1"/>
    <xf numFmtId="0" fontId="26" fillId="0" borderId="31" xfId="0" applyFont="1" applyBorder="1"/>
    <xf numFmtId="0" fontId="26" fillId="0" borderId="42" xfId="0" applyFont="1" applyBorder="1"/>
    <xf numFmtId="165" fontId="26" fillId="0" borderId="0" xfId="1" applyNumberFormat="1" applyFont="1"/>
    <xf numFmtId="3" fontId="21" fillId="0" borderId="0" xfId="0" applyNumberFormat="1" applyFont="1"/>
    <xf numFmtId="165" fontId="21" fillId="0" borderId="0" xfId="1" applyNumberFormat="1" applyFont="1"/>
    <xf numFmtId="169" fontId="0" fillId="0" borderId="0" xfId="0" applyNumberFormat="1"/>
    <xf numFmtId="169" fontId="0" fillId="0" borderId="8" xfId="0" applyNumberFormat="1" applyBorder="1"/>
    <xf numFmtId="165" fontId="37" fillId="0" borderId="8" xfId="0" applyNumberFormat="1" applyFont="1" applyBorder="1"/>
    <xf numFmtId="164" fontId="0" fillId="0" borderId="8" xfId="0" applyNumberFormat="1" applyBorder="1"/>
    <xf numFmtId="164" fontId="26" fillId="0" borderId="0" xfId="0" applyNumberFormat="1" applyFont="1"/>
    <xf numFmtId="171" fontId="0" fillId="0" borderId="8" xfId="1" applyNumberFormat="1" applyFont="1" applyBorder="1"/>
    <xf numFmtId="0" fontId="26" fillId="0" borderId="0" xfId="0" applyFont="1" applyAlignment="1">
      <alignment wrapText="1"/>
    </xf>
    <xf numFmtId="165" fontId="26" fillId="0" borderId="0" xfId="0" applyNumberFormat="1" applyFont="1"/>
    <xf numFmtId="0" fontId="21" fillId="18" borderId="0" xfId="0" applyFont="1" applyFill="1"/>
    <xf numFmtId="164" fontId="0" fillId="0" borderId="0" xfId="0" applyNumberFormat="1"/>
    <xf numFmtId="0" fontId="34" fillId="0" borderId="8" xfId="0" applyFont="1" applyBorder="1"/>
    <xf numFmtId="0" fontId="34" fillId="0" borderId="8" xfId="0" applyFont="1" applyBorder="1" applyAlignment="1">
      <alignment horizontal="center" wrapText="1"/>
    </xf>
    <xf numFmtId="165" fontId="0" fillId="0" borderId="8" xfId="0" applyNumberFormat="1" applyBorder="1"/>
    <xf numFmtId="0" fontId="30" fillId="0" borderId="8" xfId="0" applyFont="1" applyBorder="1"/>
    <xf numFmtId="0" fontId="34" fillId="0" borderId="44" xfId="0" applyFont="1" applyBorder="1" applyAlignment="1">
      <alignment horizontal="center" wrapText="1"/>
    </xf>
    <xf numFmtId="0" fontId="34" fillId="0" borderId="43" xfId="0" applyFont="1" applyBorder="1" applyAlignment="1">
      <alignment horizontal="center" wrapText="1"/>
    </xf>
    <xf numFmtId="165" fontId="30" fillId="0" borderId="8" xfId="0" applyNumberFormat="1" applyFont="1" applyBorder="1"/>
    <xf numFmtId="3" fontId="0" fillId="0" borderId="8" xfId="0" applyNumberFormat="1" applyBorder="1"/>
    <xf numFmtId="43" fontId="0" fillId="0" borderId="8" xfId="1" applyFont="1" applyBorder="1"/>
    <xf numFmtId="0" fontId="30" fillId="0" borderId="8" xfId="0" applyFont="1" applyBorder="1" applyAlignment="1">
      <alignment wrapText="1"/>
    </xf>
    <xf numFmtId="0" fontId="30" fillId="0" borderId="31" xfId="0" applyFont="1" applyBorder="1"/>
    <xf numFmtId="0" fontId="30" fillId="0" borderId="42" xfId="0" applyFont="1" applyBorder="1"/>
    <xf numFmtId="3" fontId="0" fillId="0" borderId="0" xfId="0" applyNumberFormat="1"/>
    <xf numFmtId="3" fontId="9" fillId="0" borderId="4" xfId="0" applyNumberFormat="1" applyFont="1" applyBorder="1" applyAlignment="1">
      <alignment horizontal="right" vertical="center"/>
    </xf>
    <xf numFmtId="0" fontId="0" fillId="4" borderId="0" xfId="0" applyFill="1"/>
    <xf numFmtId="0" fontId="30" fillId="4" borderId="0" xfId="0" applyFont="1" applyFill="1"/>
    <xf numFmtId="0" fontId="30" fillId="8" borderId="0" xfId="0" applyFont="1" applyFill="1"/>
    <xf numFmtId="43" fontId="21" fillId="0" borderId="8" xfId="1" applyFont="1" applyBorder="1"/>
    <xf numFmtId="168" fontId="21" fillId="0" borderId="8" xfId="1" applyNumberFormat="1" applyFont="1" applyBorder="1"/>
    <xf numFmtId="0" fontId="92" fillId="0" borderId="0" xfId="0" applyFont="1"/>
    <xf numFmtId="0" fontId="93" fillId="0" borderId="0" xfId="0" applyFont="1" applyAlignment="1">
      <alignment horizontal="center" wrapText="1"/>
    </xf>
    <xf numFmtId="0" fontId="9" fillId="0" borderId="4" xfId="0" applyFont="1" applyBorder="1" applyAlignment="1">
      <alignment vertical="center"/>
    </xf>
    <xf numFmtId="0" fontId="9" fillId="0" borderId="4" xfId="0" applyFont="1" applyBorder="1" applyAlignment="1">
      <alignment horizontal="right" vertical="center"/>
    </xf>
    <xf numFmtId="0" fontId="94" fillId="0" borderId="3" xfId="0" applyFont="1" applyBorder="1" applyAlignment="1">
      <alignment vertical="center" wrapText="1"/>
    </xf>
    <xf numFmtId="3" fontId="9" fillId="0" borderId="0" xfId="0" applyNumberFormat="1" applyFont="1" applyAlignment="1">
      <alignment horizontal="right" vertical="center"/>
    </xf>
    <xf numFmtId="3" fontId="10" fillId="0" borderId="4" xfId="0" applyNumberFormat="1" applyFont="1" applyBorder="1" applyAlignment="1">
      <alignment horizontal="right" vertical="center"/>
    </xf>
    <xf numFmtId="0" fontId="10" fillId="0" borderId="3" xfId="0" applyFont="1" applyBorder="1" applyAlignment="1">
      <alignment vertical="center"/>
    </xf>
    <xf numFmtId="0" fontId="9" fillId="0" borderId="3" xfId="0" applyFont="1" applyBorder="1" applyAlignment="1">
      <alignment horizontal="right" vertical="center"/>
    </xf>
    <xf numFmtId="0" fontId="10" fillId="9" borderId="2" xfId="0" applyFont="1" applyFill="1" applyBorder="1" applyAlignment="1">
      <alignment vertical="center" wrapText="1"/>
    </xf>
    <xf numFmtId="0" fontId="10" fillId="9" borderId="2" xfId="0" applyFont="1" applyFill="1" applyBorder="1" applyAlignment="1">
      <alignment vertical="center"/>
    </xf>
    <xf numFmtId="0" fontId="10" fillId="9" borderId="1" xfId="0" applyFont="1" applyFill="1" applyBorder="1" applyAlignment="1">
      <alignment vertical="center"/>
    </xf>
    <xf numFmtId="165" fontId="0" fillId="4" borderId="0" xfId="0" applyNumberFormat="1" applyFill="1"/>
    <xf numFmtId="3" fontId="0" fillId="4" borderId="0" xfId="0" applyNumberFormat="1" applyFill="1"/>
    <xf numFmtId="0" fontId="96" fillId="0" borderId="0" xfId="0" applyFont="1"/>
    <xf numFmtId="0" fontId="97" fillId="0" borderId="0" xfId="0" applyFont="1" applyAlignment="1">
      <alignment vertical="center"/>
    </xf>
    <xf numFmtId="0" fontId="0" fillId="0" borderId="0" xfId="0" applyAlignment="1">
      <alignment horizontal="center"/>
    </xf>
    <xf numFmtId="0" fontId="0" fillId="0" borderId="39" xfId="0" applyBorder="1" applyAlignment="1">
      <alignment horizontal="center"/>
    </xf>
    <xf numFmtId="4" fontId="6" fillId="0" borderId="4" xfId="0" applyNumberFormat="1" applyFont="1" applyBorder="1" applyAlignment="1">
      <alignment horizontal="right" vertical="center" wrapText="1"/>
    </xf>
    <xf numFmtId="0" fontId="6" fillId="0" borderId="4" xfId="0" applyFont="1" applyBorder="1" applyAlignment="1">
      <alignment horizontal="right" vertical="center" wrapText="1"/>
    </xf>
    <xf numFmtId="0" fontId="6" fillId="0" borderId="3" xfId="0" applyFont="1" applyBorder="1" applyAlignment="1">
      <alignment horizontal="right" vertical="center" wrapText="1"/>
    </xf>
    <xf numFmtId="0" fontId="99" fillId="9" borderId="2" xfId="5" applyFill="1" applyBorder="1" applyAlignment="1">
      <alignment vertical="center" wrapText="1"/>
    </xf>
    <xf numFmtId="0" fontId="5" fillId="9" borderId="1" xfId="0" applyFont="1" applyFill="1" applyBorder="1" applyAlignment="1">
      <alignment vertical="center" wrapText="1"/>
    </xf>
    <xf numFmtId="165" fontId="30" fillId="8" borderId="0" xfId="0" applyNumberFormat="1" applyFont="1" applyFill="1"/>
    <xf numFmtId="169" fontId="30" fillId="8" borderId="0" xfId="0" applyNumberFormat="1" applyFont="1" applyFill="1"/>
    <xf numFmtId="164" fontId="30" fillId="8" borderId="0" xfId="0" applyNumberFormat="1" applyFont="1" applyFill="1"/>
    <xf numFmtId="0" fontId="30" fillId="19" borderId="0" xfId="0" applyFont="1" applyFill="1"/>
    <xf numFmtId="165" fontId="30" fillId="19" borderId="0" xfId="0" applyNumberFormat="1" applyFont="1" applyFill="1"/>
    <xf numFmtId="9" fontId="0" fillId="0" borderId="8" xfId="0" applyNumberFormat="1" applyBorder="1"/>
    <xf numFmtId="172" fontId="100" fillId="0" borderId="8" xfId="0" applyNumberFormat="1" applyFont="1" applyBorder="1"/>
    <xf numFmtId="3" fontId="100" fillId="0" borderId="8" xfId="0" applyNumberFormat="1" applyFont="1" applyBorder="1"/>
    <xf numFmtId="0" fontId="30" fillId="4" borderId="8" xfId="0" applyFont="1" applyFill="1" applyBorder="1"/>
    <xf numFmtId="0" fontId="0" fillId="8" borderId="0" xfId="0" applyFill="1"/>
    <xf numFmtId="164" fontId="30" fillId="0" borderId="0" xfId="1" applyNumberFormat="1" applyFont="1"/>
  </cellXfs>
  <cellStyles count="6">
    <cellStyle name="Comma" xfId="1" builtinId="3"/>
    <cellStyle name="Currency" xfId="4" builtinId="4"/>
    <cellStyle name="Hyperlink" xfId="5" builtinId="8"/>
    <cellStyle name="Normal" xfId="0" builtinId="0"/>
    <cellStyle name="Normal 4" xfId="3" xr:uid="{00000000-0005-0000-0000-000003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NDPGVAS004/Users/Richard/Dropbox/Backhouse/August%20Deadlines/Copy%20of%20RCPRP%20EFA%20at%20Project%20completion%2001102017D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h/Documents/Ghana/Annexes/Copy%20of%20Impact_Potential_calculations%20Updated%2025.04.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s &amp; Conversn factors"/>
      <sheetName val="Rice crop budget"/>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s"/>
      <sheetName val="Output 1"/>
      <sheetName val="Output 2"/>
      <sheetName val="Output 3"/>
      <sheetName val="Cross cutting"/>
      <sheetName val="Sheet1"/>
    </sheetNames>
    <sheetDataSet>
      <sheetData sheetId="0" refreshError="1"/>
      <sheetData sheetId="1" refreshError="1">
        <row r="4">
          <cell r="B4" t="str">
            <v>200,000 ha of forest under sustainable community management for woodfuel</v>
          </cell>
        </row>
        <row r="5">
          <cell r="B5" t="str">
            <v>200,000 ha of forest having a reduced level of fire impact</v>
          </cell>
        </row>
      </sheetData>
      <sheetData sheetId="2" refreshError="1">
        <row r="2">
          <cell r="A2" t="str">
            <v xml:space="preserve">Removals from planting of 1.75m shea trees </v>
          </cell>
        </row>
        <row r="3">
          <cell r="A3" t="str">
            <v>Reduction in fuel wood use</v>
          </cell>
        </row>
      </sheetData>
      <sheetData sheetId="3" refreshError="1">
        <row r="2">
          <cell r="B2" t="str">
            <v>25,500 ha of MTS/ plantations</v>
          </cell>
        </row>
        <row r="3">
          <cell r="B3" t="str">
            <v xml:space="preserve">26,000 ha under fire management </v>
          </cell>
        </row>
      </sheetData>
      <sheetData sheetId="4" refreshError="1">
        <row r="4">
          <cell r="A4" t="str">
            <v>Reduced Deforestation at 7 years</v>
          </cell>
        </row>
        <row r="7">
          <cell r="A7" t="str">
            <v>Reduced degradation at 7 years</v>
          </cell>
        </row>
      </sheetData>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B2:AA59"/>
  <sheetViews>
    <sheetView showGridLines="0" topLeftCell="A36" workbookViewId="0">
      <selection activeCell="E57" sqref="E57"/>
    </sheetView>
  </sheetViews>
  <sheetFormatPr defaultColWidth="9.140625" defaultRowHeight="12.75"/>
  <cols>
    <col min="1" max="1" width="9.140625" style="35"/>
    <col min="2" max="2" width="9.140625" style="35" customWidth="1"/>
    <col min="3" max="3" width="10" style="35" customWidth="1"/>
    <col min="4" max="4" width="11.85546875" style="36" customWidth="1"/>
    <col min="5" max="6" width="10.140625" style="36" bestFit="1" customWidth="1"/>
    <col min="7" max="7" width="10.42578125" style="36" bestFit="1" customWidth="1"/>
    <col min="8" max="8" width="10.140625" style="36" bestFit="1" customWidth="1"/>
    <col min="9" max="9" width="14.42578125" style="36" customWidth="1"/>
    <col min="10" max="10" width="11.42578125" style="36" customWidth="1"/>
    <col min="11" max="11" width="7.5703125" style="36" bestFit="1" customWidth="1"/>
    <col min="12" max="12" width="10.42578125" style="36" bestFit="1" customWidth="1"/>
    <col min="13" max="26" width="7.5703125" style="36" customWidth="1"/>
    <col min="27" max="27" width="9.140625" style="36"/>
    <col min="28" max="16384" width="9.140625" style="35"/>
  </cols>
  <sheetData>
    <row r="2" spans="2:27">
      <c r="B2" s="171" t="s">
        <v>334</v>
      </c>
    </row>
    <row r="3" spans="2:27" ht="13.5" thickBot="1">
      <c r="C3" s="171"/>
      <c r="L3" s="613"/>
    </row>
    <row r="4" spans="2:27" s="211" customFormat="1" ht="75.75" customHeight="1">
      <c r="B4" s="204" t="s">
        <v>313</v>
      </c>
      <c r="C4" s="205" t="s">
        <v>607</v>
      </c>
      <c r="D4" s="206" t="s">
        <v>608</v>
      </c>
      <c r="E4" s="207" t="s">
        <v>609</v>
      </c>
      <c r="F4" s="207" t="s">
        <v>610</v>
      </c>
      <c r="G4" s="207" t="s">
        <v>611</v>
      </c>
      <c r="H4" s="207" t="s">
        <v>613</v>
      </c>
      <c r="I4" s="208" t="s">
        <v>614</v>
      </c>
      <c r="J4" s="209" t="s">
        <v>615</v>
      </c>
      <c r="K4" s="210" t="s">
        <v>680</v>
      </c>
      <c r="L4" s="211" t="s">
        <v>680</v>
      </c>
      <c r="M4" s="210"/>
      <c r="N4" s="210"/>
      <c r="O4" s="210"/>
      <c r="P4" s="210"/>
      <c r="Q4" s="210"/>
      <c r="R4" s="210"/>
      <c r="S4" s="210"/>
      <c r="T4" s="210"/>
      <c r="U4" s="210"/>
      <c r="V4" s="210"/>
      <c r="W4" s="210"/>
      <c r="X4" s="210"/>
      <c r="Y4" s="210"/>
      <c r="Z4" s="210"/>
      <c r="AA4" s="210"/>
    </row>
    <row r="5" spans="2:27" ht="15">
      <c r="B5" s="192">
        <v>1</v>
      </c>
      <c r="C5" s="69">
        <f>'TC4 wood fuel potential'!N37</f>
        <v>0</v>
      </c>
      <c r="D5" s="71">
        <f>'Table6 REMA establishment Costs'!D22*4.5/1000</f>
        <v>364.32</v>
      </c>
      <c r="E5" s="67">
        <f>0.5*C5</f>
        <v>0</v>
      </c>
      <c r="F5" s="67">
        <f>5/100*C5</f>
        <v>0</v>
      </c>
      <c r="G5" s="67">
        <f>5/100*C5</f>
        <v>0</v>
      </c>
      <c r="H5" s="67">
        <f>'T5Recurrent Costs- one CREMA'!L23/1000</f>
        <v>491.74480000000005</v>
      </c>
      <c r="I5" s="68">
        <f>SUM(D5:H5)</f>
        <v>856.0648000000001</v>
      </c>
      <c r="J5" s="69">
        <f>C5-D5-E5-F5-G5-H5</f>
        <v>-856.0648000000001</v>
      </c>
      <c r="K5" s="36">
        <f>0.9*C5-I5</f>
        <v>-856.0648000000001</v>
      </c>
      <c r="L5" s="36">
        <f>K5/(1+0.1)^B5</f>
        <v>-778.24072727272733</v>
      </c>
      <c r="M5" s="617"/>
    </row>
    <row r="6" spans="2:27">
      <c r="B6" s="192">
        <v>2</v>
      </c>
      <c r="C6" s="69">
        <f>'TC4 wood fuel potential'!N38/1000</f>
        <v>1802.0590253946471</v>
      </c>
      <c r="D6" s="71"/>
      <c r="E6" s="67">
        <f>0.5*C6</f>
        <v>901.02951269732353</v>
      </c>
      <c r="F6" s="67">
        <f t="shared" ref="F6:F24" si="0">5/100*C6</f>
        <v>90.102951269732358</v>
      </c>
      <c r="G6" s="67">
        <f>5/100*C6</f>
        <v>90.102951269732358</v>
      </c>
      <c r="H6" s="67">
        <f>'T5Recurrent Costs- one CREMA'!M23/1000</f>
        <v>491.99480000000005</v>
      </c>
      <c r="I6" s="68">
        <f>SUM(D6:H6)</f>
        <v>1573.2302152367884</v>
      </c>
      <c r="J6" s="69">
        <f>C6-D6-E6-F6-G6-H6</f>
        <v>228.82881015785881</v>
      </c>
      <c r="K6" s="36">
        <f t="shared" ref="K6:K24" si="1">C6-I6</f>
        <v>228.8288101578587</v>
      </c>
      <c r="L6" s="36">
        <f t="shared" ref="L6:L24" si="2">K6/(1+0.1)^B6</f>
        <v>189.11471913872617</v>
      </c>
    </row>
    <row r="7" spans="2:27">
      <c r="B7" s="192">
        <v>3</v>
      </c>
      <c r="C7" s="69">
        <f>'TC4 wood fuel potential'!N39/1000</f>
        <v>1866.7947838023342</v>
      </c>
      <c r="D7" s="71"/>
      <c r="E7" s="67">
        <f>0.5*C7</f>
        <v>933.39739190116711</v>
      </c>
      <c r="F7" s="67">
        <f t="shared" si="0"/>
        <v>93.339739190116717</v>
      </c>
      <c r="G7" s="67">
        <f t="shared" ref="G7:G24" si="3">5/100*C7</f>
        <v>93.339739190116717</v>
      </c>
      <c r="H7" s="67">
        <f>'T5Recurrent Costs- one CREMA'!N23/1000</f>
        <v>679.69880000000001</v>
      </c>
      <c r="I7" s="68">
        <f t="shared" ref="I7:I24" si="4">SUM(D7:H7)</f>
        <v>1799.7756702814004</v>
      </c>
      <c r="J7" s="69">
        <f t="shared" ref="J7:J24" si="5">C7-D7-E7-F7-G7-H7</f>
        <v>67.019113520933729</v>
      </c>
      <c r="K7" s="36">
        <f t="shared" si="1"/>
        <v>67.019113520933843</v>
      </c>
      <c r="L7" s="36">
        <f t="shared" si="2"/>
        <v>50.352451931580632</v>
      </c>
    </row>
    <row r="8" spans="2:27">
      <c r="B8" s="192">
        <v>4</v>
      </c>
      <c r="C8" s="69">
        <f>'TC4 wood fuel potential'!N40/1000</f>
        <v>1928.2937542896364</v>
      </c>
      <c r="D8" s="71"/>
      <c r="E8" s="67">
        <f>0.5*C8</f>
        <v>964.14687714481818</v>
      </c>
      <c r="F8" s="67">
        <f t="shared" si="0"/>
        <v>96.414687714481829</v>
      </c>
      <c r="G8" s="67">
        <f t="shared" si="3"/>
        <v>96.414687714481829</v>
      </c>
      <c r="H8" s="67">
        <f>H7</f>
        <v>679.69880000000001</v>
      </c>
      <c r="I8" s="68">
        <f t="shared" si="4"/>
        <v>1836.6750525737821</v>
      </c>
      <c r="J8" s="69">
        <f t="shared" si="5"/>
        <v>91.618701715854513</v>
      </c>
      <c r="K8" s="36">
        <f t="shared" si="1"/>
        <v>91.618701715854286</v>
      </c>
      <c r="L8" s="36">
        <f t="shared" si="2"/>
        <v>62.576806035007351</v>
      </c>
    </row>
    <row r="9" spans="2:27">
      <c r="B9" s="192">
        <v>5</v>
      </c>
      <c r="C9" s="69">
        <f>'TC4 wood fuel potential'!N41/1000</f>
        <v>1986.7177762525746</v>
      </c>
      <c r="D9" s="71"/>
      <c r="E9" s="67">
        <f t="shared" ref="E9:E24" si="6">0.5*C9</f>
        <v>993.3588881262873</v>
      </c>
      <c r="F9" s="67">
        <f t="shared" si="0"/>
        <v>99.335888812628738</v>
      </c>
      <c r="G9" s="67">
        <f t="shared" si="3"/>
        <v>99.335888812628738</v>
      </c>
      <c r="H9" s="67">
        <f>H8</f>
        <v>679.69880000000001</v>
      </c>
      <c r="I9" s="68">
        <f t="shared" si="4"/>
        <v>1871.7294657515449</v>
      </c>
      <c r="J9" s="69">
        <f t="shared" si="5"/>
        <v>114.9883105010299</v>
      </c>
      <c r="K9" s="36">
        <f t="shared" si="1"/>
        <v>114.98831050102967</v>
      </c>
      <c r="L9" s="36">
        <f t="shared" si="2"/>
        <v>71.39869389263626</v>
      </c>
    </row>
    <row r="10" spans="2:27">
      <c r="B10" s="192">
        <v>6</v>
      </c>
      <c r="C10" s="69">
        <f>'TC4 wood fuel potential'!N42/1000</f>
        <v>2042.2205971173653</v>
      </c>
      <c r="D10" s="71"/>
      <c r="E10" s="67">
        <f t="shared" si="6"/>
        <v>1021.1102985586826</v>
      </c>
      <c r="F10" s="67">
        <f t="shared" si="0"/>
        <v>102.11102985586827</v>
      </c>
      <c r="G10" s="67">
        <f t="shared" si="3"/>
        <v>102.11102985586827</v>
      </c>
      <c r="H10" s="67">
        <f t="shared" ref="H10:H24" si="7">H9</f>
        <v>679.69880000000001</v>
      </c>
      <c r="I10" s="68">
        <f t="shared" si="4"/>
        <v>1905.0311582704194</v>
      </c>
      <c r="J10" s="69">
        <f t="shared" si="5"/>
        <v>137.18943884694602</v>
      </c>
      <c r="K10" s="36">
        <f t="shared" si="1"/>
        <v>137.1894388469459</v>
      </c>
      <c r="L10" s="36">
        <f t="shared" si="2"/>
        <v>77.439861707807879</v>
      </c>
    </row>
    <row r="11" spans="2:27">
      <c r="B11" s="192">
        <v>7</v>
      </c>
      <c r="C11" s="69">
        <f>'TC4 wood fuel potential'!N43/1000</f>
        <v>2094.9482769389165</v>
      </c>
      <c r="D11" s="71"/>
      <c r="E11" s="67">
        <f t="shared" si="6"/>
        <v>1047.4741384694582</v>
      </c>
      <c r="F11" s="67">
        <f t="shared" si="0"/>
        <v>104.74741384694583</v>
      </c>
      <c r="G11" s="67">
        <f t="shared" si="3"/>
        <v>104.74741384694583</v>
      </c>
      <c r="H11" s="67">
        <f t="shared" si="7"/>
        <v>679.69880000000001</v>
      </c>
      <c r="I11" s="68">
        <f t="shared" si="4"/>
        <v>1936.6677661633498</v>
      </c>
      <c r="J11" s="69">
        <f t="shared" si="5"/>
        <v>158.28051077556654</v>
      </c>
      <c r="K11" s="36">
        <f t="shared" si="1"/>
        <v>158.28051077556665</v>
      </c>
      <c r="L11" s="36">
        <f t="shared" si="2"/>
        <v>81.222929062184832</v>
      </c>
    </row>
    <row r="12" spans="2:27">
      <c r="B12" s="192">
        <v>8</v>
      </c>
      <c r="C12" s="69">
        <f>'TC4 wood fuel potential'!N44/1000</f>
        <v>2145.0395727693899</v>
      </c>
      <c r="D12" s="71"/>
      <c r="E12" s="67">
        <f t="shared" si="6"/>
        <v>1072.519786384695</v>
      </c>
      <c r="F12" s="67">
        <f t="shared" si="0"/>
        <v>107.2519786384695</v>
      </c>
      <c r="G12" s="67">
        <f t="shared" si="3"/>
        <v>107.2519786384695</v>
      </c>
      <c r="H12" s="67">
        <f t="shared" si="7"/>
        <v>679.69880000000001</v>
      </c>
      <c r="I12" s="68">
        <f t="shared" si="4"/>
        <v>1966.7225436616341</v>
      </c>
      <c r="J12" s="69">
        <f t="shared" si="5"/>
        <v>178.31702910775596</v>
      </c>
      <c r="K12" s="36">
        <f t="shared" si="1"/>
        <v>178.31702910775584</v>
      </c>
      <c r="L12" s="36">
        <f t="shared" si="2"/>
        <v>83.186210095841915</v>
      </c>
    </row>
    <row r="13" spans="2:27">
      <c r="B13" s="192">
        <v>9</v>
      </c>
      <c r="C13" s="69">
        <f>'TC4 wood fuel potential'!N45/1000</f>
        <v>2192.6263038083393</v>
      </c>
      <c r="D13" s="71"/>
      <c r="E13" s="67">
        <f t="shared" si="6"/>
        <v>1096.3131519041697</v>
      </c>
      <c r="F13" s="67">
        <f t="shared" si="0"/>
        <v>109.63131519041697</v>
      </c>
      <c r="G13" s="67">
        <f t="shared" si="3"/>
        <v>109.63131519041697</v>
      </c>
      <c r="H13" s="67">
        <f t="shared" si="7"/>
        <v>679.69880000000001</v>
      </c>
      <c r="I13" s="68">
        <f t="shared" si="4"/>
        <v>1995.2745822850034</v>
      </c>
      <c r="J13" s="69">
        <f t="shared" si="5"/>
        <v>197.35172152333564</v>
      </c>
      <c r="K13" s="36">
        <f t="shared" si="1"/>
        <v>197.35172152333598</v>
      </c>
      <c r="L13" s="36">
        <f t="shared" si="2"/>
        <v>83.696395079756613</v>
      </c>
    </row>
    <row r="14" spans="2:27">
      <c r="B14" s="192">
        <v>10</v>
      </c>
      <c r="C14" s="69">
        <f>'TC4 wood fuel potential'!N46/1000</f>
        <v>2237.8336982953419</v>
      </c>
      <c r="D14" s="71"/>
      <c r="E14" s="67">
        <f t="shared" si="6"/>
        <v>1118.916849147671</v>
      </c>
      <c r="F14" s="67">
        <f t="shared" si="0"/>
        <v>111.8916849147671</v>
      </c>
      <c r="G14" s="67">
        <f t="shared" si="3"/>
        <v>111.8916849147671</v>
      </c>
      <c r="H14" s="67">
        <f t="shared" si="7"/>
        <v>679.69880000000001</v>
      </c>
      <c r="I14" s="68">
        <f t="shared" si="4"/>
        <v>2022.3990189772053</v>
      </c>
      <c r="J14" s="69">
        <f t="shared" si="5"/>
        <v>215.43467931813677</v>
      </c>
      <c r="K14" s="36">
        <f t="shared" si="1"/>
        <v>215.43467931813666</v>
      </c>
      <c r="L14" s="36">
        <f t="shared" si="2"/>
        <v>83.059394921510659</v>
      </c>
    </row>
    <row r="15" spans="2:27">
      <c r="B15" s="192">
        <v>11</v>
      </c>
      <c r="C15" s="69">
        <f>'TC4 wood fuel potential'!N47/1000</f>
        <v>2280.7807230579942</v>
      </c>
      <c r="D15" s="71"/>
      <c r="E15" s="67">
        <f t="shared" si="6"/>
        <v>1140.3903615289971</v>
      </c>
      <c r="F15" s="67">
        <f t="shared" si="0"/>
        <v>114.03903615289971</v>
      </c>
      <c r="G15" s="67">
        <f t="shared" si="3"/>
        <v>114.03903615289971</v>
      </c>
      <c r="H15" s="67">
        <f t="shared" si="7"/>
        <v>679.69880000000001</v>
      </c>
      <c r="I15" s="68">
        <f t="shared" si="4"/>
        <v>2048.1672338347967</v>
      </c>
      <c r="J15" s="69">
        <f t="shared" si="5"/>
        <v>232.6134892231978</v>
      </c>
      <c r="K15" s="36">
        <f t="shared" si="1"/>
        <v>232.61348922319758</v>
      </c>
      <c r="L15" s="36">
        <f t="shared" si="2"/>
        <v>81.529608909811316</v>
      </c>
    </row>
    <row r="16" spans="2:27">
      <c r="B16" s="192">
        <v>12</v>
      </c>
      <c r="C16" s="69">
        <f>'TC4 wood fuel potential'!N48/1000</f>
        <v>2321.5803965825135</v>
      </c>
      <c r="D16" s="71"/>
      <c r="E16" s="67">
        <f t="shared" si="6"/>
        <v>1160.7901982912567</v>
      </c>
      <c r="F16" s="67">
        <f t="shared" si="0"/>
        <v>116.07901982912568</v>
      </c>
      <c r="G16" s="67">
        <f t="shared" si="3"/>
        <v>116.07901982912568</v>
      </c>
      <c r="H16" s="67">
        <f t="shared" si="7"/>
        <v>679.69880000000001</v>
      </c>
      <c r="I16" s="68">
        <f t="shared" si="4"/>
        <v>2072.6470379495081</v>
      </c>
      <c r="J16" s="69">
        <f t="shared" si="5"/>
        <v>248.93335863300547</v>
      </c>
      <c r="K16" s="36">
        <f t="shared" si="1"/>
        <v>248.93335863300535</v>
      </c>
      <c r="L16" s="36">
        <f t="shared" si="2"/>
        <v>79.317839616619935</v>
      </c>
    </row>
    <row r="17" spans="2:17">
      <c r="B17" s="192">
        <v>13</v>
      </c>
      <c r="C17" s="69">
        <f>'TC4 wood fuel potential'!N49/1000</f>
        <v>2360.3400864308069</v>
      </c>
      <c r="D17" s="71"/>
      <c r="E17" s="67">
        <f t="shared" si="6"/>
        <v>1180.1700432154034</v>
      </c>
      <c r="F17" s="67">
        <f t="shared" si="0"/>
        <v>118.01700432154036</v>
      </c>
      <c r="G17" s="67">
        <f t="shared" si="3"/>
        <v>118.01700432154036</v>
      </c>
      <c r="H17" s="67">
        <f t="shared" si="7"/>
        <v>679.69880000000001</v>
      </c>
      <c r="I17" s="68">
        <f t="shared" si="4"/>
        <v>2095.9028518584842</v>
      </c>
      <c r="J17" s="69">
        <f t="shared" si="5"/>
        <v>264.43723457232284</v>
      </c>
      <c r="K17" s="36">
        <f t="shared" si="1"/>
        <v>264.43723457232272</v>
      </c>
      <c r="L17" s="36">
        <f t="shared" si="2"/>
        <v>76.598047531676869</v>
      </c>
    </row>
    <row r="18" spans="2:17">
      <c r="B18" s="192">
        <v>14</v>
      </c>
      <c r="C18" s="69">
        <f>'TC4 wood fuel potential'!N50/1000</f>
        <v>2397.1617917866865</v>
      </c>
      <c r="D18" s="71"/>
      <c r="E18" s="67">
        <f t="shared" si="6"/>
        <v>1198.5808958933433</v>
      </c>
      <c r="F18" s="67">
        <f t="shared" si="0"/>
        <v>119.85808958933433</v>
      </c>
      <c r="G18" s="67">
        <f t="shared" si="3"/>
        <v>119.85808958933433</v>
      </c>
      <c r="H18" s="67">
        <f t="shared" si="7"/>
        <v>679.69880000000001</v>
      </c>
      <c r="I18" s="68">
        <f t="shared" si="4"/>
        <v>2117.995875072012</v>
      </c>
      <c r="J18" s="69">
        <f t="shared" si="5"/>
        <v>279.16591671467449</v>
      </c>
      <c r="K18" s="36">
        <f t="shared" si="1"/>
        <v>279.16591671467449</v>
      </c>
      <c r="L18" s="36">
        <f t="shared" si="2"/>
        <v>73.51311100798182</v>
      </c>
      <c r="M18" s="171"/>
      <c r="N18" s="35"/>
      <c r="O18" s="35"/>
    </row>
    <row r="19" spans="2:17">
      <c r="B19" s="192">
        <v>15</v>
      </c>
      <c r="C19" s="69">
        <f>'TC4 wood fuel potential'!N51/1000</f>
        <v>2432.1424118747709</v>
      </c>
      <c r="D19" s="71"/>
      <c r="E19" s="67">
        <f t="shared" si="6"/>
        <v>1216.0712059373855</v>
      </c>
      <c r="F19" s="67">
        <f t="shared" si="0"/>
        <v>121.60712059373856</v>
      </c>
      <c r="G19" s="67">
        <f t="shared" si="3"/>
        <v>121.60712059373856</v>
      </c>
      <c r="H19" s="67">
        <f t="shared" si="7"/>
        <v>679.69880000000001</v>
      </c>
      <c r="I19" s="68">
        <f t="shared" si="4"/>
        <v>2138.9842471248626</v>
      </c>
      <c r="J19" s="69">
        <f t="shared" si="5"/>
        <v>293.15816474990845</v>
      </c>
      <c r="K19" s="36">
        <f t="shared" si="1"/>
        <v>293.15816474990834</v>
      </c>
      <c r="L19" s="36">
        <f t="shared" si="2"/>
        <v>70.1797338487834</v>
      </c>
    </row>
    <row r="20" spans="2:17">
      <c r="B20" s="192">
        <v>16</v>
      </c>
      <c r="C20" s="69">
        <f>'TC4 wood fuel potential'!N52/1000</f>
        <v>2465.3740009584526</v>
      </c>
      <c r="D20" s="71"/>
      <c r="E20" s="67">
        <f t="shared" si="6"/>
        <v>1232.6870004792263</v>
      </c>
      <c r="F20" s="67">
        <f t="shared" si="0"/>
        <v>123.26870004792264</v>
      </c>
      <c r="G20" s="67">
        <f t="shared" si="3"/>
        <v>123.26870004792264</v>
      </c>
      <c r="H20" s="67">
        <f t="shared" si="7"/>
        <v>679.69880000000001</v>
      </c>
      <c r="I20" s="68">
        <f t="shared" si="4"/>
        <v>2158.9232005750719</v>
      </c>
      <c r="J20" s="69">
        <f t="shared" si="5"/>
        <v>306.45080038338097</v>
      </c>
      <c r="K20" s="36">
        <f t="shared" si="1"/>
        <v>306.45080038338074</v>
      </c>
      <c r="L20" s="36">
        <f t="shared" si="2"/>
        <v>66.692622849634475</v>
      </c>
    </row>
    <row r="21" spans="2:17">
      <c r="B21" s="192">
        <v>17</v>
      </c>
      <c r="C21" s="69">
        <f>'TC4 wood fuel potential'!N53/1000</f>
        <v>2496.9440105879485</v>
      </c>
      <c r="D21" s="71"/>
      <c r="E21" s="67">
        <f t="shared" si="6"/>
        <v>1248.4720052939742</v>
      </c>
      <c r="F21" s="67">
        <f t="shared" si="0"/>
        <v>124.84720052939743</v>
      </c>
      <c r="G21" s="67">
        <f t="shared" si="3"/>
        <v>124.84720052939743</v>
      </c>
      <c r="H21" s="67">
        <f t="shared" si="7"/>
        <v>679.69880000000001</v>
      </c>
      <c r="I21" s="68">
        <f t="shared" si="4"/>
        <v>2177.8652063527693</v>
      </c>
      <c r="J21" s="69">
        <f t="shared" si="5"/>
        <v>319.07880423517929</v>
      </c>
      <c r="K21" s="36">
        <f t="shared" si="1"/>
        <v>319.07880423517918</v>
      </c>
      <c r="L21" s="36">
        <f t="shared" si="2"/>
        <v>63.12804037696003</v>
      </c>
    </row>
    <row r="22" spans="2:17">
      <c r="B22" s="192">
        <v>18</v>
      </c>
      <c r="C22" s="69">
        <f>'TC4 wood fuel potential'!N54/1000</f>
        <v>2526.9355197359705</v>
      </c>
      <c r="D22" s="71"/>
      <c r="E22" s="67">
        <f t="shared" si="6"/>
        <v>1263.4677598679853</v>
      </c>
      <c r="F22" s="67">
        <f t="shared" si="0"/>
        <v>126.34677598679853</v>
      </c>
      <c r="G22" s="67">
        <f t="shared" si="3"/>
        <v>126.34677598679853</v>
      </c>
      <c r="H22" s="67">
        <f t="shared" si="7"/>
        <v>679.69880000000001</v>
      </c>
      <c r="I22" s="68">
        <f t="shared" si="4"/>
        <v>2195.8601118415822</v>
      </c>
      <c r="J22" s="69">
        <f t="shared" si="5"/>
        <v>331.07540789438815</v>
      </c>
      <c r="K22" s="36">
        <f t="shared" si="1"/>
        <v>331.07540789438826</v>
      </c>
      <c r="L22" s="36">
        <f t="shared" si="2"/>
        <v>59.546822232583992</v>
      </c>
    </row>
    <row r="23" spans="2:17">
      <c r="B23" s="192">
        <v>19</v>
      </c>
      <c r="C23" s="69">
        <f>'TC4 wood fuel potential'!N55/1000</f>
        <v>2555.4274534265915</v>
      </c>
      <c r="D23" s="71"/>
      <c r="E23" s="67">
        <f t="shared" si="6"/>
        <v>1277.7137267132957</v>
      </c>
      <c r="F23" s="67">
        <f t="shared" si="0"/>
        <v>127.77137267132957</v>
      </c>
      <c r="G23" s="67">
        <f t="shared" si="3"/>
        <v>127.77137267132957</v>
      </c>
      <c r="H23" s="67">
        <f t="shared" si="7"/>
        <v>679.69880000000001</v>
      </c>
      <c r="I23" s="68">
        <f t="shared" si="4"/>
        <v>2212.955272055955</v>
      </c>
      <c r="J23" s="69">
        <f t="shared" si="5"/>
        <v>342.47218137063658</v>
      </c>
      <c r="K23" s="36">
        <f t="shared" si="1"/>
        <v>342.47218137063646</v>
      </c>
      <c r="L23" s="36">
        <f t="shared" si="2"/>
        <v>55.996938289901273</v>
      </c>
    </row>
    <row r="24" spans="2:17" ht="13.5" thickBot="1">
      <c r="B24" s="193">
        <v>20</v>
      </c>
      <c r="C24" s="190">
        <f>'TC4 wood fuel potential'!N56/1000</f>
        <v>2582.4947904326814</v>
      </c>
      <c r="D24" s="191"/>
      <c r="E24" s="67">
        <f t="shared" si="6"/>
        <v>1291.2473952163407</v>
      </c>
      <c r="F24" s="73">
        <f t="shared" si="0"/>
        <v>129.12473952163407</v>
      </c>
      <c r="G24" s="73">
        <f t="shared" si="3"/>
        <v>129.12473952163407</v>
      </c>
      <c r="H24" s="73">
        <f t="shared" si="7"/>
        <v>679.69880000000001</v>
      </c>
      <c r="I24" s="154">
        <f t="shared" si="4"/>
        <v>2229.1956742596089</v>
      </c>
      <c r="J24" s="190">
        <f t="shared" si="5"/>
        <v>353.29911617307255</v>
      </c>
      <c r="K24" s="36">
        <f t="shared" si="1"/>
        <v>353.29911617307243</v>
      </c>
      <c r="L24" s="36">
        <f t="shared" si="2"/>
        <v>52.515662405688836</v>
      </c>
      <c r="Q24" s="136"/>
    </row>
    <row r="25" spans="2:17">
      <c r="J25" s="618" t="s">
        <v>681</v>
      </c>
      <c r="K25" s="618" t="s">
        <v>681</v>
      </c>
      <c r="L25" s="36">
        <f>SUM(L5:L24)</f>
        <v>682.82516166196706</v>
      </c>
    </row>
    <row r="26" spans="2:17">
      <c r="E26" s="35"/>
      <c r="L26" s="618" t="s">
        <v>681</v>
      </c>
    </row>
    <row r="27" spans="2:17">
      <c r="B27" s="179" t="s">
        <v>328</v>
      </c>
      <c r="C27" s="180"/>
      <c r="D27" s="44"/>
      <c r="E27" s="44"/>
      <c r="F27" s="44"/>
      <c r="G27" s="203">
        <v>0.12</v>
      </c>
      <c r="H27" s="203">
        <v>0.16500000000000001</v>
      </c>
      <c r="I27" s="203">
        <v>0.2</v>
      </c>
    </row>
    <row r="28" spans="2:17">
      <c r="B28" s="181" t="s">
        <v>710</v>
      </c>
      <c r="C28" s="178"/>
      <c r="D28" s="47"/>
      <c r="E28" s="47"/>
      <c r="F28" s="47"/>
      <c r="G28" s="182">
        <f>NPV(G27,J5:J24)</f>
        <v>460.85819844997081</v>
      </c>
      <c r="H28" s="182">
        <v>218</v>
      </c>
      <c r="I28" s="182">
        <v>-33</v>
      </c>
    </row>
    <row r="29" spans="2:17">
      <c r="B29" s="184" t="s">
        <v>326</v>
      </c>
      <c r="C29" s="178"/>
      <c r="D29" s="47"/>
      <c r="E29" s="47"/>
      <c r="F29" s="47"/>
      <c r="G29" s="183">
        <f>IRR(J5:J24,G27)</f>
        <v>0.19161114426786008</v>
      </c>
      <c r="H29" s="183">
        <v>0.19</v>
      </c>
      <c r="I29" s="183">
        <v>0.19</v>
      </c>
    </row>
    <row r="30" spans="2:17">
      <c r="B30" s="181" t="s">
        <v>684</v>
      </c>
      <c r="C30" s="178"/>
      <c r="D30" s="47"/>
      <c r="E30" s="47"/>
      <c r="F30" s="47"/>
      <c r="G30" s="185">
        <f>NPV(G27,C5:C24)</f>
        <v>13864.158074595978</v>
      </c>
      <c r="H30" s="185">
        <v>11211</v>
      </c>
      <c r="I30" s="185">
        <v>8235</v>
      </c>
    </row>
    <row r="31" spans="2:17">
      <c r="B31" s="181" t="s">
        <v>685</v>
      </c>
      <c r="C31" s="178"/>
      <c r="D31" s="47"/>
      <c r="E31" s="47"/>
      <c r="F31" s="47"/>
      <c r="G31" s="185">
        <f>NPV(G27,D5:H24)</f>
        <v>2757.0463300719662</v>
      </c>
      <c r="H31" s="185">
        <v>2064</v>
      </c>
      <c r="I31" s="185">
        <v>1413</v>
      </c>
    </row>
    <row r="32" spans="2:17">
      <c r="B32" s="181" t="s">
        <v>329</v>
      </c>
      <c r="C32" s="178"/>
      <c r="D32" s="47"/>
      <c r="E32" s="47"/>
      <c r="F32" s="47"/>
      <c r="G32" s="186">
        <f>G30/G31</f>
        <v>5.0286271664626279</v>
      </c>
      <c r="H32" s="186">
        <v>5.43</v>
      </c>
      <c r="I32" s="186">
        <v>5.83</v>
      </c>
    </row>
    <row r="33" spans="2:27">
      <c r="B33" s="181" t="s">
        <v>330</v>
      </c>
      <c r="C33" s="178"/>
      <c r="D33" s="47"/>
      <c r="E33" s="47"/>
      <c r="F33" s="47"/>
      <c r="G33" s="183">
        <f>+(G31-G30)/G30</f>
        <v>-0.80113856786414994</v>
      </c>
      <c r="H33" s="183">
        <v>-0.82</v>
      </c>
      <c r="I33" s="183">
        <v>-0.83</v>
      </c>
    </row>
    <row r="34" spans="2:27">
      <c r="B34" s="187" t="s">
        <v>331</v>
      </c>
      <c r="C34" s="188"/>
      <c r="D34" s="51"/>
      <c r="E34" s="51"/>
      <c r="F34" s="51"/>
      <c r="G34" s="189">
        <f>(G30-G31)/G31</f>
        <v>4.0286271664626279</v>
      </c>
      <c r="H34" s="189">
        <v>4.43</v>
      </c>
      <c r="I34" s="189">
        <v>4.83</v>
      </c>
    </row>
    <row r="36" spans="2:27" ht="13.5" thickBot="1">
      <c r="B36" s="35" t="s">
        <v>692</v>
      </c>
      <c r="R36" s="594"/>
    </row>
    <row r="37" spans="2:27" ht="15">
      <c r="B37" s="763"/>
      <c r="C37" s="764"/>
      <c r="D37" s="764"/>
      <c r="E37" s="635"/>
      <c r="F37" s="641" t="s">
        <v>624</v>
      </c>
      <c r="G37" s="641" t="s">
        <v>234</v>
      </c>
      <c r="H37" s="559" t="s">
        <v>329</v>
      </c>
    </row>
    <row r="38" spans="2:27" ht="15">
      <c r="B38" s="636"/>
      <c r="C38" s="629"/>
      <c r="D38" s="629"/>
      <c r="E38" s="629"/>
      <c r="F38" s="640" t="s">
        <v>625</v>
      </c>
      <c r="G38" s="640"/>
      <c r="H38" s="561"/>
    </row>
    <row r="39" spans="2:27" ht="15">
      <c r="B39" s="765" t="s">
        <v>626</v>
      </c>
      <c r="C39" s="766"/>
      <c r="D39" s="629"/>
      <c r="E39" s="629"/>
      <c r="F39" s="638">
        <f>G28</f>
        <v>460.85819844997081</v>
      </c>
      <c r="G39" s="639">
        <f>G29</f>
        <v>0.19161114426786008</v>
      </c>
      <c r="H39" s="569">
        <f>G32</f>
        <v>5.0286271664626279</v>
      </c>
    </row>
    <row r="40" spans="2:27" ht="15">
      <c r="B40" s="767" t="s">
        <v>687</v>
      </c>
      <c r="C40" s="768"/>
      <c r="D40" s="768"/>
      <c r="E40" s="629"/>
      <c r="F40" s="638">
        <v>35</v>
      </c>
      <c r="G40" s="639">
        <v>0.1</v>
      </c>
      <c r="H40" s="569">
        <v>4.45</v>
      </c>
    </row>
    <row r="41" spans="2:27" ht="15">
      <c r="B41" s="627" t="s">
        <v>688</v>
      </c>
      <c r="C41" s="628"/>
      <c r="D41" s="629"/>
      <c r="E41" s="629"/>
      <c r="F41" s="638">
        <v>137</v>
      </c>
      <c r="G41" s="639">
        <v>0.12</v>
      </c>
      <c r="H41" s="569">
        <v>4.51</v>
      </c>
    </row>
    <row r="42" spans="2:27" ht="15.75" thickBot="1">
      <c r="B42" s="769" t="s">
        <v>629</v>
      </c>
      <c r="C42" s="770"/>
      <c r="D42" s="770"/>
      <c r="E42" s="566"/>
      <c r="F42" s="642">
        <v>650</v>
      </c>
      <c r="G42" s="643">
        <v>0.18</v>
      </c>
      <c r="H42" s="632">
        <v>4.6100000000000003</v>
      </c>
    </row>
    <row r="45" spans="2:27" ht="18.75">
      <c r="B45" s="593" t="s">
        <v>643</v>
      </c>
    </row>
    <row r="46" spans="2:27" s="543" customFormat="1" ht="12">
      <c r="B46" s="543" t="s">
        <v>655</v>
      </c>
      <c r="D46" s="596"/>
      <c r="E46" s="596"/>
      <c r="F46" s="596"/>
      <c r="G46" s="596"/>
      <c r="H46" s="596"/>
      <c r="I46" s="596"/>
      <c r="J46" s="596"/>
      <c r="K46" s="596"/>
      <c r="L46" s="596"/>
      <c r="M46" s="596"/>
      <c r="N46" s="596"/>
      <c r="O46" s="596"/>
      <c r="P46" s="596"/>
      <c r="Q46" s="596"/>
      <c r="R46" s="596"/>
      <c r="S46" s="596"/>
      <c r="T46" s="596"/>
      <c r="U46" s="596"/>
      <c r="V46" s="596"/>
      <c r="W46" s="596"/>
      <c r="X46" s="596"/>
      <c r="Y46" s="596"/>
      <c r="Z46" s="596"/>
      <c r="AA46" s="596"/>
    </row>
    <row r="47" spans="2:27" s="543" customFormat="1" ht="12">
      <c r="B47" s="599" t="s">
        <v>657</v>
      </c>
      <c r="D47" s="596"/>
      <c r="E47" s="596"/>
      <c r="F47" s="596"/>
      <c r="G47" s="596"/>
      <c r="H47" s="596"/>
      <c r="I47" s="596"/>
      <c r="J47" s="596"/>
      <c r="K47" s="596"/>
      <c r="L47" s="596"/>
      <c r="M47" s="596"/>
      <c r="N47" s="596"/>
      <c r="O47" s="596"/>
      <c r="P47" s="596"/>
      <c r="Q47" s="596"/>
      <c r="R47" s="596"/>
      <c r="S47" s="596"/>
      <c r="T47" s="596"/>
      <c r="U47" s="596"/>
      <c r="V47" s="596"/>
      <c r="W47" s="596"/>
      <c r="X47" s="596"/>
      <c r="Y47" s="596"/>
      <c r="Z47" s="596"/>
      <c r="AA47" s="596"/>
    </row>
    <row r="48" spans="2:27" s="600" customFormat="1" ht="12">
      <c r="B48" s="543" t="s">
        <v>658</v>
      </c>
      <c r="D48" s="601"/>
      <c r="E48" s="601"/>
      <c r="F48" s="601"/>
      <c r="G48" s="601"/>
      <c r="H48" s="601"/>
      <c r="I48" s="601"/>
      <c r="J48" s="601"/>
      <c r="K48" s="601"/>
      <c r="L48" s="601"/>
      <c r="M48" s="601"/>
      <c r="N48" s="601"/>
      <c r="O48" s="601"/>
      <c r="P48" s="601"/>
      <c r="Q48" s="601"/>
      <c r="R48" s="601"/>
      <c r="S48" s="601"/>
      <c r="T48" s="601"/>
      <c r="U48" s="601"/>
      <c r="V48" s="601"/>
      <c r="W48" s="601"/>
      <c r="X48" s="601"/>
      <c r="Y48" s="601"/>
      <c r="Z48" s="601"/>
      <c r="AA48" s="601"/>
    </row>
    <row r="49" spans="2:27" s="600" customFormat="1" ht="12">
      <c r="B49" s="543" t="s">
        <v>686</v>
      </c>
      <c r="D49" s="601"/>
      <c r="E49" s="601"/>
      <c r="F49" s="601"/>
      <c r="G49" s="612"/>
      <c r="H49" s="601"/>
      <c r="I49" s="601"/>
      <c r="J49" s="601"/>
      <c r="K49" s="601"/>
      <c r="L49" s="601"/>
      <c r="M49" s="601"/>
      <c r="N49" s="601"/>
      <c r="O49" s="601"/>
      <c r="P49" s="601"/>
      <c r="Q49" s="601"/>
      <c r="R49" s="601"/>
      <c r="S49" s="601"/>
      <c r="T49" s="601"/>
      <c r="U49" s="601"/>
      <c r="V49" s="601"/>
      <c r="W49" s="601"/>
      <c r="X49" s="601"/>
      <c r="Y49" s="601"/>
      <c r="Z49" s="601"/>
      <c r="AA49" s="601"/>
    </row>
    <row r="50" spans="2:27" s="600" customFormat="1" ht="12">
      <c r="B50" s="543" t="s">
        <v>660</v>
      </c>
      <c r="D50" s="601"/>
      <c r="E50" s="601"/>
      <c r="F50" s="601"/>
      <c r="G50" s="601"/>
      <c r="H50" s="601"/>
      <c r="I50" s="601"/>
      <c r="J50" s="601"/>
      <c r="K50" s="601"/>
      <c r="L50" s="601"/>
      <c r="M50" s="601"/>
      <c r="N50" s="601"/>
      <c r="O50" s="601"/>
      <c r="P50" s="601"/>
      <c r="Q50" s="601"/>
      <c r="R50" s="601"/>
      <c r="S50" s="601"/>
      <c r="T50" s="601"/>
      <c r="U50" s="601"/>
      <c r="V50" s="601"/>
      <c r="W50" s="601"/>
      <c r="X50" s="601"/>
      <c r="Y50" s="601"/>
      <c r="Z50" s="601"/>
      <c r="AA50" s="601"/>
    </row>
    <row r="51" spans="2:27">
      <c r="B51" s="594" t="s">
        <v>755</v>
      </c>
    </row>
    <row r="52" spans="2:27">
      <c r="B52" s="76" t="s">
        <v>719</v>
      </c>
    </row>
    <row r="53" spans="2:27">
      <c r="B53" s="35" t="s">
        <v>713</v>
      </c>
    </row>
    <row r="54" spans="2:27">
      <c r="B54" s="35" t="s">
        <v>720</v>
      </c>
    </row>
    <row r="55" spans="2:27">
      <c r="B55" s="35" t="s">
        <v>714</v>
      </c>
    </row>
    <row r="56" spans="2:27">
      <c r="B56" s="35" t="s">
        <v>715</v>
      </c>
    </row>
    <row r="57" spans="2:27">
      <c r="B57" s="35" t="s">
        <v>716</v>
      </c>
    </row>
    <row r="58" spans="2:27">
      <c r="B58" s="35" t="s">
        <v>717</v>
      </c>
    </row>
    <row r="59" spans="2:27">
      <c r="B59" s="35" t="s">
        <v>718</v>
      </c>
    </row>
  </sheetData>
  <mergeCells count="4">
    <mergeCell ref="B37:D37"/>
    <mergeCell ref="B39:C39"/>
    <mergeCell ref="B40:D40"/>
    <mergeCell ref="B42:D42"/>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95"/>
  <sheetViews>
    <sheetView showGridLines="0" topLeftCell="A39" workbookViewId="0">
      <selection activeCell="I63" sqref="I63"/>
    </sheetView>
  </sheetViews>
  <sheetFormatPr defaultColWidth="8.85546875" defaultRowHeight="12.75"/>
  <cols>
    <col min="1" max="1" width="8.85546875" style="674"/>
    <col min="2" max="2" width="6" style="674" customWidth="1"/>
    <col min="3" max="3" width="11.42578125" style="674" customWidth="1"/>
    <col min="4" max="4" width="10.140625" style="674" customWidth="1"/>
    <col min="5" max="5" width="9.42578125" style="675" customWidth="1"/>
    <col min="6" max="6" width="11.42578125" style="674" customWidth="1"/>
    <col min="7" max="7" width="17.5703125" style="674" customWidth="1"/>
    <col min="8" max="8" width="10" style="674" bestFit="1" customWidth="1"/>
    <col min="9" max="9" width="11.140625" style="674" customWidth="1"/>
    <col min="10" max="11" width="17.140625" style="674" customWidth="1"/>
    <col min="12" max="12" width="14.85546875" style="674" customWidth="1"/>
    <col min="13" max="13" width="14" style="674" customWidth="1"/>
    <col min="14" max="14" width="13.42578125" style="674" customWidth="1"/>
    <col min="15" max="16384" width="8.85546875" style="674"/>
  </cols>
  <sheetData>
    <row r="1" spans="2:14">
      <c r="B1" s="674" t="s">
        <v>305</v>
      </c>
    </row>
    <row r="2" spans="2:14">
      <c r="B2" s="676" t="s">
        <v>306</v>
      </c>
    </row>
    <row r="3" spans="2:14" hidden="1">
      <c r="B3" s="676"/>
      <c r="C3" s="676" t="s">
        <v>307</v>
      </c>
      <c r="D3" s="676" t="s">
        <v>308</v>
      </c>
    </row>
    <row r="4" spans="2:14" hidden="1">
      <c r="C4" s="675" t="s">
        <v>309</v>
      </c>
      <c r="D4" s="677" t="e">
        <f>#REF!</f>
        <v>#REF!</v>
      </c>
    </row>
    <row r="5" spans="2:14" hidden="1">
      <c r="C5" s="674" t="s">
        <v>310</v>
      </c>
      <c r="D5" s="677" t="e">
        <f>#REF!</f>
        <v>#REF!</v>
      </c>
    </row>
    <row r="6" spans="2:14" hidden="1">
      <c r="C6" s="676" t="s">
        <v>311</v>
      </c>
      <c r="D6" s="678" t="e">
        <f>SUM(D4:D5)</f>
        <v>#REF!</v>
      </c>
    </row>
    <row r="7" spans="2:14" hidden="1"/>
    <row r="8" spans="2:14" hidden="1">
      <c r="B8" s="679" t="s">
        <v>312</v>
      </c>
      <c r="C8" s="680"/>
      <c r="D8" s="680"/>
      <c r="E8" s="680"/>
      <c r="F8" s="680"/>
      <c r="G8" s="680"/>
      <c r="H8" s="680"/>
      <c r="I8" s="680"/>
      <c r="J8" s="680"/>
      <c r="K8" s="680"/>
      <c r="L8" s="680"/>
      <c r="M8" s="680"/>
      <c r="N8" s="680"/>
    </row>
    <row r="9" spans="2:14" hidden="1">
      <c r="B9" s="681"/>
      <c r="C9" s="681"/>
      <c r="D9" s="681"/>
      <c r="E9" s="682"/>
      <c r="F9" s="681"/>
      <c r="G9" s="681"/>
      <c r="H9" s="681"/>
      <c r="I9" s="681"/>
      <c r="J9" s="681"/>
      <c r="K9" s="681"/>
      <c r="L9" s="681"/>
      <c r="M9" s="681"/>
      <c r="N9" s="681"/>
    </row>
    <row r="10" spans="2:14" ht="102" hidden="1">
      <c r="B10" s="683" t="s">
        <v>313</v>
      </c>
      <c r="C10" s="683" t="s">
        <v>314</v>
      </c>
      <c r="D10" s="684" t="s">
        <v>315</v>
      </c>
      <c r="E10" s="684" t="s">
        <v>316</v>
      </c>
      <c r="F10" s="684" t="s">
        <v>318</v>
      </c>
      <c r="G10" s="684" t="s">
        <v>319</v>
      </c>
      <c r="H10" s="684" t="s">
        <v>320</v>
      </c>
      <c r="I10" s="684" t="s">
        <v>321</v>
      </c>
      <c r="J10" s="684" t="s">
        <v>322</v>
      </c>
      <c r="K10" s="684"/>
      <c r="L10" s="685" t="s">
        <v>302</v>
      </c>
      <c r="M10" s="686" t="s">
        <v>176</v>
      </c>
      <c r="N10" s="687" t="s">
        <v>323</v>
      </c>
    </row>
    <row r="11" spans="2:14" hidden="1">
      <c r="B11" s="681">
        <v>1</v>
      </c>
      <c r="C11" s="688">
        <v>0</v>
      </c>
      <c r="D11" s="688"/>
      <c r="E11" s="689"/>
      <c r="F11" s="688"/>
      <c r="G11" s="681">
        <v>2.4</v>
      </c>
      <c r="H11" s="681" t="e">
        <f>C11*G11*#REF!</f>
        <v>#REF!</v>
      </c>
      <c r="I11" s="681"/>
      <c r="J11" s="681"/>
      <c r="K11" s="681"/>
      <c r="L11" s="681"/>
      <c r="M11" s="681"/>
      <c r="N11" s="681"/>
    </row>
    <row r="12" spans="2:14" hidden="1">
      <c r="B12" s="681">
        <v>2</v>
      </c>
      <c r="C12" s="688">
        <v>50000</v>
      </c>
      <c r="D12" s="688">
        <v>12</v>
      </c>
      <c r="E12" s="689">
        <f>D12*C12</f>
        <v>600000</v>
      </c>
      <c r="F12" s="688" t="e">
        <f>#REF!+#REF!</f>
        <v>#REF!</v>
      </c>
      <c r="G12" s="681">
        <v>2.4</v>
      </c>
      <c r="H12" s="690" t="e">
        <f>C12*G12*#REF!</f>
        <v>#REF!</v>
      </c>
      <c r="I12" s="690" t="e">
        <f>SUM(H12+F12)</f>
        <v>#REF!</v>
      </c>
      <c r="J12" s="690" t="e">
        <f>I12*0.04</f>
        <v>#REF!</v>
      </c>
      <c r="K12" s="690"/>
      <c r="L12" s="690" t="e">
        <f>0.2*#REF!</f>
        <v>#REF!</v>
      </c>
      <c r="M12" s="690">
        <v>278</v>
      </c>
      <c r="N12" s="690" t="e">
        <f>L12*M12</f>
        <v>#REF!</v>
      </c>
    </row>
    <row r="13" spans="2:14" hidden="1">
      <c r="B13" s="681">
        <v>3</v>
      </c>
      <c r="C13" s="688">
        <v>100000</v>
      </c>
      <c r="D13" s="688">
        <v>12</v>
      </c>
      <c r="E13" s="689">
        <v>600000</v>
      </c>
      <c r="F13" s="688" t="e">
        <f>#REF!+#REF!</f>
        <v>#REF!</v>
      </c>
      <c r="G13" s="681">
        <v>2.4</v>
      </c>
      <c r="H13" s="690" t="e">
        <f>C13*G13*#REF!</f>
        <v>#REF!</v>
      </c>
      <c r="I13" s="690" t="e">
        <f>SUM(H13+F13)</f>
        <v>#REF!</v>
      </c>
      <c r="J13" s="690" t="e">
        <f t="shared" ref="J13:J30" si="0">I13*0.04</f>
        <v>#REF!</v>
      </c>
      <c r="K13" s="690"/>
      <c r="L13" s="690" t="e">
        <f>0.2*#REF!</f>
        <v>#REF!</v>
      </c>
      <c r="M13" s="690">
        <v>278</v>
      </c>
      <c r="N13" s="690" t="e">
        <f t="shared" ref="N13:N30" si="1">L13*M13</f>
        <v>#REF!</v>
      </c>
    </row>
    <row r="14" spans="2:14" hidden="1">
      <c r="B14" s="681">
        <v>4</v>
      </c>
      <c r="C14" s="688">
        <v>150000</v>
      </c>
      <c r="D14" s="688">
        <v>12</v>
      </c>
      <c r="E14" s="689">
        <v>600000</v>
      </c>
      <c r="F14" s="688" t="e">
        <f>#REF!+#REF!</f>
        <v>#REF!</v>
      </c>
      <c r="G14" s="681">
        <v>2.4</v>
      </c>
      <c r="H14" s="690" t="e">
        <f>C14*G14*#REF!</f>
        <v>#REF!</v>
      </c>
      <c r="I14" s="690" t="e">
        <f>SUM(H14+F14)</f>
        <v>#REF!</v>
      </c>
      <c r="J14" s="690" t="e">
        <f t="shared" si="0"/>
        <v>#REF!</v>
      </c>
      <c r="K14" s="690"/>
      <c r="L14" s="690" t="e">
        <f>0.2*#REF!</f>
        <v>#REF!</v>
      </c>
      <c r="M14" s="690">
        <v>278</v>
      </c>
      <c r="N14" s="690" t="e">
        <f t="shared" si="1"/>
        <v>#REF!</v>
      </c>
    </row>
    <row r="15" spans="2:14" hidden="1">
      <c r="B15" s="681">
        <v>5</v>
      </c>
      <c r="C15" s="690">
        <v>200000</v>
      </c>
      <c r="D15" s="688">
        <v>12</v>
      </c>
      <c r="E15" s="689">
        <v>600001</v>
      </c>
      <c r="F15" s="688" t="e">
        <f>#REF!+#REF!</f>
        <v>#REF!</v>
      </c>
      <c r="G15" s="681">
        <v>2.4</v>
      </c>
      <c r="H15" s="690" t="e">
        <f>C15*G15*#REF!</f>
        <v>#REF!</v>
      </c>
      <c r="I15" s="690" t="e">
        <f>SUM(H15+F15)</f>
        <v>#REF!</v>
      </c>
      <c r="J15" s="690" t="e">
        <f t="shared" si="0"/>
        <v>#REF!</v>
      </c>
      <c r="K15" s="690"/>
      <c r="L15" s="690" t="e">
        <f>0.2*#REF!</f>
        <v>#REF!</v>
      </c>
      <c r="M15" s="690">
        <v>278</v>
      </c>
      <c r="N15" s="690" t="e">
        <f t="shared" si="1"/>
        <v>#REF!</v>
      </c>
    </row>
    <row r="16" spans="2:14" hidden="1">
      <c r="B16" s="681">
        <v>6</v>
      </c>
      <c r="C16" s="690">
        <v>200000</v>
      </c>
      <c r="D16" s="688"/>
      <c r="E16" s="689"/>
      <c r="F16" s="688" t="e">
        <f t="shared" ref="F16:F30" si="2">I15-J15</f>
        <v>#REF!</v>
      </c>
      <c r="G16" s="681">
        <v>2.4</v>
      </c>
      <c r="H16" s="690" t="e">
        <f>C16*G16*#REF!</f>
        <v>#REF!</v>
      </c>
      <c r="I16" s="690" t="e">
        <f t="shared" ref="I16:I30" si="3">H16+F16</f>
        <v>#REF!</v>
      </c>
      <c r="J16" s="690" t="e">
        <f t="shared" si="0"/>
        <v>#REF!</v>
      </c>
      <c r="K16" s="690"/>
      <c r="L16" s="690" t="e">
        <f>0.2*#REF!</f>
        <v>#REF!</v>
      </c>
      <c r="M16" s="690">
        <v>278</v>
      </c>
      <c r="N16" s="690" t="e">
        <f t="shared" si="1"/>
        <v>#REF!</v>
      </c>
    </row>
    <row r="17" spans="2:14" hidden="1">
      <c r="B17" s="681">
        <v>7</v>
      </c>
      <c r="C17" s="690">
        <v>200000</v>
      </c>
      <c r="D17" s="688"/>
      <c r="E17" s="689"/>
      <c r="F17" s="688" t="e">
        <f t="shared" si="2"/>
        <v>#REF!</v>
      </c>
      <c r="G17" s="681">
        <v>2.4</v>
      </c>
      <c r="H17" s="690" t="e">
        <f>C17*G17*#REF!</f>
        <v>#REF!</v>
      </c>
      <c r="I17" s="690" t="e">
        <f t="shared" si="3"/>
        <v>#REF!</v>
      </c>
      <c r="J17" s="690" t="e">
        <f t="shared" si="0"/>
        <v>#REF!</v>
      </c>
      <c r="K17" s="690"/>
      <c r="L17" s="690" t="e">
        <f>0.2*#REF!</f>
        <v>#REF!</v>
      </c>
      <c r="M17" s="690">
        <v>278</v>
      </c>
      <c r="N17" s="690" t="e">
        <f t="shared" si="1"/>
        <v>#REF!</v>
      </c>
    </row>
    <row r="18" spans="2:14" hidden="1">
      <c r="B18" s="681">
        <v>8</v>
      </c>
      <c r="C18" s="690">
        <v>200000</v>
      </c>
      <c r="D18" s="688"/>
      <c r="E18" s="689"/>
      <c r="F18" s="688" t="e">
        <f t="shared" si="2"/>
        <v>#REF!</v>
      </c>
      <c r="G18" s="681">
        <v>2.4</v>
      </c>
      <c r="H18" s="690" t="e">
        <f>C18*G18*#REF!</f>
        <v>#REF!</v>
      </c>
      <c r="I18" s="690" t="e">
        <f t="shared" si="3"/>
        <v>#REF!</v>
      </c>
      <c r="J18" s="690" t="e">
        <f t="shared" si="0"/>
        <v>#REF!</v>
      </c>
      <c r="K18" s="690"/>
      <c r="L18" s="690" t="e">
        <f>0.2*#REF!</f>
        <v>#REF!</v>
      </c>
      <c r="M18" s="690">
        <v>278</v>
      </c>
      <c r="N18" s="690" t="e">
        <f t="shared" si="1"/>
        <v>#REF!</v>
      </c>
    </row>
    <row r="19" spans="2:14" hidden="1">
      <c r="B19" s="681">
        <v>9</v>
      </c>
      <c r="C19" s="690">
        <v>200000</v>
      </c>
      <c r="D19" s="688"/>
      <c r="E19" s="689"/>
      <c r="F19" s="688" t="e">
        <f t="shared" si="2"/>
        <v>#REF!</v>
      </c>
      <c r="G19" s="681">
        <v>2.4</v>
      </c>
      <c r="H19" s="690" t="e">
        <f>C19*G19*#REF!</f>
        <v>#REF!</v>
      </c>
      <c r="I19" s="690" t="e">
        <f t="shared" si="3"/>
        <v>#REF!</v>
      </c>
      <c r="J19" s="690" t="e">
        <f t="shared" si="0"/>
        <v>#REF!</v>
      </c>
      <c r="K19" s="690"/>
      <c r="L19" s="690" t="e">
        <f>0.2*#REF!</f>
        <v>#REF!</v>
      </c>
      <c r="M19" s="690">
        <v>278</v>
      </c>
      <c r="N19" s="690" t="e">
        <f t="shared" si="1"/>
        <v>#REF!</v>
      </c>
    </row>
    <row r="20" spans="2:14" hidden="1">
      <c r="B20" s="681">
        <v>10</v>
      </c>
      <c r="C20" s="690">
        <v>200000</v>
      </c>
      <c r="D20" s="688"/>
      <c r="E20" s="689"/>
      <c r="F20" s="688" t="e">
        <f t="shared" si="2"/>
        <v>#REF!</v>
      </c>
      <c r="G20" s="681">
        <v>2.4</v>
      </c>
      <c r="H20" s="690" t="e">
        <f>C20*G20*#REF!</f>
        <v>#REF!</v>
      </c>
      <c r="I20" s="690" t="e">
        <f t="shared" si="3"/>
        <v>#REF!</v>
      </c>
      <c r="J20" s="690" t="e">
        <f t="shared" si="0"/>
        <v>#REF!</v>
      </c>
      <c r="K20" s="690"/>
      <c r="L20" s="690" t="e">
        <f>0.2*#REF!</f>
        <v>#REF!</v>
      </c>
      <c r="M20" s="690">
        <v>278</v>
      </c>
      <c r="N20" s="690" t="e">
        <f t="shared" si="1"/>
        <v>#REF!</v>
      </c>
    </row>
    <row r="21" spans="2:14" hidden="1">
      <c r="B21" s="681">
        <v>11</v>
      </c>
      <c r="C21" s="690">
        <v>200000</v>
      </c>
      <c r="D21" s="688"/>
      <c r="E21" s="689"/>
      <c r="F21" s="688" t="e">
        <f t="shared" si="2"/>
        <v>#REF!</v>
      </c>
      <c r="G21" s="681">
        <v>2.4</v>
      </c>
      <c r="H21" s="690" t="e">
        <f>C21*G21*#REF!</f>
        <v>#REF!</v>
      </c>
      <c r="I21" s="690" t="e">
        <f t="shared" si="3"/>
        <v>#REF!</v>
      </c>
      <c r="J21" s="690" t="e">
        <f t="shared" si="0"/>
        <v>#REF!</v>
      </c>
      <c r="K21" s="690"/>
      <c r="L21" s="690" t="e">
        <f>0.2*#REF!</f>
        <v>#REF!</v>
      </c>
      <c r="M21" s="690">
        <v>278</v>
      </c>
      <c r="N21" s="690" t="e">
        <f t="shared" si="1"/>
        <v>#REF!</v>
      </c>
    </row>
    <row r="22" spans="2:14" hidden="1">
      <c r="B22" s="681">
        <v>12</v>
      </c>
      <c r="C22" s="690">
        <v>200000</v>
      </c>
      <c r="D22" s="688"/>
      <c r="E22" s="689"/>
      <c r="F22" s="688" t="e">
        <f t="shared" si="2"/>
        <v>#REF!</v>
      </c>
      <c r="G22" s="681">
        <v>2.4</v>
      </c>
      <c r="H22" s="690" t="e">
        <f>C22*G22*#REF!</f>
        <v>#REF!</v>
      </c>
      <c r="I22" s="690" t="e">
        <f t="shared" si="3"/>
        <v>#REF!</v>
      </c>
      <c r="J22" s="690" t="e">
        <f t="shared" si="0"/>
        <v>#REF!</v>
      </c>
      <c r="K22" s="690"/>
      <c r="L22" s="690" t="e">
        <f>0.2*#REF!</f>
        <v>#REF!</v>
      </c>
      <c r="M22" s="690">
        <v>278</v>
      </c>
      <c r="N22" s="690" t="e">
        <f t="shared" si="1"/>
        <v>#REF!</v>
      </c>
    </row>
    <row r="23" spans="2:14" hidden="1">
      <c r="B23" s="681">
        <v>13</v>
      </c>
      <c r="C23" s="690">
        <v>200000</v>
      </c>
      <c r="D23" s="688"/>
      <c r="E23" s="689"/>
      <c r="F23" s="688" t="e">
        <f t="shared" si="2"/>
        <v>#REF!</v>
      </c>
      <c r="G23" s="681">
        <v>2.4</v>
      </c>
      <c r="H23" s="690" t="e">
        <f>C23*G23*#REF!</f>
        <v>#REF!</v>
      </c>
      <c r="I23" s="690" t="e">
        <f t="shared" si="3"/>
        <v>#REF!</v>
      </c>
      <c r="J23" s="690" t="e">
        <f t="shared" si="0"/>
        <v>#REF!</v>
      </c>
      <c r="K23" s="690"/>
      <c r="L23" s="690" t="e">
        <f>0.2*#REF!</f>
        <v>#REF!</v>
      </c>
      <c r="M23" s="690">
        <v>278</v>
      </c>
      <c r="N23" s="690" t="e">
        <f t="shared" si="1"/>
        <v>#REF!</v>
      </c>
    </row>
    <row r="24" spans="2:14" hidden="1">
      <c r="B24" s="681">
        <v>14</v>
      </c>
      <c r="C24" s="690">
        <v>200000</v>
      </c>
      <c r="D24" s="688"/>
      <c r="E24" s="689"/>
      <c r="F24" s="688" t="e">
        <f t="shared" si="2"/>
        <v>#REF!</v>
      </c>
      <c r="G24" s="681">
        <v>2.4</v>
      </c>
      <c r="H24" s="690" t="e">
        <f>C24*G24*#REF!</f>
        <v>#REF!</v>
      </c>
      <c r="I24" s="690" t="e">
        <f t="shared" si="3"/>
        <v>#REF!</v>
      </c>
      <c r="J24" s="690" t="e">
        <f t="shared" si="0"/>
        <v>#REF!</v>
      </c>
      <c r="K24" s="690"/>
      <c r="L24" s="690" t="e">
        <f>0.2*#REF!</f>
        <v>#REF!</v>
      </c>
      <c r="M24" s="690">
        <v>278</v>
      </c>
      <c r="N24" s="690" t="e">
        <f t="shared" si="1"/>
        <v>#REF!</v>
      </c>
    </row>
    <row r="25" spans="2:14" hidden="1">
      <c r="B25" s="681">
        <v>15</v>
      </c>
      <c r="C25" s="690">
        <v>200000</v>
      </c>
      <c r="D25" s="688"/>
      <c r="E25" s="689"/>
      <c r="F25" s="688" t="e">
        <f t="shared" si="2"/>
        <v>#REF!</v>
      </c>
      <c r="G25" s="681">
        <v>2.4</v>
      </c>
      <c r="H25" s="690" t="e">
        <f>C25*G25*#REF!</f>
        <v>#REF!</v>
      </c>
      <c r="I25" s="690" t="e">
        <f t="shared" si="3"/>
        <v>#REF!</v>
      </c>
      <c r="J25" s="690" t="e">
        <f t="shared" si="0"/>
        <v>#REF!</v>
      </c>
      <c r="K25" s="690"/>
      <c r="L25" s="690" t="e">
        <f>0.2*#REF!</f>
        <v>#REF!</v>
      </c>
      <c r="M25" s="690">
        <v>278</v>
      </c>
      <c r="N25" s="690" t="e">
        <f t="shared" si="1"/>
        <v>#REF!</v>
      </c>
    </row>
    <row r="26" spans="2:14" hidden="1">
      <c r="B26" s="681">
        <v>16</v>
      </c>
      <c r="C26" s="690">
        <v>200000</v>
      </c>
      <c r="D26" s="688"/>
      <c r="E26" s="689"/>
      <c r="F26" s="688" t="e">
        <f t="shared" si="2"/>
        <v>#REF!</v>
      </c>
      <c r="G26" s="681">
        <v>2.4</v>
      </c>
      <c r="H26" s="690" t="e">
        <f>C26*G26*#REF!</f>
        <v>#REF!</v>
      </c>
      <c r="I26" s="690" t="e">
        <f t="shared" si="3"/>
        <v>#REF!</v>
      </c>
      <c r="J26" s="690" t="e">
        <f t="shared" si="0"/>
        <v>#REF!</v>
      </c>
      <c r="K26" s="690"/>
      <c r="L26" s="690" t="e">
        <f>0.2*#REF!</f>
        <v>#REF!</v>
      </c>
      <c r="M26" s="690">
        <v>278</v>
      </c>
      <c r="N26" s="690" t="e">
        <f t="shared" si="1"/>
        <v>#REF!</v>
      </c>
    </row>
    <row r="27" spans="2:14" hidden="1">
      <c r="B27" s="681">
        <v>17</v>
      </c>
      <c r="C27" s="690">
        <v>200000</v>
      </c>
      <c r="D27" s="688"/>
      <c r="E27" s="689"/>
      <c r="F27" s="688" t="e">
        <f t="shared" si="2"/>
        <v>#REF!</v>
      </c>
      <c r="G27" s="681">
        <v>2.4</v>
      </c>
      <c r="H27" s="690" t="e">
        <f>C27*G27*#REF!</f>
        <v>#REF!</v>
      </c>
      <c r="I27" s="690" t="e">
        <f t="shared" si="3"/>
        <v>#REF!</v>
      </c>
      <c r="J27" s="690" t="e">
        <f t="shared" si="0"/>
        <v>#REF!</v>
      </c>
      <c r="K27" s="690"/>
      <c r="L27" s="690" t="e">
        <f>0.2*#REF!</f>
        <v>#REF!</v>
      </c>
      <c r="M27" s="690">
        <v>278</v>
      </c>
      <c r="N27" s="690" t="e">
        <f t="shared" si="1"/>
        <v>#REF!</v>
      </c>
    </row>
    <row r="28" spans="2:14" hidden="1">
      <c r="B28" s="681">
        <v>18</v>
      </c>
      <c r="C28" s="690">
        <v>200000</v>
      </c>
      <c r="D28" s="688"/>
      <c r="E28" s="689"/>
      <c r="F28" s="688" t="e">
        <f t="shared" si="2"/>
        <v>#REF!</v>
      </c>
      <c r="G28" s="681">
        <v>2.4</v>
      </c>
      <c r="H28" s="690" t="e">
        <f>C28*G28*#REF!</f>
        <v>#REF!</v>
      </c>
      <c r="I28" s="690" t="e">
        <f t="shared" si="3"/>
        <v>#REF!</v>
      </c>
      <c r="J28" s="690" t="e">
        <f t="shared" si="0"/>
        <v>#REF!</v>
      </c>
      <c r="K28" s="690"/>
      <c r="L28" s="690" t="e">
        <f>0.2*#REF!</f>
        <v>#REF!</v>
      </c>
      <c r="M28" s="690">
        <v>278</v>
      </c>
      <c r="N28" s="690" t="e">
        <f t="shared" si="1"/>
        <v>#REF!</v>
      </c>
    </row>
    <row r="29" spans="2:14" hidden="1">
      <c r="B29" s="681">
        <v>19</v>
      </c>
      <c r="C29" s="690">
        <v>200000</v>
      </c>
      <c r="D29" s="688"/>
      <c r="E29" s="689"/>
      <c r="F29" s="688" t="e">
        <f t="shared" si="2"/>
        <v>#REF!</v>
      </c>
      <c r="G29" s="681">
        <v>2.4</v>
      </c>
      <c r="H29" s="690" t="e">
        <f>C29*G29*#REF!</f>
        <v>#REF!</v>
      </c>
      <c r="I29" s="690" t="e">
        <f t="shared" si="3"/>
        <v>#REF!</v>
      </c>
      <c r="J29" s="690" t="e">
        <f t="shared" si="0"/>
        <v>#REF!</v>
      </c>
      <c r="K29" s="690"/>
      <c r="L29" s="690" t="e">
        <f>0.2*#REF!</f>
        <v>#REF!</v>
      </c>
      <c r="M29" s="690">
        <v>278</v>
      </c>
      <c r="N29" s="690" t="e">
        <f t="shared" si="1"/>
        <v>#REF!</v>
      </c>
    </row>
    <row r="30" spans="2:14" hidden="1">
      <c r="B30" s="681">
        <v>20</v>
      </c>
      <c r="C30" s="690">
        <v>200000</v>
      </c>
      <c r="D30" s="688"/>
      <c r="E30" s="689"/>
      <c r="F30" s="688" t="e">
        <f t="shared" si="2"/>
        <v>#REF!</v>
      </c>
      <c r="G30" s="681">
        <v>2.4</v>
      </c>
      <c r="H30" s="690" t="e">
        <f>C30*G30*#REF!</f>
        <v>#REF!</v>
      </c>
      <c r="I30" s="690" t="e">
        <f t="shared" si="3"/>
        <v>#REF!</v>
      </c>
      <c r="J30" s="690" t="e">
        <f t="shared" si="0"/>
        <v>#REF!</v>
      </c>
      <c r="K30" s="690"/>
      <c r="L30" s="690" t="e">
        <f>0.2*#REF!</f>
        <v>#REF!</v>
      </c>
      <c r="M30" s="690">
        <v>278</v>
      </c>
      <c r="N30" s="690" t="e">
        <f t="shared" si="1"/>
        <v>#REF!</v>
      </c>
    </row>
    <row r="31" spans="2:14" hidden="1">
      <c r="B31" s="683" t="s">
        <v>324</v>
      </c>
      <c r="C31" s="688">
        <f>SUM(C11:C16)</f>
        <v>700000</v>
      </c>
      <c r="D31" s="688"/>
      <c r="E31" s="689"/>
      <c r="F31" s="688"/>
      <c r="G31" s="681"/>
      <c r="H31" s="681"/>
      <c r="I31" s="683"/>
      <c r="J31" s="691" t="e">
        <f>SUM(J11:J16)</f>
        <v>#REF!</v>
      </c>
      <c r="K31" s="691"/>
      <c r="L31" s="691"/>
      <c r="M31" s="691"/>
      <c r="N31" s="691"/>
    </row>
    <row r="32" spans="2:14" hidden="1">
      <c r="B32" s="692"/>
      <c r="C32" s="693">
        <f>44/12</f>
        <v>3.6666666666666665</v>
      </c>
      <c r="D32" s="693"/>
      <c r="E32" s="693"/>
      <c r="F32" s="693"/>
      <c r="G32" s="681"/>
      <c r="H32" s="681"/>
      <c r="I32" s="681"/>
      <c r="J32" s="681"/>
      <c r="K32" s="681"/>
      <c r="L32" s="681"/>
      <c r="M32" s="681"/>
      <c r="N32" s="681"/>
    </row>
    <row r="33" spans="2:16" ht="13.5" thickBot="1">
      <c r="B33" s="694"/>
      <c r="C33" s="695"/>
      <c r="D33" s="695"/>
      <c r="E33" s="695"/>
      <c r="F33" s="695"/>
      <c r="G33" s="696"/>
      <c r="H33" s="696"/>
      <c r="I33" s="696"/>
      <c r="J33" s="696"/>
      <c r="K33" s="696"/>
      <c r="L33" s="696">
        <f>0.5*0.1</f>
        <v>0.05</v>
      </c>
      <c r="M33" s="696"/>
      <c r="N33" s="696"/>
    </row>
    <row r="34" spans="2:16">
      <c r="B34" s="697" t="s">
        <v>312</v>
      </c>
      <c r="C34" s="698"/>
      <c r="D34" s="698"/>
      <c r="E34" s="698"/>
      <c r="F34" s="698"/>
      <c r="G34" s="698"/>
      <c r="H34" s="698"/>
      <c r="I34" s="698"/>
      <c r="J34" s="698"/>
      <c r="K34" s="698"/>
      <c r="L34" s="774"/>
      <c r="M34" s="774"/>
      <c r="N34" s="774"/>
    </row>
    <row r="35" spans="2:16">
      <c r="B35" s="699"/>
      <c r="C35" s="681"/>
      <c r="D35" s="681"/>
      <c r="E35" s="682"/>
      <c r="F35" s="681"/>
      <c r="G35" s="681"/>
      <c r="H35" s="681"/>
      <c r="I35" s="681"/>
      <c r="J35" s="681"/>
      <c r="K35" s="681"/>
      <c r="L35" s="681"/>
      <c r="M35" s="681"/>
      <c r="N35" s="681"/>
    </row>
    <row r="36" spans="2:16" s="702" customFormat="1" ht="78.75">
      <c r="B36" s="700" t="s">
        <v>313</v>
      </c>
      <c r="C36" s="701" t="s">
        <v>592</v>
      </c>
      <c r="D36" s="701" t="s">
        <v>601</v>
      </c>
      <c r="E36" s="701" t="s">
        <v>593</v>
      </c>
      <c r="F36" s="701" t="s">
        <v>600</v>
      </c>
      <c r="G36" s="701" t="s">
        <v>602</v>
      </c>
      <c r="H36" s="701" t="s">
        <v>603</v>
      </c>
      <c r="I36" s="701" t="s">
        <v>594</v>
      </c>
      <c r="J36" s="701" t="s">
        <v>599</v>
      </c>
      <c r="K36" s="701" t="s">
        <v>595</v>
      </c>
      <c r="L36" s="701" t="s">
        <v>596</v>
      </c>
      <c r="M36" s="701" t="s">
        <v>597</v>
      </c>
      <c r="N36" s="701" t="s">
        <v>598</v>
      </c>
      <c r="P36" s="703"/>
    </row>
    <row r="37" spans="2:16">
      <c r="B37" s="699">
        <v>1</v>
      </c>
      <c r="C37" s="688">
        <v>0</v>
      </c>
      <c r="D37" s="688"/>
      <c r="E37" s="689"/>
      <c r="F37" s="688">
        <f>I37-J37</f>
        <v>0</v>
      </c>
      <c r="G37" s="681">
        <v>0</v>
      </c>
      <c r="H37" s="690">
        <f t="shared" ref="H37:H56" si="4">C37*G37</f>
        <v>0</v>
      </c>
      <c r="I37" s="681"/>
      <c r="J37" s="681"/>
      <c r="K37" s="681"/>
      <c r="L37" s="681"/>
      <c r="M37" s="681"/>
      <c r="N37" s="681"/>
      <c r="O37" s="704"/>
    </row>
    <row r="38" spans="2:16">
      <c r="B38" s="699">
        <v>2</v>
      </c>
      <c r="C38" s="688">
        <v>20000</v>
      </c>
      <c r="D38" s="688">
        <f>12/0.47</f>
        <v>25.531914893617024</v>
      </c>
      <c r="E38" s="689">
        <f>D38*C38</f>
        <v>510638.29787234048</v>
      </c>
      <c r="F38" s="688">
        <f>E38</f>
        <v>510638.29787234048</v>
      </c>
      <c r="G38" s="681">
        <v>2.4</v>
      </c>
      <c r="H38" s="690">
        <f t="shared" si="4"/>
        <v>48000</v>
      </c>
      <c r="I38" s="690">
        <f>SUM(H38+F38)</f>
        <v>558638.29787234054</v>
      </c>
      <c r="J38" s="690">
        <f>I38*0.05</f>
        <v>27931.914893617028</v>
      </c>
      <c r="K38" s="690">
        <f>J38/1.3</f>
        <v>21486.088379705405</v>
      </c>
      <c r="L38" s="690">
        <f>0.2*K38</f>
        <v>4297.2176759410813</v>
      </c>
      <c r="M38" s="690">
        <f>(T2Prices!G13+'T3 Efficiency gain from aggrega'!F5)/31*1000</f>
        <v>419.35483870967744</v>
      </c>
      <c r="N38" s="690">
        <f>L38*M38</f>
        <v>1802059.0253946471</v>
      </c>
      <c r="O38" s="705"/>
    </row>
    <row r="39" spans="2:16">
      <c r="B39" s="699">
        <v>3</v>
      </c>
      <c r="C39" s="688">
        <v>20000</v>
      </c>
      <c r="D39" s="688">
        <f>D38+G38</f>
        <v>27.931914893617023</v>
      </c>
      <c r="E39" s="689"/>
      <c r="F39" s="688">
        <f t="shared" ref="F39:F45" si="5">I38-J38</f>
        <v>530706.3829787235</v>
      </c>
      <c r="G39" s="681">
        <v>2.4</v>
      </c>
      <c r="H39" s="690">
        <f t="shared" si="4"/>
        <v>48000</v>
      </c>
      <c r="I39" s="690">
        <f>SUM(H39+F39)</f>
        <v>578706.3829787235</v>
      </c>
      <c r="J39" s="690">
        <f t="shared" ref="J39:J56" si="6">I39*0.05</f>
        <v>28935.319148936178</v>
      </c>
      <c r="K39" s="690">
        <f t="shared" ref="K39:K56" si="7">J39/1.3</f>
        <v>22257.937806873982</v>
      </c>
      <c r="L39" s="690">
        <f t="shared" ref="L39:L56" si="8">0.2*K39</f>
        <v>4451.5875613747967</v>
      </c>
      <c r="M39" s="690">
        <f>M38</f>
        <v>419.35483870967744</v>
      </c>
      <c r="N39" s="690">
        <f t="shared" ref="N39:N55" si="9">L39*M39</f>
        <v>1866794.7838023342</v>
      </c>
    </row>
    <row r="40" spans="2:16">
      <c r="B40" s="699">
        <v>4</v>
      </c>
      <c r="C40" s="688">
        <v>20000</v>
      </c>
      <c r="D40" s="688">
        <f t="shared" ref="D40:D56" si="10">D39+G38</f>
        <v>30.331914893617022</v>
      </c>
      <c r="E40" s="689"/>
      <c r="F40" s="688">
        <f t="shared" si="5"/>
        <v>549771.06382978731</v>
      </c>
      <c r="G40" s="681">
        <v>2.4</v>
      </c>
      <c r="H40" s="690">
        <f t="shared" si="4"/>
        <v>48000</v>
      </c>
      <c r="I40" s="690">
        <f>SUM(H40+F40)</f>
        <v>597771.06382978731</v>
      </c>
      <c r="J40" s="690">
        <f t="shared" si="6"/>
        <v>29888.553191489365</v>
      </c>
      <c r="K40" s="690">
        <f t="shared" si="7"/>
        <v>22991.194762684125</v>
      </c>
      <c r="L40" s="690">
        <f t="shared" si="8"/>
        <v>4598.2389525368253</v>
      </c>
      <c r="M40" s="690">
        <f t="shared" ref="M40:M57" si="11">M39</f>
        <v>419.35483870967744</v>
      </c>
      <c r="N40" s="690">
        <f t="shared" si="9"/>
        <v>1928293.7542896364</v>
      </c>
    </row>
    <row r="41" spans="2:16">
      <c r="B41" s="699">
        <v>5</v>
      </c>
      <c r="C41" s="688">
        <v>20000</v>
      </c>
      <c r="D41" s="688">
        <f t="shared" si="10"/>
        <v>32.731914893617024</v>
      </c>
      <c r="E41" s="689"/>
      <c r="F41" s="688">
        <f t="shared" si="5"/>
        <v>567882.510638298</v>
      </c>
      <c r="G41" s="681">
        <v>2.4</v>
      </c>
      <c r="H41" s="690">
        <f t="shared" si="4"/>
        <v>48000</v>
      </c>
      <c r="I41" s="690">
        <f>SUM(H41+F41)</f>
        <v>615882.510638298</v>
      </c>
      <c r="J41" s="690">
        <f t="shared" si="6"/>
        <v>30794.125531914902</v>
      </c>
      <c r="K41" s="690">
        <f t="shared" si="7"/>
        <v>23687.788870703771</v>
      </c>
      <c r="L41" s="690">
        <f t="shared" si="8"/>
        <v>4737.5577741407542</v>
      </c>
      <c r="M41" s="690">
        <f t="shared" si="11"/>
        <v>419.35483870967744</v>
      </c>
      <c r="N41" s="690">
        <f t="shared" si="9"/>
        <v>1986717.7762525745</v>
      </c>
    </row>
    <row r="42" spans="2:16">
      <c r="B42" s="699">
        <v>6</v>
      </c>
      <c r="C42" s="688">
        <v>20000</v>
      </c>
      <c r="D42" s="688">
        <f t="shared" si="10"/>
        <v>35.131914893617022</v>
      </c>
      <c r="E42" s="689"/>
      <c r="F42" s="688">
        <f t="shared" si="5"/>
        <v>585088.38510638312</v>
      </c>
      <c r="G42" s="681">
        <v>2.4</v>
      </c>
      <c r="H42" s="690">
        <f t="shared" si="4"/>
        <v>48000</v>
      </c>
      <c r="I42" s="690">
        <f t="shared" ref="I42:I56" si="12">H42+F42</f>
        <v>633088.38510638312</v>
      </c>
      <c r="J42" s="690">
        <f t="shared" si="6"/>
        <v>31654.419255319157</v>
      </c>
      <c r="K42" s="690">
        <f t="shared" si="7"/>
        <v>24349.553273322428</v>
      </c>
      <c r="L42" s="690">
        <f t="shared" si="8"/>
        <v>4869.9106546644862</v>
      </c>
      <c r="M42" s="690">
        <f>M41</f>
        <v>419.35483870967744</v>
      </c>
      <c r="N42" s="690">
        <f t="shared" si="9"/>
        <v>2042220.5971173653</v>
      </c>
    </row>
    <row r="43" spans="2:16">
      <c r="B43" s="699">
        <v>7</v>
      </c>
      <c r="C43" s="688">
        <v>20000</v>
      </c>
      <c r="D43" s="688">
        <f t="shared" si="10"/>
        <v>37.531914893617021</v>
      </c>
      <c r="E43" s="689"/>
      <c r="F43" s="688">
        <f t="shared" si="5"/>
        <v>601433.96585106396</v>
      </c>
      <c r="G43" s="681">
        <v>2.4</v>
      </c>
      <c r="H43" s="690">
        <f t="shared" si="4"/>
        <v>48000</v>
      </c>
      <c r="I43" s="690">
        <f t="shared" si="12"/>
        <v>649433.96585106396</v>
      </c>
      <c r="J43" s="690">
        <f t="shared" si="6"/>
        <v>32471.698292553199</v>
      </c>
      <c r="K43" s="690">
        <f t="shared" si="7"/>
        <v>24978.229455810153</v>
      </c>
      <c r="L43" s="690">
        <f t="shared" si="8"/>
        <v>4995.6458911620311</v>
      </c>
      <c r="M43" s="690">
        <f t="shared" si="11"/>
        <v>419.35483870967744</v>
      </c>
      <c r="N43" s="690">
        <f t="shared" si="9"/>
        <v>2094948.2769389164</v>
      </c>
    </row>
    <row r="44" spans="2:16">
      <c r="B44" s="699">
        <v>8</v>
      </c>
      <c r="C44" s="688">
        <v>20000</v>
      </c>
      <c r="D44" s="688">
        <f t="shared" si="10"/>
        <v>39.931914893617019</v>
      </c>
      <c r="E44" s="689"/>
      <c r="F44" s="688">
        <f t="shared" si="5"/>
        <v>616962.26755851076</v>
      </c>
      <c r="G44" s="681">
        <v>2.4</v>
      </c>
      <c r="H44" s="690">
        <f t="shared" si="4"/>
        <v>48000</v>
      </c>
      <c r="I44" s="690">
        <f t="shared" si="12"/>
        <v>664962.26755851076</v>
      </c>
      <c r="J44" s="690">
        <f t="shared" si="6"/>
        <v>33248.11337792554</v>
      </c>
      <c r="K44" s="690">
        <f t="shared" si="7"/>
        <v>25575.47182917349</v>
      </c>
      <c r="L44" s="690">
        <f t="shared" si="8"/>
        <v>5115.0943658346987</v>
      </c>
      <c r="M44" s="690">
        <f t="shared" si="11"/>
        <v>419.35483870967744</v>
      </c>
      <c r="N44" s="690">
        <f t="shared" si="9"/>
        <v>2145039.57276939</v>
      </c>
    </row>
    <row r="45" spans="2:16">
      <c r="B45" s="699">
        <v>9</v>
      </c>
      <c r="C45" s="688">
        <v>20000</v>
      </c>
      <c r="D45" s="688">
        <f t="shared" si="10"/>
        <v>42.331914893617018</v>
      </c>
      <c r="E45" s="689"/>
      <c r="F45" s="688">
        <f t="shared" si="5"/>
        <v>631714.15418058517</v>
      </c>
      <c r="G45" s="681">
        <v>2.4</v>
      </c>
      <c r="H45" s="690">
        <f t="shared" si="4"/>
        <v>48000</v>
      </c>
      <c r="I45" s="690">
        <f t="shared" si="12"/>
        <v>679714.15418058517</v>
      </c>
      <c r="J45" s="690">
        <f t="shared" si="6"/>
        <v>33985.707709029259</v>
      </c>
      <c r="K45" s="690">
        <f t="shared" si="7"/>
        <v>26142.85208386866</v>
      </c>
      <c r="L45" s="690">
        <f t="shared" si="8"/>
        <v>5228.5704167737322</v>
      </c>
      <c r="M45" s="690">
        <f t="shared" si="11"/>
        <v>419.35483870967744</v>
      </c>
      <c r="N45" s="690">
        <f t="shared" si="9"/>
        <v>2192626.3038083394</v>
      </c>
    </row>
    <row r="46" spans="2:16">
      <c r="B46" s="699">
        <v>10</v>
      </c>
      <c r="C46" s="688">
        <v>20000</v>
      </c>
      <c r="D46" s="688">
        <f t="shared" si="10"/>
        <v>44.731914893617017</v>
      </c>
      <c r="E46" s="689"/>
      <c r="F46" s="688">
        <f t="shared" ref="F46:F56" si="13">I45-J45</f>
        <v>645728.44647155586</v>
      </c>
      <c r="G46" s="681">
        <v>2.4</v>
      </c>
      <c r="H46" s="690">
        <f t="shared" si="4"/>
        <v>48000</v>
      </c>
      <c r="I46" s="690">
        <f t="shared" si="12"/>
        <v>693728.44647155586</v>
      </c>
      <c r="J46" s="690">
        <f t="shared" si="6"/>
        <v>34686.422323577797</v>
      </c>
      <c r="K46" s="690">
        <f t="shared" si="7"/>
        <v>26681.863325829076</v>
      </c>
      <c r="L46" s="690">
        <f t="shared" si="8"/>
        <v>5336.3726651658153</v>
      </c>
      <c r="M46" s="690">
        <f t="shared" si="11"/>
        <v>419.35483870967744</v>
      </c>
      <c r="N46" s="690">
        <f t="shared" si="9"/>
        <v>2237833.6982953418</v>
      </c>
      <c r="O46" s="675"/>
    </row>
    <row r="47" spans="2:16">
      <c r="B47" s="699">
        <v>11</v>
      </c>
      <c r="C47" s="688">
        <v>20000</v>
      </c>
      <c r="D47" s="688">
        <f t="shared" si="10"/>
        <v>47.131914893617015</v>
      </c>
      <c r="E47" s="689"/>
      <c r="F47" s="688">
        <f>I46-J46</f>
        <v>659042.02414797805</v>
      </c>
      <c r="G47" s="681">
        <v>2.4</v>
      </c>
      <c r="H47" s="690">
        <f t="shared" si="4"/>
        <v>48000</v>
      </c>
      <c r="I47" s="690">
        <f t="shared" si="12"/>
        <v>707042.02414797805</v>
      </c>
      <c r="J47" s="690">
        <f t="shared" si="6"/>
        <v>35352.101207398904</v>
      </c>
      <c r="K47" s="690">
        <f t="shared" si="7"/>
        <v>27193.924005691464</v>
      </c>
      <c r="L47" s="690">
        <f t="shared" si="8"/>
        <v>5438.784801138293</v>
      </c>
      <c r="M47" s="690">
        <f t="shared" si="11"/>
        <v>419.35483870967744</v>
      </c>
      <c r="N47" s="690">
        <f t="shared" si="9"/>
        <v>2280780.7230579942</v>
      </c>
    </row>
    <row r="48" spans="2:16">
      <c r="B48" s="699">
        <v>12</v>
      </c>
      <c r="C48" s="688">
        <v>20000</v>
      </c>
      <c r="D48" s="688">
        <f t="shared" si="10"/>
        <v>49.531914893617014</v>
      </c>
      <c r="E48" s="689"/>
      <c r="F48" s="688">
        <f t="shared" si="13"/>
        <v>671689.92294057913</v>
      </c>
      <c r="G48" s="681">
        <v>2.4</v>
      </c>
      <c r="H48" s="690">
        <f t="shared" si="4"/>
        <v>48000</v>
      </c>
      <c r="I48" s="690">
        <f t="shared" si="12"/>
        <v>719689.92294057913</v>
      </c>
      <c r="J48" s="690">
        <f t="shared" si="6"/>
        <v>35984.496147028956</v>
      </c>
      <c r="K48" s="690">
        <f t="shared" si="7"/>
        <v>27680.381651560736</v>
      </c>
      <c r="L48" s="690">
        <f t="shared" si="8"/>
        <v>5536.0763303121475</v>
      </c>
      <c r="M48" s="690">
        <f t="shared" si="11"/>
        <v>419.35483870967744</v>
      </c>
      <c r="N48" s="690">
        <f t="shared" si="9"/>
        <v>2321580.3965825136</v>
      </c>
    </row>
    <row r="49" spans="1:14">
      <c r="B49" s="699">
        <v>13</v>
      </c>
      <c r="C49" s="688">
        <v>20000</v>
      </c>
      <c r="D49" s="688">
        <f t="shared" si="10"/>
        <v>51.931914893617012</v>
      </c>
      <c r="E49" s="689"/>
      <c r="F49" s="688">
        <f t="shared" si="13"/>
        <v>683705.42679355014</v>
      </c>
      <c r="G49" s="681">
        <v>2.4</v>
      </c>
      <c r="H49" s="690">
        <f t="shared" si="4"/>
        <v>48000</v>
      </c>
      <c r="I49" s="690">
        <f t="shared" si="12"/>
        <v>731705.42679355014</v>
      </c>
      <c r="J49" s="690">
        <f t="shared" si="6"/>
        <v>36585.271339677507</v>
      </c>
      <c r="K49" s="690">
        <f t="shared" si="7"/>
        <v>28142.516415136542</v>
      </c>
      <c r="L49" s="690">
        <f t="shared" si="8"/>
        <v>5628.5032830273085</v>
      </c>
      <c r="M49" s="690">
        <f t="shared" si="11"/>
        <v>419.35483870967744</v>
      </c>
      <c r="N49" s="690">
        <f t="shared" si="9"/>
        <v>2360340.0864308067</v>
      </c>
    </row>
    <row r="50" spans="1:14">
      <c r="B50" s="699">
        <v>14</v>
      </c>
      <c r="C50" s="688">
        <v>20000</v>
      </c>
      <c r="D50" s="688">
        <f t="shared" si="10"/>
        <v>54.331914893617011</v>
      </c>
      <c r="E50" s="689"/>
      <c r="F50" s="688">
        <f t="shared" si="13"/>
        <v>695120.15545387263</v>
      </c>
      <c r="G50" s="681">
        <v>2.4</v>
      </c>
      <c r="H50" s="690">
        <f t="shared" si="4"/>
        <v>48000</v>
      </c>
      <c r="I50" s="690">
        <f t="shared" si="12"/>
        <v>743120.15545387263</v>
      </c>
      <c r="J50" s="690">
        <f t="shared" si="6"/>
        <v>37156.007772693636</v>
      </c>
      <c r="K50" s="690">
        <f t="shared" si="7"/>
        <v>28581.544440533566</v>
      </c>
      <c r="L50" s="690">
        <f t="shared" si="8"/>
        <v>5716.3088881067133</v>
      </c>
      <c r="M50" s="690">
        <f t="shared" si="11"/>
        <v>419.35483870967744</v>
      </c>
      <c r="N50" s="690">
        <f t="shared" si="9"/>
        <v>2397161.7917866865</v>
      </c>
    </row>
    <row r="51" spans="1:14">
      <c r="B51" s="699">
        <v>15</v>
      </c>
      <c r="C51" s="688">
        <v>20000</v>
      </c>
      <c r="D51" s="688">
        <f t="shared" si="10"/>
        <v>56.731914893617009</v>
      </c>
      <c r="E51" s="689"/>
      <c r="F51" s="688">
        <f t="shared" si="13"/>
        <v>705964.14768117899</v>
      </c>
      <c r="G51" s="681">
        <v>2.4</v>
      </c>
      <c r="H51" s="690">
        <f t="shared" si="4"/>
        <v>48000</v>
      </c>
      <c r="I51" s="690">
        <f t="shared" si="12"/>
        <v>753964.14768117899</v>
      </c>
      <c r="J51" s="690">
        <f t="shared" si="6"/>
        <v>37698.207384058951</v>
      </c>
      <c r="K51" s="690">
        <f t="shared" si="7"/>
        <v>28998.621064660729</v>
      </c>
      <c r="L51" s="690">
        <f t="shared" si="8"/>
        <v>5799.7242129321457</v>
      </c>
      <c r="M51" s="690">
        <f t="shared" si="11"/>
        <v>419.35483870967744</v>
      </c>
      <c r="N51" s="690">
        <f t="shared" si="9"/>
        <v>2432142.4118747711</v>
      </c>
    </row>
    <row r="52" spans="1:14">
      <c r="B52" s="699">
        <v>16</v>
      </c>
      <c r="C52" s="688">
        <v>20000</v>
      </c>
      <c r="D52" s="688">
        <f t="shared" si="10"/>
        <v>59.131914893617008</v>
      </c>
      <c r="E52" s="689"/>
      <c r="F52" s="688">
        <f t="shared" si="13"/>
        <v>716265.94029712002</v>
      </c>
      <c r="G52" s="681">
        <v>2.4</v>
      </c>
      <c r="H52" s="690">
        <f t="shared" si="4"/>
        <v>48000</v>
      </c>
      <c r="I52" s="690">
        <f t="shared" si="12"/>
        <v>764265.94029712002</v>
      </c>
      <c r="J52" s="690">
        <f t="shared" si="6"/>
        <v>38213.297014856005</v>
      </c>
      <c r="K52" s="690">
        <f t="shared" si="7"/>
        <v>29394.843857581542</v>
      </c>
      <c r="L52" s="690">
        <f t="shared" si="8"/>
        <v>5878.9687715163091</v>
      </c>
      <c r="M52" s="690">
        <f t="shared" si="11"/>
        <v>419.35483870967744</v>
      </c>
      <c r="N52" s="690">
        <f t="shared" si="9"/>
        <v>2465374.0009584525</v>
      </c>
    </row>
    <row r="53" spans="1:14">
      <c r="B53" s="699">
        <v>17</v>
      </c>
      <c r="C53" s="688">
        <v>20000</v>
      </c>
      <c r="D53" s="688">
        <f t="shared" si="10"/>
        <v>61.531914893617007</v>
      </c>
      <c r="E53" s="689"/>
      <c r="F53" s="688">
        <f t="shared" si="13"/>
        <v>726052.64328226401</v>
      </c>
      <c r="G53" s="681">
        <v>2.4</v>
      </c>
      <c r="H53" s="690">
        <f t="shared" si="4"/>
        <v>48000</v>
      </c>
      <c r="I53" s="690">
        <f t="shared" si="12"/>
        <v>774052.64328226401</v>
      </c>
      <c r="J53" s="690">
        <f t="shared" si="6"/>
        <v>38702.632164113202</v>
      </c>
      <c r="K53" s="690">
        <f t="shared" si="7"/>
        <v>29771.255510856307</v>
      </c>
      <c r="L53" s="690">
        <f t="shared" si="8"/>
        <v>5954.2511021712617</v>
      </c>
      <c r="M53" s="690">
        <f t="shared" si="11"/>
        <v>419.35483870967744</v>
      </c>
      <c r="N53" s="690">
        <f t="shared" si="9"/>
        <v>2496944.0105879484</v>
      </c>
    </row>
    <row r="54" spans="1:14">
      <c r="B54" s="699">
        <v>18</v>
      </c>
      <c r="C54" s="688">
        <v>20000</v>
      </c>
      <c r="D54" s="688">
        <f t="shared" si="10"/>
        <v>63.931914893617005</v>
      </c>
      <c r="E54" s="689"/>
      <c r="F54" s="688">
        <f t="shared" si="13"/>
        <v>735350.01111815078</v>
      </c>
      <c r="G54" s="681">
        <v>2.4</v>
      </c>
      <c r="H54" s="690">
        <f t="shared" si="4"/>
        <v>48000</v>
      </c>
      <c r="I54" s="690">
        <f t="shared" si="12"/>
        <v>783350.01111815078</v>
      </c>
      <c r="J54" s="690">
        <f t="shared" si="6"/>
        <v>39167.500555907543</v>
      </c>
      <c r="K54" s="690">
        <f t="shared" si="7"/>
        <v>30128.84658146734</v>
      </c>
      <c r="L54" s="690">
        <f t="shared" si="8"/>
        <v>6025.7693162934684</v>
      </c>
      <c r="M54" s="690">
        <f t="shared" si="11"/>
        <v>419.35483870967744</v>
      </c>
      <c r="N54" s="690">
        <f t="shared" si="9"/>
        <v>2526935.5197359705</v>
      </c>
    </row>
    <row r="55" spans="1:14">
      <c r="B55" s="699">
        <v>19</v>
      </c>
      <c r="C55" s="688">
        <v>20000</v>
      </c>
      <c r="D55" s="688">
        <f t="shared" si="10"/>
        <v>66.331914893617011</v>
      </c>
      <c r="E55" s="689"/>
      <c r="F55" s="688">
        <f t="shared" si="13"/>
        <v>744182.51056224329</v>
      </c>
      <c r="G55" s="681">
        <v>2.4</v>
      </c>
      <c r="H55" s="690">
        <f t="shared" si="4"/>
        <v>48000</v>
      </c>
      <c r="I55" s="690">
        <f t="shared" si="12"/>
        <v>792182.51056224329</v>
      </c>
      <c r="J55" s="690">
        <f t="shared" si="6"/>
        <v>39609.12552811217</v>
      </c>
      <c r="K55" s="690">
        <f t="shared" si="7"/>
        <v>30468.558098547823</v>
      </c>
      <c r="L55" s="690">
        <f t="shared" si="8"/>
        <v>6093.7116197095647</v>
      </c>
      <c r="M55" s="690">
        <f t="shared" si="11"/>
        <v>419.35483870967744</v>
      </c>
      <c r="N55" s="690">
        <f t="shared" si="9"/>
        <v>2555427.4534265916</v>
      </c>
    </row>
    <row r="56" spans="1:14">
      <c r="B56" s="699">
        <v>20</v>
      </c>
      <c r="C56" s="688">
        <v>20000</v>
      </c>
      <c r="D56" s="688">
        <f t="shared" si="10"/>
        <v>68.731914893617017</v>
      </c>
      <c r="E56" s="689"/>
      <c r="F56" s="688">
        <f t="shared" si="13"/>
        <v>752573.38503413112</v>
      </c>
      <c r="G56" s="681">
        <v>2.4</v>
      </c>
      <c r="H56" s="690">
        <f t="shared" si="4"/>
        <v>48000</v>
      </c>
      <c r="I56" s="690">
        <f t="shared" si="12"/>
        <v>800573.38503413112</v>
      </c>
      <c r="J56" s="690">
        <f t="shared" si="6"/>
        <v>40028.66925170656</v>
      </c>
      <c r="K56" s="690">
        <f t="shared" si="7"/>
        <v>30791.284039774277</v>
      </c>
      <c r="L56" s="690">
        <f t="shared" si="8"/>
        <v>6158.2568079548555</v>
      </c>
      <c r="M56" s="690">
        <f t="shared" si="11"/>
        <v>419.35483870967744</v>
      </c>
      <c r="N56" s="690">
        <f>L56*M56</f>
        <v>2582494.7904326813</v>
      </c>
    </row>
    <row r="57" spans="1:14">
      <c r="B57" s="706" t="s">
        <v>324</v>
      </c>
      <c r="C57" s="688"/>
      <c r="D57" s="688"/>
      <c r="E57" s="689"/>
      <c r="F57" s="688"/>
      <c r="G57" s="681"/>
      <c r="H57" s="681"/>
      <c r="I57" s="707">
        <f>SUM(I38:I56)</f>
        <v>13241871.641798316</v>
      </c>
      <c r="J57" s="690">
        <f>I57*0.05</f>
        <v>662093.58208991587</v>
      </c>
      <c r="K57" s="690">
        <f>J57/1.3</f>
        <v>509302.7554537814</v>
      </c>
      <c r="L57" s="690">
        <f>0.2*K57</f>
        <v>101860.55109075629</v>
      </c>
      <c r="M57" s="690">
        <f t="shared" si="11"/>
        <v>419.35483870967744</v>
      </c>
      <c r="N57" s="690">
        <f>L57*M57</f>
        <v>42715714.973542958</v>
      </c>
    </row>
    <row r="58" spans="1:14">
      <c r="B58" s="696"/>
      <c r="C58" s="696"/>
      <c r="D58" s="696"/>
      <c r="E58" s="708"/>
      <c r="F58" s="696"/>
      <c r="G58" s="696"/>
      <c r="H58" s="696"/>
      <c r="I58" s="696"/>
      <c r="J58" s="696"/>
      <c r="K58" s="696"/>
      <c r="L58" s="696"/>
      <c r="M58" s="696"/>
      <c r="N58" s="696"/>
    </row>
    <row r="59" spans="1:14" s="709" customFormat="1" ht="18.75">
      <c r="B59" s="710" t="s">
        <v>643</v>
      </c>
      <c r="C59" s="711"/>
      <c r="D59" s="711"/>
      <c r="E59" s="711"/>
      <c r="F59" s="711"/>
      <c r="G59" s="711"/>
      <c r="H59" s="711"/>
      <c r="I59" s="711"/>
      <c r="J59" s="711"/>
      <c r="K59" s="711"/>
      <c r="L59" s="711"/>
      <c r="M59" s="711"/>
      <c r="N59" s="711"/>
    </row>
    <row r="60" spans="1:14">
      <c r="B60" s="712" t="s">
        <v>650</v>
      </c>
      <c r="C60" s="696"/>
      <c r="D60" s="696"/>
      <c r="E60" s="708"/>
      <c r="F60" s="696"/>
      <c r="G60" s="696"/>
      <c r="H60" s="696"/>
      <c r="I60" s="696"/>
      <c r="J60" s="696"/>
      <c r="K60" s="696"/>
      <c r="L60" s="696"/>
      <c r="M60" s="696"/>
      <c r="N60" s="696"/>
    </row>
    <row r="61" spans="1:14">
      <c r="B61" s="713" t="s">
        <v>651</v>
      </c>
      <c r="C61" s="714"/>
      <c r="D61" s="714"/>
      <c r="E61" s="714"/>
      <c r="F61" s="714"/>
      <c r="G61" s="714"/>
      <c r="H61" s="714"/>
      <c r="I61" s="714"/>
      <c r="J61" s="714"/>
      <c r="K61" s="714"/>
      <c r="L61" s="714"/>
      <c r="M61" s="714"/>
      <c r="N61" s="714"/>
    </row>
    <row r="62" spans="1:14">
      <c r="A62" s="712"/>
      <c r="B62" s="713" t="s">
        <v>652</v>
      </c>
      <c r="C62" s="713"/>
      <c r="D62" s="714"/>
      <c r="E62" s="714"/>
      <c r="F62" s="714"/>
      <c r="G62" s="714"/>
      <c r="H62" s="714"/>
      <c r="I62" s="714"/>
      <c r="J62" s="714"/>
      <c r="K62" s="714"/>
      <c r="L62" s="714"/>
      <c r="M62" s="714"/>
      <c r="N62" s="714"/>
    </row>
    <row r="63" spans="1:14" ht="15">
      <c r="B63" s="712" t="s">
        <v>653</v>
      </c>
      <c r="C63" s="715"/>
      <c r="D63" s="696"/>
      <c r="E63" s="708"/>
      <c r="F63" s="696"/>
      <c r="G63" s="696"/>
      <c r="H63" s="696"/>
      <c r="I63" s="716"/>
      <c r="J63" s="696"/>
      <c r="K63" s="696"/>
      <c r="L63" s="696"/>
      <c r="M63" s="696"/>
      <c r="N63" s="696"/>
    </row>
    <row r="64" spans="1:14">
      <c r="B64" s="713" t="s">
        <v>654</v>
      </c>
      <c r="C64" s="713"/>
      <c r="D64" s="713"/>
      <c r="E64" s="717"/>
      <c r="F64" s="717"/>
      <c r="G64" s="717"/>
      <c r="H64" s="717"/>
      <c r="I64" s="696"/>
      <c r="J64" s="696"/>
      <c r="K64" s="696"/>
      <c r="L64" s="696"/>
      <c r="M64" s="696"/>
      <c r="N64" s="696"/>
    </row>
    <row r="65" spans="2:14" ht="15">
      <c r="B65" s="718"/>
      <c r="C65" s="715"/>
      <c r="D65" s="696"/>
      <c r="E65" s="708"/>
      <c r="F65" s="696"/>
      <c r="G65" s="696"/>
      <c r="H65" s="719"/>
      <c r="I65" s="696"/>
      <c r="J65" s="696"/>
      <c r="K65" s="696"/>
      <c r="L65" s="696"/>
      <c r="M65" s="696"/>
      <c r="N65" s="696"/>
    </row>
    <row r="66" spans="2:14">
      <c r="B66" s="696"/>
      <c r="C66" s="720"/>
      <c r="D66" s="696"/>
      <c r="E66" s="708"/>
      <c r="F66" s="696"/>
      <c r="G66" s="720"/>
      <c r="H66" s="719"/>
      <c r="I66" s="696"/>
      <c r="J66" s="696"/>
      <c r="K66" s="696"/>
      <c r="L66" s="696"/>
      <c r="M66" s="696"/>
      <c r="N66" s="696"/>
    </row>
    <row r="67" spans="2:14">
      <c r="B67" s="696"/>
      <c r="C67" s="720"/>
      <c r="D67" s="696"/>
      <c r="E67" s="708"/>
      <c r="F67" s="696"/>
      <c r="G67" s="713"/>
      <c r="H67" s="713"/>
      <c r="I67" s="696"/>
      <c r="J67" s="696"/>
      <c r="K67" s="696"/>
      <c r="L67" s="696"/>
      <c r="M67" s="696"/>
      <c r="N67" s="696"/>
    </row>
    <row r="68" spans="2:14">
      <c r="B68" s="696"/>
      <c r="C68" s="720"/>
      <c r="D68" s="696"/>
      <c r="E68" s="708"/>
      <c r="F68" s="696"/>
      <c r="G68" s="720"/>
      <c r="H68" s="719"/>
      <c r="I68" s="696"/>
      <c r="J68" s="696"/>
      <c r="K68" s="696"/>
      <c r="L68" s="696"/>
      <c r="M68" s="696"/>
      <c r="N68" s="696"/>
    </row>
    <row r="69" spans="2:14">
      <c r="B69" s="696"/>
      <c r="C69" s="719"/>
      <c r="D69" s="696"/>
      <c r="E69" s="708"/>
      <c r="F69" s="696"/>
      <c r="G69" s="720"/>
      <c r="H69" s="719"/>
      <c r="I69" s="696"/>
      <c r="J69" s="696"/>
      <c r="K69" s="696"/>
      <c r="L69" s="696"/>
      <c r="M69" s="696"/>
      <c r="N69" s="696"/>
    </row>
    <row r="70" spans="2:14">
      <c r="B70" s="721"/>
      <c r="C70" s="720"/>
      <c r="D70" s="696"/>
      <c r="E70" s="708"/>
      <c r="F70" s="721"/>
      <c r="G70" s="721"/>
      <c r="H70" s="722"/>
      <c r="I70" s="696"/>
      <c r="J70" s="696"/>
      <c r="K70" s="696"/>
      <c r="L70" s="696"/>
      <c r="M70" s="696"/>
      <c r="N70" s="696"/>
    </row>
    <row r="71" spans="2:14">
      <c r="B71" s="696"/>
      <c r="C71" s="696"/>
      <c r="D71" s="696"/>
      <c r="E71" s="708"/>
      <c r="F71" s="696"/>
      <c r="G71" s="696"/>
      <c r="H71" s="696"/>
      <c r="I71" s="696"/>
      <c r="J71" s="696"/>
      <c r="K71" s="696"/>
      <c r="L71" s="696"/>
      <c r="M71" s="696"/>
      <c r="N71" s="696"/>
    </row>
    <row r="72" spans="2:14">
      <c r="B72" s="696"/>
      <c r="C72" s="696"/>
      <c r="D72" s="696"/>
      <c r="E72" s="708"/>
      <c r="F72" s="696"/>
      <c r="G72" s="696"/>
      <c r="H72" s="696"/>
      <c r="I72" s="696"/>
      <c r="J72" s="696"/>
      <c r="K72" s="696"/>
      <c r="L72" s="696"/>
      <c r="M72" s="696"/>
      <c r="N72" s="696"/>
    </row>
    <row r="73" spans="2:14">
      <c r="B73" s="694"/>
      <c r="C73" s="695"/>
      <c r="D73" s="696"/>
      <c r="E73" s="708"/>
      <c r="F73" s="696"/>
      <c r="G73" s="696"/>
      <c r="H73" s="696"/>
      <c r="I73" s="696"/>
      <c r="J73" s="696"/>
      <c r="K73" s="696"/>
      <c r="L73" s="696"/>
      <c r="M73" s="696"/>
      <c r="N73" s="696"/>
    </row>
    <row r="74" spans="2:14">
      <c r="B74" s="696"/>
      <c r="C74" s="696"/>
      <c r="D74" s="696"/>
      <c r="E74" s="708"/>
      <c r="F74" s="696"/>
      <c r="G74" s="696"/>
      <c r="H74" s="696"/>
      <c r="I74" s="696"/>
      <c r="J74" s="696"/>
      <c r="K74" s="696"/>
      <c r="L74" s="696"/>
      <c r="M74" s="696"/>
      <c r="N74" s="696"/>
    </row>
    <row r="75" spans="2:14">
      <c r="B75" s="696"/>
      <c r="C75" s="696"/>
      <c r="D75" s="696"/>
      <c r="E75" s="708"/>
      <c r="F75" s="696"/>
      <c r="G75" s="696"/>
      <c r="H75" s="696"/>
      <c r="I75" s="696"/>
      <c r="J75" s="696"/>
      <c r="K75" s="696"/>
      <c r="L75" s="696"/>
      <c r="M75" s="696"/>
      <c r="N75" s="696"/>
    </row>
    <row r="76" spans="2:14">
      <c r="B76" s="696"/>
      <c r="C76" s="696"/>
      <c r="D76" s="696"/>
      <c r="E76" s="708"/>
      <c r="F76" s="696"/>
      <c r="G76" s="696"/>
      <c r="H76" s="696"/>
      <c r="I76" s="696"/>
      <c r="J76" s="696"/>
      <c r="K76" s="696"/>
      <c r="L76" s="696"/>
      <c r="M76" s="696"/>
      <c r="N76" s="696"/>
    </row>
    <row r="77" spans="2:14">
      <c r="B77" s="696"/>
      <c r="C77" s="696"/>
      <c r="D77" s="696"/>
      <c r="E77" s="708"/>
      <c r="F77" s="696"/>
      <c r="G77" s="696"/>
      <c r="H77" s="696"/>
      <c r="I77" s="696"/>
      <c r="J77" s="696"/>
      <c r="K77" s="696"/>
      <c r="L77" s="696"/>
      <c r="M77" s="696"/>
      <c r="N77" s="696"/>
    </row>
    <row r="78" spans="2:14">
      <c r="B78" s="696"/>
      <c r="C78" s="696"/>
      <c r="D78" s="696"/>
      <c r="E78" s="708"/>
      <c r="F78" s="696"/>
      <c r="G78" s="696"/>
      <c r="H78" s="696"/>
      <c r="I78" s="696"/>
      <c r="J78" s="696"/>
      <c r="K78" s="696"/>
      <c r="L78" s="696"/>
      <c r="M78" s="696"/>
      <c r="N78" s="696"/>
    </row>
    <row r="79" spans="2:14">
      <c r="B79" s="696"/>
      <c r="C79" s="696"/>
      <c r="D79" s="696"/>
      <c r="E79" s="708"/>
      <c r="F79" s="696"/>
      <c r="G79" s="696"/>
      <c r="H79" s="696"/>
      <c r="I79" s="696"/>
      <c r="J79" s="696"/>
      <c r="K79" s="696"/>
      <c r="L79" s="696"/>
      <c r="M79" s="696"/>
      <c r="N79" s="696"/>
    </row>
    <row r="80" spans="2:14">
      <c r="B80" s="696"/>
      <c r="C80" s="696"/>
      <c r="D80" s="696"/>
      <c r="E80" s="708"/>
      <c r="F80" s="696"/>
      <c r="G80" s="696"/>
      <c r="H80" s="696"/>
      <c r="I80" s="696"/>
      <c r="J80" s="696"/>
      <c r="K80" s="696"/>
      <c r="L80" s="696"/>
      <c r="M80" s="696"/>
      <c r="N80" s="696"/>
    </row>
    <row r="81" spans="2:14">
      <c r="B81" s="696"/>
      <c r="C81" s="696"/>
      <c r="D81" s="696"/>
      <c r="E81" s="708"/>
      <c r="F81" s="696"/>
      <c r="G81" s="696"/>
      <c r="H81" s="696"/>
      <c r="I81" s="696"/>
      <c r="J81" s="696"/>
      <c r="K81" s="696"/>
      <c r="L81" s="696"/>
      <c r="M81" s="696"/>
      <c r="N81" s="696"/>
    </row>
    <row r="82" spans="2:14">
      <c r="B82" s="696"/>
      <c r="C82" s="696"/>
      <c r="D82" s="696"/>
      <c r="E82" s="708"/>
      <c r="F82" s="696"/>
      <c r="G82" s="696"/>
      <c r="H82" s="696"/>
      <c r="I82" s="696"/>
      <c r="J82" s="696"/>
      <c r="K82" s="696"/>
      <c r="L82" s="696"/>
      <c r="M82" s="696"/>
      <c r="N82" s="696"/>
    </row>
    <row r="83" spans="2:14">
      <c r="B83" s="696"/>
      <c r="C83" s="696"/>
      <c r="D83" s="696"/>
      <c r="E83" s="708"/>
      <c r="F83" s="696"/>
      <c r="G83" s="696"/>
      <c r="H83" s="696"/>
      <c r="I83" s="696"/>
      <c r="J83" s="696"/>
      <c r="K83" s="696"/>
      <c r="L83" s="696"/>
      <c r="M83" s="696"/>
      <c r="N83" s="696"/>
    </row>
    <row r="84" spans="2:14">
      <c r="B84" s="696"/>
      <c r="C84" s="696"/>
      <c r="D84" s="696"/>
      <c r="E84" s="708"/>
      <c r="F84" s="696"/>
      <c r="G84" s="696"/>
      <c r="H84" s="696"/>
      <c r="I84" s="696"/>
      <c r="J84" s="696"/>
      <c r="K84" s="696"/>
      <c r="L84" s="696"/>
      <c r="M84" s="696"/>
      <c r="N84" s="696"/>
    </row>
    <row r="85" spans="2:14">
      <c r="B85" s="696"/>
      <c r="C85" s="696"/>
      <c r="D85" s="696"/>
      <c r="E85" s="708"/>
      <c r="F85" s="696"/>
      <c r="G85" s="696"/>
      <c r="H85" s="696"/>
      <c r="I85" s="696"/>
      <c r="J85" s="696"/>
      <c r="K85" s="696"/>
      <c r="L85" s="696"/>
      <c r="M85" s="696"/>
      <c r="N85" s="696"/>
    </row>
    <row r="86" spans="2:14">
      <c r="B86" s="696"/>
      <c r="C86" s="696"/>
      <c r="D86" s="696"/>
      <c r="E86" s="708"/>
      <c r="F86" s="696"/>
      <c r="G86" s="696"/>
      <c r="H86" s="696"/>
      <c r="I86" s="696"/>
      <c r="J86" s="696"/>
      <c r="K86" s="696"/>
      <c r="L86" s="696"/>
      <c r="M86" s="696"/>
      <c r="N86" s="696"/>
    </row>
    <row r="87" spans="2:14">
      <c r="B87" s="696"/>
      <c r="C87" s="696"/>
      <c r="D87" s="696"/>
      <c r="E87" s="708"/>
      <c r="F87" s="696"/>
      <c r="G87" s="696"/>
      <c r="H87" s="696"/>
      <c r="I87" s="696"/>
      <c r="J87" s="696"/>
      <c r="K87" s="696"/>
      <c r="L87" s="696"/>
      <c r="M87" s="696"/>
      <c r="N87" s="696"/>
    </row>
    <row r="88" spans="2:14">
      <c r="B88" s="696"/>
      <c r="C88" s="696"/>
      <c r="D88" s="696"/>
      <c r="E88" s="708"/>
      <c r="F88" s="696"/>
      <c r="G88" s="696"/>
      <c r="H88" s="696"/>
      <c r="I88" s="696"/>
      <c r="J88" s="696"/>
      <c r="K88" s="696"/>
      <c r="L88" s="696"/>
      <c r="M88" s="696"/>
      <c r="N88" s="696"/>
    </row>
    <row r="89" spans="2:14">
      <c r="B89" s="696"/>
      <c r="C89" s="696"/>
      <c r="D89" s="696"/>
      <c r="E89" s="708"/>
      <c r="F89" s="696"/>
      <c r="G89" s="696"/>
      <c r="H89" s="696"/>
      <c r="I89" s="696"/>
      <c r="J89" s="696"/>
      <c r="K89" s="696"/>
      <c r="L89" s="696"/>
      <c r="M89" s="696"/>
      <c r="N89" s="696"/>
    </row>
    <row r="90" spans="2:14">
      <c r="B90" s="696"/>
      <c r="C90" s="696"/>
      <c r="D90" s="696"/>
      <c r="E90" s="708"/>
      <c r="F90" s="696"/>
      <c r="G90" s="696"/>
      <c r="H90" s="696"/>
      <c r="I90" s="696"/>
      <c r="J90" s="696"/>
      <c r="K90" s="696"/>
      <c r="L90" s="696"/>
      <c r="M90" s="696"/>
      <c r="N90" s="696"/>
    </row>
    <row r="91" spans="2:14">
      <c r="B91" s="696"/>
      <c r="C91" s="696"/>
      <c r="D91" s="696"/>
      <c r="E91" s="708"/>
      <c r="F91" s="696"/>
      <c r="G91" s="696"/>
      <c r="H91" s="696"/>
      <c r="I91" s="696"/>
      <c r="J91" s="696"/>
      <c r="K91" s="696"/>
      <c r="L91" s="696"/>
      <c r="M91" s="696"/>
      <c r="N91" s="696"/>
    </row>
    <row r="92" spans="2:14">
      <c r="B92" s="696"/>
      <c r="C92" s="696"/>
      <c r="D92" s="696"/>
      <c r="E92" s="708"/>
      <c r="F92" s="696"/>
      <c r="G92" s="696"/>
      <c r="H92" s="696"/>
      <c r="I92" s="696"/>
      <c r="J92" s="696"/>
      <c r="K92" s="696"/>
      <c r="L92" s="696"/>
      <c r="M92" s="696"/>
      <c r="N92" s="696"/>
    </row>
    <row r="93" spans="2:14">
      <c r="B93" s="696"/>
      <c r="C93" s="696"/>
      <c r="D93" s="696"/>
      <c r="E93" s="708"/>
      <c r="F93" s="696"/>
      <c r="G93" s="696"/>
      <c r="H93" s="696"/>
      <c r="I93" s="696"/>
      <c r="J93" s="696"/>
      <c r="K93" s="696"/>
      <c r="L93" s="696"/>
      <c r="M93" s="696"/>
      <c r="N93" s="696"/>
    </row>
    <row r="94" spans="2:14">
      <c r="B94" s="696"/>
      <c r="C94" s="696"/>
      <c r="D94" s="696"/>
      <c r="E94" s="708"/>
      <c r="F94" s="696"/>
      <c r="G94" s="696"/>
      <c r="H94" s="696"/>
      <c r="I94" s="696"/>
      <c r="J94" s="696"/>
      <c r="K94" s="696"/>
      <c r="L94" s="696"/>
      <c r="M94" s="696"/>
      <c r="N94" s="696"/>
    </row>
    <row r="95" spans="2:14">
      <c r="B95" s="696"/>
      <c r="C95" s="696"/>
      <c r="D95" s="696"/>
      <c r="E95" s="708"/>
      <c r="F95" s="696"/>
      <c r="G95" s="696"/>
      <c r="H95" s="696"/>
      <c r="I95" s="696"/>
      <c r="J95" s="696"/>
      <c r="K95" s="696"/>
      <c r="L95" s="696"/>
      <c r="M95" s="696"/>
      <c r="N95" s="696"/>
    </row>
  </sheetData>
  <mergeCells count="1">
    <mergeCell ref="L34:N34"/>
  </mergeCells>
  <pageMargins left="0.7" right="0.7" top="0.75" bottom="0.75" header="0.3" footer="0.3"/>
  <pageSetup scale="74" fitToHeight="0" orientation="landscape"/>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V64"/>
  <sheetViews>
    <sheetView showGridLines="0" topLeftCell="A19" workbookViewId="0">
      <selection activeCell="G50" sqref="G50"/>
    </sheetView>
  </sheetViews>
  <sheetFormatPr defaultColWidth="9.140625" defaultRowHeight="12.75"/>
  <cols>
    <col min="1" max="1" width="9.140625" style="35"/>
    <col min="2" max="2" width="25.42578125" style="35" customWidth="1"/>
    <col min="3" max="3" width="7.5703125" style="36" bestFit="1" customWidth="1"/>
    <col min="4" max="4" width="12" style="35" bestFit="1" customWidth="1"/>
    <col min="5" max="5" width="13.42578125" style="35" bestFit="1" customWidth="1"/>
    <col min="6" max="6" width="8.85546875" style="36" bestFit="1" customWidth="1"/>
    <col min="7" max="7" width="11.42578125" style="136" bestFit="1" customWidth="1"/>
    <col min="8" max="8" width="11" style="35" bestFit="1" customWidth="1"/>
    <col min="9" max="9" width="10.42578125" style="35" hidden="1" customWidth="1"/>
    <col min="10" max="10" width="11" style="35" hidden="1" customWidth="1"/>
    <col min="11" max="11" width="15.42578125" style="35" hidden="1" customWidth="1"/>
    <col min="12" max="12" width="16.42578125" style="35" hidden="1" customWidth="1"/>
    <col min="13" max="14" width="11" style="35" hidden="1" customWidth="1"/>
    <col min="15" max="15" width="12.140625" style="35" bestFit="1" customWidth="1"/>
    <col min="16" max="16" width="10.42578125" style="35" bestFit="1" customWidth="1"/>
    <col min="17" max="17" width="11.5703125" style="35" bestFit="1" customWidth="1"/>
    <col min="18" max="18" width="14" style="36" bestFit="1" customWidth="1"/>
    <col min="19" max="19" width="10.42578125" style="35" bestFit="1" customWidth="1"/>
    <col min="20" max="20" width="16.42578125" style="36" bestFit="1" customWidth="1"/>
    <col min="21" max="21" width="9.140625" style="35"/>
    <col min="22" max="22" width="0" style="35" hidden="1" customWidth="1"/>
    <col min="23" max="16384" width="9.140625" style="35"/>
  </cols>
  <sheetData>
    <row r="2" spans="2:22" ht="18">
      <c r="B2" s="91" t="s">
        <v>179</v>
      </c>
      <c r="I2" s="37"/>
    </row>
    <row r="3" spans="2:22">
      <c r="B3" s="92"/>
      <c r="C3" s="87"/>
      <c r="D3" s="93"/>
      <c r="E3" s="37"/>
      <c r="F3" s="39"/>
    </row>
    <row r="4" spans="2:22" ht="15.75">
      <c r="B4" s="94" t="s">
        <v>171</v>
      </c>
      <c r="C4" s="86"/>
      <c r="D4" s="85" t="s">
        <v>180</v>
      </c>
      <c r="E4" s="37"/>
      <c r="F4" s="39"/>
    </row>
    <row r="5" spans="2:22" ht="15.75">
      <c r="B5" s="82"/>
      <c r="C5" s="83"/>
      <c r="D5" s="84">
        <v>20000</v>
      </c>
      <c r="E5" s="37"/>
      <c r="F5" s="39"/>
    </row>
    <row r="6" spans="2:22" ht="15.75" hidden="1">
      <c r="B6" s="77"/>
      <c r="C6" s="39"/>
      <c r="D6" s="40"/>
      <c r="E6" s="37"/>
      <c r="F6" s="39"/>
    </row>
    <row r="7" spans="2:22" ht="15.75" hidden="1">
      <c r="B7" s="82" t="s">
        <v>169</v>
      </c>
      <c r="C7" s="90" t="s">
        <v>181</v>
      </c>
      <c r="D7" s="84"/>
      <c r="E7" s="49"/>
      <c r="F7" s="39"/>
    </row>
    <row r="8" spans="2:22" hidden="1">
      <c r="B8" s="46" t="s">
        <v>124</v>
      </c>
      <c r="C8" s="88">
        <v>1</v>
      </c>
      <c r="D8" s="81"/>
      <c r="E8" s="49"/>
      <c r="F8" s="39"/>
    </row>
    <row r="9" spans="2:22" ht="12.75" hidden="1" customHeight="1">
      <c r="B9" s="46" t="s">
        <v>125</v>
      </c>
      <c r="C9" s="88">
        <v>0</v>
      </c>
      <c r="D9" s="81"/>
      <c r="E9" s="49"/>
      <c r="F9" s="39"/>
    </row>
    <row r="10" spans="2:22" ht="12.75" hidden="1" customHeight="1">
      <c r="B10" s="46" t="s">
        <v>149</v>
      </c>
      <c r="C10" s="88">
        <v>0</v>
      </c>
      <c r="D10" s="81"/>
      <c r="E10" s="37"/>
      <c r="F10" s="39"/>
    </row>
    <row r="11" spans="2:22" ht="12.75" hidden="1" customHeight="1">
      <c r="B11" s="50" t="s">
        <v>157</v>
      </c>
      <c r="C11" s="89">
        <f>SUM(C8:C10)</f>
        <v>1</v>
      </c>
      <c r="D11" s="84"/>
      <c r="E11" s="37"/>
      <c r="F11" s="39"/>
    </row>
    <row r="12" spans="2:22" hidden="1">
      <c r="C12" s="41"/>
      <c r="D12" s="40"/>
      <c r="E12" s="37"/>
      <c r="F12" s="39"/>
    </row>
    <row r="13" spans="2:22" ht="15.75">
      <c r="B13" s="77" t="s">
        <v>158</v>
      </c>
      <c r="C13" s="41"/>
      <c r="D13" s="40"/>
      <c r="E13" s="37"/>
      <c r="F13" s="39"/>
    </row>
    <row r="14" spans="2:22" ht="26.25" thickBot="1">
      <c r="B14" s="66"/>
      <c r="C14" s="139"/>
      <c r="D14" s="140" t="s">
        <v>159</v>
      </c>
      <c r="E14" s="141" t="s">
        <v>245</v>
      </c>
      <c r="F14" s="142" t="s">
        <v>246</v>
      </c>
    </row>
    <row r="15" spans="2:22" ht="15" thickBot="1">
      <c r="B15" s="66"/>
      <c r="C15" s="67"/>
      <c r="D15" s="143"/>
      <c r="E15" s="144"/>
      <c r="F15" s="145"/>
      <c r="I15" s="130"/>
      <c r="J15" s="131" t="s">
        <v>190</v>
      </c>
      <c r="K15" s="131" t="s">
        <v>191</v>
      </c>
      <c r="L15" s="131" t="s">
        <v>192</v>
      </c>
      <c r="M15" s="131" t="s">
        <v>193</v>
      </c>
      <c r="N15" s="131" t="s">
        <v>194</v>
      </c>
      <c r="V15" s="131" t="s">
        <v>157</v>
      </c>
    </row>
    <row r="16" spans="2:22" ht="13.5" thickBot="1">
      <c r="B16" s="66" t="s">
        <v>172</v>
      </c>
      <c r="C16" s="67"/>
      <c r="D16" s="143">
        <f>C11*D5</f>
        <v>20000</v>
      </c>
      <c r="E16" s="146">
        <v>44</v>
      </c>
      <c r="F16" s="147">
        <f>D16*E16</f>
        <v>880000</v>
      </c>
      <c r="I16" s="781" t="s">
        <v>235</v>
      </c>
      <c r="J16" s="782"/>
      <c r="K16" s="132">
        <v>40000</v>
      </c>
      <c r="L16" s="132">
        <v>140000</v>
      </c>
      <c r="M16" s="132">
        <v>200000</v>
      </c>
      <c r="N16" s="132">
        <v>200000</v>
      </c>
      <c r="V16" s="133">
        <v>200000</v>
      </c>
    </row>
    <row r="17" spans="1:22" ht="13.5" thickBot="1">
      <c r="D17" s="42"/>
      <c r="I17" s="134" t="s">
        <v>236</v>
      </c>
      <c r="J17" s="135" t="s">
        <v>237</v>
      </c>
      <c r="K17" s="132">
        <f>K16*$F$21</f>
        <v>165440</v>
      </c>
      <c r="L17" s="132">
        <f>L16*$F$21</f>
        <v>579040</v>
      </c>
      <c r="M17" s="132">
        <f>M16*$F$21</f>
        <v>827200</v>
      </c>
      <c r="N17" s="132">
        <f>N16*$F$21</f>
        <v>827200</v>
      </c>
      <c r="V17" s="133">
        <v>1551000</v>
      </c>
    </row>
    <row r="18" spans="1:22" ht="15.75">
      <c r="B18" s="77" t="s">
        <v>238</v>
      </c>
      <c r="D18" s="42"/>
    </row>
    <row r="19" spans="1:22" ht="13.5" thickBot="1">
      <c r="B19" s="43"/>
      <c r="C19" s="44"/>
      <c r="D19" s="45"/>
      <c r="E19" s="43"/>
      <c r="F19" s="149" t="s">
        <v>245</v>
      </c>
      <c r="S19" s="129"/>
    </row>
    <row r="20" spans="1:22">
      <c r="B20" s="46"/>
      <c r="C20" s="47"/>
      <c r="D20" s="48"/>
      <c r="E20" s="46"/>
      <c r="F20" s="78"/>
      <c r="S20" s="129"/>
    </row>
    <row r="21" spans="1:22" ht="12.75" customHeight="1">
      <c r="B21" t="s">
        <v>286</v>
      </c>
      <c r="C21" s="51"/>
      <c r="D21" s="52"/>
      <c r="E21" s="50"/>
      <c r="F21" s="95">
        <v>4.1360000000000001</v>
      </c>
      <c r="S21" s="129"/>
    </row>
    <row r="22" spans="1:22" ht="12.75" customHeight="1" thickBot="1">
      <c r="B22" s="148"/>
      <c r="C22" s="47"/>
      <c r="D22" s="46"/>
      <c r="E22" s="46"/>
      <c r="F22" s="47"/>
    </row>
    <row r="23" spans="1:22" ht="18.75" thickBot="1">
      <c r="A23" s="38"/>
      <c r="B23" s="155" t="s">
        <v>299</v>
      </c>
    </row>
    <row r="24" spans="1:22">
      <c r="B24" s="53"/>
      <c r="C24" s="54"/>
      <c r="D24" s="775" t="s">
        <v>178</v>
      </c>
      <c r="E24" s="776"/>
      <c r="F24" s="776"/>
      <c r="G24" s="776"/>
      <c r="H24" s="776"/>
      <c r="I24" s="776"/>
      <c r="J24" s="776"/>
      <c r="K24" s="776"/>
      <c r="L24" s="776"/>
      <c r="M24" s="776"/>
      <c r="N24" s="776"/>
      <c r="O24" s="777"/>
      <c r="P24" s="778" t="s">
        <v>287</v>
      </c>
      <c r="Q24" s="779"/>
      <c r="R24" s="779"/>
      <c r="S24" s="779"/>
      <c r="T24" s="780"/>
    </row>
    <row r="25" spans="1:22" ht="51">
      <c r="B25" s="55"/>
      <c r="C25" s="56" t="s">
        <v>243</v>
      </c>
      <c r="D25" s="57"/>
      <c r="E25" s="58"/>
      <c r="F25" s="79" t="s">
        <v>159</v>
      </c>
      <c r="G25" s="137" t="s">
        <v>241</v>
      </c>
      <c r="H25" s="58" t="s">
        <v>285</v>
      </c>
      <c r="I25" s="58" t="s">
        <v>160</v>
      </c>
      <c r="J25" s="58" t="s">
        <v>241</v>
      </c>
      <c r="K25" s="58" t="s">
        <v>285</v>
      </c>
      <c r="L25" s="58" t="s">
        <v>159</v>
      </c>
      <c r="M25" s="58" t="s">
        <v>241</v>
      </c>
      <c r="N25" s="58" t="s">
        <v>285</v>
      </c>
      <c r="O25" s="59" t="s">
        <v>242</v>
      </c>
      <c r="P25" s="60" t="s">
        <v>173</v>
      </c>
      <c r="Q25" s="61" t="s">
        <v>174</v>
      </c>
      <c r="R25" s="62" t="s">
        <v>175</v>
      </c>
      <c r="S25" s="63" t="s">
        <v>176</v>
      </c>
      <c r="T25" s="64" t="s">
        <v>298</v>
      </c>
    </row>
    <row r="26" spans="1:22">
      <c r="B26" s="55" t="s">
        <v>161</v>
      </c>
      <c r="C26" s="56" t="s">
        <v>244</v>
      </c>
      <c r="D26" s="57" t="s">
        <v>239</v>
      </c>
      <c r="E26" s="58" t="s">
        <v>240</v>
      </c>
      <c r="F26" s="79" t="s">
        <v>162</v>
      </c>
      <c r="G26" s="137" t="s">
        <v>163</v>
      </c>
      <c r="H26" s="58" t="s">
        <v>247</v>
      </c>
      <c r="I26" s="58" t="s">
        <v>164</v>
      </c>
      <c r="J26" s="58" t="s">
        <v>163</v>
      </c>
      <c r="K26" s="58" t="s">
        <v>247</v>
      </c>
      <c r="L26" s="58" t="s">
        <v>165</v>
      </c>
      <c r="M26" s="58" t="s">
        <v>163</v>
      </c>
      <c r="N26" s="58" t="s">
        <v>163</v>
      </c>
      <c r="O26" s="59" t="s">
        <v>166</v>
      </c>
      <c r="P26" s="65"/>
      <c r="Q26" s="66"/>
      <c r="R26" s="67"/>
      <c r="S26" s="67"/>
      <c r="T26" s="68"/>
    </row>
    <row r="27" spans="1:22">
      <c r="B27" s="55">
        <v>1</v>
      </c>
      <c r="C27" s="69">
        <f>C8*D5</f>
        <v>20000</v>
      </c>
      <c r="D27" s="128">
        <f>F21</f>
        <v>4.1360000000000001</v>
      </c>
      <c r="E27" s="67">
        <f>C27*D27</f>
        <v>82720</v>
      </c>
      <c r="F27" s="67" t="e">
        <f>C27/#REF!</f>
        <v>#REF!</v>
      </c>
      <c r="G27" s="67">
        <f>E16/2</f>
        <v>22</v>
      </c>
      <c r="H27" s="67" t="e">
        <f>F27*G27</f>
        <v>#REF!</v>
      </c>
      <c r="I27" s="67"/>
      <c r="J27" s="66"/>
      <c r="K27" s="67"/>
      <c r="L27" s="67"/>
      <c r="M27" s="67"/>
      <c r="N27" s="66"/>
      <c r="O27" s="68"/>
      <c r="P27" s="71"/>
      <c r="Q27" s="70"/>
      <c r="R27" s="67"/>
      <c r="S27" s="67"/>
      <c r="T27" s="68"/>
    </row>
    <row r="28" spans="1:22">
      <c r="B28" s="55">
        <v>2</v>
      </c>
      <c r="C28" s="69">
        <f>(C8+C9)*D5</f>
        <v>20000</v>
      </c>
      <c r="D28" s="65">
        <f>D27</f>
        <v>4.1360000000000001</v>
      </c>
      <c r="E28" s="67">
        <f>C28*D28</f>
        <v>82720</v>
      </c>
      <c r="F28" s="67" t="e">
        <f>F27</f>
        <v>#REF!</v>
      </c>
      <c r="G28" s="67">
        <f>(E16+F21)/2</f>
        <v>24.068000000000001</v>
      </c>
      <c r="H28" s="67" t="e">
        <f>F28*G28</f>
        <v>#REF!</v>
      </c>
      <c r="I28" s="67" t="e">
        <f>(C28-C27)/#REF!</f>
        <v>#REF!</v>
      </c>
      <c r="J28" s="70">
        <f>G27</f>
        <v>22</v>
      </c>
      <c r="K28" s="67" t="e">
        <f>I28*J28</f>
        <v>#REF!</v>
      </c>
      <c r="L28" s="67"/>
      <c r="M28" s="67"/>
      <c r="N28" s="67"/>
      <c r="O28" s="68" t="e">
        <f>E28-H28-K28-N28</f>
        <v>#REF!</v>
      </c>
      <c r="P28" s="71" t="e">
        <f>(H28+K28+N28)*12/44</f>
        <v>#REF!</v>
      </c>
      <c r="Q28" s="70" t="e">
        <f t="shared" ref="Q28:Q47" si="0">P28*2</f>
        <v>#REF!</v>
      </c>
      <c r="R28" s="67" t="e">
        <f t="shared" ref="R28:R49" si="1">0.3*Q28</f>
        <v>#REF!</v>
      </c>
      <c r="S28" s="67">
        <v>200</v>
      </c>
      <c r="T28" s="68" t="e">
        <f t="shared" ref="T28:T49" si="2">R28*S28</f>
        <v>#REF!</v>
      </c>
    </row>
    <row r="29" spans="1:22">
      <c r="B29" s="55">
        <v>3</v>
      </c>
      <c r="C29" s="69">
        <f>C11*D5</f>
        <v>20000</v>
      </c>
      <c r="D29" s="65">
        <f t="shared" ref="D29:D47" si="3">D28</f>
        <v>4.1360000000000001</v>
      </c>
      <c r="E29" s="67">
        <f>C29*D29</f>
        <v>82720</v>
      </c>
      <c r="F29" s="67" t="e">
        <f>F28</f>
        <v>#REF!</v>
      </c>
      <c r="G29" s="67">
        <f>(E16+2*F21)/2</f>
        <v>26.135999999999999</v>
      </c>
      <c r="H29" s="67" t="e">
        <f>F29*G29</f>
        <v>#REF!</v>
      </c>
      <c r="I29" s="67" t="e">
        <f>I28</f>
        <v>#REF!</v>
      </c>
      <c r="J29" s="70">
        <f t="shared" ref="J29:J47" si="4">G28</f>
        <v>24.068000000000001</v>
      </c>
      <c r="K29" s="67" t="e">
        <f>I29*J29</f>
        <v>#REF!</v>
      </c>
      <c r="L29" s="67" t="e">
        <f>(C29-C28)/#REF!</f>
        <v>#REF!</v>
      </c>
      <c r="M29" s="67">
        <f>J28</f>
        <v>22</v>
      </c>
      <c r="N29" s="67" t="e">
        <f>L29*M29</f>
        <v>#REF!</v>
      </c>
      <c r="O29" s="68" t="e">
        <f>E29-H29-K29-N29</f>
        <v>#REF!</v>
      </c>
      <c r="P29" s="71" t="e">
        <f t="shared" ref="P29:P47" si="5">(H29+K29+N29)*12/44</f>
        <v>#REF!</v>
      </c>
      <c r="Q29" s="70" t="e">
        <f t="shared" si="0"/>
        <v>#REF!</v>
      </c>
      <c r="R29" s="67" t="e">
        <f t="shared" si="1"/>
        <v>#REF!</v>
      </c>
      <c r="S29" s="67">
        <f t="shared" ref="S29:S49" si="6">S28</f>
        <v>200</v>
      </c>
      <c r="T29" s="68" t="e">
        <f t="shared" si="2"/>
        <v>#REF!</v>
      </c>
    </row>
    <row r="30" spans="1:22">
      <c r="B30" s="55">
        <v>4</v>
      </c>
      <c r="C30" s="69">
        <f>C29</f>
        <v>20000</v>
      </c>
      <c r="D30" s="65">
        <f t="shared" si="3"/>
        <v>4.1360000000000001</v>
      </c>
      <c r="E30" s="67">
        <f>C30*D30</f>
        <v>82720</v>
      </c>
      <c r="F30" s="67" t="e">
        <f>F29</f>
        <v>#REF!</v>
      </c>
      <c r="G30" s="67">
        <f>(E16+3*F21)/2</f>
        <v>28.204000000000001</v>
      </c>
      <c r="H30" s="67" t="e">
        <f>F30*G30</f>
        <v>#REF!</v>
      </c>
      <c r="I30" s="67" t="e">
        <f>I29</f>
        <v>#REF!</v>
      </c>
      <c r="J30" s="70">
        <f t="shared" si="4"/>
        <v>26.135999999999999</v>
      </c>
      <c r="K30" s="67" t="e">
        <f>I30*J30</f>
        <v>#REF!</v>
      </c>
      <c r="L30" s="67" t="e">
        <f>L29</f>
        <v>#REF!</v>
      </c>
      <c r="M30" s="67">
        <f>J29</f>
        <v>24.068000000000001</v>
      </c>
      <c r="N30" s="67" t="e">
        <f>L30*M30</f>
        <v>#REF!</v>
      </c>
      <c r="O30" s="68" t="e">
        <f>E30-H30-K30-N30</f>
        <v>#REF!</v>
      </c>
      <c r="P30" s="71" t="e">
        <f t="shared" si="5"/>
        <v>#REF!</v>
      </c>
      <c r="Q30" s="70" t="e">
        <f>P30*2</f>
        <v>#REF!</v>
      </c>
      <c r="R30" s="67" t="e">
        <f t="shared" si="1"/>
        <v>#REF!</v>
      </c>
      <c r="S30" s="67">
        <f t="shared" si="6"/>
        <v>200</v>
      </c>
      <c r="T30" s="68" t="e">
        <f t="shared" si="2"/>
        <v>#REF!</v>
      </c>
    </row>
    <row r="31" spans="1:22" ht="13.5" thickBot="1">
      <c r="B31" s="97">
        <v>5</v>
      </c>
      <c r="C31" s="98">
        <f>C30</f>
        <v>20000</v>
      </c>
      <c r="D31" s="99">
        <f t="shared" si="3"/>
        <v>4.1360000000000001</v>
      </c>
      <c r="E31" s="100">
        <f>C31*D31</f>
        <v>82720</v>
      </c>
      <c r="F31" s="100" t="e">
        <f>F30</f>
        <v>#REF!</v>
      </c>
      <c r="G31" s="100">
        <f>(E16+4*F21)/2</f>
        <v>30.271999999999998</v>
      </c>
      <c r="H31" s="100" t="e">
        <f>F31*G31</f>
        <v>#REF!</v>
      </c>
      <c r="I31" s="100" t="e">
        <f>I30</f>
        <v>#REF!</v>
      </c>
      <c r="J31" s="102">
        <f t="shared" si="4"/>
        <v>28.204000000000001</v>
      </c>
      <c r="K31" s="100" t="e">
        <f>I31*J31</f>
        <v>#REF!</v>
      </c>
      <c r="L31" s="100" t="e">
        <f>L30</f>
        <v>#REF!</v>
      </c>
      <c r="M31" s="100">
        <f>J30</f>
        <v>26.135999999999999</v>
      </c>
      <c r="N31" s="100" t="e">
        <f>L31*M31</f>
        <v>#REF!</v>
      </c>
      <c r="O31" s="101" t="e">
        <f>E31-H31-K31-N31</f>
        <v>#REF!</v>
      </c>
      <c r="P31" s="71" t="e">
        <f t="shared" si="5"/>
        <v>#REF!</v>
      </c>
      <c r="Q31" s="70" t="e">
        <f t="shared" si="0"/>
        <v>#REF!</v>
      </c>
      <c r="R31" s="100" t="e">
        <f t="shared" si="1"/>
        <v>#REF!</v>
      </c>
      <c r="S31" s="67">
        <f t="shared" si="6"/>
        <v>200</v>
      </c>
      <c r="T31" s="101" t="e">
        <f t="shared" si="2"/>
        <v>#REF!</v>
      </c>
    </row>
    <row r="32" spans="1:22" s="115" customFormat="1" ht="13.5" thickBot="1">
      <c r="B32" s="107"/>
      <c r="C32" s="108"/>
      <c r="D32" s="109">
        <f t="shared" si="3"/>
        <v>4.1360000000000001</v>
      </c>
      <c r="E32" s="110"/>
      <c r="F32" s="110"/>
      <c r="G32" s="110"/>
      <c r="H32" s="110"/>
      <c r="I32" s="110"/>
      <c r="J32" s="114"/>
      <c r="K32" s="111" t="s">
        <v>184</v>
      </c>
      <c r="L32" s="110"/>
      <c r="M32" s="110"/>
      <c r="N32" s="110"/>
      <c r="O32" s="112" t="e">
        <f>SUM(O27:O31)</f>
        <v>#REF!</v>
      </c>
      <c r="P32" s="113" t="e">
        <f>SUM(P27:P31)</f>
        <v>#REF!</v>
      </c>
      <c r="Q32" s="114" t="e">
        <f t="shared" si="0"/>
        <v>#REF!</v>
      </c>
      <c r="R32" s="110" t="e">
        <f t="shared" si="1"/>
        <v>#REF!</v>
      </c>
      <c r="S32" s="110">
        <f t="shared" si="6"/>
        <v>200</v>
      </c>
      <c r="T32" s="112" t="e">
        <f t="shared" si="2"/>
        <v>#REF!</v>
      </c>
    </row>
    <row r="33" spans="2:20">
      <c r="B33" s="103">
        <v>6</v>
      </c>
      <c r="C33" s="104">
        <f>C31</f>
        <v>20000</v>
      </c>
      <c r="D33" s="105">
        <f t="shared" si="3"/>
        <v>4.1360000000000001</v>
      </c>
      <c r="E33" s="74">
        <f t="shared" ref="E33:E47" si="7">C33*D33</f>
        <v>82720</v>
      </c>
      <c r="F33" s="74" t="e">
        <f>F31</f>
        <v>#REF!</v>
      </c>
      <c r="G33" s="74">
        <f>($E$16+5*$F$21)/2</f>
        <v>32.340000000000003</v>
      </c>
      <c r="H33" s="74" t="e">
        <f t="shared" ref="H33:H47" si="8">F33*G33</f>
        <v>#REF!</v>
      </c>
      <c r="I33" s="74" t="e">
        <f>I31</f>
        <v>#REF!</v>
      </c>
      <c r="J33" s="75">
        <f>G31</f>
        <v>30.271999999999998</v>
      </c>
      <c r="K33" s="74" t="e">
        <f t="shared" ref="K33:K47" si="9">I33*J33</f>
        <v>#REF!</v>
      </c>
      <c r="L33" s="74" t="e">
        <f>L31</f>
        <v>#REF!</v>
      </c>
      <c r="M33" s="74">
        <f>J31</f>
        <v>28.204000000000001</v>
      </c>
      <c r="N33" s="74" t="e">
        <f t="shared" ref="N33:N38" si="10">L33*M33</f>
        <v>#REF!</v>
      </c>
      <c r="O33" s="106" t="e">
        <f>E33-H33-K33-N33</f>
        <v>#REF!</v>
      </c>
      <c r="P33" s="71" t="e">
        <f t="shared" si="5"/>
        <v>#REF!</v>
      </c>
      <c r="Q33" s="70" t="e">
        <f t="shared" si="0"/>
        <v>#REF!</v>
      </c>
      <c r="R33" s="74" t="e">
        <f t="shared" si="1"/>
        <v>#REF!</v>
      </c>
      <c r="S33" s="67">
        <f t="shared" si="6"/>
        <v>200</v>
      </c>
      <c r="T33" s="106" t="e">
        <f t="shared" si="2"/>
        <v>#REF!</v>
      </c>
    </row>
    <row r="34" spans="2:20">
      <c r="B34" s="55">
        <v>7</v>
      </c>
      <c r="C34" s="69">
        <f>C33</f>
        <v>20000</v>
      </c>
      <c r="D34" s="65">
        <f t="shared" si="3"/>
        <v>4.1360000000000001</v>
      </c>
      <c r="E34" s="67">
        <f t="shared" si="7"/>
        <v>82720</v>
      </c>
      <c r="F34" s="67" t="e">
        <f>F33</f>
        <v>#REF!</v>
      </c>
      <c r="G34" s="67">
        <f>($E$16+6*$F$21)/2</f>
        <v>34.408000000000001</v>
      </c>
      <c r="H34" s="67" t="e">
        <f t="shared" si="8"/>
        <v>#REF!</v>
      </c>
      <c r="I34" s="67" t="e">
        <f>I33</f>
        <v>#REF!</v>
      </c>
      <c r="J34" s="70">
        <f t="shared" si="4"/>
        <v>32.340000000000003</v>
      </c>
      <c r="K34" s="67" t="e">
        <f t="shared" si="9"/>
        <v>#REF!</v>
      </c>
      <c r="L34" s="67" t="e">
        <f>L33</f>
        <v>#REF!</v>
      </c>
      <c r="M34" s="67">
        <f t="shared" ref="M34:M40" si="11">J33</f>
        <v>30.271999999999998</v>
      </c>
      <c r="N34" s="67" t="e">
        <f t="shared" si="10"/>
        <v>#REF!</v>
      </c>
      <c r="O34" s="106" t="e">
        <f>E34-H34-K34-N34</f>
        <v>#REF!</v>
      </c>
      <c r="P34" s="71" t="e">
        <f t="shared" si="5"/>
        <v>#REF!</v>
      </c>
      <c r="Q34" s="70" t="e">
        <f t="shared" si="0"/>
        <v>#REF!</v>
      </c>
      <c r="R34" s="67" t="e">
        <f t="shared" si="1"/>
        <v>#REF!</v>
      </c>
      <c r="S34" s="67">
        <f t="shared" si="6"/>
        <v>200</v>
      </c>
      <c r="T34" s="68" t="e">
        <f t="shared" si="2"/>
        <v>#REF!</v>
      </c>
    </row>
    <row r="35" spans="2:20">
      <c r="B35" s="55">
        <v>8</v>
      </c>
      <c r="C35" s="69">
        <f t="shared" ref="C35:C47" si="12">C33</f>
        <v>20000</v>
      </c>
      <c r="D35" s="65">
        <f t="shared" si="3"/>
        <v>4.1360000000000001</v>
      </c>
      <c r="E35" s="67">
        <f t="shared" si="7"/>
        <v>82720</v>
      </c>
      <c r="F35" s="67" t="e">
        <f t="shared" ref="F35:F47" si="13">F34</f>
        <v>#REF!</v>
      </c>
      <c r="G35" s="67">
        <f>($E$16+7*$F$21)/2</f>
        <v>36.475999999999999</v>
      </c>
      <c r="H35" s="67" t="e">
        <f t="shared" si="8"/>
        <v>#REF!</v>
      </c>
      <c r="I35" s="67" t="e">
        <f t="shared" ref="I35:I47" si="14">I33</f>
        <v>#REF!</v>
      </c>
      <c r="J35" s="70">
        <f t="shared" si="4"/>
        <v>34.408000000000001</v>
      </c>
      <c r="K35" s="67" t="e">
        <f t="shared" si="9"/>
        <v>#REF!</v>
      </c>
      <c r="L35" s="67" t="e">
        <f t="shared" ref="L35:L47" si="15">L34</f>
        <v>#REF!</v>
      </c>
      <c r="M35" s="67">
        <f t="shared" si="11"/>
        <v>32.340000000000003</v>
      </c>
      <c r="N35" s="67" t="e">
        <f t="shared" si="10"/>
        <v>#REF!</v>
      </c>
      <c r="O35" s="106" t="e">
        <f>E35-H35-K35-N35</f>
        <v>#REF!</v>
      </c>
      <c r="P35" s="71" t="e">
        <f t="shared" si="5"/>
        <v>#REF!</v>
      </c>
      <c r="Q35" s="70" t="e">
        <f t="shared" si="0"/>
        <v>#REF!</v>
      </c>
      <c r="R35" s="67" t="e">
        <f t="shared" si="1"/>
        <v>#REF!</v>
      </c>
      <c r="S35" s="67">
        <f t="shared" si="6"/>
        <v>200</v>
      </c>
      <c r="T35" s="68" t="e">
        <f t="shared" si="2"/>
        <v>#REF!</v>
      </c>
    </row>
    <row r="36" spans="2:20">
      <c r="B36" s="55">
        <v>9</v>
      </c>
      <c r="C36" s="69">
        <f t="shared" si="12"/>
        <v>20000</v>
      </c>
      <c r="D36" s="65">
        <f t="shared" si="3"/>
        <v>4.1360000000000001</v>
      </c>
      <c r="E36" s="67">
        <f t="shared" si="7"/>
        <v>82720</v>
      </c>
      <c r="F36" s="67" t="e">
        <f t="shared" si="13"/>
        <v>#REF!</v>
      </c>
      <c r="G36" s="67">
        <f>($E$16+8*$F$21)/2</f>
        <v>38.543999999999997</v>
      </c>
      <c r="H36" s="67" t="e">
        <f t="shared" si="8"/>
        <v>#REF!</v>
      </c>
      <c r="I36" s="67" t="e">
        <f t="shared" si="14"/>
        <v>#REF!</v>
      </c>
      <c r="J36" s="70">
        <f t="shared" si="4"/>
        <v>36.475999999999999</v>
      </c>
      <c r="K36" s="67" t="e">
        <f t="shared" si="9"/>
        <v>#REF!</v>
      </c>
      <c r="L36" s="67" t="e">
        <f t="shared" si="15"/>
        <v>#REF!</v>
      </c>
      <c r="M36" s="67">
        <f t="shared" si="11"/>
        <v>34.408000000000001</v>
      </c>
      <c r="N36" s="67" t="e">
        <f t="shared" si="10"/>
        <v>#REF!</v>
      </c>
      <c r="O36" s="106" t="e">
        <f>E36-H36-K36-N36</f>
        <v>#REF!</v>
      </c>
      <c r="P36" s="71" t="e">
        <f t="shared" si="5"/>
        <v>#REF!</v>
      </c>
      <c r="Q36" s="70" t="e">
        <f t="shared" si="0"/>
        <v>#REF!</v>
      </c>
      <c r="R36" s="67" t="e">
        <f t="shared" si="1"/>
        <v>#REF!</v>
      </c>
      <c r="S36" s="67">
        <f t="shared" si="6"/>
        <v>200</v>
      </c>
      <c r="T36" s="68" t="e">
        <f t="shared" si="2"/>
        <v>#REF!</v>
      </c>
    </row>
    <row r="37" spans="2:20">
      <c r="B37" s="55">
        <v>10</v>
      </c>
      <c r="C37" s="69">
        <f t="shared" si="12"/>
        <v>20000</v>
      </c>
      <c r="D37" s="65">
        <f t="shared" si="3"/>
        <v>4.1360000000000001</v>
      </c>
      <c r="E37" s="67">
        <f t="shared" si="7"/>
        <v>82720</v>
      </c>
      <c r="F37" s="67" t="e">
        <f t="shared" si="13"/>
        <v>#REF!</v>
      </c>
      <c r="G37" s="67">
        <f>($E$16+9*$F$21)/2</f>
        <v>40.612000000000002</v>
      </c>
      <c r="H37" s="67" t="e">
        <f t="shared" si="8"/>
        <v>#REF!</v>
      </c>
      <c r="I37" s="67" t="e">
        <f t="shared" si="14"/>
        <v>#REF!</v>
      </c>
      <c r="J37" s="70">
        <f t="shared" si="4"/>
        <v>38.543999999999997</v>
      </c>
      <c r="K37" s="67" t="e">
        <f t="shared" si="9"/>
        <v>#REF!</v>
      </c>
      <c r="L37" s="67" t="e">
        <f t="shared" si="15"/>
        <v>#REF!</v>
      </c>
      <c r="M37" s="67">
        <f t="shared" si="11"/>
        <v>36.475999999999999</v>
      </c>
      <c r="N37" s="67" t="e">
        <f t="shared" si="10"/>
        <v>#REF!</v>
      </c>
      <c r="O37" s="106" t="e">
        <f>E37-H37-K37-N37</f>
        <v>#REF!</v>
      </c>
      <c r="P37" s="71" t="e">
        <f t="shared" si="5"/>
        <v>#REF!</v>
      </c>
      <c r="Q37" s="70" t="e">
        <f t="shared" si="0"/>
        <v>#REF!</v>
      </c>
      <c r="R37" s="67" t="e">
        <f t="shared" si="1"/>
        <v>#REF!</v>
      </c>
      <c r="S37" s="67">
        <f t="shared" si="6"/>
        <v>200</v>
      </c>
      <c r="T37" s="68" t="e">
        <f t="shared" si="2"/>
        <v>#REF!</v>
      </c>
    </row>
    <row r="38" spans="2:20">
      <c r="B38" s="55">
        <v>11</v>
      </c>
      <c r="C38" s="69">
        <f t="shared" si="12"/>
        <v>20000</v>
      </c>
      <c r="D38" s="65">
        <f t="shared" si="3"/>
        <v>4.1360000000000001</v>
      </c>
      <c r="E38" s="67">
        <f t="shared" si="7"/>
        <v>82720</v>
      </c>
      <c r="F38" s="67" t="e">
        <f t="shared" si="13"/>
        <v>#REF!</v>
      </c>
      <c r="G38" s="67">
        <f>($E$16+10*$F$21)/2</f>
        <v>42.68</v>
      </c>
      <c r="H38" s="67" t="e">
        <f t="shared" si="8"/>
        <v>#REF!</v>
      </c>
      <c r="I38" s="67" t="e">
        <f t="shared" si="14"/>
        <v>#REF!</v>
      </c>
      <c r="J38" s="70">
        <f>G37</f>
        <v>40.612000000000002</v>
      </c>
      <c r="K38" s="67" t="e">
        <f t="shared" si="9"/>
        <v>#REF!</v>
      </c>
      <c r="L38" s="67" t="e">
        <f t="shared" si="15"/>
        <v>#REF!</v>
      </c>
      <c r="M38" s="67">
        <f t="shared" si="11"/>
        <v>38.543999999999997</v>
      </c>
      <c r="N38" s="67" t="e">
        <f t="shared" si="10"/>
        <v>#REF!</v>
      </c>
      <c r="O38" s="106">
        <v>0</v>
      </c>
      <c r="P38" s="71" t="e">
        <f t="shared" si="5"/>
        <v>#REF!</v>
      </c>
      <c r="Q38" s="70" t="e">
        <f t="shared" si="0"/>
        <v>#REF!</v>
      </c>
      <c r="R38" s="67" t="e">
        <f t="shared" si="1"/>
        <v>#REF!</v>
      </c>
      <c r="S38" s="67">
        <f t="shared" si="6"/>
        <v>200</v>
      </c>
      <c r="T38" s="68" t="e">
        <f t="shared" si="2"/>
        <v>#REF!</v>
      </c>
    </row>
    <row r="39" spans="2:20">
      <c r="B39" s="55">
        <v>12</v>
      </c>
      <c r="C39" s="69">
        <f t="shared" si="12"/>
        <v>20000</v>
      </c>
      <c r="D39" s="65">
        <f t="shared" si="3"/>
        <v>4.1360000000000001</v>
      </c>
      <c r="E39" s="67">
        <f t="shared" si="7"/>
        <v>82720</v>
      </c>
      <c r="F39" s="67" t="e">
        <f t="shared" si="13"/>
        <v>#REF!</v>
      </c>
      <c r="G39" s="67">
        <v>43</v>
      </c>
      <c r="H39" s="67" t="e">
        <f t="shared" si="8"/>
        <v>#REF!</v>
      </c>
      <c r="I39" s="67" t="e">
        <f t="shared" si="14"/>
        <v>#REF!</v>
      </c>
      <c r="J39" s="67">
        <f>G38</f>
        <v>42.68</v>
      </c>
      <c r="K39" s="67" t="e">
        <f t="shared" si="9"/>
        <v>#REF!</v>
      </c>
      <c r="L39" s="67" t="e">
        <f t="shared" si="15"/>
        <v>#REF!</v>
      </c>
      <c r="M39" s="67">
        <f t="shared" si="11"/>
        <v>40.612000000000002</v>
      </c>
      <c r="N39" s="67"/>
      <c r="O39" s="106">
        <v>0</v>
      </c>
      <c r="P39" s="71" t="e">
        <f t="shared" si="5"/>
        <v>#REF!</v>
      </c>
      <c r="Q39" s="70" t="e">
        <f t="shared" si="0"/>
        <v>#REF!</v>
      </c>
      <c r="R39" s="67" t="e">
        <f t="shared" si="1"/>
        <v>#REF!</v>
      </c>
      <c r="S39" s="67">
        <f t="shared" si="6"/>
        <v>200</v>
      </c>
      <c r="T39" s="68" t="e">
        <f t="shared" si="2"/>
        <v>#REF!</v>
      </c>
    </row>
    <row r="40" spans="2:20">
      <c r="B40" s="55">
        <v>13</v>
      </c>
      <c r="C40" s="69">
        <f t="shared" si="12"/>
        <v>20000</v>
      </c>
      <c r="D40" s="65">
        <f t="shared" si="3"/>
        <v>4.1360000000000001</v>
      </c>
      <c r="E40" s="67">
        <f t="shared" si="7"/>
        <v>82720</v>
      </c>
      <c r="F40" s="67" t="e">
        <f t="shared" si="13"/>
        <v>#REF!</v>
      </c>
      <c r="G40" s="67">
        <v>43</v>
      </c>
      <c r="H40" s="67" t="e">
        <f t="shared" si="8"/>
        <v>#REF!</v>
      </c>
      <c r="I40" s="67" t="e">
        <f t="shared" si="14"/>
        <v>#REF!</v>
      </c>
      <c r="J40" s="67">
        <f t="shared" si="4"/>
        <v>43</v>
      </c>
      <c r="K40" s="67" t="e">
        <f t="shared" si="9"/>
        <v>#REF!</v>
      </c>
      <c r="L40" s="67" t="e">
        <f t="shared" si="15"/>
        <v>#REF!</v>
      </c>
      <c r="M40" s="67">
        <f t="shared" si="11"/>
        <v>42.68</v>
      </c>
      <c r="N40" s="67"/>
      <c r="O40" s="106">
        <v>0</v>
      </c>
      <c r="P40" s="71" t="e">
        <f t="shared" si="5"/>
        <v>#REF!</v>
      </c>
      <c r="Q40" s="70" t="e">
        <f t="shared" si="0"/>
        <v>#REF!</v>
      </c>
      <c r="R40" s="67" t="e">
        <f t="shared" si="1"/>
        <v>#REF!</v>
      </c>
      <c r="S40" s="67">
        <f t="shared" si="6"/>
        <v>200</v>
      </c>
      <c r="T40" s="68" t="e">
        <f t="shared" si="2"/>
        <v>#REF!</v>
      </c>
    </row>
    <row r="41" spans="2:20">
      <c r="B41" s="55">
        <v>14</v>
      </c>
      <c r="C41" s="69">
        <f t="shared" si="12"/>
        <v>20000</v>
      </c>
      <c r="D41" s="65">
        <f t="shared" si="3"/>
        <v>4.1360000000000001</v>
      </c>
      <c r="E41" s="67">
        <f t="shared" si="7"/>
        <v>82720</v>
      </c>
      <c r="F41" s="67" t="e">
        <f t="shared" si="13"/>
        <v>#REF!</v>
      </c>
      <c r="G41" s="67">
        <v>43</v>
      </c>
      <c r="H41" s="67" t="e">
        <f t="shared" si="8"/>
        <v>#REF!</v>
      </c>
      <c r="I41" s="67" t="e">
        <f t="shared" si="14"/>
        <v>#REF!</v>
      </c>
      <c r="J41" s="67">
        <f t="shared" si="4"/>
        <v>43</v>
      </c>
      <c r="K41" s="67" t="e">
        <f t="shared" si="9"/>
        <v>#REF!</v>
      </c>
      <c r="L41" s="67" t="e">
        <f t="shared" si="15"/>
        <v>#REF!</v>
      </c>
      <c r="M41" s="67">
        <f t="shared" ref="M41:M47" si="16">J40</f>
        <v>43</v>
      </c>
      <c r="N41" s="67"/>
      <c r="O41" s="106">
        <v>0</v>
      </c>
      <c r="P41" s="71" t="e">
        <f t="shared" si="5"/>
        <v>#REF!</v>
      </c>
      <c r="Q41" s="70" t="e">
        <f t="shared" si="0"/>
        <v>#REF!</v>
      </c>
      <c r="R41" s="67" t="e">
        <f t="shared" si="1"/>
        <v>#REF!</v>
      </c>
      <c r="S41" s="67">
        <f t="shared" si="6"/>
        <v>200</v>
      </c>
      <c r="T41" s="68" t="e">
        <f t="shared" si="2"/>
        <v>#REF!</v>
      </c>
    </row>
    <row r="42" spans="2:20">
      <c r="B42" s="55">
        <v>15</v>
      </c>
      <c r="C42" s="69">
        <f t="shared" si="12"/>
        <v>20000</v>
      </c>
      <c r="D42" s="65">
        <f t="shared" si="3"/>
        <v>4.1360000000000001</v>
      </c>
      <c r="E42" s="67">
        <f t="shared" si="7"/>
        <v>82720</v>
      </c>
      <c r="F42" s="67" t="e">
        <f t="shared" si="13"/>
        <v>#REF!</v>
      </c>
      <c r="G42" s="67">
        <v>43</v>
      </c>
      <c r="H42" s="67" t="e">
        <f t="shared" si="8"/>
        <v>#REF!</v>
      </c>
      <c r="I42" s="67" t="e">
        <f t="shared" si="14"/>
        <v>#REF!</v>
      </c>
      <c r="J42" s="67">
        <f t="shared" si="4"/>
        <v>43</v>
      </c>
      <c r="K42" s="67" t="e">
        <f>I42*J42</f>
        <v>#REF!</v>
      </c>
      <c r="L42" s="67" t="e">
        <f t="shared" si="15"/>
        <v>#REF!</v>
      </c>
      <c r="M42" s="67">
        <f t="shared" si="16"/>
        <v>43</v>
      </c>
      <c r="N42" s="67"/>
      <c r="O42" s="106">
        <v>0</v>
      </c>
      <c r="P42" s="71" t="e">
        <f t="shared" si="5"/>
        <v>#REF!</v>
      </c>
      <c r="Q42" s="70" t="e">
        <f t="shared" si="0"/>
        <v>#REF!</v>
      </c>
      <c r="R42" s="67" t="e">
        <f t="shared" si="1"/>
        <v>#REF!</v>
      </c>
      <c r="S42" s="67">
        <f t="shared" si="6"/>
        <v>200</v>
      </c>
      <c r="T42" s="68" t="e">
        <f t="shared" si="2"/>
        <v>#REF!</v>
      </c>
    </row>
    <row r="43" spans="2:20">
      <c r="B43" s="55">
        <v>16</v>
      </c>
      <c r="C43" s="69">
        <f t="shared" si="12"/>
        <v>20000</v>
      </c>
      <c r="D43" s="65">
        <f t="shared" si="3"/>
        <v>4.1360000000000001</v>
      </c>
      <c r="E43" s="67">
        <f t="shared" si="7"/>
        <v>82720</v>
      </c>
      <c r="F43" s="67" t="e">
        <f t="shared" si="13"/>
        <v>#REF!</v>
      </c>
      <c r="G43" s="67">
        <v>43</v>
      </c>
      <c r="H43" s="67" t="e">
        <f t="shared" si="8"/>
        <v>#REF!</v>
      </c>
      <c r="I43" s="67" t="e">
        <f t="shared" si="14"/>
        <v>#REF!</v>
      </c>
      <c r="J43" s="67">
        <f t="shared" si="4"/>
        <v>43</v>
      </c>
      <c r="K43" s="67" t="e">
        <f t="shared" si="9"/>
        <v>#REF!</v>
      </c>
      <c r="L43" s="67" t="e">
        <f t="shared" si="15"/>
        <v>#REF!</v>
      </c>
      <c r="M43" s="67">
        <f t="shared" si="16"/>
        <v>43</v>
      </c>
      <c r="N43" s="67"/>
      <c r="O43" s="106">
        <v>0</v>
      </c>
      <c r="P43" s="71" t="e">
        <f t="shared" si="5"/>
        <v>#REF!</v>
      </c>
      <c r="Q43" s="70" t="e">
        <f t="shared" si="0"/>
        <v>#REF!</v>
      </c>
      <c r="R43" s="67" t="e">
        <f t="shared" si="1"/>
        <v>#REF!</v>
      </c>
      <c r="S43" s="67">
        <f t="shared" si="6"/>
        <v>200</v>
      </c>
      <c r="T43" s="68" t="e">
        <f t="shared" si="2"/>
        <v>#REF!</v>
      </c>
    </row>
    <row r="44" spans="2:20">
      <c r="B44" s="55">
        <v>17</v>
      </c>
      <c r="C44" s="69">
        <f t="shared" si="12"/>
        <v>20000</v>
      </c>
      <c r="D44" s="65">
        <f t="shared" si="3"/>
        <v>4.1360000000000001</v>
      </c>
      <c r="E44" s="67">
        <f t="shared" si="7"/>
        <v>82720</v>
      </c>
      <c r="F44" s="67" t="e">
        <f t="shared" si="13"/>
        <v>#REF!</v>
      </c>
      <c r="G44" s="67">
        <v>43</v>
      </c>
      <c r="H44" s="67" t="e">
        <f t="shared" si="8"/>
        <v>#REF!</v>
      </c>
      <c r="I44" s="67" t="e">
        <f t="shared" si="14"/>
        <v>#REF!</v>
      </c>
      <c r="J44" s="67">
        <f t="shared" si="4"/>
        <v>43</v>
      </c>
      <c r="K44" s="67" t="e">
        <f t="shared" si="9"/>
        <v>#REF!</v>
      </c>
      <c r="L44" s="67" t="e">
        <f t="shared" si="15"/>
        <v>#REF!</v>
      </c>
      <c r="M44" s="67">
        <f t="shared" si="16"/>
        <v>43</v>
      </c>
      <c r="N44" s="67"/>
      <c r="O44" s="106">
        <v>0</v>
      </c>
      <c r="P44" s="71" t="e">
        <f t="shared" si="5"/>
        <v>#REF!</v>
      </c>
      <c r="Q44" s="70" t="e">
        <f t="shared" si="0"/>
        <v>#REF!</v>
      </c>
      <c r="R44" s="67" t="e">
        <f t="shared" si="1"/>
        <v>#REF!</v>
      </c>
      <c r="S44" s="67">
        <f t="shared" si="6"/>
        <v>200</v>
      </c>
      <c r="T44" s="68" t="e">
        <f t="shared" si="2"/>
        <v>#REF!</v>
      </c>
    </row>
    <row r="45" spans="2:20">
      <c r="B45" s="55">
        <v>18</v>
      </c>
      <c r="C45" s="69">
        <f t="shared" si="12"/>
        <v>20000</v>
      </c>
      <c r="D45" s="65">
        <f t="shared" si="3"/>
        <v>4.1360000000000001</v>
      </c>
      <c r="E45" s="67">
        <f t="shared" si="7"/>
        <v>82720</v>
      </c>
      <c r="F45" s="67" t="e">
        <f t="shared" si="13"/>
        <v>#REF!</v>
      </c>
      <c r="G45" s="67">
        <v>43</v>
      </c>
      <c r="H45" s="67" t="e">
        <f t="shared" si="8"/>
        <v>#REF!</v>
      </c>
      <c r="I45" s="67" t="e">
        <f t="shared" si="14"/>
        <v>#REF!</v>
      </c>
      <c r="J45" s="67">
        <f t="shared" si="4"/>
        <v>43</v>
      </c>
      <c r="K45" s="67" t="e">
        <f t="shared" si="9"/>
        <v>#REF!</v>
      </c>
      <c r="L45" s="67" t="e">
        <f t="shared" si="15"/>
        <v>#REF!</v>
      </c>
      <c r="M45" s="67">
        <f t="shared" si="16"/>
        <v>43</v>
      </c>
      <c r="N45" s="67"/>
      <c r="O45" s="106">
        <v>0</v>
      </c>
      <c r="P45" s="71" t="e">
        <f t="shared" si="5"/>
        <v>#REF!</v>
      </c>
      <c r="Q45" s="70" t="e">
        <f t="shared" si="0"/>
        <v>#REF!</v>
      </c>
      <c r="R45" s="67" t="e">
        <f t="shared" si="1"/>
        <v>#REF!</v>
      </c>
      <c r="S45" s="67">
        <f t="shared" si="6"/>
        <v>200</v>
      </c>
      <c r="T45" s="68" t="e">
        <f t="shared" si="2"/>
        <v>#REF!</v>
      </c>
    </row>
    <row r="46" spans="2:20">
      <c r="B46" s="55">
        <v>19</v>
      </c>
      <c r="C46" s="69">
        <f t="shared" si="12"/>
        <v>20000</v>
      </c>
      <c r="D46" s="65">
        <f t="shared" si="3"/>
        <v>4.1360000000000001</v>
      </c>
      <c r="E46" s="67">
        <f t="shared" si="7"/>
        <v>82720</v>
      </c>
      <c r="F46" s="67" t="e">
        <f t="shared" si="13"/>
        <v>#REF!</v>
      </c>
      <c r="G46" s="67">
        <v>43</v>
      </c>
      <c r="H46" s="67" t="e">
        <f t="shared" si="8"/>
        <v>#REF!</v>
      </c>
      <c r="I46" s="67" t="e">
        <f t="shared" si="14"/>
        <v>#REF!</v>
      </c>
      <c r="J46" s="67">
        <f t="shared" si="4"/>
        <v>43</v>
      </c>
      <c r="K46" s="67" t="e">
        <f t="shared" si="9"/>
        <v>#REF!</v>
      </c>
      <c r="L46" s="67" t="e">
        <f t="shared" si="15"/>
        <v>#REF!</v>
      </c>
      <c r="M46" s="67">
        <f t="shared" si="16"/>
        <v>43</v>
      </c>
      <c r="N46" s="67"/>
      <c r="O46" s="106">
        <v>0</v>
      </c>
      <c r="P46" s="71" t="e">
        <f t="shared" si="5"/>
        <v>#REF!</v>
      </c>
      <c r="Q46" s="70" t="e">
        <f t="shared" si="0"/>
        <v>#REF!</v>
      </c>
      <c r="R46" s="67" t="e">
        <f t="shared" si="1"/>
        <v>#REF!</v>
      </c>
      <c r="S46" s="67">
        <f t="shared" si="6"/>
        <v>200</v>
      </c>
      <c r="T46" s="68" t="e">
        <f t="shared" si="2"/>
        <v>#REF!</v>
      </c>
    </row>
    <row r="47" spans="2:20" ht="13.5" thickBot="1">
      <c r="B47" s="97">
        <v>20</v>
      </c>
      <c r="C47" s="98">
        <f t="shared" si="12"/>
        <v>20000</v>
      </c>
      <c r="D47" s="99">
        <f t="shared" si="3"/>
        <v>4.1360000000000001</v>
      </c>
      <c r="E47" s="100">
        <f t="shared" si="7"/>
        <v>82720</v>
      </c>
      <c r="F47" s="100" t="e">
        <f t="shared" si="13"/>
        <v>#REF!</v>
      </c>
      <c r="G47" s="67">
        <v>43</v>
      </c>
      <c r="H47" s="100" t="e">
        <f t="shared" si="8"/>
        <v>#REF!</v>
      </c>
      <c r="I47" s="100" t="e">
        <f t="shared" si="14"/>
        <v>#REF!</v>
      </c>
      <c r="J47" s="100">
        <f t="shared" si="4"/>
        <v>43</v>
      </c>
      <c r="K47" s="100" t="e">
        <f t="shared" si="9"/>
        <v>#REF!</v>
      </c>
      <c r="L47" s="100" t="e">
        <f t="shared" si="15"/>
        <v>#REF!</v>
      </c>
      <c r="M47" s="100">
        <f t="shared" si="16"/>
        <v>43</v>
      </c>
      <c r="N47" s="67"/>
      <c r="O47" s="106">
        <v>0</v>
      </c>
      <c r="P47" s="71" t="e">
        <f t="shared" si="5"/>
        <v>#REF!</v>
      </c>
      <c r="Q47" s="70" t="e">
        <f t="shared" si="0"/>
        <v>#REF!</v>
      </c>
      <c r="R47" s="100" t="e">
        <f t="shared" si="1"/>
        <v>#REF!</v>
      </c>
      <c r="S47" s="67">
        <f t="shared" si="6"/>
        <v>200</v>
      </c>
      <c r="T47" s="101" t="e">
        <f t="shared" si="2"/>
        <v>#REF!</v>
      </c>
    </row>
    <row r="48" spans="2:20" s="115" customFormat="1" ht="13.5" thickBot="1">
      <c r="B48" s="107"/>
      <c r="C48" s="108"/>
      <c r="D48" s="109"/>
      <c r="E48" s="111"/>
      <c r="F48" s="110"/>
      <c r="G48" s="110"/>
      <c r="H48" s="111"/>
      <c r="I48" s="111"/>
      <c r="J48" s="111"/>
      <c r="K48" s="111"/>
      <c r="L48" s="111" t="s">
        <v>167</v>
      </c>
      <c r="M48" s="111"/>
      <c r="N48" s="111"/>
      <c r="O48" s="112" t="e">
        <f>SUM(O33:O47)</f>
        <v>#REF!</v>
      </c>
      <c r="P48" s="113" t="e">
        <f>SUM(P33:P47)</f>
        <v>#REF!</v>
      </c>
      <c r="Q48" s="114" t="e">
        <f>P48*2</f>
        <v>#REF!</v>
      </c>
      <c r="R48" s="110" t="e">
        <f t="shared" si="1"/>
        <v>#REF!</v>
      </c>
      <c r="S48" s="110">
        <f t="shared" si="6"/>
        <v>200</v>
      </c>
      <c r="T48" s="112" t="e">
        <f t="shared" si="2"/>
        <v>#REF!</v>
      </c>
    </row>
    <row r="49" spans="2:20" ht="13.5" thickBot="1">
      <c r="B49" s="46"/>
      <c r="C49" s="47"/>
      <c r="D49" s="46"/>
      <c r="E49" s="46"/>
      <c r="F49" s="47"/>
      <c r="G49" s="138"/>
      <c r="H49" s="46"/>
      <c r="I49" s="116" t="s">
        <v>168</v>
      </c>
      <c r="J49" s="117"/>
      <c r="K49" s="117"/>
      <c r="L49" s="117"/>
      <c r="M49" s="117"/>
      <c r="N49" s="117"/>
      <c r="O49" s="118" t="e">
        <f>O32+O48</f>
        <v>#REF!</v>
      </c>
      <c r="P49" s="123" t="e">
        <f>P32+P48</f>
        <v>#REF!</v>
      </c>
      <c r="Q49" s="124" t="e">
        <f>P49*2</f>
        <v>#REF!</v>
      </c>
      <c r="R49" s="125" t="e">
        <f t="shared" si="1"/>
        <v>#REF!</v>
      </c>
      <c r="S49" s="125">
        <f t="shared" si="6"/>
        <v>200</v>
      </c>
      <c r="T49" s="126" t="e">
        <f t="shared" si="2"/>
        <v>#REF!</v>
      </c>
    </row>
    <row r="50" spans="2:20">
      <c r="B50" s="46"/>
      <c r="C50" s="47"/>
      <c r="D50" s="46"/>
      <c r="E50" s="46"/>
      <c r="F50" s="47"/>
      <c r="G50" s="138"/>
      <c r="H50" s="46"/>
      <c r="I50" s="65" t="s">
        <v>183</v>
      </c>
      <c r="J50" s="66"/>
      <c r="K50" s="66"/>
      <c r="L50" s="66"/>
      <c r="M50" s="66"/>
      <c r="N50" s="66"/>
      <c r="O50" s="68">
        <f>F16</f>
        <v>880000</v>
      </c>
      <c r="P50" s="47"/>
      <c r="Q50" s="96"/>
      <c r="R50" s="47"/>
      <c r="S50" s="47"/>
      <c r="T50" s="47"/>
    </row>
    <row r="51" spans="2:20" ht="13.5" thickBot="1">
      <c r="B51" s="46"/>
      <c r="C51" s="47"/>
      <c r="D51" s="46"/>
      <c r="E51" s="46"/>
      <c r="F51" s="47"/>
      <c r="G51" s="138"/>
      <c r="H51" s="46"/>
      <c r="I51" s="119" t="s">
        <v>170</v>
      </c>
      <c r="J51" s="120"/>
      <c r="K51" s="120"/>
      <c r="L51" s="120"/>
      <c r="M51" s="120"/>
      <c r="N51" s="120"/>
      <c r="O51" s="122" t="e">
        <f>O49+O50</f>
        <v>#REF!</v>
      </c>
      <c r="P51" s="121"/>
      <c r="Q51" s="121"/>
      <c r="R51" s="80"/>
      <c r="S51" s="80"/>
      <c r="T51" s="80"/>
    </row>
    <row r="53" spans="2:20">
      <c r="N53" s="150"/>
    </row>
    <row r="54" spans="2:20">
      <c r="N54" s="150"/>
      <c r="O54" s="150"/>
    </row>
    <row r="55" spans="2:20">
      <c r="O55" s="129"/>
    </row>
    <row r="64" spans="2:20">
      <c r="B64" s="76"/>
    </row>
  </sheetData>
  <mergeCells count="3">
    <mergeCell ref="D24:O24"/>
    <mergeCell ref="P24:T24"/>
    <mergeCell ref="I16:J16"/>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C1:S32"/>
  <sheetViews>
    <sheetView showGridLines="0" topLeftCell="H1" workbookViewId="0">
      <selection activeCell="L5" sqref="L5"/>
    </sheetView>
  </sheetViews>
  <sheetFormatPr defaultColWidth="9.140625" defaultRowHeight="12.75"/>
  <cols>
    <col min="1" max="2" width="9.140625" style="35"/>
    <col min="3" max="3" width="61.42578125" style="35" customWidth="1"/>
    <col min="4" max="4" width="12" style="35" bestFit="1" customWidth="1"/>
    <col min="5" max="9" width="7.5703125" style="35" bestFit="1" customWidth="1"/>
    <col min="10" max="10" width="8.42578125" style="35" bestFit="1" customWidth="1"/>
    <col min="11" max="11" width="9.5703125" style="35" bestFit="1" customWidth="1"/>
    <col min="12" max="13" width="12.42578125" style="35" bestFit="1" customWidth="1"/>
    <col min="14" max="15" width="13" style="35" bestFit="1" customWidth="1"/>
    <col min="16" max="16" width="13.42578125" style="35" bestFit="1" customWidth="1"/>
    <col min="17" max="17" width="10.42578125" style="35" bestFit="1" customWidth="1"/>
    <col min="18" max="18" width="12.140625" style="35" bestFit="1" customWidth="1"/>
    <col min="19" max="16384" width="9.140625" style="35"/>
  </cols>
  <sheetData>
    <row r="1" spans="3:19" ht="13.5" thickBot="1"/>
    <row r="2" spans="3:19" ht="15">
      <c r="C2" s="166" t="s">
        <v>301</v>
      </c>
      <c r="D2" s="157"/>
      <c r="E2" s="157"/>
      <c r="F2" s="157"/>
      <c r="G2" s="157"/>
      <c r="H2" s="157"/>
      <c r="I2" s="157"/>
      <c r="J2" s="157"/>
      <c r="K2" s="157"/>
      <c r="L2" s="157"/>
      <c r="M2" s="157"/>
      <c r="N2" s="157"/>
      <c r="O2" s="157"/>
      <c r="P2" s="157"/>
      <c r="Q2" s="167"/>
    </row>
    <row r="3" spans="3:19" ht="13.5" thickBot="1">
      <c r="C3" s="72"/>
      <c r="D3" s="120" t="s">
        <v>152</v>
      </c>
      <c r="E3" s="783" t="s">
        <v>151</v>
      </c>
      <c r="F3" s="783"/>
      <c r="G3" s="783"/>
      <c r="H3" s="783"/>
      <c r="I3" s="783"/>
      <c r="J3" s="783"/>
      <c r="K3" s="120" t="s">
        <v>153</v>
      </c>
      <c r="L3" s="783" t="s">
        <v>682</v>
      </c>
      <c r="M3" s="783"/>
      <c r="N3" s="783"/>
      <c r="O3" s="783"/>
      <c r="P3" s="783"/>
      <c r="Q3" s="784"/>
    </row>
    <row r="4" spans="3:19">
      <c r="C4" s="105" t="s">
        <v>263</v>
      </c>
      <c r="D4" s="156"/>
      <c r="E4" s="156" t="s">
        <v>124</v>
      </c>
      <c r="F4" s="156" t="s">
        <v>125</v>
      </c>
      <c r="G4" s="156" t="s">
        <v>149</v>
      </c>
      <c r="H4" s="156" t="s">
        <v>150</v>
      </c>
      <c r="I4" s="156" t="s">
        <v>129</v>
      </c>
      <c r="J4" s="156" t="s">
        <v>157</v>
      </c>
      <c r="K4" s="156" t="s">
        <v>185</v>
      </c>
      <c r="L4" s="156" t="s">
        <v>124</v>
      </c>
      <c r="M4" s="156" t="s">
        <v>125</v>
      </c>
      <c r="N4" s="156" t="s">
        <v>149</v>
      </c>
      <c r="O4" s="156" t="s">
        <v>150</v>
      </c>
      <c r="P4" s="156" t="s">
        <v>129</v>
      </c>
      <c r="Q4" s="169" t="s">
        <v>157</v>
      </c>
    </row>
    <row r="5" spans="3:19">
      <c r="C5" s="65" t="s">
        <v>155</v>
      </c>
      <c r="D5" s="66" t="s">
        <v>156</v>
      </c>
      <c r="E5" s="67">
        <v>12</v>
      </c>
      <c r="F5" s="67">
        <v>12</v>
      </c>
      <c r="G5" s="67">
        <v>12</v>
      </c>
      <c r="H5" s="67">
        <v>12</v>
      </c>
      <c r="I5" s="67">
        <v>12</v>
      </c>
      <c r="J5" s="67">
        <f>SUM(E5:I5)</f>
        <v>60</v>
      </c>
      <c r="K5" s="67">
        <f>600*1.185*1.1*12</f>
        <v>9385.2000000000007</v>
      </c>
      <c r="L5" s="67">
        <f t="shared" ref="L5:Q8" si="0">E5*$K5</f>
        <v>112622.40000000001</v>
      </c>
      <c r="M5" s="67">
        <f t="shared" si="0"/>
        <v>112622.40000000001</v>
      </c>
      <c r="N5" s="67">
        <f t="shared" si="0"/>
        <v>112622.40000000001</v>
      </c>
      <c r="O5" s="67">
        <f t="shared" si="0"/>
        <v>112622.40000000001</v>
      </c>
      <c r="P5" s="67">
        <f t="shared" si="0"/>
        <v>112622.40000000001</v>
      </c>
      <c r="Q5" s="68">
        <f t="shared" si="0"/>
        <v>563112</v>
      </c>
      <c r="R5" s="622">
        <f>Q5/4.42</f>
        <v>127400.90497737557</v>
      </c>
      <c r="S5" s="623" t="s">
        <v>681</v>
      </c>
    </row>
    <row r="6" spans="3:19">
      <c r="C6" s="65" t="s">
        <v>260</v>
      </c>
      <c r="D6" s="66" t="s">
        <v>156</v>
      </c>
      <c r="E6" s="67">
        <v>12</v>
      </c>
      <c r="F6" s="67">
        <v>12</v>
      </c>
      <c r="G6" s="67">
        <v>12</v>
      </c>
      <c r="H6" s="67">
        <v>12</v>
      </c>
      <c r="I6" s="67">
        <v>12</v>
      </c>
      <c r="J6" s="67">
        <f>SUM(E6:I6)</f>
        <v>60</v>
      </c>
      <c r="K6" s="67">
        <f>K5</f>
        <v>9385.2000000000007</v>
      </c>
      <c r="L6" s="67">
        <f t="shared" ref="L6:Q6" si="1">E6*$K6</f>
        <v>112622.40000000001</v>
      </c>
      <c r="M6" s="67">
        <f t="shared" si="1"/>
        <v>112622.40000000001</v>
      </c>
      <c r="N6" s="67">
        <f t="shared" si="1"/>
        <v>112622.40000000001</v>
      </c>
      <c r="O6" s="67">
        <f t="shared" si="1"/>
        <v>112622.40000000001</v>
      </c>
      <c r="P6" s="67">
        <f t="shared" si="1"/>
        <v>112622.40000000001</v>
      </c>
      <c r="Q6" s="68">
        <f t="shared" si="1"/>
        <v>563112</v>
      </c>
      <c r="R6" s="622">
        <f t="shared" ref="R6:R23" si="2">Q6/4.42</f>
        <v>127400.90497737557</v>
      </c>
      <c r="S6" s="623" t="s">
        <v>681</v>
      </c>
    </row>
    <row r="7" spans="3:19">
      <c r="C7" s="65" t="s">
        <v>264</v>
      </c>
      <c r="D7" s="66" t="s">
        <v>156</v>
      </c>
      <c r="E7" s="67">
        <v>0</v>
      </c>
      <c r="F7" s="67">
        <v>0</v>
      </c>
      <c r="G7" s="67">
        <v>12</v>
      </c>
      <c r="H7" s="67">
        <v>12</v>
      </c>
      <c r="I7" s="67">
        <v>12</v>
      </c>
      <c r="J7" s="67">
        <f>SUM(E7:I7)</f>
        <v>36</v>
      </c>
      <c r="K7" s="67">
        <f>K6</f>
        <v>9385.2000000000007</v>
      </c>
      <c r="L7" s="67">
        <f t="shared" si="0"/>
        <v>0</v>
      </c>
      <c r="M7" s="67">
        <f t="shared" si="0"/>
        <v>0</v>
      </c>
      <c r="N7" s="67">
        <f t="shared" si="0"/>
        <v>112622.40000000001</v>
      </c>
      <c r="O7" s="67">
        <f t="shared" si="0"/>
        <v>112622.40000000001</v>
      </c>
      <c r="P7" s="67">
        <f t="shared" si="0"/>
        <v>112622.40000000001</v>
      </c>
      <c r="Q7" s="68">
        <f t="shared" si="0"/>
        <v>337867.2</v>
      </c>
      <c r="R7" s="622">
        <f t="shared" si="2"/>
        <v>76440.542986425338</v>
      </c>
      <c r="S7" s="623" t="s">
        <v>681</v>
      </c>
    </row>
    <row r="8" spans="3:19">
      <c r="C8" s="65" t="s">
        <v>267</v>
      </c>
      <c r="D8" s="66" t="s">
        <v>156</v>
      </c>
      <c r="E8" s="67">
        <v>0</v>
      </c>
      <c r="F8" s="67">
        <v>0</v>
      </c>
      <c r="G8" s="67">
        <v>12</v>
      </c>
      <c r="H8" s="67">
        <v>12</v>
      </c>
      <c r="I8" s="67">
        <v>12</v>
      </c>
      <c r="J8" s="67">
        <f>SUM(E8:I8)</f>
        <v>36</v>
      </c>
      <c r="K8" s="67">
        <f>400*12*1.185*1.1</f>
        <v>6256.8</v>
      </c>
      <c r="L8" s="67">
        <f t="shared" si="0"/>
        <v>0</v>
      </c>
      <c r="M8" s="67">
        <f t="shared" si="0"/>
        <v>0</v>
      </c>
      <c r="N8" s="67">
        <f t="shared" si="0"/>
        <v>75081.600000000006</v>
      </c>
      <c r="O8" s="67">
        <f t="shared" si="0"/>
        <v>75081.600000000006</v>
      </c>
      <c r="P8" s="67">
        <f t="shared" si="0"/>
        <v>75081.600000000006</v>
      </c>
      <c r="Q8" s="68">
        <f t="shared" si="0"/>
        <v>225244.80000000002</v>
      </c>
      <c r="R8" s="622">
        <f t="shared" si="2"/>
        <v>50960.36199095023</v>
      </c>
      <c r="S8" s="623" t="s">
        <v>681</v>
      </c>
    </row>
    <row r="9" spans="3:19">
      <c r="C9" s="168" t="s">
        <v>186</v>
      </c>
      <c r="D9" s="151"/>
      <c r="E9" s="151"/>
      <c r="F9" s="151"/>
      <c r="G9" s="151"/>
      <c r="H9" s="151"/>
      <c r="I9" s="151"/>
      <c r="J9" s="151"/>
      <c r="K9" s="151"/>
      <c r="L9" s="70">
        <f t="shared" ref="L9:Q9" si="3">SUM(L5:L8)</f>
        <v>225244.80000000002</v>
      </c>
      <c r="M9" s="70">
        <f t="shared" si="3"/>
        <v>225244.80000000002</v>
      </c>
      <c r="N9" s="70">
        <f t="shared" si="3"/>
        <v>412948.80000000005</v>
      </c>
      <c r="O9" s="70">
        <f t="shared" si="3"/>
        <v>412948.80000000005</v>
      </c>
      <c r="P9" s="70">
        <f t="shared" si="3"/>
        <v>412948.80000000005</v>
      </c>
      <c r="Q9" s="70">
        <f t="shared" si="3"/>
        <v>1689336</v>
      </c>
      <c r="R9" s="622">
        <f t="shared" si="2"/>
        <v>382202.71493212669</v>
      </c>
      <c r="S9" s="623" t="s">
        <v>681</v>
      </c>
    </row>
    <row r="10" spans="3:19">
      <c r="C10" s="65" t="s">
        <v>266</v>
      </c>
      <c r="D10" s="66" t="s">
        <v>262</v>
      </c>
      <c r="E10" s="67">
        <v>10</v>
      </c>
      <c r="F10" s="67">
        <v>15</v>
      </c>
      <c r="G10" s="67">
        <v>15</v>
      </c>
      <c r="H10" s="67">
        <v>15</v>
      </c>
      <c r="I10" s="67">
        <v>15</v>
      </c>
      <c r="J10" s="67">
        <f>SUM(E10:I10)</f>
        <v>70</v>
      </c>
      <c r="K10" s="67">
        <f>300*4.5</f>
        <v>1350</v>
      </c>
      <c r="L10" s="67">
        <f t="shared" ref="L10:Q10" si="4">E10*$K10</f>
        <v>13500</v>
      </c>
      <c r="M10" s="67">
        <f t="shared" si="4"/>
        <v>20250</v>
      </c>
      <c r="N10" s="67">
        <f t="shared" si="4"/>
        <v>20250</v>
      </c>
      <c r="O10" s="67">
        <f t="shared" si="4"/>
        <v>20250</v>
      </c>
      <c r="P10" s="67">
        <f t="shared" si="4"/>
        <v>20250</v>
      </c>
      <c r="Q10" s="68">
        <f t="shared" si="4"/>
        <v>94500</v>
      </c>
      <c r="R10" s="622">
        <f t="shared" si="2"/>
        <v>21380.090497737558</v>
      </c>
      <c r="S10" s="623" t="s">
        <v>681</v>
      </c>
    </row>
    <row r="11" spans="3:19">
      <c r="C11" s="158" t="s">
        <v>261</v>
      </c>
      <c r="D11" s="159"/>
      <c r="E11" s="159"/>
      <c r="F11" s="159"/>
      <c r="G11" s="159"/>
      <c r="H11" s="159"/>
      <c r="I11" s="159"/>
      <c r="J11" s="159"/>
      <c r="K11" s="159"/>
      <c r="L11" s="160"/>
      <c r="M11" s="160"/>
      <c r="N11" s="160"/>
      <c r="O11" s="160"/>
      <c r="P11" s="160"/>
      <c r="Q11" s="161"/>
      <c r="R11" s="622">
        <f t="shared" si="2"/>
        <v>0</v>
      </c>
      <c r="S11" s="623" t="s">
        <v>681</v>
      </c>
    </row>
    <row r="12" spans="3:19">
      <c r="C12" s="158" t="s">
        <v>270</v>
      </c>
      <c r="D12" s="159" t="s">
        <v>273</v>
      </c>
      <c r="E12" s="160">
        <v>1600</v>
      </c>
      <c r="F12" s="160">
        <f>E12</f>
        <v>1600</v>
      </c>
      <c r="G12" s="160">
        <f>F12</f>
        <v>1600</v>
      </c>
      <c r="H12" s="160">
        <f>G12</f>
        <v>1600</v>
      </c>
      <c r="I12" s="160">
        <f>H12</f>
        <v>1600</v>
      </c>
      <c r="J12" s="160">
        <f>SUM(E12:I12)</f>
        <v>8000</v>
      </c>
      <c r="K12" s="160">
        <v>20</v>
      </c>
      <c r="L12" s="67">
        <f t="shared" ref="L12:P16" si="5">E12*$K12</f>
        <v>32000</v>
      </c>
      <c r="M12" s="67">
        <f t="shared" si="5"/>
        <v>32000</v>
      </c>
      <c r="N12" s="67">
        <f t="shared" si="5"/>
        <v>32000</v>
      </c>
      <c r="O12" s="67">
        <f t="shared" si="5"/>
        <v>32000</v>
      </c>
      <c r="P12" s="67">
        <f t="shared" si="5"/>
        <v>32000</v>
      </c>
      <c r="Q12" s="161">
        <f>SUM(L12:P12)</f>
        <v>160000</v>
      </c>
      <c r="R12" s="622">
        <f t="shared" si="2"/>
        <v>36199.095022624439</v>
      </c>
      <c r="S12" s="623" t="s">
        <v>681</v>
      </c>
    </row>
    <row r="13" spans="3:19">
      <c r="C13" s="158" t="s">
        <v>277</v>
      </c>
      <c r="D13" s="159" t="s">
        <v>274</v>
      </c>
      <c r="E13" s="160">
        <v>13</v>
      </c>
      <c r="F13" s="160"/>
      <c r="G13" s="160"/>
      <c r="H13" s="160"/>
      <c r="I13" s="160">
        <v>13</v>
      </c>
      <c r="J13" s="160">
        <f>I13*2</f>
        <v>26</v>
      </c>
      <c r="K13" s="160">
        <v>150</v>
      </c>
      <c r="L13" s="67">
        <f t="shared" si="5"/>
        <v>1950</v>
      </c>
      <c r="M13" s="67">
        <f t="shared" si="5"/>
        <v>0</v>
      </c>
      <c r="N13" s="67">
        <f t="shared" si="5"/>
        <v>0</v>
      </c>
      <c r="O13" s="67">
        <f t="shared" si="5"/>
        <v>0</v>
      </c>
      <c r="P13" s="67">
        <f t="shared" si="5"/>
        <v>1950</v>
      </c>
      <c r="Q13" s="161">
        <f>SUM(L13:P13)</f>
        <v>3900</v>
      </c>
      <c r="R13" s="622">
        <f t="shared" si="2"/>
        <v>882.35294117647061</v>
      </c>
      <c r="S13" s="623" t="s">
        <v>681</v>
      </c>
    </row>
    <row r="14" spans="3:19">
      <c r="C14" s="158" t="s">
        <v>279</v>
      </c>
      <c r="D14" s="159" t="s">
        <v>278</v>
      </c>
      <c r="E14" s="160">
        <v>13</v>
      </c>
      <c r="F14" s="160"/>
      <c r="G14" s="160"/>
      <c r="H14" s="160"/>
      <c r="I14" s="160">
        <v>13</v>
      </c>
      <c r="J14" s="160">
        <f>I14*2</f>
        <v>26</v>
      </c>
      <c r="K14" s="160">
        <v>100</v>
      </c>
      <c r="L14" s="67">
        <f t="shared" si="5"/>
        <v>1300</v>
      </c>
      <c r="M14" s="67">
        <f t="shared" si="5"/>
        <v>0</v>
      </c>
      <c r="N14" s="67">
        <f t="shared" si="5"/>
        <v>0</v>
      </c>
      <c r="O14" s="67">
        <f t="shared" si="5"/>
        <v>0</v>
      </c>
      <c r="P14" s="67">
        <f t="shared" si="5"/>
        <v>1300</v>
      </c>
      <c r="Q14" s="161">
        <f>SUM(L14:P14)</f>
        <v>2600</v>
      </c>
      <c r="R14" s="622">
        <f t="shared" si="2"/>
        <v>588.23529411764707</v>
      </c>
      <c r="S14" s="623" t="s">
        <v>681</v>
      </c>
    </row>
    <row r="15" spans="3:19">
      <c r="C15" s="158" t="s">
        <v>281</v>
      </c>
      <c r="D15" s="159" t="s">
        <v>274</v>
      </c>
      <c r="E15" s="160">
        <v>13</v>
      </c>
      <c r="F15" s="160"/>
      <c r="G15" s="160"/>
      <c r="H15" s="160"/>
      <c r="I15" s="160"/>
      <c r="J15" s="160">
        <f>E15</f>
        <v>13</v>
      </c>
      <c r="K15" s="160">
        <v>250</v>
      </c>
      <c r="L15" s="67">
        <f t="shared" si="5"/>
        <v>3250</v>
      </c>
      <c r="M15" s="67">
        <f t="shared" si="5"/>
        <v>0</v>
      </c>
      <c r="N15" s="67">
        <f t="shared" si="5"/>
        <v>0</v>
      </c>
      <c r="O15" s="67">
        <f t="shared" si="5"/>
        <v>0</v>
      </c>
      <c r="P15" s="67">
        <f t="shared" si="5"/>
        <v>0</v>
      </c>
      <c r="Q15" s="161">
        <f>SUM(L15:P15)</f>
        <v>3250</v>
      </c>
      <c r="R15" s="622">
        <f t="shared" si="2"/>
        <v>735.29411764705878</v>
      </c>
      <c r="S15" s="623" t="s">
        <v>681</v>
      </c>
    </row>
    <row r="16" spans="3:19">
      <c r="C16" s="158" t="s">
        <v>300</v>
      </c>
      <c r="D16" s="162" t="s">
        <v>280</v>
      </c>
      <c r="E16" s="147">
        <v>12</v>
      </c>
      <c r="F16" s="147">
        <f>E16</f>
        <v>12</v>
      </c>
      <c r="G16" s="147">
        <f>F16</f>
        <v>12</v>
      </c>
      <c r="H16" s="147">
        <f>G16</f>
        <v>12</v>
      </c>
      <c r="I16" s="147">
        <f>H16</f>
        <v>12</v>
      </c>
      <c r="J16" s="147">
        <f>I16</f>
        <v>12</v>
      </c>
      <c r="K16" s="147">
        <v>1000</v>
      </c>
      <c r="L16" s="67">
        <f t="shared" si="5"/>
        <v>12000</v>
      </c>
      <c r="M16" s="67">
        <f t="shared" si="5"/>
        <v>12000</v>
      </c>
      <c r="N16" s="67">
        <f t="shared" si="5"/>
        <v>12000</v>
      </c>
      <c r="O16" s="67">
        <f t="shared" si="5"/>
        <v>12000</v>
      </c>
      <c r="P16" s="67">
        <f t="shared" si="5"/>
        <v>12000</v>
      </c>
      <c r="Q16" s="161">
        <f>SUM(L16:P16)</f>
        <v>60000</v>
      </c>
      <c r="R16" s="622">
        <f t="shared" si="2"/>
        <v>13574.660633484164</v>
      </c>
      <c r="S16" s="623" t="s">
        <v>681</v>
      </c>
    </row>
    <row r="17" spans="3:19">
      <c r="C17" s="158" t="s">
        <v>282</v>
      </c>
      <c r="D17" s="162" t="s">
        <v>255</v>
      </c>
      <c r="E17" s="147"/>
      <c r="F17" s="147"/>
      <c r="G17" s="147"/>
      <c r="H17" s="147"/>
      <c r="I17" s="147"/>
      <c r="J17" s="147"/>
      <c r="K17" s="147"/>
      <c r="L17" s="160">
        <v>35000</v>
      </c>
      <c r="M17" s="160">
        <f>L17</f>
        <v>35000</v>
      </c>
      <c r="N17" s="160">
        <f t="shared" ref="N17:P18" si="6">M17</f>
        <v>35000</v>
      </c>
      <c r="O17" s="160">
        <f t="shared" si="6"/>
        <v>35000</v>
      </c>
      <c r="P17" s="160">
        <f t="shared" si="6"/>
        <v>35000</v>
      </c>
      <c r="Q17" s="161">
        <f t="shared" ref="Q17:Q22" si="7">SUM(L17:P17)</f>
        <v>175000</v>
      </c>
      <c r="R17" s="622">
        <f t="shared" si="2"/>
        <v>39592.760180995472</v>
      </c>
      <c r="S17" s="623" t="s">
        <v>681</v>
      </c>
    </row>
    <row r="18" spans="3:19">
      <c r="C18" s="163" t="s">
        <v>283</v>
      </c>
      <c r="D18" s="66" t="s">
        <v>255</v>
      </c>
      <c r="E18" s="67"/>
      <c r="F18" s="67"/>
      <c r="G18" s="67"/>
      <c r="H18" s="67"/>
      <c r="I18" s="67"/>
      <c r="J18" s="67"/>
      <c r="K18" s="67"/>
      <c r="L18" s="70">
        <v>35000</v>
      </c>
      <c r="M18" s="70">
        <f>L18</f>
        <v>35000</v>
      </c>
      <c r="N18" s="70">
        <f t="shared" si="6"/>
        <v>35000</v>
      </c>
      <c r="O18" s="70">
        <f t="shared" si="6"/>
        <v>35000</v>
      </c>
      <c r="P18" s="70">
        <f t="shared" si="6"/>
        <v>35000</v>
      </c>
      <c r="Q18" s="161">
        <f t="shared" si="7"/>
        <v>175000</v>
      </c>
      <c r="R18" s="622">
        <f t="shared" si="2"/>
        <v>39592.760180995472</v>
      </c>
      <c r="S18" s="623" t="s">
        <v>681</v>
      </c>
    </row>
    <row r="19" spans="3:19">
      <c r="C19" s="158" t="s">
        <v>187</v>
      </c>
      <c r="D19" s="162" t="s">
        <v>255</v>
      </c>
      <c r="E19" s="147"/>
      <c r="F19" s="147"/>
      <c r="G19" s="147"/>
      <c r="H19" s="147"/>
      <c r="I19" s="147"/>
      <c r="J19" s="147"/>
      <c r="K19" s="147"/>
      <c r="L19" s="160">
        <v>35000</v>
      </c>
      <c r="M19" s="160">
        <f>L19</f>
        <v>35000</v>
      </c>
      <c r="N19" s="160">
        <f>M19</f>
        <v>35000</v>
      </c>
      <c r="O19" s="160">
        <f>N19</f>
        <v>35000</v>
      </c>
      <c r="P19" s="160">
        <f>O19</f>
        <v>35000</v>
      </c>
      <c r="Q19" s="161">
        <f t="shared" si="7"/>
        <v>175000</v>
      </c>
      <c r="R19" s="622">
        <f t="shared" si="2"/>
        <v>39592.760180995472</v>
      </c>
      <c r="S19" s="623" t="s">
        <v>681</v>
      </c>
    </row>
    <row r="20" spans="3:19">
      <c r="C20" s="158" t="s">
        <v>605</v>
      </c>
      <c r="D20" s="162" t="s">
        <v>604</v>
      </c>
      <c r="E20" s="147">
        <v>1</v>
      </c>
      <c r="F20" s="147">
        <v>1</v>
      </c>
      <c r="G20" s="147">
        <v>1</v>
      </c>
      <c r="H20" s="147">
        <v>1</v>
      </c>
      <c r="I20" s="147">
        <v>1</v>
      </c>
      <c r="J20" s="147">
        <v>1</v>
      </c>
      <c r="K20" s="147">
        <v>45000</v>
      </c>
      <c r="L20" s="160">
        <f t="shared" ref="L20:Q20" si="8">E20*$K$20</f>
        <v>45000</v>
      </c>
      <c r="M20" s="160">
        <f t="shared" si="8"/>
        <v>45000</v>
      </c>
      <c r="N20" s="160">
        <f t="shared" si="8"/>
        <v>45000</v>
      </c>
      <c r="O20" s="160">
        <f t="shared" si="8"/>
        <v>45000</v>
      </c>
      <c r="P20" s="160">
        <f t="shared" si="8"/>
        <v>45000</v>
      </c>
      <c r="Q20" s="160">
        <f t="shared" si="8"/>
        <v>45000</v>
      </c>
      <c r="R20" s="622">
        <f t="shared" si="2"/>
        <v>10180.995475113123</v>
      </c>
      <c r="S20" s="623" t="s">
        <v>681</v>
      </c>
    </row>
    <row r="21" spans="3:19">
      <c r="C21" s="158" t="s">
        <v>188</v>
      </c>
      <c r="D21" s="162" t="s">
        <v>255</v>
      </c>
      <c r="E21" s="147"/>
      <c r="F21" s="147"/>
      <c r="G21" s="147"/>
      <c r="H21" s="147"/>
      <c r="I21" s="147"/>
      <c r="J21" s="147"/>
      <c r="K21" s="147"/>
      <c r="L21" s="160">
        <f>5000*4.5</f>
        <v>22500</v>
      </c>
      <c r="M21" s="160">
        <f>5000*4.5</f>
        <v>22500</v>
      </c>
      <c r="N21" s="160">
        <f>5000*4.5</f>
        <v>22500</v>
      </c>
      <c r="O21" s="160">
        <f>5000*4.5</f>
        <v>22500</v>
      </c>
      <c r="P21" s="160">
        <f>5000*4.5</f>
        <v>22500</v>
      </c>
      <c r="Q21" s="161">
        <f t="shared" si="7"/>
        <v>112500</v>
      </c>
      <c r="R21" s="622">
        <f t="shared" si="2"/>
        <v>25452.488687782807</v>
      </c>
      <c r="S21" s="623" t="s">
        <v>681</v>
      </c>
    </row>
    <row r="22" spans="3:19">
      <c r="C22" s="163" t="s">
        <v>284</v>
      </c>
      <c r="D22" s="66" t="s">
        <v>255</v>
      </c>
      <c r="E22" s="67"/>
      <c r="F22" s="67"/>
      <c r="G22" s="67"/>
      <c r="H22" s="67"/>
      <c r="I22" s="67"/>
      <c r="J22" s="67"/>
      <c r="K22" s="67"/>
      <c r="L22" s="70">
        <v>30000</v>
      </c>
      <c r="M22" s="70">
        <f>L22</f>
        <v>30000</v>
      </c>
      <c r="N22" s="70">
        <f>M22</f>
        <v>30000</v>
      </c>
      <c r="O22" s="70">
        <f>N22</f>
        <v>30000</v>
      </c>
      <c r="P22" s="70">
        <f>O22</f>
        <v>30000</v>
      </c>
      <c r="Q22" s="161">
        <f t="shared" si="7"/>
        <v>150000</v>
      </c>
      <c r="R22" s="622">
        <f t="shared" si="2"/>
        <v>33936.651583710409</v>
      </c>
      <c r="S22" s="623" t="s">
        <v>681</v>
      </c>
    </row>
    <row r="23" spans="3:19" ht="13.5" thickBot="1">
      <c r="C23" s="164" t="s">
        <v>189</v>
      </c>
      <c r="D23" s="120"/>
      <c r="E23" s="165"/>
      <c r="F23" s="165"/>
      <c r="G23" s="165"/>
      <c r="H23" s="165"/>
      <c r="I23" s="165"/>
      <c r="J23" s="165"/>
      <c r="K23" s="165"/>
      <c r="L23" s="165">
        <f t="shared" ref="L23:Q23" si="9">SUM(L9:L22)</f>
        <v>491744.80000000005</v>
      </c>
      <c r="M23" s="165">
        <f t="shared" si="9"/>
        <v>491994.80000000005</v>
      </c>
      <c r="N23" s="165">
        <f t="shared" si="9"/>
        <v>679698.8</v>
      </c>
      <c r="O23" s="165">
        <f t="shared" si="9"/>
        <v>679698.8</v>
      </c>
      <c r="P23" s="165">
        <f t="shared" si="9"/>
        <v>682948.8</v>
      </c>
      <c r="Q23" s="165">
        <f t="shared" si="9"/>
        <v>2846086</v>
      </c>
      <c r="R23" s="622">
        <f t="shared" si="2"/>
        <v>643910.85972850677</v>
      </c>
      <c r="S23" s="623" t="s">
        <v>681</v>
      </c>
    </row>
    <row r="24" spans="3:19">
      <c r="L24" s="622">
        <f t="shared" ref="L24:Q24" si="10">L23/4.42</f>
        <v>111254.47963800906</v>
      </c>
      <c r="M24" s="622">
        <f t="shared" si="10"/>
        <v>111311.04072398192</v>
      </c>
      <c r="N24" s="622">
        <f t="shared" si="10"/>
        <v>153778.00904977377</v>
      </c>
      <c r="O24" s="622">
        <f t="shared" si="10"/>
        <v>153778.00904977377</v>
      </c>
      <c r="P24" s="622">
        <f t="shared" si="10"/>
        <v>154513.30316742082</v>
      </c>
      <c r="Q24" s="622">
        <f t="shared" si="10"/>
        <v>643910.85972850677</v>
      </c>
    </row>
    <row r="25" spans="3:19">
      <c r="C25" s="35" t="s">
        <v>265</v>
      </c>
      <c r="L25" s="623" t="s">
        <v>681</v>
      </c>
      <c r="M25" s="623" t="s">
        <v>681</v>
      </c>
      <c r="N25" s="623" t="s">
        <v>681</v>
      </c>
      <c r="O25" s="623" t="s">
        <v>681</v>
      </c>
      <c r="P25" s="623" t="s">
        <v>681</v>
      </c>
      <c r="Q25" s="623" t="s">
        <v>681</v>
      </c>
    </row>
    <row r="26" spans="3:19">
      <c r="C26" s="35" t="s">
        <v>268</v>
      </c>
      <c r="L26" s="36"/>
    </row>
    <row r="27" spans="3:19">
      <c r="C27" s="35" t="s">
        <v>269</v>
      </c>
      <c r="L27" s="622"/>
      <c r="M27" s="622"/>
      <c r="N27" s="622"/>
      <c r="O27" s="622"/>
      <c r="P27" s="622"/>
      <c r="Q27" s="622"/>
    </row>
    <row r="28" spans="3:19">
      <c r="C28" s="35" t="s">
        <v>272</v>
      </c>
    </row>
    <row r="29" spans="3:19">
      <c r="C29" s="35" t="s">
        <v>271</v>
      </c>
    </row>
    <row r="30" spans="3:19">
      <c r="C30" s="35" t="s">
        <v>275</v>
      </c>
      <c r="M30" s="611"/>
    </row>
    <row r="31" spans="3:19">
      <c r="C31" s="35" t="s">
        <v>276</v>
      </c>
    </row>
    <row r="32" spans="3:19">
      <c r="C32" s="35" t="s">
        <v>606</v>
      </c>
    </row>
  </sheetData>
  <mergeCells count="2">
    <mergeCell ref="E3:J3"/>
    <mergeCell ref="L3:Q3"/>
  </mergeCells>
  <pageMargins left="0.7" right="0.7" top="0.75" bottom="0.75" header="0.3" footer="0.3"/>
  <pageSetup scale="59" fitToHeight="0" orientation="landscape"/>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E26"/>
  <sheetViews>
    <sheetView showGridLines="0" topLeftCell="B1" workbookViewId="0">
      <selection activeCell="D9" sqref="D9"/>
    </sheetView>
  </sheetViews>
  <sheetFormatPr defaultColWidth="8.85546875" defaultRowHeight="12.75"/>
  <cols>
    <col min="1" max="1" width="8.85546875" style="35"/>
    <col min="2" max="2" width="3" style="35" bestFit="1" customWidth="1"/>
    <col min="3" max="3" width="54.42578125" style="35" customWidth="1"/>
    <col min="4" max="4" width="11.85546875" style="35" bestFit="1" customWidth="1"/>
    <col min="5" max="5" width="82.140625" style="35" bestFit="1" customWidth="1"/>
    <col min="6" max="6" width="8" style="35" customWidth="1"/>
    <col min="7" max="7" width="19.42578125" style="35" customWidth="1"/>
    <col min="8" max="8" width="13.42578125" style="35" customWidth="1"/>
    <col min="9" max="9" width="20" style="35" customWidth="1"/>
    <col min="10" max="10" width="21" style="35" customWidth="1"/>
    <col min="11" max="16384" width="8.85546875" style="35"/>
  </cols>
  <sheetData>
    <row r="1" spans="2:5" ht="15">
      <c r="B1" s="46"/>
      <c r="C1" s="170" t="s">
        <v>336</v>
      </c>
      <c r="D1" s="46"/>
      <c r="E1" s="46"/>
    </row>
    <row r="2" spans="2:5">
      <c r="B2" s="46"/>
      <c r="C2" s="46"/>
      <c r="D2" s="46"/>
      <c r="E2" s="46"/>
    </row>
    <row r="3" spans="2:5">
      <c r="B3" s="66"/>
      <c r="C3" s="196" t="s">
        <v>195</v>
      </c>
      <c r="D3" s="197" t="s">
        <v>196</v>
      </c>
      <c r="E3" s="196" t="s">
        <v>197</v>
      </c>
    </row>
    <row r="4" spans="2:5">
      <c r="B4" s="66"/>
      <c r="C4" s="66"/>
      <c r="D4" s="66"/>
      <c r="E4" s="66"/>
    </row>
    <row r="5" spans="2:5">
      <c r="B5" s="66">
        <v>1</v>
      </c>
      <c r="C5" s="66" t="s">
        <v>198</v>
      </c>
      <c r="D5" s="198">
        <v>1000</v>
      </c>
      <c r="E5" s="198" t="s">
        <v>199</v>
      </c>
    </row>
    <row r="6" spans="2:5">
      <c r="B6" s="66">
        <v>2</v>
      </c>
      <c r="C6" s="66" t="s">
        <v>200</v>
      </c>
      <c r="D6" s="198">
        <v>800</v>
      </c>
      <c r="E6" s="198" t="s">
        <v>201</v>
      </c>
    </row>
    <row r="7" spans="2:5">
      <c r="B7" s="66">
        <v>3</v>
      </c>
      <c r="C7" s="66" t="s">
        <v>202</v>
      </c>
      <c r="D7" s="198">
        <v>1000</v>
      </c>
      <c r="E7" s="198" t="s">
        <v>203</v>
      </c>
    </row>
    <row r="8" spans="2:5">
      <c r="B8" s="66">
        <v>4</v>
      </c>
      <c r="C8" s="66" t="s">
        <v>204</v>
      </c>
      <c r="D8" s="198">
        <v>1000</v>
      </c>
      <c r="E8" s="198" t="s">
        <v>205</v>
      </c>
    </row>
    <row r="9" spans="2:5">
      <c r="B9" s="66">
        <v>5</v>
      </c>
      <c r="C9" s="198" t="s">
        <v>206</v>
      </c>
      <c r="D9" s="198">
        <v>800</v>
      </c>
      <c r="E9" s="66" t="s">
        <v>207</v>
      </c>
    </row>
    <row r="10" spans="2:5">
      <c r="B10" s="66">
        <v>6</v>
      </c>
      <c r="C10" s="198" t="s">
        <v>208</v>
      </c>
      <c r="D10" s="198">
        <v>1000</v>
      </c>
      <c r="E10" s="66" t="s">
        <v>209</v>
      </c>
    </row>
    <row r="11" spans="2:5">
      <c r="B11" s="66">
        <v>7</v>
      </c>
      <c r="C11" s="66" t="s">
        <v>210</v>
      </c>
      <c r="D11" s="198">
        <v>9000</v>
      </c>
      <c r="E11" s="198" t="s">
        <v>211</v>
      </c>
    </row>
    <row r="12" spans="2:5">
      <c r="B12" s="66">
        <v>8</v>
      </c>
      <c r="C12" s="66" t="s">
        <v>212</v>
      </c>
      <c r="D12" s="199">
        <v>2000</v>
      </c>
      <c r="E12" s="198" t="s">
        <v>213</v>
      </c>
    </row>
    <row r="13" spans="2:5">
      <c r="B13" s="66">
        <v>9</v>
      </c>
      <c r="C13" s="66" t="s">
        <v>214</v>
      </c>
      <c r="D13" s="199">
        <v>3000</v>
      </c>
      <c r="E13" s="198" t="s">
        <v>215</v>
      </c>
    </row>
    <row r="14" spans="2:5">
      <c r="B14" s="66">
        <v>10</v>
      </c>
      <c r="C14" s="66" t="s">
        <v>216</v>
      </c>
      <c r="D14" s="199">
        <v>8000</v>
      </c>
      <c r="E14" s="198" t="s">
        <v>217</v>
      </c>
    </row>
    <row r="15" spans="2:5">
      <c r="B15" s="66">
        <v>11</v>
      </c>
      <c r="C15" s="66" t="s">
        <v>218</v>
      </c>
      <c r="D15" s="199">
        <v>10000</v>
      </c>
      <c r="E15" s="198" t="s">
        <v>219</v>
      </c>
    </row>
    <row r="16" spans="2:5">
      <c r="B16" s="66">
        <v>12</v>
      </c>
      <c r="C16" s="66" t="s">
        <v>220</v>
      </c>
      <c r="D16" s="198">
        <v>8000</v>
      </c>
      <c r="E16" s="198" t="s">
        <v>221</v>
      </c>
    </row>
    <row r="17" spans="2:5">
      <c r="B17" s="66">
        <v>13</v>
      </c>
      <c r="C17" s="66" t="s">
        <v>222</v>
      </c>
      <c r="D17" s="198">
        <v>10000</v>
      </c>
      <c r="E17" s="200" t="s">
        <v>223</v>
      </c>
    </row>
    <row r="18" spans="2:5">
      <c r="B18" s="66">
        <v>14</v>
      </c>
      <c r="C18" s="66" t="s">
        <v>224</v>
      </c>
      <c r="D18" s="198">
        <v>8000</v>
      </c>
      <c r="E18" s="200" t="s">
        <v>225</v>
      </c>
    </row>
    <row r="19" spans="2:5">
      <c r="B19" s="66">
        <v>15</v>
      </c>
      <c r="C19" s="66" t="s">
        <v>226</v>
      </c>
      <c r="D19" s="198">
        <v>10000</v>
      </c>
      <c r="E19" s="200" t="s">
        <v>227</v>
      </c>
    </row>
    <row r="20" spans="2:5">
      <c r="B20" s="66"/>
      <c r="C20" s="201" t="s">
        <v>228</v>
      </c>
      <c r="D20" s="202">
        <f>SUM(D5:D19)</f>
        <v>73600</v>
      </c>
      <c r="E20" s="198"/>
    </row>
    <row r="21" spans="2:5">
      <c r="B21" s="66"/>
      <c r="C21" s="66" t="s">
        <v>229</v>
      </c>
      <c r="D21" s="198">
        <f>D20*10%</f>
        <v>7360</v>
      </c>
      <c r="E21" s="198"/>
    </row>
    <row r="22" spans="2:5">
      <c r="B22" s="553"/>
      <c r="C22" s="554" t="s">
        <v>230</v>
      </c>
      <c r="D22" s="555">
        <f>D20+D21</f>
        <v>80960</v>
      </c>
      <c r="E22" s="66"/>
    </row>
    <row r="23" spans="2:5">
      <c r="B23" s="46"/>
      <c r="C23" s="46"/>
      <c r="D23" s="46"/>
      <c r="E23" s="46"/>
    </row>
    <row r="24" spans="2:5">
      <c r="B24" s="46"/>
      <c r="C24" s="46" t="s">
        <v>231</v>
      </c>
      <c r="D24" s="46"/>
      <c r="E24" s="46"/>
    </row>
    <row r="25" spans="2:5">
      <c r="B25" s="46"/>
      <c r="C25" s="46" t="s">
        <v>232</v>
      </c>
      <c r="D25" s="46"/>
      <c r="E25" s="46"/>
    </row>
    <row r="26" spans="2:5">
      <c r="B26" s="46"/>
      <c r="C26" s="46" t="s">
        <v>233</v>
      </c>
      <c r="D26" s="46"/>
      <c r="E26" s="46"/>
    </row>
  </sheetData>
  <pageMargins left="0.7" right="0.7" top="0.75" bottom="0.75" header="0.3" footer="0.3"/>
  <pageSetup scale="59" fitToHeight="0" orientation="portrait"/>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C3:H19"/>
  <sheetViews>
    <sheetView showGridLines="0" zoomScale="90" zoomScaleNormal="90" zoomScalePageLayoutView="90" workbookViewId="0">
      <selection activeCell="C24" sqref="C24"/>
    </sheetView>
  </sheetViews>
  <sheetFormatPr defaultColWidth="8.85546875" defaultRowHeight="15"/>
  <cols>
    <col min="3" max="3" width="38.42578125" bestFit="1" customWidth="1"/>
  </cols>
  <sheetData>
    <row r="3" spans="3:8">
      <c r="C3" s="493" t="s">
        <v>524</v>
      </c>
      <c r="E3" s="494"/>
    </row>
    <row r="4" spans="3:8">
      <c r="C4" s="495" t="s">
        <v>525</v>
      </c>
      <c r="D4" s="785" t="s">
        <v>526</v>
      </c>
      <c r="E4" s="786"/>
    </row>
    <row r="5" spans="3:8">
      <c r="C5" s="496" t="s">
        <v>527</v>
      </c>
      <c r="D5" s="497" t="s">
        <v>528</v>
      </c>
      <c r="E5" s="497" t="s">
        <v>529</v>
      </c>
    </row>
    <row r="6" spans="3:8">
      <c r="C6" s="496" t="s">
        <v>530</v>
      </c>
      <c r="D6" s="497">
        <v>860</v>
      </c>
      <c r="E6" s="497">
        <v>925</v>
      </c>
    </row>
    <row r="7" spans="3:8">
      <c r="C7" s="496" t="s">
        <v>531</v>
      </c>
      <c r="D7" s="497">
        <v>492</v>
      </c>
      <c r="E7" s="497">
        <v>564</v>
      </c>
      <c r="H7" s="216"/>
    </row>
    <row r="8" spans="3:8">
      <c r="C8" s="499" t="s">
        <v>532</v>
      </c>
      <c r="D8" s="500">
        <v>240</v>
      </c>
      <c r="E8" s="500">
        <v>272</v>
      </c>
    </row>
    <row r="9" spans="3:8">
      <c r="C9" s="496" t="s">
        <v>533</v>
      </c>
      <c r="D9" s="497">
        <v>410</v>
      </c>
      <c r="E9" s="497">
        <v>495</v>
      </c>
    </row>
    <row r="10" spans="3:8">
      <c r="C10" s="496" t="s">
        <v>534</v>
      </c>
      <c r="D10" s="497">
        <v>525</v>
      </c>
      <c r="E10" s="497">
        <v>580</v>
      </c>
    </row>
    <row r="11" spans="3:8">
      <c r="C11" s="496" t="s">
        <v>535</v>
      </c>
      <c r="D11" s="497">
        <v>450</v>
      </c>
      <c r="E11" s="497">
        <v>520</v>
      </c>
    </row>
    <row r="12" spans="3:8">
      <c r="C12" s="496" t="s">
        <v>536</v>
      </c>
      <c r="D12" s="497">
        <v>630</v>
      </c>
      <c r="E12" s="497">
        <v>950</v>
      </c>
    </row>
    <row r="13" spans="3:8">
      <c r="C13" s="496" t="s">
        <v>537</v>
      </c>
      <c r="D13" s="497">
        <v>700</v>
      </c>
      <c r="E13" s="497">
        <v>790</v>
      </c>
    </row>
    <row r="14" spans="3:8">
      <c r="C14" s="496" t="s">
        <v>538</v>
      </c>
      <c r="D14" s="497">
        <v>560</v>
      </c>
      <c r="E14" s="497">
        <v>580</v>
      </c>
    </row>
    <row r="15" spans="3:8">
      <c r="C15" s="496" t="s">
        <v>539</v>
      </c>
      <c r="D15" s="497">
        <v>660</v>
      </c>
      <c r="E15" s="497">
        <v>850</v>
      </c>
    </row>
    <row r="16" spans="3:8">
      <c r="C16" s="496" t="s">
        <v>540</v>
      </c>
      <c r="D16" s="497">
        <v>642</v>
      </c>
      <c r="E16" s="497">
        <v>800</v>
      </c>
    </row>
    <row r="17" spans="3:5">
      <c r="C17" s="496" t="s">
        <v>541</v>
      </c>
      <c r="D17" s="497">
        <v>300</v>
      </c>
      <c r="E17" s="497">
        <v>400</v>
      </c>
    </row>
    <row r="19" spans="3:5">
      <c r="C19" s="498"/>
    </row>
  </sheetData>
  <mergeCells count="1">
    <mergeCell ref="D4:E4"/>
  </mergeCells>
  <pageMargins left="0.7" right="0.7" top="0.75" bottom="0.75" header="0.3" footer="0.3"/>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C3:Q14"/>
  <sheetViews>
    <sheetView showGridLines="0" topLeftCell="B1" workbookViewId="0">
      <selection activeCell="G25" sqref="G25"/>
    </sheetView>
  </sheetViews>
  <sheetFormatPr defaultColWidth="8.85546875" defaultRowHeight="15"/>
  <cols>
    <col min="3" max="3" width="57.42578125" bestFit="1" customWidth="1"/>
    <col min="4" max="4" width="6.42578125" bestFit="1" customWidth="1"/>
    <col min="5" max="7" width="5.85546875" bestFit="1" customWidth="1"/>
    <col min="8" max="12" width="6.42578125" bestFit="1" customWidth="1"/>
    <col min="13" max="13" width="7.42578125" bestFit="1" customWidth="1"/>
  </cols>
  <sheetData>
    <row r="3" spans="3:17" ht="18">
      <c r="C3" s="127" t="s">
        <v>295</v>
      </c>
    </row>
    <row r="4" spans="3:17">
      <c r="C4" s="33"/>
      <c r="D4" s="33" t="s">
        <v>124</v>
      </c>
      <c r="E4" s="33" t="s">
        <v>126</v>
      </c>
      <c r="F4" s="33" t="s">
        <v>127</v>
      </c>
      <c r="G4" s="33" t="s">
        <v>128</v>
      </c>
      <c r="H4" s="33" t="s">
        <v>129</v>
      </c>
      <c r="I4" s="33" t="s">
        <v>130</v>
      </c>
      <c r="J4" s="33" t="s">
        <v>131</v>
      </c>
      <c r="K4" s="33" t="s">
        <v>132</v>
      </c>
      <c r="L4" s="33" t="s">
        <v>133</v>
      </c>
      <c r="M4" s="33" t="s">
        <v>134</v>
      </c>
    </row>
    <row r="5" spans="3:17">
      <c r="C5" s="33" t="s">
        <v>135</v>
      </c>
      <c r="D5" s="34">
        <v>2</v>
      </c>
      <c r="E5" s="34">
        <v>5</v>
      </c>
      <c r="F5" s="34">
        <v>3</v>
      </c>
      <c r="G5" s="34">
        <v>0</v>
      </c>
      <c r="H5" s="34">
        <v>0</v>
      </c>
      <c r="I5" s="34">
        <v>0</v>
      </c>
      <c r="J5" s="34">
        <v>0</v>
      </c>
      <c r="K5" s="34">
        <v>0</v>
      </c>
      <c r="L5" s="34">
        <v>0</v>
      </c>
      <c r="M5" s="34">
        <v>0</v>
      </c>
    </row>
    <row r="6" spans="3:17">
      <c r="C6" s="33" t="s">
        <v>137</v>
      </c>
      <c r="D6" s="34">
        <v>0</v>
      </c>
      <c r="E6" s="34">
        <f>D5</f>
        <v>2</v>
      </c>
      <c r="F6" s="34">
        <f>E5</f>
        <v>5</v>
      </c>
      <c r="G6" s="34">
        <f>F5</f>
        <v>3</v>
      </c>
      <c r="H6" s="34">
        <v>0</v>
      </c>
      <c r="I6" s="34">
        <v>0</v>
      </c>
      <c r="J6" s="34">
        <v>0</v>
      </c>
      <c r="K6" s="34">
        <v>0</v>
      </c>
      <c r="L6" s="34">
        <v>0</v>
      </c>
      <c r="M6" s="34">
        <v>0</v>
      </c>
    </row>
    <row r="7" spans="3:17">
      <c r="C7" s="33" t="s">
        <v>138</v>
      </c>
      <c r="D7" s="34">
        <v>0</v>
      </c>
      <c r="E7" s="34">
        <v>0</v>
      </c>
      <c r="F7" s="34">
        <f>E6</f>
        <v>2</v>
      </c>
      <c r="G7" s="34">
        <f>F6</f>
        <v>5</v>
      </c>
      <c r="H7" s="34">
        <f>G6</f>
        <v>3</v>
      </c>
      <c r="I7" s="34">
        <v>0</v>
      </c>
      <c r="J7" s="34">
        <v>0</v>
      </c>
      <c r="K7" s="34">
        <v>0</v>
      </c>
      <c r="L7" s="34">
        <v>0</v>
      </c>
      <c r="M7" s="34">
        <v>0</v>
      </c>
    </row>
    <row r="8" spans="3:17">
      <c r="C8" s="33" t="s">
        <v>139</v>
      </c>
      <c r="D8" s="34">
        <v>0</v>
      </c>
      <c r="E8" s="34">
        <v>0</v>
      </c>
      <c r="F8" s="34">
        <v>0</v>
      </c>
      <c r="G8" s="34">
        <f>F7</f>
        <v>2</v>
      </c>
      <c r="H8" s="34">
        <f>G7</f>
        <v>5</v>
      </c>
      <c r="I8" s="34">
        <f>H7</f>
        <v>3</v>
      </c>
      <c r="J8" s="34">
        <v>0</v>
      </c>
      <c r="K8" s="34">
        <v>0</v>
      </c>
      <c r="L8" s="34">
        <v>0</v>
      </c>
      <c r="M8" s="34">
        <v>0</v>
      </c>
    </row>
    <row r="9" spans="3:17">
      <c r="C9" s="33" t="s">
        <v>136</v>
      </c>
      <c r="D9" s="34">
        <v>0</v>
      </c>
      <c r="E9" s="34">
        <v>0</v>
      </c>
      <c r="F9" s="34">
        <v>0</v>
      </c>
      <c r="G9" s="34">
        <v>0</v>
      </c>
      <c r="H9" s="34">
        <f>G8</f>
        <v>2</v>
      </c>
      <c r="I9" s="34">
        <f>H8</f>
        <v>5</v>
      </c>
      <c r="J9" s="34">
        <f>I8</f>
        <v>3</v>
      </c>
      <c r="K9" s="34">
        <v>0</v>
      </c>
      <c r="L9" s="34">
        <v>0</v>
      </c>
      <c r="M9" s="34">
        <v>0</v>
      </c>
    </row>
    <row r="10" spans="3:17">
      <c r="C10" s="33" t="s">
        <v>140</v>
      </c>
      <c r="D10" s="34">
        <v>0</v>
      </c>
      <c r="E10" s="34">
        <v>0</v>
      </c>
      <c r="F10" s="34">
        <v>0</v>
      </c>
      <c r="G10" s="34">
        <v>0</v>
      </c>
      <c r="H10" s="34">
        <v>0</v>
      </c>
      <c r="I10" s="34">
        <f>H9</f>
        <v>2</v>
      </c>
      <c r="J10" s="34">
        <f>I9</f>
        <v>5</v>
      </c>
      <c r="K10" s="34">
        <f>J9</f>
        <v>3</v>
      </c>
      <c r="L10" s="34">
        <v>0</v>
      </c>
      <c r="M10" s="34">
        <v>0</v>
      </c>
    </row>
    <row r="11" spans="3:17">
      <c r="C11" s="33" t="s">
        <v>141</v>
      </c>
      <c r="D11" s="34">
        <v>0</v>
      </c>
      <c r="E11" s="34">
        <v>0</v>
      </c>
      <c r="F11" s="34">
        <v>0</v>
      </c>
      <c r="G11" s="34">
        <v>0</v>
      </c>
      <c r="H11" s="34">
        <v>0</v>
      </c>
      <c r="I11" s="34">
        <v>0</v>
      </c>
      <c r="J11" s="34">
        <f>I10</f>
        <v>2</v>
      </c>
      <c r="K11" s="34">
        <f>J10</f>
        <v>5</v>
      </c>
      <c r="L11" s="34">
        <f>K10</f>
        <v>3</v>
      </c>
      <c r="M11" s="34">
        <v>0</v>
      </c>
      <c r="N11" s="1"/>
    </row>
    <row r="12" spans="3:17">
      <c r="C12" s="33" t="s">
        <v>142</v>
      </c>
      <c r="D12" s="34">
        <v>0</v>
      </c>
      <c r="E12" s="34">
        <v>0</v>
      </c>
      <c r="F12" s="34">
        <v>0</v>
      </c>
      <c r="G12" s="34">
        <v>0</v>
      </c>
      <c r="H12" s="34">
        <v>0</v>
      </c>
      <c r="I12" s="34">
        <v>0</v>
      </c>
      <c r="J12" s="34">
        <v>0</v>
      </c>
      <c r="K12" s="34">
        <f>J11</f>
        <v>2</v>
      </c>
      <c r="L12" s="34">
        <f>K11</f>
        <v>5</v>
      </c>
      <c r="M12" s="34">
        <f>L11</f>
        <v>3</v>
      </c>
      <c r="N12" s="1"/>
      <c r="O12" s="1"/>
    </row>
    <row r="13" spans="3:17">
      <c r="C13" s="33" t="s">
        <v>143</v>
      </c>
      <c r="D13" s="34">
        <v>0</v>
      </c>
      <c r="E13" s="34">
        <v>0</v>
      </c>
      <c r="F13" s="34">
        <v>0</v>
      </c>
      <c r="G13" s="34">
        <v>0</v>
      </c>
      <c r="H13" s="34">
        <v>0</v>
      </c>
      <c r="I13" s="34">
        <v>0</v>
      </c>
      <c r="J13" s="34">
        <v>0</v>
      </c>
      <c r="K13" s="34">
        <v>0</v>
      </c>
      <c r="L13" s="34">
        <f>K12</f>
        <v>2</v>
      </c>
      <c r="M13" s="34">
        <f>L12</f>
        <v>5</v>
      </c>
      <c r="N13" s="1"/>
      <c r="O13" s="1"/>
      <c r="P13" s="1"/>
    </row>
    <row r="14" spans="3:17">
      <c r="C14" s="33" t="s">
        <v>144</v>
      </c>
      <c r="D14" s="34">
        <v>0</v>
      </c>
      <c r="E14" s="34">
        <v>0</v>
      </c>
      <c r="F14" s="34">
        <v>0</v>
      </c>
      <c r="G14" s="34">
        <v>0</v>
      </c>
      <c r="H14" s="34">
        <v>0</v>
      </c>
      <c r="I14" s="34">
        <v>0</v>
      </c>
      <c r="J14" s="34">
        <v>0</v>
      </c>
      <c r="K14" s="34">
        <v>0</v>
      </c>
      <c r="L14" s="34">
        <v>0</v>
      </c>
      <c r="M14" s="34">
        <f>L13</f>
        <v>2</v>
      </c>
      <c r="N14" s="1"/>
      <c r="O14" s="1"/>
      <c r="P14" s="1"/>
      <c r="Q14" s="1"/>
    </row>
  </sheetData>
  <pageMargins left="0.7" right="0.7" top="0.75" bottom="0.75" header="0.3" footer="0.3"/>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T64"/>
  <sheetViews>
    <sheetView showGridLines="0" topLeftCell="A17" zoomScale="90" zoomScaleNormal="90" zoomScalePageLayoutView="90" workbookViewId="0">
      <selection activeCell="E53" sqref="E53"/>
    </sheetView>
  </sheetViews>
  <sheetFormatPr defaultColWidth="9.140625" defaultRowHeight="12.75"/>
  <cols>
    <col min="1" max="1" width="9.140625" style="35"/>
    <col min="2" max="2" width="25.42578125" style="35" customWidth="1"/>
    <col min="3" max="3" width="9.42578125" style="36" bestFit="1" customWidth="1"/>
    <col min="4" max="4" width="12.42578125" style="35" bestFit="1" customWidth="1"/>
    <col min="5" max="5" width="33.42578125" style="35" customWidth="1"/>
    <col min="6" max="6" width="11.140625" style="36" bestFit="1" customWidth="1"/>
    <col min="7" max="7" width="12.140625" style="136" bestFit="1" customWidth="1"/>
    <col min="8" max="8" width="11" style="35" bestFit="1" customWidth="1"/>
    <col min="9" max="9" width="10.42578125" style="35" customWidth="1"/>
    <col min="10" max="10" width="11" style="35" bestFit="1" customWidth="1"/>
    <col min="11" max="11" width="15.42578125" style="35" bestFit="1" customWidth="1"/>
    <col min="12" max="12" width="16.42578125" style="35" customWidth="1"/>
    <col min="13" max="14" width="11" style="35" bestFit="1" customWidth="1"/>
    <col min="15" max="16" width="12.140625" style="35" bestFit="1" customWidth="1"/>
    <col min="17" max="17" width="12.42578125" style="35" bestFit="1" customWidth="1"/>
    <col min="18" max="18" width="14" style="36" bestFit="1" customWidth="1"/>
    <col min="19" max="19" width="10.42578125" style="35" bestFit="1" customWidth="1"/>
    <col min="20" max="20" width="16.42578125" style="36" bestFit="1" customWidth="1"/>
    <col min="21" max="16384" width="9.140625" style="35"/>
  </cols>
  <sheetData>
    <row r="2" spans="2:15" ht="18">
      <c r="B2" s="91" t="s">
        <v>179</v>
      </c>
      <c r="I2" s="37"/>
    </row>
    <row r="3" spans="2:15">
      <c r="B3" s="92"/>
      <c r="C3" s="87"/>
      <c r="D3" s="93"/>
      <c r="E3" s="37"/>
      <c r="F3" s="39"/>
    </row>
    <row r="4" spans="2:15" ht="15.75">
      <c r="B4" s="94" t="s">
        <v>171</v>
      </c>
      <c r="C4" s="86"/>
      <c r="D4" s="85" t="s">
        <v>180</v>
      </c>
      <c r="E4" s="37"/>
      <c r="F4" s="39"/>
    </row>
    <row r="5" spans="2:15" ht="15.75">
      <c r="B5" s="82"/>
      <c r="C5" s="83"/>
      <c r="D5" s="84">
        <v>20000</v>
      </c>
      <c r="E5" s="37"/>
      <c r="F5" s="39"/>
    </row>
    <row r="6" spans="2:15" ht="15.75">
      <c r="B6" s="77"/>
      <c r="C6" s="39"/>
      <c r="D6" s="40"/>
      <c r="E6" s="37"/>
      <c r="F6" s="39"/>
    </row>
    <row r="7" spans="2:15" ht="15.75">
      <c r="B7" s="82" t="s">
        <v>169</v>
      </c>
      <c r="C7" s="90" t="s">
        <v>181</v>
      </c>
      <c r="D7" s="84"/>
      <c r="E7" s="49"/>
      <c r="F7" s="39"/>
    </row>
    <row r="8" spans="2:15">
      <c r="B8" s="46" t="s">
        <v>124</v>
      </c>
      <c r="C8" s="88">
        <v>2</v>
      </c>
      <c r="D8" s="81"/>
      <c r="E8" s="49"/>
      <c r="F8" s="39"/>
    </row>
    <row r="9" spans="2:15" ht="12.75" customHeight="1">
      <c r="B9" s="46" t="s">
        <v>125</v>
      </c>
      <c r="C9" s="88">
        <v>5</v>
      </c>
      <c r="D9" s="81"/>
      <c r="E9" s="49"/>
      <c r="F9" s="39"/>
    </row>
    <row r="10" spans="2:15" ht="12.75" customHeight="1">
      <c r="B10" s="46" t="s">
        <v>149</v>
      </c>
      <c r="C10" s="88">
        <v>3</v>
      </c>
      <c r="D10" s="81"/>
      <c r="E10" s="37"/>
      <c r="F10" s="39"/>
    </row>
    <row r="11" spans="2:15" ht="12.75" customHeight="1">
      <c r="B11" s="50" t="s">
        <v>157</v>
      </c>
      <c r="C11" s="89">
        <f>SUM(C8:C10)</f>
        <v>10</v>
      </c>
      <c r="D11" s="84"/>
      <c r="E11" s="37"/>
      <c r="F11" s="39"/>
    </row>
    <row r="12" spans="2:15">
      <c r="C12" s="41"/>
      <c r="D12" s="40"/>
      <c r="E12" s="37"/>
      <c r="F12" s="39"/>
    </row>
    <row r="13" spans="2:15" ht="15.75">
      <c r="B13" s="77" t="s">
        <v>158</v>
      </c>
      <c r="C13" s="41"/>
      <c r="D13" s="40"/>
      <c r="E13" s="37"/>
      <c r="F13" s="39"/>
    </row>
    <row r="14" spans="2:15" ht="26.25" thickBot="1">
      <c r="B14" s="66"/>
      <c r="C14" s="139"/>
      <c r="D14" s="140" t="s">
        <v>159</v>
      </c>
      <c r="E14" s="141" t="s">
        <v>245</v>
      </c>
      <c r="F14" s="142" t="s">
        <v>246</v>
      </c>
    </row>
    <row r="15" spans="2:15" ht="15" thickBot="1">
      <c r="B15" s="66"/>
      <c r="C15" s="67"/>
      <c r="D15" s="143"/>
      <c r="E15" s="144"/>
      <c r="F15" s="145"/>
      <c r="I15" s="130"/>
      <c r="J15" s="131" t="s">
        <v>190</v>
      </c>
      <c r="K15" s="131" t="s">
        <v>191</v>
      </c>
      <c r="L15" s="131" t="s">
        <v>192</v>
      </c>
      <c r="M15" s="131" t="s">
        <v>193</v>
      </c>
      <c r="N15" s="131" t="s">
        <v>194</v>
      </c>
      <c r="O15" s="131" t="s">
        <v>157</v>
      </c>
    </row>
    <row r="16" spans="2:15" ht="13.5" thickBot="1">
      <c r="B16" s="66" t="s">
        <v>172</v>
      </c>
      <c r="C16" s="67"/>
      <c r="D16" s="143">
        <f>C11*D5</f>
        <v>200000</v>
      </c>
      <c r="E16" s="146">
        <v>44</v>
      </c>
      <c r="F16" s="147">
        <f>D16*E16</f>
        <v>8800000</v>
      </c>
      <c r="I16" s="781" t="s">
        <v>235</v>
      </c>
      <c r="J16" s="782"/>
      <c r="K16" s="132">
        <v>40000</v>
      </c>
      <c r="L16" s="132">
        <v>140000</v>
      </c>
      <c r="M16" s="132">
        <v>200000</v>
      </c>
      <c r="N16" s="132">
        <v>200000</v>
      </c>
      <c r="O16" s="133">
        <v>200000</v>
      </c>
    </row>
    <row r="17" spans="1:20" ht="13.5" thickBot="1">
      <c r="D17" s="42"/>
      <c r="I17" s="134" t="s">
        <v>236</v>
      </c>
      <c r="J17" s="135" t="s">
        <v>237</v>
      </c>
      <c r="K17" s="132">
        <f>K16*$F$21</f>
        <v>165440</v>
      </c>
      <c r="L17" s="132">
        <f>L16*$F$21</f>
        <v>579040</v>
      </c>
      <c r="M17" s="132">
        <f>M16*$F$21</f>
        <v>827200</v>
      </c>
      <c r="N17" s="132">
        <f>N16*$F$21</f>
        <v>827200</v>
      </c>
      <c r="O17" s="133">
        <v>1551000</v>
      </c>
    </row>
    <row r="18" spans="1:20" ht="15.75">
      <c r="B18" s="77" t="s">
        <v>238</v>
      </c>
      <c r="D18" s="42"/>
    </row>
    <row r="19" spans="1:20" ht="13.5" thickBot="1">
      <c r="B19" s="43"/>
      <c r="C19" s="44"/>
      <c r="D19" s="45"/>
      <c r="E19" s="43"/>
      <c r="F19" s="149" t="s">
        <v>245</v>
      </c>
      <c r="S19" s="129"/>
    </row>
    <row r="20" spans="1:20">
      <c r="B20" s="46"/>
      <c r="C20" s="47"/>
      <c r="D20" s="48"/>
      <c r="E20" s="46"/>
      <c r="F20" s="78"/>
      <c r="S20" s="129"/>
    </row>
    <row r="21" spans="1:20" ht="12.75" customHeight="1">
      <c r="B21" t="s">
        <v>286</v>
      </c>
      <c r="C21" s="51"/>
      <c r="D21" s="52"/>
      <c r="E21" s="50"/>
      <c r="F21" s="95">
        <v>4.1360000000000001</v>
      </c>
      <c r="S21" s="129"/>
    </row>
    <row r="22" spans="1:20" ht="12.75" customHeight="1">
      <c r="B22" s="148"/>
      <c r="C22" s="47"/>
      <c r="D22" s="46"/>
      <c r="E22" s="46"/>
      <c r="F22" s="47"/>
    </row>
    <row r="23" spans="1:20" ht="16.5" thickBot="1">
      <c r="A23" s="38"/>
      <c r="B23" s="77" t="s">
        <v>177</v>
      </c>
    </row>
    <row r="24" spans="1:20">
      <c r="B24" s="53"/>
      <c r="C24" s="54"/>
      <c r="D24" s="775" t="s">
        <v>178</v>
      </c>
      <c r="E24" s="776"/>
      <c r="F24" s="776"/>
      <c r="G24" s="776"/>
      <c r="H24" s="776"/>
      <c r="I24" s="776"/>
      <c r="J24" s="776"/>
      <c r="K24" s="776"/>
      <c r="L24" s="776"/>
      <c r="M24" s="776"/>
      <c r="N24" s="776"/>
      <c r="O24" s="777"/>
      <c r="P24" s="778" t="s">
        <v>182</v>
      </c>
      <c r="Q24" s="779"/>
      <c r="R24" s="779"/>
      <c r="S24" s="779"/>
      <c r="T24" s="780"/>
    </row>
    <row r="25" spans="1:20" ht="51">
      <c r="B25" s="55"/>
      <c r="C25" s="56" t="s">
        <v>243</v>
      </c>
      <c r="D25" s="57"/>
      <c r="E25" s="58"/>
      <c r="F25" s="79" t="s">
        <v>159</v>
      </c>
      <c r="G25" s="137" t="s">
        <v>241</v>
      </c>
      <c r="H25" s="58" t="s">
        <v>285</v>
      </c>
      <c r="I25" s="58" t="s">
        <v>160</v>
      </c>
      <c r="J25" s="58" t="s">
        <v>241</v>
      </c>
      <c r="K25" s="58" t="s">
        <v>285</v>
      </c>
      <c r="L25" s="58" t="s">
        <v>159</v>
      </c>
      <c r="M25" s="58" t="s">
        <v>241</v>
      </c>
      <c r="N25" s="58" t="s">
        <v>285</v>
      </c>
      <c r="O25" s="59" t="s">
        <v>242</v>
      </c>
      <c r="P25" s="60" t="s">
        <v>173</v>
      </c>
      <c r="Q25" s="61" t="s">
        <v>174</v>
      </c>
      <c r="R25" s="62" t="s">
        <v>175</v>
      </c>
      <c r="S25" s="63" t="s">
        <v>176</v>
      </c>
      <c r="T25" s="64" t="s">
        <v>248</v>
      </c>
    </row>
    <row r="26" spans="1:20">
      <c r="B26" s="55" t="s">
        <v>161</v>
      </c>
      <c r="C26" s="56" t="s">
        <v>244</v>
      </c>
      <c r="D26" s="57" t="s">
        <v>239</v>
      </c>
      <c r="E26" s="58" t="s">
        <v>240</v>
      </c>
      <c r="F26" s="79" t="s">
        <v>162</v>
      </c>
      <c r="G26" s="137" t="s">
        <v>163</v>
      </c>
      <c r="H26" s="58" t="s">
        <v>247</v>
      </c>
      <c r="I26" s="58" t="s">
        <v>164</v>
      </c>
      <c r="J26" s="58" t="s">
        <v>163</v>
      </c>
      <c r="K26" s="58" t="s">
        <v>247</v>
      </c>
      <c r="L26" s="58" t="s">
        <v>165</v>
      </c>
      <c r="M26" s="58" t="s">
        <v>163</v>
      </c>
      <c r="N26" s="58" t="s">
        <v>163</v>
      </c>
      <c r="O26" s="59" t="s">
        <v>166</v>
      </c>
      <c r="P26" s="65"/>
      <c r="Q26" s="66"/>
      <c r="R26" s="67"/>
      <c r="S26" s="67"/>
      <c r="T26" s="68"/>
    </row>
    <row r="27" spans="1:20">
      <c r="B27" s="55">
        <v>1</v>
      </c>
      <c r="C27" s="69">
        <f>C8*D5</f>
        <v>40000</v>
      </c>
      <c r="D27" s="128">
        <f>F21</f>
        <v>4.1360000000000001</v>
      </c>
      <c r="E27" s="67">
        <f>C27*D27</f>
        <v>165440</v>
      </c>
      <c r="F27" s="67" t="e">
        <f>C27/#REF!</f>
        <v>#REF!</v>
      </c>
      <c r="G27" s="67">
        <f>E16/2</f>
        <v>22</v>
      </c>
      <c r="H27" s="67" t="e">
        <f>F27*G27</f>
        <v>#REF!</v>
      </c>
      <c r="I27" s="67"/>
      <c r="J27" s="66"/>
      <c r="K27" s="67"/>
      <c r="L27" s="67"/>
      <c r="M27" s="67"/>
      <c r="N27" s="66"/>
      <c r="O27" s="68" t="e">
        <f>E27-H27-K27-N27</f>
        <v>#REF!</v>
      </c>
      <c r="P27" s="71" t="e">
        <f>(H27+K27+N27)*12/44</f>
        <v>#REF!</v>
      </c>
      <c r="Q27" s="70" t="e">
        <f>P27*2</f>
        <v>#REF!</v>
      </c>
      <c r="R27" s="67" t="e">
        <f>0.3*Q27</f>
        <v>#REF!</v>
      </c>
      <c r="S27" s="67" t="e">
        <f>T2Prices!G13/T2Prices!#REF!*1000</f>
        <v>#REF!</v>
      </c>
      <c r="T27" s="68" t="e">
        <f>R27*S27</f>
        <v>#REF!</v>
      </c>
    </row>
    <row r="28" spans="1:20">
      <c r="B28" s="55">
        <v>2</v>
      </c>
      <c r="C28" s="69">
        <f>(C8+C9)*D5</f>
        <v>140000</v>
      </c>
      <c r="D28" s="65">
        <f>D27</f>
        <v>4.1360000000000001</v>
      </c>
      <c r="E28" s="67">
        <f>C28*D28</f>
        <v>579040</v>
      </c>
      <c r="F28" s="67" t="e">
        <f>F27</f>
        <v>#REF!</v>
      </c>
      <c r="G28" s="67">
        <f>(E16+F21)/2</f>
        <v>24.068000000000001</v>
      </c>
      <c r="H28" s="67" t="e">
        <f>F28*G28</f>
        <v>#REF!</v>
      </c>
      <c r="I28" s="67" t="e">
        <f>(C28-C27)/#REF!</f>
        <v>#REF!</v>
      </c>
      <c r="J28" s="70">
        <f>G27</f>
        <v>22</v>
      </c>
      <c r="K28" s="67" t="e">
        <f>I28*J28</f>
        <v>#REF!</v>
      </c>
      <c r="L28" s="67"/>
      <c r="M28" s="67"/>
      <c r="N28" s="67"/>
      <c r="O28" s="68" t="e">
        <f>E28-H28-K28-N28</f>
        <v>#REF!</v>
      </c>
      <c r="P28" s="71" t="e">
        <f>(H28+K28+N28)*12/44</f>
        <v>#REF!</v>
      </c>
      <c r="Q28" s="70" t="e">
        <f>P28*2</f>
        <v>#REF!</v>
      </c>
      <c r="R28" s="67" t="e">
        <f t="shared" ref="R28:R49" si="0">0.3*Q28</f>
        <v>#REF!</v>
      </c>
      <c r="S28" s="67" t="e">
        <f>S27</f>
        <v>#REF!</v>
      </c>
      <c r="T28" s="68" t="e">
        <f t="shared" ref="T28:T49" si="1">R28*S28</f>
        <v>#REF!</v>
      </c>
    </row>
    <row r="29" spans="1:20">
      <c r="B29" s="55">
        <v>3</v>
      </c>
      <c r="C29" s="69">
        <f>C11*D5</f>
        <v>200000</v>
      </c>
      <c r="D29" s="65">
        <f t="shared" ref="D29:D47" si="2">D28</f>
        <v>4.1360000000000001</v>
      </c>
      <c r="E29" s="67">
        <f>C29*D29</f>
        <v>827200</v>
      </c>
      <c r="F29" s="67" t="e">
        <f>F28</f>
        <v>#REF!</v>
      </c>
      <c r="G29" s="67">
        <f>(E16+2*F21)/2</f>
        <v>26.135999999999999</v>
      </c>
      <c r="H29" s="67" t="e">
        <f>F29*G29</f>
        <v>#REF!</v>
      </c>
      <c r="I29" s="67" t="e">
        <f>I28</f>
        <v>#REF!</v>
      </c>
      <c r="J29" s="70">
        <f t="shared" ref="J29:J47" si="3">G28</f>
        <v>24.068000000000001</v>
      </c>
      <c r="K29" s="67" t="e">
        <f>I29*J29</f>
        <v>#REF!</v>
      </c>
      <c r="L29" s="67" t="e">
        <f>(C29-C28)/#REF!</f>
        <v>#REF!</v>
      </c>
      <c r="M29" s="67">
        <f>J28</f>
        <v>22</v>
      </c>
      <c r="N29" s="67" t="e">
        <f>L29*M29</f>
        <v>#REF!</v>
      </c>
      <c r="O29" s="68" t="e">
        <f>E29-H29-K29-N29</f>
        <v>#REF!</v>
      </c>
      <c r="P29" s="71" t="e">
        <f t="shared" ref="P29:P47" si="4">(H29+K29+N29)*12/44</f>
        <v>#REF!</v>
      </c>
      <c r="Q29" s="70" t="e">
        <f>P29*2</f>
        <v>#REF!</v>
      </c>
      <c r="R29" s="67" t="e">
        <f t="shared" si="0"/>
        <v>#REF!</v>
      </c>
      <c r="S29" s="67" t="e">
        <f t="shared" ref="S29:S49" si="5">S28</f>
        <v>#REF!</v>
      </c>
      <c r="T29" s="68" t="e">
        <f t="shared" si="1"/>
        <v>#REF!</v>
      </c>
    </row>
    <row r="30" spans="1:20">
      <c r="B30" s="55">
        <v>4</v>
      </c>
      <c r="C30" s="69">
        <f>C29</f>
        <v>200000</v>
      </c>
      <c r="D30" s="65">
        <f t="shared" si="2"/>
        <v>4.1360000000000001</v>
      </c>
      <c r="E30" s="67">
        <f>C30*D30</f>
        <v>827200</v>
      </c>
      <c r="F30" s="67" t="e">
        <f>F29</f>
        <v>#REF!</v>
      </c>
      <c r="G30" s="67">
        <f>(E16+3*F21)/2</f>
        <v>28.204000000000001</v>
      </c>
      <c r="H30" s="67" t="e">
        <f>F30*G30</f>
        <v>#REF!</v>
      </c>
      <c r="I30" s="67" t="e">
        <f>I29</f>
        <v>#REF!</v>
      </c>
      <c r="J30" s="70">
        <f t="shared" si="3"/>
        <v>26.135999999999999</v>
      </c>
      <c r="K30" s="67" t="e">
        <f>I30*J30</f>
        <v>#REF!</v>
      </c>
      <c r="L30" s="67" t="e">
        <f>L29</f>
        <v>#REF!</v>
      </c>
      <c r="M30" s="67">
        <f>J29</f>
        <v>24.068000000000001</v>
      </c>
      <c r="N30" s="67" t="e">
        <f>L30*M30</f>
        <v>#REF!</v>
      </c>
      <c r="O30" s="68" t="e">
        <f>E30-H30-K30-N30</f>
        <v>#REF!</v>
      </c>
      <c r="P30" s="71" t="e">
        <f t="shared" si="4"/>
        <v>#REF!</v>
      </c>
      <c r="Q30" s="70" t="e">
        <f>P30*2</f>
        <v>#REF!</v>
      </c>
      <c r="R30" s="67" t="e">
        <f t="shared" si="0"/>
        <v>#REF!</v>
      </c>
      <c r="S30" s="67" t="e">
        <f t="shared" si="5"/>
        <v>#REF!</v>
      </c>
      <c r="T30" s="68" t="e">
        <f t="shared" si="1"/>
        <v>#REF!</v>
      </c>
    </row>
    <row r="31" spans="1:20" ht="13.5" thickBot="1">
      <c r="B31" s="97">
        <v>5</v>
      </c>
      <c r="C31" s="98">
        <f>C30</f>
        <v>200000</v>
      </c>
      <c r="D31" s="99">
        <f t="shared" si="2"/>
        <v>4.1360000000000001</v>
      </c>
      <c r="E31" s="100">
        <f>C31*D31</f>
        <v>827200</v>
      </c>
      <c r="F31" s="100" t="e">
        <f>F30</f>
        <v>#REF!</v>
      </c>
      <c r="G31" s="100">
        <f>(E16+4*F21)/2</f>
        <v>30.271999999999998</v>
      </c>
      <c r="H31" s="100" t="e">
        <f>F31*G31</f>
        <v>#REF!</v>
      </c>
      <c r="I31" s="100" t="e">
        <f>I30</f>
        <v>#REF!</v>
      </c>
      <c r="J31" s="102">
        <f t="shared" si="3"/>
        <v>28.204000000000001</v>
      </c>
      <c r="K31" s="100" t="e">
        <f>I31*J31</f>
        <v>#REF!</v>
      </c>
      <c r="L31" s="100" t="e">
        <f>L30</f>
        <v>#REF!</v>
      </c>
      <c r="M31" s="100">
        <f>J30</f>
        <v>26.135999999999999</v>
      </c>
      <c r="N31" s="100" t="e">
        <f>L31*M31</f>
        <v>#REF!</v>
      </c>
      <c r="O31" s="101" t="e">
        <f>E31-H31-K31-N31</f>
        <v>#REF!</v>
      </c>
      <c r="P31" s="71" t="e">
        <f t="shared" si="4"/>
        <v>#REF!</v>
      </c>
      <c r="Q31" s="70" t="e">
        <f>P31*2</f>
        <v>#REF!</v>
      </c>
      <c r="R31" s="100" t="e">
        <f t="shared" si="0"/>
        <v>#REF!</v>
      </c>
      <c r="S31" s="67" t="e">
        <f t="shared" si="5"/>
        <v>#REF!</v>
      </c>
      <c r="T31" s="101" t="e">
        <f t="shared" si="1"/>
        <v>#REF!</v>
      </c>
    </row>
    <row r="32" spans="1:20" s="115" customFormat="1" ht="13.5" thickBot="1">
      <c r="B32" s="107"/>
      <c r="C32" s="108"/>
      <c r="D32" s="109">
        <f t="shared" si="2"/>
        <v>4.1360000000000001</v>
      </c>
      <c r="E32" s="110"/>
      <c r="F32" s="110"/>
      <c r="G32" s="110"/>
      <c r="H32" s="110"/>
      <c r="I32" s="110"/>
      <c r="J32" s="114"/>
      <c r="K32" s="111" t="s">
        <v>184</v>
      </c>
      <c r="L32" s="110"/>
      <c r="M32" s="110"/>
      <c r="N32" s="110"/>
      <c r="O32" s="112" t="e">
        <f>SUM(O27:O31)</f>
        <v>#REF!</v>
      </c>
      <c r="P32" s="113" t="e">
        <f>SUM(P27:P31)</f>
        <v>#REF!</v>
      </c>
      <c r="Q32" s="114" t="e">
        <f t="shared" ref="Q32:Q47" si="6">P32*2</f>
        <v>#REF!</v>
      </c>
      <c r="R32" s="110" t="e">
        <f t="shared" si="0"/>
        <v>#REF!</v>
      </c>
      <c r="S32" s="110" t="e">
        <f t="shared" si="5"/>
        <v>#REF!</v>
      </c>
      <c r="T32" s="112" t="e">
        <f t="shared" si="1"/>
        <v>#REF!</v>
      </c>
    </row>
    <row r="33" spans="2:20">
      <c r="B33" s="103">
        <v>6</v>
      </c>
      <c r="C33" s="104">
        <f>C31</f>
        <v>200000</v>
      </c>
      <c r="D33" s="105">
        <f t="shared" si="2"/>
        <v>4.1360000000000001</v>
      </c>
      <c r="E33" s="74">
        <f t="shared" ref="E33:E47" si="7">C33*D33</f>
        <v>827200</v>
      </c>
      <c r="F33" s="74" t="e">
        <f>F31</f>
        <v>#REF!</v>
      </c>
      <c r="G33" s="74">
        <f>($E$16+5*$F$21)/2</f>
        <v>32.340000000000003</v>
      </c>
      <c r="H33" s="74" t="e">
        <f t="shared" ref="H33:H47" si="8">F33*G33</f>
        <v>#REF!</v>
      </c>
      <c r="I33" s="74" t="e">
        <f>I31</f>
        <v>#REF!</v>
      </c>
      <c r="J33" s="75">
        <f>G31</f>
        <v>30.271999999999998</v>
      </c>
      <c r="K33" s="74" t="e">
        <f t="shared" ref="K33:K47" si="9">I33*J33</f>
        <v>#REF!</v>
      </c>
      <c r="L33" s="74" t="e">
        <f>L31</f>
        <v>#REF!</v>
      </c>
      <c r="M33" s="74">
        <f>J31</f>
        <v>28.204000000000001</v>
      </c>
      <c r="N33" s="74" t="e">
        <f t="shared" ref="N33:N38" si="10">L33*M33</f>
        <v>#REF!</v>
      </c>
      <c r="O33" s="106" t="e">
        <f>E33-H33-K33-N33</f>
        <v>#REF!</v>
      </c>
      <c r="P33" s="71" t="e">
        <f t="shared" si="4"/>
        <v>#REF!</v>
      </c>
      <c r="Q33" s="70" t="e">
        <f t="shared" si="6"/>
        <v>#REF!</v>
      </c>
      <c r="R33" s="74" t="e">
        <f t="shared" si="0"/>
        <v>#REF!</v>
      </c>
      <c r="S33" s="67" t="e">
        <f t="shared" si="5"/>
        <v>#REF!</v>
      </c>
      <c r="T33" s="106" t="e">
        <f t="shared" si="1"/>
        <v>#REF!</v>
      </c>
    </row>
    <row r="34" spans="2:20">
      <c r="B34" s="55">
        <v>7</v>
      </c>
      <c r="C34" s="69">
        <f>C33</f>
        <v>200000</v>
      </c>
      <c r="D34" s="65">
        <f t="shared" si="2"/>
        <v>4.1360000000000001</v>
      </c>
      <c r="E34" s="67">
        <f t="shared" si="7"/>
        <v>827200</v>
      </c>
      <c r="F34" s="67" t="e">
        <f>F33</f>
        <v>#REF!</v>
      </c>
      <c r="G34" s="67">
        <f>($E$16+6*$F$21)/2</f>
        <v>34.408000000000001</v>
      </c>
      <c r="H34" s="67" t="e">
        <f t="shared" si="8"/>
        <v>#REF!</v>
      </c>
      <c r="I34" s="67" t="e">
        <f>I33</f>
        <v>#REF!</v>
      </c>
      <c r="J34" s="70">
        <f t="shared" si="3"/>
        <v>32.340000000000003</v>
      </c>
      <c r="K34" s="67" t="e">
        <f t="shared" si="9"/>
        <v>#REF!</v>
      </c>
      <c r="L34" s="67" t="e">
        <f>L33</f>
        <v>#REF!</v>
      </c>
      <c r="M34" s="67">
        <f t="shared" ref="M34:M40" si="11">J33</f>
        <v>30.271999999999998</v>
      </c>
      <c r="N34" s="67" t="e">
        <f t="shared" si="10"/>
        <v>#REF!</v>
      </c>
      <c r="O34" s="106" t="e">
        <f t="shared" ref="O34:O47" si="12">E34-H34-K34-N34</f>
        <v>#REF!</v>
      </c>
      <c r="P34" s="71" t="e">
        <f t="shared" si="4"/>
        <v>#REF!</v>
      </c>
      <c r="Q34" s="70" t="e">
        <f t="shared" si="6"/>
        <v>#REF!</v>
      </c>
      <c r="R34" s="67" t="e">
        <f t="shared" si="0"/>
        <v>#REF!</v>
      </c>
      <c r="S34" s="67" t="e">
        <f t="shared" si="5"/>
        <v>#REF!</v>
      </c>
      <c r="T34" s="68" t="e">
        <f t="shared" si="1"/>
        <v>#REF!</v>
      </c>
    </row>
    <row r="35" spans="2:20">
      <c r="B35" s="55">
        <v>8</v>
      </c>
      <c r="C35" s="69">
        <f t="shared" ref="C35:C47" si="13">C33</f>
        <v>200000</v>
      </c>
      <c r="D35" s="65">
        <f t="shared" si="2"/>
        <v>4.1360000000000001</v>
      </c>
      <c r="E35" s="67">
        <f t="shared" si="7"/>
        <v>827200</v>
      </c>
      <c r="F35" s="67" t="e">
        <f t="shared" ref="F35:F47" si="14">F34</f>
        <v>#REF!</v>
      </c>
      <c r="G35" s="67">
        <f>($E$16+7*$F$21)/2</f>
        <v>36.475999999999999</v>
      </c>
      <c r="H35" s="67" t="e">
        <f t="shared" si="8"/>
        <v>#REF!</v>
      </c>
      <c r="I35" s="67" t="e">
        <f t="shared" ref="I35:I47" si="15">I33</f>
        <v>#REF!</v>
      </c>
      <c r="J35" s="70">
        <f t="shared" si="3"/>
        <v>34.408000000000001</v>
      </c>
      <c r="K35" s="67" t="e">
        <f t="shared" si="9"/>
        <v>#REF!</v>
      </c>
      <c r="L35" s="67" t="e">
        <f t="shared" ref="L35:L47" si="16">L34</f>
        <v>#REF!</v>
      </c>
      <c r="M35" s="67">
        <f t="shared" si="11"/>
        <v>32.340000000000003</v>
      </c>
      <c r="N35" s="67" t="e">
        <f t="shared" si="10"/>
        <v>#REF!</v>
      </c>
      <c r="O35" s="106" t="e">
        <f t="shared" si="12"/>
        <v>#REF!</v>
      </c>
      <c r="P35" s="71" t="e">
        <f t="shared" si="4"/>
        <v>#REF!</v>
      </c>
      <c r="Q35" s="70" t="e">
        <f t="shared" si="6"/>
        <v>#REF!</v>
      </c>
      <c r="R35" s="67" t="e">
        <f t="shared" si="0"/>
        <v>#REF!</v>
      </c>
      <c r="S35" s="67" t="e">
        <f t="shared" si="5"/>
        <v>#REF!</v>
      </c>
      <c r="T35" s="68" t="e">
        <f t="shared" si="1"/>
        <v>#REF!</v>
      </c>
    </row>
    <row r="36" spans="2:20">
      <c r="B36" s="55">
        <v>9</v>
      </c>
      <c r="C36" s="69">
        <f t="shared" si="13"/>
        <v>200000</v>
      </c>
      <c r="D36" s="65">
        <f t="shared" si="2"/>
        <v>4.1360000000000001</v>
      </c>
      <c r="E36" s="67">
        <f t="shared" si="7"/>
        <v>827200</v>
      </c>
      <c r="F36" s="67" t="e">
        <f t="shared" si="14"/>
        <v>#REF!</v>
      </c>
      <c r="G36" s="67">
        <f>($E$16+8*$F$21)/2</f>
        <v>38.543999999999997</v>
      </c>
      <c r="H36" s="67" t="e">
        <f t="shared" si="8"/>
        <v>#REF!</v>
      </c>
      <c r="I36" s="67" t="e">
        <f t="shared" si="15"/>
        <v>#REF!</v>
      </c>
      <c r="J36" s="70">
        <f t="shared" si="3"/>
        <v>36.475999999999999</v>
      </c>
      <c r="K36" s="67" t="e">
        <f t="shared" si="9"/>
        <v>#REF!</v>
      </c>
      <c r="L36" s="67" t="e">
        <f t="shared" si="16"/>
        <v>#REF!</v>
      </c>
      <c r="M36" s="67">
        <f t="shared" si="11"/>
        <v>34.408000000000001</v>
      </c>
      <c r="N36" s="67" t="e">
        <f t="shared" si="10"/>
        <v>#REF!</v>
      </c>
      <c r="O36" s="106" t="e">
        <f t="shared" si="12"/>
        <v>#REF!</v>
      </c>
      <c r="P36" s="71" t="e">
        <f t="shared" si="4"/>
        <v>#REF!</v>
      </c>
      <c r="Q36" s="70" t="e">
        <f t="shared" si="6"/>
        <v>#REF!</v>
      </c>
      <c r="R36" s="67" t="e">
        <f t="shared" si="0"/>
        <v>#REF!</v>
      </c>
      <c r="S36" s="67" t="e">
        <f t="shared" si="5"/>
        <v>#REF!</v>
      </c>
      <c r="T36" s="68" t="e">
        <f t="shared" si="1"/>
        <v>#REF!</v>
      </c>
    </row>
    <row r="37" spans="2:20">
      <c r="B37" s="55">
        <v>10</v>
      </c>
      <c r="C37" s="69">
        <f t="shared" si="13"/>
        <v>200000</v>
      </c>
      <c r="D37" s="65">
        <f t="shared" si="2"/>
        <v>4.1360000000000001</v>
      </c>
      <c r="E37" s="67">
        <f t="shared" si="7"/>
        <v>827200</v>
      </c>
      <c r="F37" s="67" t="e">
        <f t="shared" si="14"/>
        <v>#REF!</v>
      </c>
      <c r="G37" s="67">
        <f>($E$16+9*$F$21)/2</f>
        <v>40.612000000000002</v>
      </c>
      <c r="H37" s="67" t="e">
        <f t="shared" si="8"/>
        <v>#REF!</v>
      </c>
      <c r="I37" s="67" t="e">
        <f t="shared" si="15"/>
        <v>#REF!</v>
      </c>
      <c r="J37" s="70">
        <f t="shared" si="3"/>
        <v>38.543999999999997</v>
      </c>
      <c r="K37" s="67" t="e">
        <f t="shared" si="9"/>
        <v>#REF!</v>
      </c>
      <c r="L37" s="67" t="e">
        <f t="shared" si="16"/>
        <v>#REF!</v>
      </c>
      <c r="M37" s="67">
        <f t="shared" si="11"/>
        <v>36.475999999999999</v>
      </c>
      <c r="N37" s="67" t="e">
        <f t="shared" si="10"/>
        <v>#REF!</v>
      </c>
      <c r="O37" s="106" t="e">
        <f t="shared" si="12"/>
        <v>#REF!</v>
      </c>
      <c r="P37" s="71" t="e">
        <f t="shared" si="4"/>
        <v>#REF!</v>
      </c>
      <c r="Q37" s="70" t="e">
        <f t="shared" si="6"/>
        <v>#REF!</v>
      </c>
      <c r="R37" s="67" t="e">
        <f t="shared" si="0"/>
        <v>#REF!</v>
      </c>
      <c r="S37" s="67" t="e">
        <f t="shared" si="5"/>
        <v>#REF!</v>
      </c>
      <c r="T37" s="68" t="e">
        <f t="shared" si="1"/>
        <v>#REF!</v>
      </c>
    </row>
    <row r="38" spans="2:20">
      <c r="B38" s="55">
        <v>11</v>
      </c>
      <c r="C38" s="69">
        <f t="shared" si="13"/>
        <v>200000</v>
      </c>
      <c r="D38" s="65">
        <f t="shared" si="2"/>
        <v>4.1360000000000001</v>
      </c>
      <c r="E38" s="67">
        <f t="shared" si="7"/>
        <v>827200</v>
      </c>
      <c r="F38" s="67" t="e">
        <f t="shared" si="14"/>
        <v>#REF!</v>
      </c>
      <c r="G38" s="67">
        <f>($E$16+10*$F$21)/2</f>
        <v>42.68</v>
      </c>
      <c r="H38" s="67" t="e">
        <f t="shared" si="8"/>
        <v>#REF!</v>
      </c>
      <c r="I38" s="67" t="e">
        <f t="shared" si="15"/>
        <v>#REF!</v>
      </c>
      <c r="J38" s="70">
        <f>G37</f>
        <v>40.612000000000002</v>
      </c>
      <c r="K38" s="67" t="e">
        <f t="shared" si="9"/>
        <v>#REF!</v>
      </c>
      <c r="L38" s="67" t="e">
        <f t="shared" si="16"/>
        <v>#REF!</v>
      </c>
      <c r="M38" s="67">
        <f t="shared" si="11"/>
        <v>38.543999999999997</v>
      </c>
      <c r="N38" s="67" t="e">
        <f t="shared" si="10"/>
        <v>#REF!</v>
      </c>
      <c r="O38" s="106" t="e">
        <f t="shared" si="12"/>
        <v>#REF!</v>
      </c>
      <c r="P38" s="71" t="e">
        <f t="shared" si="4"/>
        <v>#REF!</v>
      </c>
      <c r="Q38" s="70" t="e">
        <f t="shared" si="6"/>
        <v>#REF!</v>
      </c>
      <c r="R38" s="67" t="e">
        <f t="shared" si="0"/>
        <v>#REF!</v>
      </c>
      <c r="S38" s="67" t="e">
        <f t="shared" si="5"/>
        <v>#REF!</v>
      </c>
      <c r="T38" s="68" t="e">
        <f t="shared" si="1"/>
        <v>#REF!</v>
      </c>
    </row>
    <row r="39" spans="2:20">
      <c r="B39" s="55">
        <v>12</v>
      </c>
      <c r="C39" s="69">
        <f t="shared" si="13"/>
        <v>200000</v>
      </c>
      <c r="D39" s="65">
        <f t="shared" si="2"/>
        <v>4.1360000000000001</v>
      </c>
      <c r="E39" s="67">
        <f t="shared" si="7"/>
        <v>827200</v>
      </c>
      <c r="F39" s="67" t="e">
        <f t="shared" si="14"/>
        <v>#REF!</v>
      </c>
      <c r="G39" s="67">
        <v>43</v>
      </c>
      <c r="H39" s="67" t="e">
        <f t="shared" si="8"/>
        <v>#REF!</v>
      </c>
      <c r="I39" s="67" t="e">
        <f t="shared" si="15"/>
        <v>#REF!</v>
      </c>
      <c r="J39" s="67">
        <f>G38</f>
        <v>42.68</v>
      </c>
      <c r="K39" s="67" t="e">
        <f t="shared" si="9"/>
        <v>#REF!</v>
      </c>
      <c r="L39" s="67" t="e">
        <f t="shared" si="16"/>
        <v>#REF!</v>
      </c>
      <c r="M39" s="67">
        <f t="shared" si="11"/>
        <v>40.612000000000002</v>
      </c>
      <c r="N39" s="67">
        <v>228400</v>
      </c>
      <c r="O39" s="106">
        <v>0</v>
      </c>
      <c r="P39" s="71" t="e">
        <f t="shared" si="4"/>
        <v>#REF!</v>
      </c>
      <c r="Q39" s="70" t="e">
        <f t="shared" si="6"/>
        <v>#REF!</v>
      </c>
      <c r="R39" s="67" t="e">
        <f t="shared" si="0"/>
        <v>#REF!</v>
      </c>
      <c r="S39" s="67" t="e">
        <f t="shared" si="5"/>
        <v>#REF!</v>
      </c>
      <c r="T39" s="68" t="e">
        <f t="shared" si="1"/>
        <v>#REF!</v>
      </c>
    </row>
    <row r="40" spans="2:20">
      <c r="B40" s="55">
        <v>13</v>
      </c>
      <c r="C40" s="69">
        <f t="shared" si="13"/>
        <v>200000</v>
      </c>
      <c r="D40" s="65">
        <f t="shared" si="2"/>
        <v>4.1360000000000001</v>
      </c>
      <c r="E40" s="67">
        <f t="shared" si="7"/>
        <v>827200</v>
      </c>
      <c r="F40" s="67" t="e">
        <f t="shared" si="14"/>
        <v>#REF!</v>
      </c>
      <c r="G40" s="67">
        <v>43</v>
      </c>
      <c r="H40" s="67" t="e">
        <f t="shared" si="8"/>
        <v>#REF!</v>
      </c>
      <c r="I40" s="67" t="e">
        <f t="shared" si="15"/>
        <v>#REF!</v>
      </c>
      <c r="J40" s="67">
        <f t="shared" si="3"/>
        <v>43</v>
      </c>
      <c r="K40" s="67" t="e">
        <f t="shared" si="9"/>
        <v>#REF!</v>
      </c>
      <c r="L40" s="67" t="e">
        <f t="shared" si="16"/>
        <v>#REF!</v>
      </c>
      <c r="M40" s="67">
        <f t="shared" si="11"/>
        <v>42.68</v>
      </c>
      <c r="N40" s="67">
        <v>225200</v>
      </c>
      <c r="O40" s="106">
        <v>0</v>
      </c>
      <c r="P40" s="71" t="e">
        <f t="shared" si="4"/>
        <v>#REF!</v>
      </c>
      <c r="Q40" s="70" t="e">
        <f t="shared" si="6"/>
        <v>#REF!</v>
      </c>
      <c r="R40" s="67" t="e">
        <f t="shared" si="0"/>
        <v>#REF!</v>
      </c>
      <c r="S40" s="67" t="e">
        <f t="shared" si="5"/>
        <v>#REF!</v>
      </c>
      <c r="T40" s="68" t="e">
        <f t="shared" si="1"/>
        <v>#REF!</v>
      </c>
    </row>
    <row r="41" spans="2:20">
      <c r="B41" s="55">
        <v>14</v>
      </c>
      <c r="C41" s="69">
        <f t="shared" si="13"/>
        <v>200000</v>
      </c>
      <c r="D41" s="65">
        <f t="shared" si="2"/>
        <v>4.1360000000000001</v>
      </c>
      <c r="E41" s="67">
        <f t="shared" si="7"/>
        <v>827200</v>
      </c>
      <c r="F41" s="67" t="e">
        <f t="shared" si="14"/>
        <v>#REF!</v>
      </c>
      <c r="G41" s="67">
        <v>43</v>
      </c>
      <c r="H41" s="67" t="e">
        <f t="shared" si="8"/>
        <v>#REF!</v>
      </c>
      <c r="I41" s="67" t="e">
        <f t="shared" si="15"/>
        <v>#REF!</v>
      </c>
      <c r="J41" s="67">
        <f t="shared" si="3"/>
        <v>43</v>
      </c>
      <c r="K41" s="67" t="e">
        <f t="shared" si="9"/>
        <v>#REF!</v>
      </c>
      <c r="L41" s="67" t="e">
        <f t="shared" si="16"/>
        <v>#REF!</v>
      </c>
      <c r="M41" s="67">
        <f t="shared" ref="M41:M47" si="17">J40</f>
        <v>43</v>
      </c>
      <c r="N41" s="67">
        <v>225200</v>
      </c>
      <c r="O41" s="106">
        <v>0</v>
      </c>
      <c r="P41" s="71" t="e">
        <f t="shared" si="4"/>
        <v>#REF!</v>
      </c>
      <c r="Q41" s="70" t="e">
        <f t="shared" si="6"/>
        <v>#REF!</v>
      </c>
      <c r="R41" s="67" t="e">
        <f t="shared" si="0"/>
        <v>#REF!</v>
      </c>
      <c r="S41" s="67" t="e">
        <f t="shared" si="5"/>
        <v>#REF!</v>
      </c>
      <c r="T41" s="68" t="e">
        <f t="shared" si="1"/>
        <v>#REF!</v>
      </c>
    </row>
    <row r="42" spans="2:20">
      <c r="B42" s="55">
        <v>15</v>
      </c>
      <c r="C42" s="69">
        <f t="shared" si="13"/>
        <v>200000</v>
      </c>
      <c r="D42" s="65">
        <f t="shared" si="2"/>
        <v>4.1360000000000001</v>
      </c>
      <c r="E42" s="67">
        <f t="shared" si="7"/>
        <v>827200</v>
      </c>
      <c r="F42" s="67" t="e">
        <f t="shared" si="14"/>
        <v>#REF!</v>
      </c>
      <c r="G42" s="67">
        <v>43</v>
      </c>
      <c r="H42" s="67" t="e">
        <f t="shared" si="8"/>
        <v>#REF!</v>
      </c>
      <c r="I42" s="67" t="e">
        <f t="shared" si="15"/>
        <v>#REF!</v>
      </c>
      <c r="J42" s="67">
        <f t="shared" si="3"/>
        <v>43</v>
      </c>
      <c r="K42" s="67" t="e">
        <f>I42*J42</f>
        <v>#REF!</v>
      </c>
      <c r="L42" s="67" t="e">
        <f t="shared" si="16"/>
        <v>#REF!</v>
      </c>
      <c r="M42" s="67">
        <f t="shared" si="17"/>
        <v>43</v>
      </c>
      <c r="N42" s="67">
        <f t="shared" ref="N42:N47" si="18">N41</f>
        <v>225200</v>
      </c>
      <c r="O42" s="106">
        <v>0</v>
      </c>
      <c r="P42" s="71" t="e">
        <f t="shared" si="4"/>
        <v>#REF!</v>
      </c>
      <c r="Q42" s="70" t="e">
        <f t="shared" si="6"/>
        <v>#REF!</v>
      </c>
      <c r="R42" s="67" t="e">
        <f t="shared" si="0"/>
        <v>#REF!</v>
      </c>
      <c r="S42" s="67" t="e">
        <f t="shared" si="5"/>
        <v>#REF!</v>
      </c>
      <c r="T42" s="68" t="e">
        <f t="shared" si="1"/>
        <v>#REF!</v>
      </c>
    </row>
    <row r="43" spans="2:20">
      <c r="B43" s="55">
        <v>16</v>
      </c>
      <c r="C43" s="69">
        <f t="shared" si="13"/>
        <v>200000</v>
      </c>
      <c r="D43" s="65">
        <f t="shared" si="2"/>
        <v>4.1360000000000001</v>
      </c>
      <c r="E43" s="67">
        <f t="shared" si="7"/>
        <v>827200</v>
      </c>
      <c r="F43" s="67" t="e">
        <f t="shared" si="14"/>
        <v>#REF!</v>
      </c>
      <c r="G43" s="67">
        <v>43</v>
      </c>
      <c r="H43" s="67" t="e">
        <f t="shared" si="8"/>
        <v>#REF!</v>
      </c>
      <c r="I43" s="67" t="e">
        <f t="shared" si="15"/>
        <v>#REF!</v>
      </c>
      <c r="J43" s="67">
        <f t="shared" si="3"/>
        <v>43</v>
      </c>
      <c r="K43" s="67" t="e">
        <f t="shared" si="9"/>
        <v>#REF!</v>
      </c>
      <c r="L43" s="67" t="e">
        <f t="shared" si="16"/>
        <v>#REF!</v>
      </c>
      <c r="M43" s="67">
        <f t="shared" si="17"/>
        <v>43</v>
      </c>
      <c r="N43" s="67">
        <f t="shared" si="18"/>
        <v>225200</v>
      </c>
      <c r="O43" s="106" t="e">
        <f t="shared" si="12"/>
        <v>#REF!</v>
      </c>
      <c r="P43" s="71" t="e">
        <f t="shared" si="4"/>
        <v>#REF!</v>
      </c>
      <c r="Q43" s="70" t="e">
        <f t="shared" si="6"/>
        <v>#REF!</v>
      </c>
      <c r="R43" s="67" t="e">
        <f t="shared" si="0"/>
        <v>#REF!</v>
      </c>
      <c r="S43" s="67" t="e">
        <f t="shared" si="5"/>
        <v>#REF!</v>
      </c>
      <c r="T43" s="68" t="e">
        <f t="shared" si="1"/>
        <v>#REF!</v>
      </c>
    </row>
    <row r="44" spans="2:20">
      <c r="B44" s="55">
        <v>17</v>
      </c>
      <c r="C44" s="69">
        <f t="shared" si="13"/>
        <v>200000</v>
      </c>
      <c r="D44" s="65">
        <f t="shared" si="2"/>
        <v>4.1360000000000001</v>
      </c>
      <c r="E44" s="67">
        <f t="shared" si="7"/>
        <v>827200</v>
      </c>
      <c r="F44" s="67" t="e">
        <f t="shared" si="14"/>
        <v>#REF!</v>
      </c>
      <c r="G44" s="67">
        <v>43</v>
      </c>
      <c r="H44" s="67" t="e">
        <f t="shared" si="8"/>
        <v>#REF!</v>
      </c>
      <c r="I44" s="67" t="e">
        <f t="shared" si="15"/>
        <v>#REF!</v>
      </c>
      <c r="J44" s="67">
        <f t="shared" si="3"/>
        <v>43</v>
      </c>
      <c r="K44" s="67" t="e">
        <f t="shared" si="9"/>
        <v>#REF!</v>
      </c>
      <c r="L44" s="67" t="e">
        <f t="shared" si="16"/>
        <v>#REF!</v>
      </c>
      <c r="M44" s="67">
        <f t="shared" si="17"/>
        <v>43</v>
      </c>
      <c r="N44" s="67">
        <f t="shared" si="18"/>
        <v>225200</v>
      </c>
      <c r="O44" s="106" t="e">
        <f t="shared" si="12"/>
        <v>#REF!</v>
      </c>
      <c r="P44" s="71" t="e">
        <f t="shared" si="4"/>
        <v>#REF!</v>
      </c>
      <c r="Q44" s="70" t="e">
        <f t="shared" si="6"/>
        <v>#REF!</v>
      </c>
      <c r="R44" s="67" t="e">
        <f t="shared" si="0"/>
        <v>#REF!</v>
      </c>
      <c r="S44" s="67" t="e">
        <f t="shared" si="5"/>
        <v>#REF!</v>
      </c>
      <c r="T44" s="68" t="e">
        <f t="shared" si="1"/>
        <v>#REF!</v>
      </c>
    </row>
    <row r="45" spans="2:20">
      <c r="B45" s="55">
        <v>18</v>
      </c>
      <c r="C45" s="69">
        <f t="shared" si="13"/>
        <v>200000</v>
      </c>
      <c r="D45" s="65">
        <f t="shared" si="2"/>
        <v>4.1360000000000001</v>
      </c>
      <c r="E45" s="67">
        <f t="shared" si="7"/>
        <v>827200</v>
      </c>
      <c r="F45" s="67" t="e">
        <f t="shared" si="14"/>
        <v>#REF!</v>
      </c>
      <c r="G45" s="67">
        <v>43</v>
      </c>
      <c r="H45" s="67" t="e">
        <f t="shared" si="8"/>
        <v>#REF!</v>
      </c>
      <c r="I45" s="67" t="e">
        <f t="shared" si="15"/>
        <v>#REF!</v>
      </c>
      <c r="J45" s="67">
        <f t="shared" si="3"/>
        <v>43</v>
      </c>
      <c r="K45" s="67" t="e">
        <f t="shared" si="9"/>
        <v>#REF!</v>
      </c>
      <c r="L45" s="67" t="e">
        <f t="shared" si="16"/>
        <v>#REF!</v>
      </c>
      <c r="M45" s="67">
        <f t="shared" si="17"/>
        <v>43</v>
      </c>
      <c r="N45" s="67">
        <f t="shared" si="18"/>
        <v>225200</v>
      </c>
      <c r="O45" s="106" t="e">
        <f t="shared" si="12"/>
        <v>#REF!</v>
      </c>
      <c r="P45" s="71" t="e">
        <f t="shared" si="4"/>
        <v>#REF!</v>
      </c>
      <c r="Q45" s="70" t="e">
        <f t="shared" si="6"/>
        <v>#REF!</v>
      </c>
      <c r="R45" s="67" t="e">
        <f t="shared" si="0"/>
        <v>#REF!</v>
      </c>
      <c r="S45" s="67" t="e">
        <f t="shared" si="5"/>
        <v>#REF!</v>
      </c>
      <c r="T45" s="68" t="e">
        <f t="shared" si="1"/>
        <v>#REF!</v>
      </c>
    </row>
    <row r="46" spans="2:20">
      <c r="B46" s="55">
        <v>19</v>
      </c>
      <c r="C46" s="69">
        <f t="shared" si="13"/>
        <v>200000</v>
      </c>
      <c r="D46" s="65">
        <f t="shared" si="2"/>
        <v>4.1360000000000001</v>
      </c>
      <c r="E46" s="67">
        <f t="shared" si="7"/>
        <v>827200</v>
      </c>
      <c r="F46" s="67" t="e">
        <f t="shared" si="14"/>
        <v>#REF!</v>
      </c>
      <c r="G46" s="67">
        <v>43</v>
      </c>
      <c r="H46" s="67" t="e">
        <f t="shared" si="8"/>
        <v>#REF!</v>
      </c>
      <c r="I46" s="67" t="e">
        <f t="shared" si="15"/>
        <v>#REF!</v>
      </c>
      <c r="J46" s="67">
        <f t="shared" si="3"/>
        <v>43</v>
      </c>
      <c r="K46" s="67" t="e">
        <f t="shared" si="9"/>
        <v>#REF!</v>
      </c>
      <c r="L46" s="67" t="e">
        <f t="shared" si="16"/>
        <v>#REF!</v>
      </c>
      <c r="M46" s="67">
        <f t="shared" si="17"/>
        <v>43</v>
      </c>
      <c r="N46" s="67">
        <f t="shared" si="18"/>
        <v>225200</v>
      </c>
      <c r="O46" s="106" t="e">
        <f t="shared" si="12"/>
        <v>#REF!</v>
      </c>
      <c r="P46" s="71" t="e">
        <f t="shared" si="4"/>
        <v>#REF!</v>
      </c>
      <c r="Q46" s="70" t="e">
        <f t="shared" si="6"/>
        <v>#REF!</v>
      </c>
      <c r="R46" s="67" t="e">
        <f t="shared" si="0"/>
        <v>#REF!</v>
      </c>
      <c r="S46" s="67" t="e">
        <f t="shared" si="5"/>
        <v>#REF!</v>
      </c>
      <c r="T46" s="68" t="e">
        <f t="shared" si="1"/>
        <v>#REF!</v>
      </c>
    </row>
    <row r="47" spans="2:20" ht="13.5" thickBot="1">
      <c r="B47" s="97">
        <v>20</v>
      </c>
      <c r="C47" s="98">
        <f t="shared" si="13"/>
        <v>200000</v>
      </c>
      <c r="D47" s="99">
        <f t="shared" si="2"/>
        <v>4.1360000000000001</v>
      </c>
      <c r="E47" s="100">
        <f t="shared" si="7"/>
        <v>827200</v>
      </c>
      <c r="F47" s="100" t="e">
        <f t="shared" si="14"/>
        <v>#REF!</v>
      </c>
      <c r="G47" s="67">
        <v>43</v>
      </c>
      <c r="H47" s="100" t="e">
        <f t="shared" si="8"/>
        <v>#REF!</v>
      </c>
      <c r="I47" s="100" t="e">
        <f t="shared" si="15"/>
        <v>#REF!</v>
      </c>
      <c r="J47" s="100">
        <f t="shared" si="3"/>
        <v>43</v>
      </c>
      <c r="K47" s="100" t="e">
        <f t="shared" si="9"/>
        <v>#REF!</v>
      </c>
      <c r="L47" s="100" t="e">
        <f t="shared" si="16"/>
        <v>#REF!</v>
      </c>
      <c r="M47" s="100">
        <f t="shared" si="17"/>
        <v>43</v>
      </c>
      <c r="N47" s="67">
        <f t="shared" si="18"/>
        <v>225200</v>
      </c>
      <c r="O47" s="106" t="e">
        <f t="shared" si="12"/>
        <v>#REF!</v>
      </c>
      <c r="P47" s="71" t="e">
        <f t="shared" si="4"/>
        <v>#REF!</v>
      </c>
      <c r="Q47" s="70" t="e">
        <f t="shared" si="6"/>
        <v>#REF!</v>
      </c>
      <c r="R47" s="100" t="e">
        <f t="shared" si="0"/>
        <v>#REF!</v>
      </c>
      <c r="S47" s="67" t="e">
        <f t="shared" si="5"/>
        <v>#REF!</v>
      </c>
      <c r="T47" s="101" t="e">
        <f t="shared" si="1"/>
        <v>#REF!</v>
      </c>
    </row>
    <row r="48" spans="2:20" s="115" customFormat="1" ht="13.5" thickBot="1">
      <c r="B48" s="107"/>
      <c r="C48" s="108"/>
      <c r="D48" s="109"/>
      <c r="E48" s="111"/>
      <c r="F48" s="110"/>
      <c r="G48" s="110"/>
      <c r="H48" s="111"/>
      <c r="I48" s="111"/>
      <c r="J48" s="111"/>
      <c r="K48" s="111"/>
      <c r="L48" s="111" t="s">
        <v>167</v>
      </c>
      <c r="M48" s="111"/>
      <c r="N48" s="111"/>
      <c r="O48" s="112" t="e">
        <f>SUM(O33:O47)</f>
        <v>#REF!</v>
      </c>
      <c r="P48" s="113" t="e">
        <f>SUM(P33:P47)</f>
        <v>#REF!</v>
      </c>
      <c r="Q48" s="114" t="e">
        <f>P48*2</f>
        <v>#REF!</v>
      </c>
      <c r="R48" s="110" t="e">
        <f t="shared" si="0"/>
        <v>#REF!</v>
      </c>
      <c r="S48" s="110" t="e">
        <f t="shared" si="5"/>
        <v>#REF!</v>
      </c>
      <c r="T48" s="112" t="e">
        <f t="shared" si="1"/>
        <v>#REF!</v>
      </c>
    </row>
    <row r="49" spans="2:20" ht="13.5" thickBot="1">
      <c r="B49" s="46"/>
      <c r="C49" s="47"/>
      <c r="D49" s="46"/>
      <c r="E49" s="46"/>
      <c r="F49" s="47"/>
      <c r="G49" s="138"/>
      <c r="H49" s="46"/>
      <c r="I49" s="116" t="s">
        <v>168</v>
      </c>
      <c r="J49" s="117"/>
      <c r="K49" s="117"/>
      <c r="L49" s="117"/>
      <c r="M49" s="117"/>
      <c r="N49" s="117"/>
      <c r="O49" s="118" t="e">
        <f>O32+O48</f>
        <v>#REF!</v>
      </c>
      <c r="P49" s="123" t="e">
        <f>P32+P48</f>
        <v>#REF!</v>
      </c>
      <c r="Q49" s="124" t="e">
        <f>P49*2</f>
        <v>#REF!</v>
      </c>
      <c r="R49" s="125" t="e">
        <f t="shared" si="0"/>
        <v>#REF!</v>
      </c>
      <c r="S49" s="125" t="e">
        <f t="shared" si="5"/>
        <v>#REF!</v>
      </c>
      <c r="T49" s="126" t="e">
        <f t="shared" si="1"/>
        <v>#REF!</v>
      </c>
    </row>
    <row r="50" spans="2:20">
      <c r="B50" s="46"/>
      <c r="C50" s="47"/>
      <c r="D50" s="46"/>
      <c r="E50" s="46"/>
      <c r="F50" s="47"/>
      <c r="G50" s="138"/>
      <c r="H50" s="46"/>
      <c r="I50" s="65" t="s">
        <v>183</v>
      </c>
      <c r="J50" s="66"/>
      <c r="K50" s="66"/>
      <c r="L50" s="66"/>
      <c r="M50" s="66"/>
      <c r="N50" s="66"/>
      <c r="O50" s="68">
        <f>F16</f>
        <v>8800000</v>
      </c>
      <c r="P50" s="47"/>
      <c r="Q50" s="96"/>
      <c r="R50" s="47"/>
      <c r="S50" s="47"/>
      <c r="T50" s="47"/>
    </row>
    <row r="51" spans="2:20" ht="13.5" thickBot="1">
      <c r="B51" s="46"/>
      <c r="C51" s="47"/>
      <c r="D51" s="46"/>
      <c r="E51" s="46"/>
      <c r="F51" s="47"/>
      <c r="G51" s="138"/>
      <c r="H51" s="46"/>
      <c r="I51" s="119" t="s">
        <v>170</v>
      </c>
      <c r="J51" s="120"/>
      <c r="K51" s="120"/>
      <c r="L51" s="120"/>
      <c r="M51" s="120"/>
      <c r="N51" s="120"/>
      <c r="O51" s="122" t="e">
        <f>O49+O50</f>
        <v>#REF!</v>
      </c>
      <c r="P51" s="121"/>
      <c r="Q51" s="121"/>
      <c r="R51" s="80"/>
      <c r="S51" s="80"/>
      <c r="T51" s="80"/>
    </row>
    <row r="53" spans="2:20">
      <c r="N53" s="150"/>
    </row>
    <row r="54" spans="2:20">
      <c r="N54" s="150"/>
      <c r="O54" s="150"/>
    </row>
    <row r="55" spans="2:20">
      <c r="O55" s="129"/>
    </row>
    <row r="64" spans="2:20">
      <c r="B64" s="76"/>
    </row>
  </sheetData>
  <mergeCells count="3">
    <mergeCell ref="D24:O24"/>
    <mergeCell ref="P24:T24"/>
    <mergeCell ref="I16:J16"/>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election activeCell="E4" sqref="E4"/>
    </sheetView>
  </sheetViews>
  <sheetFormatPr defaultColWidth="8.85546875" defaultRowHeight="15"/>
  <sheetData/>
  <pageMargins left="0.7" right="0.7" top="0.75" bottom="0.75" header="0.3" footer="0.3"/>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
  <sheetViews>
    <sheetView workbookViewId="0">
      <selection activeCell="M28" sqref="M28"/>
    </sheetView>
  </sheetViews>
  <sheetFormatPr defaultColWidth="8.85546875" defaultRowHeight="15"/>
  <sheetData/>
  <pageMargins left="0.7" right="0.7" top="0.75" bottom="0.75" header="0.3" footer="0.3"/>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2:N136"/>
  <sheetViews>
    <sheetView showGridLines="0" zoomScale="80" zoomScaleNormal="80" zoomScalePageLayoutView="80" workbookViewId="0">
      <selection activeCell="K21" sqref="K21"/>
    </sheetView>
  </sheetViews>
  <sheetFormatPr defaultColWidth="8.85546875" defaultRowHeight="12.75"/>
  <cols>
    <col min="1" max="2" width="8.85546875" style="223"/>
    <col min="3" max="3" width="9.85546875" style="223" bestFit="1" customWidth="1"/>
    <col min="4" max="4" width="14.42578125" style="223" customWidth="1"/>
    <col min="5" max="5" width="11.42578125" style="223" customWidth="1"/>
    <col min="6" max="6" width="18.85546875" style="223" customWidth="1"/>
    <col min="7" max="7" width="11" style="223" customWidth="1"/>
    <col min="8" max="8" width="14.42578125" style="223" customWidth="1"/>
    <col min="9" max="9" width="12" style="223" customWidth="1"/>
    <col min="10" max="10" width="10.85546875" style="223" bestFit="1" customWidth="1"/>
    <col min="11" max="11" width="15.42578125" style="223" customWidth="1"/>
    <col min="12" max="12" width="11.42578125" style="223" customWidth="1"/>
    <col min="13" max="13" width="25.85546875" style="223" customWidth="1"/>
    <col min="14" max="14" width="14.140625" style="223" customWidth="1"/>
    <col min="15" max="16384" width="8.85546875" style="223"/>
  </cols>
  <sheetData>
    <row r="2" spans="2:11" s="218" customFormat="1">
      <c r="B2" s="218" t="s">
        <v>339</v>
      </c>
    </row>
    <row r="3" spans="2:11" s="219" customFormat="1">
      <c r="B3" s="219" t="s">
        <v>243</v>
      </c>
      <c r="C3" s="220" t="s">
        <v>340</v>
      </c>
    </row>
    <row r="4" spans="2:11" s="222" customFormat="1">
      <c r="B4" s="219" t="s">
        <v>341</v>
      </c>
      <c r="C4" s="221">
        <f>SUM(I27,I39)</f>
        <v>3028709.9001293438</v>
      </c>
    </row>
    <row r="5" spans="2:11" ht="13.5" thickBot="1"/>
    <row r="6" spans="2:11" ht="39" thickBot="1">
      <c r="B6" s="224" t="s">
        <v>195</v>
      </c>
      <c r="C6" s="225" t="s">
        <v>342</v>
      </c>
      <c r="D6" s="226" t="s">
        <v>343</v>
      </c>
      <c r="E6" s="226"/>
      <c r="F6" s="226" t="s">
        <v>344</v>
      </c>
      <c r="G6" s="226" t="s">
        <v>345</v>
      </c>
      <c r="H6" s="226" t="s">
        <v>346</v>
      </c>
      <c r="I6" s="226" t="s">
        <v>347</v>
      </c>
      <c r="J6" s="227" t="s">
        <v>348</v>
      </c>
      <c r="K6" s="227" t="s">
        <v>349</v>
      </c>
    </row>
    <row r="7" spans="2:11" ht="13.5" thickBot="1">
      <c r="B7" s="228">
        <v>1</v>
      </c>
      <c r="C7" s="229"/>
      <c r="D7" s="229"/>
      <c r="E7" s="230">
        <v>0.47</v>
      </c>
      <c r="F7" s="230">
        <v>0</v>
      </c>
      <c r="G7" s="229"/>
      <c r="H7" s="230" t="s">
        <v>237</v>
      </c>
      <c r="I7" s="230" t="s">
        <v>237</v>
      </c>
    </row>
    <row r="8" spans="2:11" ht="13.5" thickBot="1">
      <c r="B8" s="228">
        <v>2</v>
      </c>
      <c r="C8" s="231">
        <v>4000</v>
      </c>
      <c r="D8" s="230">
        <v>9.625</v>
      </c>
      <c r="E8" s="230">
        <v>0.47</v>
      </c>
      <c r="F8" s="231">
        <f>C8*D8</f>
        <v>38500</v>
      </c>
      <c r="G8" s="231">
        <f>F8*0.1</f>
        <v>3850</v>
      </c>
      <c r="H8" s="231">
        <f t="shared" ref="H8:H26" si="0">F8-G8</f>
        <v>34650</v>
      </c>
      <c r="I8" s="231">
        <f>H8</f>
        <v>34650</v>
      </c>
    </row>
    <row r="9" spans="2:11" ht="13.5" thickBot="1">
      <c r="B9" s="228">
        <v>3</v>
      </c>
      <c r="C9" s="231">
        <v>8000</v>
      </c>
      <c r="D9" s="230">
        <v>9.625</v>
      </c>
      <c r="E9" s="230">
        <v>0.47</v>
      </c>
      <c r="F9" s="231">
        <f t="shared" ref="F9:F28" si="1">C9*D9</f>
        <v>77000</v>
      </c>
      <c r="G9" s="231">
        <f t="shared" ref="G9:G28" si="2">F9*0.1</f>
        <v>7700</v>
      </c>
      <c r="H9" s="231">
        <f t="shared" si="0"/>
        <v>69300</v>
      </c>
      <c r="I9" s="231">
        <f>H9+I8</f>
        <v>103950</v>
      </c>
    </row>
    <row r="10" spans="2:11" ht="13.5" thickBot="1">
      <c r="B10" s="228">
        <v>4</v>
      </c>
      <c r="C10" s="231">
        <v>13000</v>
      </c>
      <c r="D10" s="230">
        <v>9.625</v>
      </c>
      <c r="E10" s="230">
        <v>0.47</v>
      </c>
      <c r="F10" s="231">
        <f t="shared" si="1"/>
        <v>125125</v>
      </c>
      <c r="G10" s="231">
        <f t="shared" si="2"/>
        <v>12512.5</v>
      </c>
      <c r="H10" s="231">
        <f t="shared" si="0"/>
        <v>112612.5</v>
      </c>
      <c r="I10" s="231">
        <f t="shared" ref="I10:I27" si="3">H10+I9</f>
        <v>216562.5</v>
      </c>
    </row>
    <row r="11" spans="2:11" ht="13.5" thickBot="1">
      <c r="B11" s="228">
        <v>5</v>
      </c>
      <c r="C11" s="231">
        <v>18000</v>
      </c>
      <c r="D11" s="230">
        <v>9.625</v>
      </c>
      <c r="E11" s="230">
        <v>0.47</v>
      </c>
      <c r="F11" s="231">
        <f t="shared" si="1"/>
        <v>173250</v>
      </c>
      <c r="G11" s="231">
        <f t="shared" si="2"/>
        <v>17325</v>
      </c>
      <c r="H11" s="231">
        <f t="shared" si="0"/>
        <v>155925</v>
      </c>
      <c r="I11" s="231">
        <f t="shared" si="3"/>
        <v>372487.5</v>
      </c>
    </row>
    <row r="12" spans="2:11" ht="13.5" thickBot="1">
      <c r="B12" s="228">
        <v>6</v>
      </c>
      <c r="C12" s="231">
        <v>18000</v>
      </c>
      <c r="D12" s="230">
        <v>9.625</v>
      </c>
      <c r="E12" s="230">
        <v>0.47</v>
      </c>
      <c r="F12" s="231">
        <f t="shared" si="1"/>
        <v>173250</v>
      </c>
      <c r="G12" s="231">
        <f t="shared" si="2"/>
        <v>17325</v>
      </c>
      <c r="H12" s="231">
        <f>F12-G12</f>
        <v>155925</v>
      </c>
      <c r="I12" s="231">
        <f t="shared" si="3"/>
        <v>528412.5</v>
      </c>
    </row>
    <row r="13" spans="2:11" ht="13.5" thickBot="1">
      <c r="B13" s="228">
        <v>7</v>
      </c>
      <c r="C13" s="231">
        <v>18000</v>
      </c>
      <c r="D13" s="230">
        <v>9.625</v>
      </c>
      <c r="E13" s="230">
        <v>0.47</v>
      </c>
      <c r="F13" s="231">
        <f t="shared" si="1"/>
        <v>173250</v>
      </c>
      <c r="G13" s="231">
        <f t="shared" si="2"/>
        <v>17325</v>
      </c>
      <c r="H13" s="231">
        <f t="shared" si="0"/>
        <v>155925</v>
      </c>
      <c r="I13" s="231">
        <f t="shared" si="3"/>
        <v>684337.5</v>
      </c>
    </row>
    <row r="14" spans="2:11" ht="13.5" thickBot="1">
      <c r="B14" s="228">
        <v>8</v>
      </c>
      <c r="C14" s="231">
        <v>18000</v>
      </c>
      <c r="D14" s="230">
        <v>9.625</v>
      </c>
      <c r="E14" s="230">
        <v>0.47</v>
      </c>
      <c r="F14" s="231">
        <f t="shared" si="1"/>
        <v>173250</v>
      </c>
      <c r="G14" s="231">
        <f t="shared" si="2"/>
        <v>17325</v>
      </c>
      <c r="H14" s="231">
        <f t="shared" si="0"/>
        <v>155925</v>
      </c>
      <c r="I14" s="231">
        <f t="shared" si="3"/>
        <v>840262.5</v>
      </c>
    </row>
    <row r="15" spans="2:11" ht="13.5" thickBot="1">
      <c r="B15" s="228">
        <v>9</v>
      </c>
      <c r="C15" s="231">
        <v>18000</v>
      </c>
      <c r="D15" s="230">
        <v>9.625</v>
      </c>
      <c r="E15" s="230">
        <v>0.47</v>
      </c>
      <c r="F15" s="231">
        <f t="shared" si="1"/>
        <v>173250</v>
      </c>
      <c r="G15" s="231">
        <f t="shared" si="2"/>
        <v>17325</v>
      </c>
      <c r="H15" s="231">
        <f t="shared" si="0"/>
        <v>155925</v>
      </c>
      <c r="I15" s="231">
        <f t="shared" si="3"/>
        <v>996187.5</v>
      </c>
    </row>
    <row r="16" spans="2:11" ht="13.5" thickBot="1">
      <c r="B16" s="228">
        <v>10</v>
      </c>
      <c r="C16" s="231">
        <v>18000</v>
      </c>
      <c r="D16" s="230">
        <v>9.625</v>
      </c>
      <c r="E16" s="230">
        <v>0.47</v>
      </c>
      <c r="F16" s="231">
        <f t="shared" si="1"/>
        <v>173250</v>
      </c>
      <c r="G16" s="231">
        <f t="shared" si="2"/>
        <v>17325</v>
      </c>
      <c r="H16" s="231">
        <f t="shared" si="0"/>
        <v>155925</v>
      </c>
      <c r="I16" s="231">
        <f t="shared" si="3"/>
        <v>1152112.5</v>
      </c>
    </row>
    <row r="17" spans="2:9" ht="13.5" thickBot="1">
      <c r="B17" s="228">
        <v>11</v>
      </c>
      <c r="C17" s="231">
        <v>18000</v>
      </c>
      <c r="D17" s="230">
        <v>9.625</v>
      </c>
      <c r="E17" s="230">
        <v>0.47</v>
      </c>
      <c r="F17" s="231">
        <f t="shared" si="1"/>
        <v>173250</v>
      </c>
      <c r="G17" s="231">
        <f t="shared" si="2"/>
        <v>17325</v>
      </c>
      <c r="H17" s="231">
        <f t="shared" si="0"/>
        <v>155925</v>
      </c>
      <c r="I17" s="231">
        <f t="shared" si="3"/>
        <v>1308037.5</v>
      </c>
    </row>
    <row r="18" spans="2:9" ht="13.5" thickBot="1">
      <c r="B18" s="228">
        <v>12</v>
      </c>
      <c r="C18" s="231">
        <v>18000</v>
      </c>
      <c r="D18" s="230">
        <v>9.625</v>
      </c>
      <c r="E18" s="230">
        <v>0.47</v>
      </c>
      <c r="F18" s="231">
        <f t="shared" si="1"/>
        <v>173250</v>
      </c>
      <c r="G18" s="231">
        <f t="shared" si="2"/>
        <v>17325</v>
      </c>
      <c r="H18" s="231">
        <f t="shared" si="0"/>
        <v>155925</v>
      </c>
      <c r="I18" s="231">
        <f t="shared" si="3"/>
        <v>1463962.5</v>
      </c>
    </row>
    <row r="19" spans="2:9" ht="13.5" thickBot="1">
      <c r="B19" s="228">
        <v>13</v>
      </c>
      <c r="C19" s="231">
        <v>18000</v>
      </c>
      <c r="D19" s="230">
        <v>9.625</v>
      </c>
      <c r="E19" s="230">
        <v>0.47</v>
      </c>
      <c r="F19" s="231">
        <f t="shared" si="1"/>
        <v>173250</v>
      </c>
      <c r="G19" s="231">
        <f t="shared" si="2"/>
        <v>17325</v>
      </c>
      <c r="H19" s="231">
        <f t="shared" si="0"/>
        <v>155925</v>
      </c>
      <c r="I19" s="231">
        <f t="shared" si="3"/>
        <v>1619887.5</v>
      </c>
    </row>
    <row r="20" spans="2:9" ht="13.5" thickBot="1">
      <c r="B20" s="228">
        <v>14</v>
      </c>
      <c r="C20" s="231">
        <v>18000</v>
      </c>
      <c r="D20" s="230">
        <v>9.625</v>
      </c>
      <c r="E20" s="230">
        <v>0.47</v>
      </c>
      <c r="F20" s="231">
        <f t="shared" si="1"/>
        <v>173250</v>
      </c>
      <c r="G20" s="231">
        <f t="shared" si="2"/>
        <v>17325</v>
      </c>
      <c r="H20" s="231">
        <f t="shared" si="0"/>
        <v>155925</v>
      </c>
      <c r="I20" s="231">
        <f t="shared" si="3"/>
        <v>1775812.5</v>
      </c>
    </row>
    <row r="21" spans="2:9" ht="13.5" thickBot="1">
      <c r="B21" s="228">
        <v>15</v>
      </c>
      <c r="C21" s="231">
        <v>18000</v>
      </c>
      <c r="D21" s="230">
        <v>9.625</v>
      </c>
      <c r="E21" s="230">
        <v>0.47</v>
      </c>
      <c r="F21" s="231">
        <f t="shared" si="1"/>
        <v>173250</v>
      </c>
      <c r="G21" s="231">
        <f t="shared" si="2"/>
        <v>17325</v>
      </c>
      <c r="H21" s="231">
        <f t="shared" si="0"/>
        <v>155925</v>
      </c>
      <c r="I21" s="231">
        <f t="shared" si="3"/>
        <v>1931737.5</v>
      </c>
    </row>
    <row r="22" spans="2:9" ht="13.5" thickBot="1">
      <c r="B22" s="228">
        <v>16</v>
      </c>
      <c r="C22" s="231">
        <v>18000</v>
      </c>
      <c r="D22" s="230">
        <v>9.625</v>
      </c>
      <c r="E22" s="230">
        <v>0.47</v>
      </c>
      <c r="F22" s="231">
        <f t="shared" si="1"/>
        <v>173250</v>
      </c>
      <c r="G22" s="231">
        <f t="shared" si="2"/>
        <v>17325</v>
      </c>
      <c r="H22" s="231">
        <f t="shared" si="0"/>
        <v>155925</v>
      </c>
      <c r="I22" s="231">
        <f t="shared" si="3"/>
        <v>2087662.5</v>
      </c>
    </row>
    <row r="23" spans="2:9" ht="13.5" thickBot="1">
      <c r="B23" s="228">
        <v>17</v>
      </c>
      <c r="C23" s="231">
        <v>18000</v>
      </c>
      <c r="D23" s="230">
        <v>9.625</v>
      </c>
      <c r="E23" s="230">
        <v>0.47</v>
      </c>
      <c r="F23" s="231">
        <f t="shared" si="1"/>
        <v>173250</v>
      </c>
      <c r="G23" s="231">
        <f t="shared" si="2"/>
        <v>17325</v>
      </c>
      <c r="H23" s="231">
        <f t="shared" si="0"/>
        <v>155925</v>
      </c>
      <c r="I23" s="231">
        <f t="shared" si="3"/>
        <v>2243587.5</v>
      </c>
    </row>
    <row r="24" spans="2:9" ht="13.5" thickBot="1">
      <c r="B24" s="228">
        <v>18</v>
      </c>
      <c r="C24" s="231">
        <v>18000</v>
      </c>
      <c r="D24" s="230">
        <v>9.625</v>
      </c>
      <c r="E24" s="230">
        <v>0.47</v>
      </c>
      <c r="F24" s="231">
        <f t="shared" si="1"/>
        <v>173250</v>
      </c>
      <c r="G24" s="231">
        <f t="shared" si="2"/>
        <v>17325</v>
      </c>
      <c r="H24" s="231">
        <f t="shared" si="0"/>
        <v>155925</v>
      </c>
      <c r="I24" s="231">
        <f t="shared" si="3"/>
        <v>2399512.5</v>
      </c>
    </row>
    <row r="25" spans="2:9" ht="13.5" thickBot="1">
      <c r="B25" s="228">
        <v>19</v>
      </c>
      <c r="C25" s="231">
        <v>18000</v>
      </c>
      <c r="D25" s="230">
        <v>9.625</v>
      </c>
      <c r="E25" s="230">
        <v>0.47</v>
      </c>
      <c r="F25" s="231">
        <f t="shared" si="1"/>
        <v>173250</v>
      </c>
      <c r="G25" s="231">
        <f t="shared" si="2"/>
        <v>17325</v>
      </c>
      <c r="H25" s="231">
        <f t="shared" si="0"/>
        <v>155925</v>
      </c>
      <c r="I25" s="231">
        <f t="shared" si="3"/>
        <v>2555437.5</v>
      </c>
    </row>
    <row r="26" spans="2:9" ht="13.5" thickBot="1">
      <c r="B26" s="228"/>
      <c r="C26" s="231">
        <v>18000</v>
      </c>
      <c r="D26" s="230">
        <v>9.625</v>
      </c>
      <c r="E26" s="230">
        <v>0.47</v>
      </c>
      <c r="F26" s="231">
        <f t="shared" si="1"/>
        <v>173250</v>
      </c>
      <c r="G26" s="231">
        <f t="shared" si="2"/>
        <v>17325</v>
      </c>
      <c r="H26" s="231">
        <f t="shared" si="0"/>
        <v>155925</v>
      </c>
      <c r="I26" s="231">
        <f t="shared" si="3"/>
        <v>2711362.5</v>
      </c>
    </row>
    <row r="27" spans="2:9" ht="13.5" thickBot="1">
      <c r="B27" s="232" t="s">
        <v>324</v>
      </c>
      <c r="C27" s="231">
        <v>18000</v>
      </c>
      <c r="D27" s="230">
        <v>9.625</v>
      </c>
      <c r="E27" s="230">
        <v>0.47</v>
      </c>
      <c r="F27" s="231">
        <f t="shared" si="1"/>
        <v>173250</v>
      </c>
      <c r="G27" s="231">
        <f t="shared" si="2"/>
        <v>17325</v>
      </c>
      <c r="H27" s="233">
        <v>175069</v>
      </c>
      <c r="I27" s="231">
        <f t="shared" si="3"/>
        <v>2886431.5</v>
      </c>
    </row>
    <row r="28" spans="2:9" ht="39" thickBot="1">
      <c r="B28" s="234" t="s">
        <v>325</v>
      </c>
      <c r="C28" s="235">
        <v>3.6666666669999999</v>
      </c>
      <c r="D28" s="230">
        <v>9.625</v>
      </c>
      <c r="E28" s="230">
        <v>0.47</v>
      </c>
      <c r="F28" s="231">
        <f t="shared" si="1"/>
        <v>35.291666669874999</v>
      </c>
      <c r="G28" s="231">
        <f t="shared" si="2"/>
        <v>3.5291666669874999</v>
      </c>
      <c r="H28" s="229"/>
      <c r="I28" s="236"/>
    </row>
    <row r="29" spans="2:9">
      <c r="B29" s="237"/>
      <c r="C29" s="238"/>
      <c r="D29" s="237"/>
      <c r="E29" s="237"/>
      <c r="F29" s="239"/>
      <c r="G29" s="239"/>
      <c r="H29" s="239"/>
      <c r="I29" s="239"/>
    </row>
    <row r="31" spans="2:9">
      <c r="B31" s="787" t="s">
        <v>350</v>
      </c>
      <c r="C31" s="787"/>
      <c r="D31" s="787"/>
      <c r="E31" s="240"/>
      <c r="F31" s="240"/>
      <c r="G31" s="240"/>
      <c r="H31" s="240"/>
    </row>
    <row r="32" spans="2:9" ht="13.5" thickBot="1"/>
    <row r="33" spans="2:13" ht="179.25" thickBot="1">
      <c r="B33" s="224" t="s">
        <v>195</v>
      </c>
      <c r="C33" s="225" t="s">
        <v>342</v>
      </c>
      <c r="D33" s="226" t="s">
        <v>343</v>
      </c>
      <c r="E33" s="226" t="s">
        <v>351</v>
      </c>
      <c r="F33" s="226" t="s">
        <v>374</v>
      </c>
      <c r="G33" s="226" t="s">
        <v>352</v>
      </c>
      <c r="H33" s="226" t="s">
        <v>353</v>
      </c>
      <c r="I33" s="226" t="s">
        <v>354</v>
      </c>
    </row>
    <row r="34" spans="2:13" ht="13.5" thickBot="1">
      <c r="B34" s="228">
        <v>1</v>
      </c>
      <c r="C34" s="230">
        <v>0</v>
      </c>
      <c r="D34" s="230">
        <v>2.4</v>
      </c>
      <c r="E34" s="230">
        <v>0.47</v>
      </c>
      <c r="F34" s="230" t="s">
        <v>355</v>
      </c>
      <c r="G34" s="212"/>
      <c r="H34" s="230" t="s">
        <v>355</v>
      </c>
      <c r="I34" s="230" t="s">
        <v>356</v>
      </c>
    </row>
    <row r="35" spans="2:13" ht="13.5" thickBot="1">
      <c r="B35" s="228">
        <v>2</v>
      </c>
      <c r="C35" s="241">
        <v>4000</v>
      </c>
      <c r="D35" s="230">
        <v>2.4</v>
      </c>
      <c r="E35" s="230">
        <v>0.47</v>
      </c>
      <c r="F35" s="231">
        <f>C35*D35*E35</f>
        <v>4512</v>
      </c>
      <c r="G35" s="213">
        <f>F35*$G$41</f>
        <v>3609.6000000000004</v>
      </c>
      <c r="H35" s="231">
        <f>G35</f>
        <v>3609.6000000000004</v>
      </c>
      <c r="I35" s="213">
        <f>H35*3.66666667</f>
        <v>13235.200012032003</v>
      </c>
      <c r="M35" s="214">
        <v>595252</v>
      </c>
    </row>
    <row r="36" spans="2:13" ht="13.5" thickBot="1">
      <c r="B36" s="228">
        <v>3</v>
      </c>
      <c r="C36" s="241">
        <v>4000</v>
      </c>
      <c r="D36" s="230">
        <v>2.4</v>
      </c>
      <c r="E36" s="230">
        <v>0.47</v>
      </c>
      <c r="F36" s="231">
        <f>C36*D36*E36</f>
        <v>4512</v>
      </c>
      <c r="G36" s="213">
        <f>F36*$G$41</f>
        <v>3609.6000000000004</v>
      </c>
      <c r="H36" s="231">
        <f>SUM(G35:G36)</f>
        <v>7219.2000000000007</v>
      </c>
      <c r="I36" s="213">
        <f>H36*3.66666667</f>
        <v>26470.400024064005</v>
      </c>
      <c r="M36" s="214">
        <v>31916.799999999999</v>
      </c>
    </row>
    <row r="37" spans="2:13" ht="13.5" thickBot="1">
      <c r="B37" s="228">
        <v>4</v>
      </c>
      <c r="C37" s="241">
        <v>5000</v>
      </c>
      <c r="D37" s="230">
        <v>2.4</v>
      </c>
      <c r="E37" s="230">
        <v>0.47</v>
      </c>
      <c r="F37" s="231">
        <f>C37*D37*E37</f>
        <v>5640</v>
      </c>
      <c r="G37" s="213">
        <f>F37*$G$41</f>
        <v>4512</v>
      </c>
      <c r="H37" s="231">
        <f>SUM(G35:G37)</f>
        <v>11731.2</v>
      </c>
      <c r="I37" s="213">
        <f>H37*3.66666667</f>
        <v>43014.400039104003</v>
      </c>
      <c r="M37" s="242">
        <f>SUM(M35:M36)</f>
        <v>627168.80000000005</v>
      </c>
    </row>
    <row r="38" spans="2:13" ht="13.5" thickBot="1">
      <c r="B38" s="228">
        <v>5</v>
      </c>
      <c r="C38" s="241">
        <v>5000</v>
      </c>
      <c r="D38" s="230">
        <v>2.4</v>
      </c>
      <c r="E38" s="230">
        <v>0.47</v>
      </c>
      <c r="F38" s="231">
        <f>C38*D38*E38</f>
        <v>5640</v>
      </c>
      <c r="G38" s="213">
        <f>F38*$G$41</f>
        <v>4512</v>
      </c>
      <c r="H38" s="231">
        <f>SUM(G35:G38)</f>
        <v>16243.2</v>
      </c>
      <c r="I38" s="213">
        <f>H38*3.66666667</f>
        <v>59558.400054144004</v>
      </c>
    </row>
    <row r="39" spans="2:13" ht="13.5" thickBot="1">
      <c r="B39" s="232" t="s">
        <v>311</v>
      </c>
      <c r="C39" s="231">
        <f>SUM(C34:C38)</f>
        <v>18000</v>
      </c>
      <c r="D39" s="229"/>
      <c r="E39" s="229"/>
      <c r="F39" s="229"/>
      <c r="G39" s="215" t="s">
        <v>157</v>
      </c>
      <c r="H39" s="233">
        <f>SUM(H35:H38)</f>
        <v>38803.199999999997</v>
      </c>
      <c r="I39" s="233">
        <f>SUM(I35:I38)</f>
        <v>142278.40012934402</v>
      </c>
    </row>
    <row r="41" spans="2:13">
      <c r="F41" s="223" t="s">
        <v>357</v>
      </c>
      <c r="G41" s="243">
        <v>0.8</v>
      </c>
    </row>
    <row r="44" spans="2:13" s="218" customFormat="1">
      <c r="B44" s="218" t="s">
        <v>358</v>
      </c>
    </row>
    <row r="45" spans="2:13" s="219" customFormat="1">
      <c r="B45" s="219" t="s">
        <v>243</v>
      </c>
      <c r="C45" s="220" t="s">
        <v>359</v>
      </c>
      <c r="D45" s="219" t="s">
        <v>360</v>
      </c>
    </row>
    <row r="46" spans="2:13" s="222" customFormat="1">
      <c r="B46" s="219" t="s">
        <v>341</v>
      </c>
      <c r="C46" s="221">
        <f>SUM(I54+I66)</f>
        <v>966570.27523135173</v>
      </c>
      <c r="D46" s="221">
        <f>C46-C4</f>
        <v>-2062139.6248979922</v>
      </c>
    </row>
    <row r="47" spans="2:13" ht="13.5" thickBot="1"/>
    <row r="48" spans="2:13" ht="39" thickBot="1">
      <c r="B48" s="224" t="s">
        <v>195</v>
      </c>
      <c r="C48" s="225" t="s">
        <v>342</v>
      </c>
      <c r="D48" s="226" t="s">
        <v>343</v>
      </c>
      <c r="E48" s="226" t="s">
        <v>351</v>
      </c>
      <c r="F48" s="226" t="s">
        <v>375</v>
      </c>
      <c r="G48" s="226" t="s">
        <v>361</v>
      </c>
      <c r="H48" s="226" t="s">
        <v>362</v>
      </c>
      <c r="I48" s="226" t="s">
        <v>354</v>
      </c>
    </row>
    <row r="49" spans="2:9" ht="13.5" thickBot="1">
      <c r="B49" s="228">
        <v>1</v>
      </c>
      <c r="C49" s="229"/>
      <c r="D49" s="229"/>
      <c r="E49" s="230">
        <v>0.47</v>
      </c>
      <c r="F49" s="230">
        <v>0</v>
      </c>
      <c r="G49" s="229"/>
      <c r="H49" s="230" t="s">
        <v>237</v>
      </c>
      <c r="I49" s="230" t="s">
        <v>237</v>
      </c>
    </row>
    <row r="50" spans="2:9" ht="13.5" thickBot="1">
      <c r="B50" s="228">
        <v>2</v>
      </c>
      <c r="C50" s="231">
        <v>5000</v>
      </c>
      <c r="D50" s="230">
        <v>9.625</v>
      </c>
      <c r="E50" s="230">
        <v>0.47</v>
      </c>
      <c r="F50" s="231">
        <f>C50*D50*E50</f>
        <v>22618.75</v>
      </c>
      <c r="G50" s="231">
        <f>F50*0.9</f>
        <v>20356.875</v>
      </c>
      <c r="H50" s="231">
        <f>G50</f>
        <v>20356.875</v>
      </c>
      <c r="I50" s="231">
        <f>H50*$C$28</f>
        <v>74641.875006785616</v>
      </c>
    </row>
    <row r="51" spans="2:9" ht="13.5" thickBot="1">
      <c r="B51" s="228">
        <v>3</v>
      </c>
      <c r="C51" s="231">
        <v>5000</v>
      </c>
      <c r="D51" s="230">
        <v>9.625</v>
      </c>
      <c r="E51" s="230">
        <v>0.47</v>
      </c>
      <c r="F51" s="231">
        <f>C51*D51*E51</f>
        <v>22618.75</v>
      </c>
      <c r="G51" s="231">
        <f>F51*0.9</f>
        <v>20356.875</v>
      </c>
      <c r="H51" s="231">
        <f>SUM(G50:G51)</f>
        <v>40713.75</v>
      </c>
      <c r="I51" s="231">
        <f>H51*$C$28</f>
        <v>149283.75001357123</v>
      </c>
    </row>
    <row r="52" spans="2:9" ht="13.5" thickBot="1">
      <c r="B52" s="228">
        <v>4</v>
      </c>
      <c r="C52" s="231">
        <v>6000</v>
      </c>
      <c r="D52" s="230">
        <v>9.625</v>
      </c>
      <c r="E52" s="230">
        <v>0.47</v>
      </c>
      <c r="F52" s="231">
        <f>C52*D52*E52</f>
        <v>27142.5</v>
      </c>
      <c r="G52" s="231">
        <f>F52*0.9</f>
        <v>24428.25</v>
      </c>
      <c r="H52" s="231">
        <f>SUM(G50:G52)</f>
        <v>65142</v>
      </c>
      <c r="I52" s="231">
        <f>H52*$C$28</f>
        <v>238854.00002171399</v>
      </c>
    </row>
    <row r="53" spans="2:9" ht="13.5" thickBot="1">
      <c r="B53" s="228">
        <v>5</v>
      </c>
      <c r="C53" s="231">
        <v>6000</v>
      </c>
      <c r="D53" s="230">
        <v>9.625</v>
      </c>
      <c r="E53" s="230">
        <v>0.47</v>
      </c>
      <c r="F53" s="231">
        <f>C53*D53*E53</f>
        <v>27142.5</v>
      </c>
      <c r="G53" s="231">
        <f>F53*0.9</f>
        <v>24428.25</v>
      </c>
      <c r="H53" s="231">
        <f>SUM(G50:G53)</f>
        <v>89570.25</v>
      </c>
      <c r="I53" s="231">
        <f>H53*$C$28</f>
        <v>328424.25002985675</v>
      </c>
    </row>
    <row r="54" spans="2:9" ht="13.5" thickBot="1">
      <c r="B54" s="232" t="s">
        <v>324</v>
      </c>
      <c r="C54" s="231">
        <f>SUM(C50:C53)</f>
        <v>22000</v>
      </c>
      <c r="D54" s="229"/>
      <c r="E54" s="229"/>
      <c r="F54" s="229"/>
      <c r="G54" s="229"/>
      <c r="H54" s="233">
        <v>175069</v>
      </c>
      <c r="I54" s="233">
        <f>SUM(I50:I53)</f>
        <v>791203.87507192767</v>
      </c>
    </row>
    <row r="55" spans="2:9" ht="39" thickBot="1">
      <c r="B55" s="234" t="s">
        <v>325</v>
      </c>
      <c r="C55" s="235">
        <v>3.6666666669999999</v>
      </c>
      <c r="D55" s="229"/>
      <c r="E55" s="229"/>
      <c r="F55" s="229"/>
      <c r="G55" s="229"/>
      <c r="H55" s="229"/>
      <c r="I55" s="236"/>
    </row>
    <row r="56" spans="2:9">
      <c r="B56" s="237"/>
      <c r="C56" s="238"/>
      <c r="D56" s="237"/>
      <c r="E56" s="237"/>
      <c r="F56" s="239"/>
      <c r="G56" s="239"/>
      <c r="H56" s="239"/>
      <c r="I56" s="239"/>
    </row>
    <row r="58" spans="2:9">
      <c r="B58" s="787" t="s">
        <v>350</v>
      </c>
      <c r="C58" s="787"/>
      <c r="D58" s="787"/>
      <c r="E58" s="240"/>
      <c r="F58" s="240"/>
      <c r="G58" s="240"/>
      <c r="H58" s="240"/>
    </row>
    <row r="59" spans="2:9" ht="13.5" thickBot="1"/>
    <row r="60" spans="2:9" ht="179.25" thickBot="1">
      <c r="B60" s="224" t="s">
        <v>195</v>
      </c>
      <c r="C60" s="225" t="s">
        <v>342</v>
      </c>
      <c r="D60" s="226" t="s">
        <v>343</v>
      </c>
      <c r="E60" s="226" t="s">
        <v>351</v>
      </c>
      <c r="F60" s="226" t="s">
        <v>374</v>
      </c>
      <c r="G60" s="226" t="s">
        <v>352</v>
      </c>
      <c r="H60" s="226" t="s">
        <v>353</v>
      </c>
      <c r="I60" s="226" t="s">
        <v>354</v>
      </c>
    </row>
    <row r="61" spans="2:9" ht="13.5" thickBot="1">
      <c r="B61" s="228">
        <v>1</v>
      </c>
      <c r="C61" s="230">
        <v>0</v>
      </c>
      <c r="D61" s="230">
        <v>2.4</v>
      </c>
      <c r="E61" s="230">
        <v>0.47</v>
      </c>
      <c r="F61" s="230" t="s">
        <v>355</v>
      </c>
      <c r="G61" s="212"/>
      <c r="H61" s="230" t="s">
        <v>355</v>
      </c>
      <c r="I61" s="230" t="s">
        <v>356</v>
      </c>
    </row>
    <row r="62" spans="2:9" ht="13.5" thickBot="1">
      <c r="B62" s="228">
        <v>2</v>
      </c>
      <c r="C62" s="231">
        <v>5000</v>
      </c>
      <c r="D62" s="230">
        <v>2.4</v>
      </c>
      <c r="E62" s="230">
        <v>0.47</v>
      </c>
      <c r="F62" s="231">
        <f>C62*D62*E62</f>
        <v>5640</v>
      </c>
      <c r="G62" s="213">
        <f>F62*$G$41</f>
        <v>4512</v>
      </c>
      <c r="H62" s="231">
        <f>G62</f>
        <v>4512</v>
      </c>
      <c r="I62" s="213">
        <f>H62*3.66666667</f>
        <v>16544.000015040001</v>
      </c>
    </row>
    <row r="63" spans="2:9" ht="13.5" thickBot="1">
      <c r="B63" s="228">
        <v>3</v>
      </c>
      <c r="C63" s="231">
        <v>5000</v>
      </c>
      <c r="D63" s="230">
        <v>2.4</v>
      </c>
      <c r="E63" s="230">
        <v>0.47</v>
      </c>
      <c r="F63" s="231">
        <f>C63*D63*E63</f>
        <v>5640</v>
      </c>
      <c r="G63" s="213">
        <f>F63*$G$41</f>
        <v>4512</v>
      </c>
      <c r="H63" s="231">
        <f>SUM(G62:G63)</f>
        <v>9024</v>
      </c>
      <c r="I63" s="213">
        <f>H63*3.66666667</f>
        <v>33088.000030080002</v>
      </c>
    </row>
    <row r="64" spans="2:9" ht="13.5" thickBot="1">
      <c r="B64" s="228">
        <v>4</v>
      </c>
      <c r="C64" s="231">
        <v>6000</v>
      </c>
      <c r="D64" s="230">
        <v>2.4</v>
      </c>
      <c r="E64" s="230">
        <v>0.47</v>
      </c>
      <c r="F64" s="231">
        <f>C64*D64*E64</f>
        <v>6768</v>
      </c>
      <c r="G64" s="213">
        <f>F64*$G$41</f>
        <v>5414.4000000000005</v>
      </c>
      <c r="H64" s="231">
        <f>SUM(G62:G64)</f>
        <v>14438.400000000001</v>
      </c>
      <c r="I64" s="213">
        <f>H64*3.66666667</f>
        <v>52940.800048128011</v>
      </c>
    </row>
    <row r="65" spans="2:9" ht="13.5" thickBot="1">
      <c r="B65" s="228">
        <v>5</v>
      </c>
      <c r="C65" s="231">
        <v>6000</v>
      </c>
      <c r="D65" s="230">
        <v>2.4</v>
      </c>
      <c r="E65" s="230">
        <v>0.47</v>
      </c>
      <c r="F65" s="231">
        <f>C65*D65*E65</f>
        <v>6768</v>
      </c>
      <c r="G65" s="213">
        <f>F65*$G$41</f>
        <v>5414.4000000000005</v>
      </c>
      <c r="H65" s="231">
        <f>SUM(G62:G65)</f>
        <v>19852.800000000003</v>
      </c>
      <c r="I65" s="213">
        <f>H65*3.66666667</f>
        <v>72793.600066176019</v>
      </c>
    </row>
    <row r="66" spans="2:9" ht="13.5" thickBot="1">
      <c r="B66" s="232" t="s">
        <v>311</v>
      </c>
      <c r="C66" s="231">
        <f>SUM(C61:C65)</f>
        <v>22000</v>
      </c>
      <c r="D66" s="229"/>
      <c r="E66" s="229"/>
      <c r="F66" s="229"/>
      <c r="G66" s="215" t="s">
        <v>157</v>
      </c>
      <c r="H66" s="233">
        <f>SUM(H62:H65)</f>
        <v>47827.200000000004</v>
      </c>
      <c r="I66" s="233">
        <f>SUM(I62:I65)</f>
        <v>175366.40015942405</v>
      </c>
    </row>
    <row r="68" spans="2:9">
      <c r="F68" s="223" t="s">
        <v>357</v>
      </c>
      <c r="G68" s="243">
        <v>0.8</v>
      </c>
    </row>
    <row r="72" spans="2:9" s="218" customFormat="1">
      <c r="B72" s="218" t="s">
        <v>363</v>
      </c>
    </row>
    <row r="73" spans="2:9" s="219" customFormat="1">
      <c r="B73" s="219" t="s">
        <v>243</v>
      </c>
      <c r="C73" s="220" t="s">
        <v>364</v>
      </c>
    </row>
    <row r="74" spans="2:9" s="222" customFormat="1">
      <c r="B74" s="219" t="s">
        <v>341</v>
      </c>
      <c r="C74" s="221">
        <f>SUM(I82,I94,N107)</f>
        <v>1044084.5251877003</v>
      </c>
    </row>
    <row r="75" spans="2:9" ht="13.5" thickBot="1"/>
    <row r="76" spans="2:9" ht="39" thickBot="1">
      <c r="B76" s="224" t="s">
        <v>195</v>
      </c>
      <c r="C76" s="225" t="s">
        <v>342</v>
      </c>
      <c r="D76" s="226" t="s">
        <v>343</v>
      </c>
      <c r="E76" s="226" t="s">
        <v>351</v>
      </c>
      <c r="F76" s="226" t="s">
        <v>375</v>
      </c>
      <c r="G76" s="226" t="s">
        <v>361</v>
      </c>
      <c r="H76" s="226" t="s">
        <v>362</v>
      </c>
      <c r="I76" s="226" t="s">
        <v>354</v>
      </c>
    </row>
    <row r="77" spans="2:9" ht="13.5" thickBot="1">
      <c r="B77" s="228">
        <v>1</v>
      </c>
      <c r="C77" s="229"/>
      <c r="D77" s="229"/>
      <c r="E77" s="230">
        <v>0.47</v>
      </c>
      <c r="F77" s="230">
        <v>0</v>
      </c>
      <c r="G77" s="229"/>
      <c r="H77" s="230" t="s">
        <v>237</v>
      </c>
      <c r="I77" s="230" t="s">
        <v>237</v>
      </c>
    </row>
    <row r="78" spans="2:9" ht="13.5" thickBot="1">
      <c r="B78" s="228">
        <v>2</v>
      </c>
      <c r="C78" s="231">
        <v>4000</v>
      </c>
      <c r="D78" s="230">
        <v>9.625</v>
      </c>
      <c r="E78" s="230">
        <v>0.47</v>
      </c>
      <c r="F78" s="231">
        <f>C78*D78*E78</f>
        <v>18095</v>
      </c>
      <c r="G78" s="231">
        <f>F78*0.9</f>
        <v>16285.5</v>
      </c>
      <c r="H78" s="231">
        <f>G78</f>
        <v>16285.5</v>
      </c>
      <c r="I78" s="231">
        <f>H78*$C$28</f>
        <v>59713.500005428497</v>
      </c>
    </row>
    <row r="79" spans="2:9" ht="13.5" thickBot="1">
      <c r="B79" s="228">
        <v>3</v>
      </c>
      <c r="C79" s="231">
        <v>4000</v>
      </c>
      <c r="D79" s="230">
        <v>9.625</v>
      </c>
      <c r="E79" s="230">
        <v>0.47</v>
      </c>
      <c r="F79" s="231">
        <f>C79*D79*E79</f>
        <v>18095</v>
      </c>
      <c r="G79" s="231">
        <f>F79*0.9</f>
        <v>16285.5</v>
      </c>
      <c r="H79" s="231">
        <f>SUM(G78:G79)</f>
        <v>32571</v>
      </c>
      <c r="I79" s="231">
        <f>H79*$C$28</f>
        <v>119427.00001085699</v>
      </c>
    </row>
    <row r="80" spans="2:9" ht="13.5" thickBot="1">
      <c r="B80" s="228">
        <v>4</v>
      </c>
      <c r="C80" s="231">
        <v>5000</v>
      </c>
      <c r="D80" s="230">
        <v>9.625</v>
      </c>
      <c r="E80" s="230">
        <v>0.47</v>
      </c>
      <c r="F80" s="231">
        <f>C80*D80*E80</f>
        <v>22618.75</v>
      </c>
      <c r="G80" s="231">
        <f>F80*0.9</f>
        <v>20356.875</v>
      </c>
      <c r="H80" s="231">
        <f>SUM(G78:G80)</f>
        <v>52927.875</v>
      </c>
      <c r="I80" s="231">
        <f>H80*$C$28</f>
        <v>194068.87501764263</v>
      </c>
    </row>
    <row r="81" spans="2:9" ht="13.5" thickBot="1">
      <c r="B81" s="228">
        <v>5</v>
      </c>
      <c r="C81" s="231">
        <v>5000</v>
      </c>
      <c r="D81" s="230">
        <v>9.625</v>
      </c>
      <c r="E81" s="230">
        <v>0.47</v>
      </c>
      <c r="F81" s="231">
        <f>C81*D81*E81</f>
        <v>22618.75</v>
      </c>
      <c r="G81" s="231">
        <f>F81*0.9</f>
        <v>20356.875</v>
      </c>
      <c r="H81" s="231">
        <f>SUM(G78:G81)</f>
        <v>73284.75</v>
      </c>
      <c r="I81" s="231">
        <f>H81*$C$28</f>
        <v>268710.75002442824</v>
      </c>
    </row>
    <row r="82" spans="2:9" ht="13.5" thickBot="1">
      <c r="B82" s="232" t="s">
        <v>324</v>
      </c>
      <c r="C82" s="231">
        <f>SUM(C78:C81)</f>
        <v>18000</v>
      </c>
      <c r="D82" s="229"/>
      <c r="E82" s="229"/>
      <c r="F82" s="229"/>
      <c r="G82" s="229"/>
      <c r="H82" s="233">
        <v>175069</v>
      </c>
      <c r="I82" s="233">
        <f>SUM(I78:I81)</f>
        <v>641920.12505835632</v>
      </c>
    </row>
    <row r="83" spans="2:9" ht="39" thickBot="1">
      <c r="B83" s="234" t="s">
        <v>325</v>
      </c>
      <c r="C83" s="235">
        <v>3.6666666669999999</v>
      </c>
      <c r="D83" s="229"/>
      <c r="E83" s="229"/>
      <c r="F83" s="229"/>
      <c r="G83" s="229"/>
      <c r="H83" s="229"/>
      <c r="I83" s="236"/>
    </row>
    <row r="84" spans="2:9">
      <c r="B84" s="237"/>
      <c r="C84" s="238"/>
      <c r="D84" s="237"/>
      <c r="E84" s="237"/>
      <c r="F84" s="239"/>
      <c r="G84" s="239"/>
      <c r="H84" s="239"/>
      <c r="I84" s="239"/>
    </row>
    <row r="86" spans="2:9">
      <c r="B86" s="787" t="s">
        <v>350</v>
      </c>
      <c r="C86" s="787"/>
      <c r="D86" s="787"/>
      <c r="E86" s="240"/>
      <c r="F86" s="240"/>
      <c r="G86" s="240"/>
      <c r="H86" s="240"/>
    </row>
    <row r="87" spans="2:9" ht="13.5" thickBot="1"/>
    <row r="88" spans="2:9" ht="179.25" thickBot="1">
      <c r="B88" s="224" t="s">
        <v>195</v>
      </c>
      <c r="C88" s="225" t="s">
        <v>342</v>
      </c>
      <c r="D88" s="226" t="s">
        <v>343</v>
      </c>
      <c r="E88" s="226" t="s">
        <v>351</v>
      </c>
      <c r="F88" s="226" t="s">
        <v>374</v>
      </c>
      <c r="G88" s="226" t="s">
        <v>352</v>
      </c>
      <c r="H88" s="226" t="s">
        <v>353</v>
      </c>
      <c r="I88" s="226" t="s">
        <v>354</v>
      </c>
    </row>
    <row r="89" spans="2:9" ht="13.5" thickBot="1">
      <c r="B89" s="228">
        <v>1</v>
      </c>
      <c r="C89" s="230">
        <v>0</v>
      </c>
      <c r="D89" s="230">
        <v>2.4</v>
      </c>
      <c r="E89" s="230">
        <v>0.47</v>
      </c>
      <c r="F89" s="230" t="s">
        <v>355</v>
      </c>
      <c r="G89" s="212"/>
      <c r="H89" s="230" t="s">
        <v>355</v>
      </c>
      <c r="I89" s="230" t="s">
        <v>356</v>
      </c>
    </row>
    <row r="90" spans="2:9" ht="13.5" thickBot="1">
      <c r="B90" s="228">
        <v>2</v>
      </c>
      <c r="C90" s="231">
        <v>4000</v>
      </c>
      <c r="D90" s="230">
        <v>2.4</v>
      </c>
      <c r="E90" s="230">
        <v>0.47</v>
      </c>
      <c r="F90" s="231">
        <f>C90*D90*E90</f>
        <v>4512</v>
      </c>
      <c r="G90" s="213">
        <f>F90*$G$41</f>
        <v>3609.6000000000004</v>
      </c>
      <c r="H90" s="231">
        <f>G90</f>
        <v>3609.6000000000004</v>
      </c>
      <c r="I90" s="213">
        <f>H90*3.66666667</f>
        <v>13235.200012032003</v>
      </c>
    </row>
    <row r="91" spans="2:9" ht="13.5" thickBot="1">
      <c r="B91" s="228">
        <v>3</v>
      </c>
      <c r="C91" s="231">
        <v>4000</v>
      </c>
      <c r="D91" s="230">
        <v>2.4</v>
      </c>
      <c r="E91" s="230">
        <v>0.47</v>
      </c>
      <c r="F91" s="231">
        <f>C91*D91*E91</f>
        <v>4512</v>
      </c>
      <c r="G91" s="213">
        <f>F91*$G$41</f>
        <v>3609.6000000000004</v>
      </c>
      <c r="H91" s="231">
        <f>SUM(G90:G91)</f>
        <v>7219.2000000000007</v>
      </c>
      <c r="I91" s="213">
        <f>H91*3.66666667</f>
        <v>26470.400024064005</v>
      </c>
    </row>
    <row r="92" spans="2:9" ht="13.5" thickBot="1">
      <c r="B92" s="228">
        <v>4</v>
      </c>
      <c r="C92" s="231">
        <v>5000</v>
      </c>
      <c r="D92" s="230">
        <v>2.4</v>
      </c>
      <c r="E92" s="230">
        <v>0.47</v>
      </c>
      <c r="F92" s="231">
        <f>C92*D92*E92</f>
        <v>5640</v>
      </c>
      <c r="G92" s="213">
        <f>F92*$G$41</f>
        <v>4512</v>
      </c>
      <c r="H92" s="231">
        <f>SUM(G90:G92)</f>
        <v>11731.2</v>
      </c>
      <c r="I92" s="213">
        <f>H92*3.66666667</f>
        <v>43014.400039104003</v>
      </c>
    </row>
    <row r="93" spans="2:9" ht="13.5" thickBot="1">
      <c r="B93" s="228">
        <v>5</v>
      </c>
      <c r="C93" s="231">
        <v>5000</v>
      </c>
      <c r="D93" s="230">
        <v>2.4</v>
      </c>
      <c r="E93" s="230">
        <v>0.47</v>
      </c>
      <c r="F93" s="231">
        <f>C93*D93*E93</f>
        <v>5640</v>
      </c>
      <c r="G93" s="213">
        <f>F93*$G$41</f>
        <v>4512</v>
      </c>
      <c r="H93" s="231">
        <f>SUM(G90:G93)</f>
        <v>16243.2</v>
      </c>
      <c r="I93" s="213">
        <f>H93*3.66666667</f>
        <v>59558.400054144004</v>
      </c>
    </row>
    <row r="94" spans="2:9" ht="13.5" thickBot="1">
      <c r="B94" s="232" t="s">
        <v>311</v>
      </c>
      <c r="C94" s="231">
        <f>SUM(C89:C93)</f>
        <v>18000</v>
      </c>
      <c r="D94" s="229"/>
      <c r="E94" s="229"/>
      <c r="F94" s="229"/>
      <c r="G94" s="215" t="s">
        <v>157</v>
      </c>
      <c r="H94" s="233">
        <f>SUM(H90:H93)</f>
        <v>38803.199999999997</v>
      </c>
      <c r="I94" s="233">
        <f>SUM(I90:I93)</f>
        <v>142278.40012934402</v>
      </c>
    </row>
    <row r="96" spans="2:9">
      <c r="F96" s="223" t="s">
        <v>357</v>
      </c>
      <c r="G96" s="243">
        <v>0.8</v>
      </c>
    </row>
    <row r="99" spans="2:14">
      <c r="B99" s="788" t="s">
        <v>365</v>
      </c>
      <c r="C99" s="788"/>
      <c r="D99" s="788"/>
      <c r="E99" s="788"/>
      <c r="F99" s="788"/>
      <c r="G99" s="788"/>
      <c r="H99" s="788"/>
      <c r="I99" s="788"/>
      <c r="J99" s="788"/>
      <c r="K99" s="788"/>
      <c r="L99" s="788"/>
      <c r="M99" s="788"/>
      <c r="N99" s="788"/>
    </row>
    <row r="100" spans="2:14">
      <c r="B100" s="244" t="s">
        <v>366</v>
      </c>
      <c r="C100" s="244"/>
      <c r="D100" s="244"/>
      <c r="E100" s="244"/>
      <c r="F100" s="244"/>
      <c r="G100" s="244"/>
      <c r="H100" s="244"/>
      <c r="I100" s="244"/>
      <c r="J100" s="244"/>
      <c r="K100" s="244"/>
      <c r="L100" s="244"/>
      <c r="M100" s="244"/>
      <c r="N100" s="244"/>
    </row>
    <row r="101" spans="2:14" ht="89.25">
      <c r="B101" s="173" t="s">
        <v>313</v>
      </c>
      <c r="C101" s="173" t="s">
        <v>314</v>
      </c>
      <c r="D101" s="174" t="s">
        <v>315</v>
      </c>
      <c r="E101" s="174" t="s">
        <v>316</v>
      </c>
      <c r="F101" s="174" t="s">
        <v>317</v>
      </c>
      <c r="G101" s="174" t="s">
        <v>318</v>
      </c>
      <c r="H101" s="174" t="s">
        <v>367</v>
      </c>
      <c r="I101" s="174" t="s">
        <v>368</v>
      </c>
      <c r="J101" s="174" t="s">
        <v>369</v>
      </c>
      <c r="K101" s="174" t="s">
        <v>370</v>
      </c>
      <c r="L101" s="174" t="s">
        <v>321</v>
      </c>
      <c r="M101" s="174" t="s">
        <v>371</v>
      </c>
      <c r="N101" s="174" t="s">
        <v>376</v>
      </c>
    </row>
    <row r="102" spans="2:14">
      <c r="B102" s="244">
        <v>1</v>
      </c>
      <c r="C102" s="241">
        <v>0</v>
      </c>
      <c r="D102" s="241"/>
      <c r="E102" s="241"/>
      <c r="F102" s="241"/>
      <c r="G102" s="241"/>
      <c r="H102" s="244">
        <v>2.4</v>
      </c>
      <c r="I102" s="244">
        <v>0.47</v>
      </c>
      <c r="J102" s="244">
        <f>C102*H102*I102</f>
        <v>0</v>
      </c>
      <c r="K102" s="244">
        <f>J102</f>
        <v>0</v>
      </c>
      <c r="L102" s="244"/>
      <c r="M102" s="244">
        <f>10%*K102</f>
        <v>0</v>
      </c>
      <c r="N102" s="245">
        <f>(K102-M102)*$C$28</f>
        <v>0</v>
      </c>
    </row>
    <row r="103" spans="2:14">
      <c r="B103" s="244">
        <v>2</v>
      </c>
      <c r="C103" s="241">
        <v>5000</v>
      </c>
      <c r="D103" s="241">
        <v>12</v>
      </c>
      <c r="E103" s="241">
        <f>D103*C103</f>
        <v>60000</v>
      </c>
      <c r="F103" s="241">
        <v>0</v>
      </c>
      <c r="G103" s="241">
        <f>F103+E103</f>
        <v>60000</v>
      </c>
      <c r="H103" s="244">
        <v>2.4</v>
      </c>
      <c r="I103" s="244">
        <v>0.47</v>
      </c>
      <c r="J103" s="244">
        <f>C103*H103*I103</f>
        <v>5640</v>
      </c>
      <c r="K103" s="244">
        <f>J103</f>
        <v>5640</v>
      </c>
      <c r="L103" s="241">
        <f>SUM(K103+G103)</f>
        <v>65640</v>
      </c>
      <c r="M103" s="245">
        <f>L103*0.03</f>
        <v>1969.1999999999998</v>
      </c>
      <c r="N103" s="245">
        <f>(K103-M103)*$C$108</f>
        <v>13459.6</v>
      </c>
    </row>
    <row r="104" spans="2:14">
      <c r="B104" s="244">
        <v>3</v>
      </c>
      <c r="C104" s="241">
        <v>10000</v>
      </c>
      <c r="D104" s="241">
        <v>12</v>
      </c>
      <c r="E104" s="241">
        <f>D104*C104</f>
        <v>120000</v>
      </c>
      <c r="F104" s="241">
        <f>L103</f>
        <v>65640</v>
      </c>
      <c r="G104" s="241">
        <f>F104+E104</f>
        <v>185640</v>
      </c>
      <c r="H104" s="244">
        <v>2.4</v>
      </c>
      <c r="I104" s="244">
        <v>0.47</v>
      </c>
      <c r="J104" s="244">
        <f>C104*H104*I104</f>
        <v>11280</v>
      </c>
      <c r="K104" s="244">
        <f>J103+J104</f>
        <v>16920</v>
      </c>
      <c r="L104" s="241">
        <f>SUM(K104+G104)</f>
        <v>202560</v>
      </c>
      <c r="M104" s="245">
        <f>L104*0.03</f>
        <v>6076.8</v>
      </c>
      <c r="N104" s="245">
        <f>(K104-M104)*$C$108</f>
        <v>39758.400000000001</v>
      </c>
    </row>
    <row r="105" spans="2:14">
      <c r="B105" s="244">
        <v>4</v>
      </c>
      <c r="C105" s="241">
        <v>15000</v>
      </c>
      <c r="D105" s="241">
        <v>12</v>
      </c>
      <c r="E105" s="241">
        <f>D105*C105</f>
        <v>180000</v>
      </c>
      <c r="F105" s="241">
        <f>L104</f>
        <v>202560</v>
      </c>
      <c r="G105" s="241">
        <f>F105+E105</f>
        <v>382560</v>
      </c>
      <c r="H105" s="244">
        <v>2.4</v>
      </c>
      <c r="I105" s="244">
        <v>0.47</v>
      </c>
      <c r="J105" s="244">
        <f>C105*H105*I105</f>
        <v>16920</v>
      </c>
      <c r="K105" s="244">
        <f>J103+J104+J105</f>
        <v>33840</v>
      </c>
      <c r="L105" s="241">
        <f>SUM(K105+G105)</f>
        <v>416400</v>
      </c>
      <c r="M105" s="245">
        <f>L105*0.03</f>
        <v>12492</v>
      </c>
      <c r="N105" s="245">
        <f>(K105-M105)*$C$108</f>
        <v>78276</v>
      </c>
    </row>
    <row r="106" spans="2:14">
      <c r="B106" s="244">
        <v>5</v>
      </c>
      <c r="C106" s="241">
        <v>20000</v>
      </c>
      <c r="D106" s="241">
        <v>12</v>
      </c>
      <c r="E106" s="241">
        <f>D106*C106</f>
        <v>240000</v>
      </c>
      <c r="F106" s="241">
        <f>L105</f>
        <v>416400</v>
      </c>
      <c r="G106" s="241">
        <f>F106+E106</f>
        <v>656400</v>
      </c>
      <c r="H106" s="244">
        <v>2.4</v>
      </c>
      <c r="I106" s="244">
        <v>0.47</v>
      </c>
      <c r="J106" s="244">
        <f>C106*H106*I106</f>
        <v>22560</v>
      </c>
      <c r="K106" s="244">
        <f>J103+J104+J105+J106</f>
        <v>56400</v>
      </c>
      <c r="L106" s="241">
        <f>SUM(K106+G106)</f>
        <v>712800</v>
      </c>
      <c r="M106" s="245">
        <f>L106*0.03</f>
        <v>21384</v>
      </c>
      <c r="N106" s="245">
        <f>(K106-M106)*$C$108</f>
        <v>128392</v>
      </c>
    </row>
    <row r="107" spans="2:14">
      <c r="B107" s="173" t="s">
        <v>324</v>
      </c>
      <c r="C107" s="241">
        <f>SUM(C102:C106)</f>
        <v>50000</v>
      </c>
      <c r="D107" s="241"/>
      <c r="E107" s="241"/>
      <c r="F107" s="241"/>
      <c r="G107" s="241"/>
      <c r="H107" s="244"/>
      <c r="I107" s="244"/>
      <c r="J107" s="244"/>
      <c r="K107" s="173">
        <f>SUM(K102:K106)</f>
        <v>112800</v>
      </c>
      <c r="L107" s="173"/>
      <c r="M107" s="175">
        <f>SUM(M102:M106)</f>
        <v>41922</v>
      </c>
      <c r="N107" s="175">
        <f>SUM(N102:N106)</f>
        <v>259886</v>
      </c>
    </row>
    <row r="108" spans="2:14" ht="38.25">
      <c r="B108" s="176" t="s">
        <v>325</v>
      </c>
      <c r="C108" s="177">
        <f>44/12</f>
        <v>3.6666666666666665</v>
      </c>
      <c r="D108" s="177"/>
      <c r="E108" s="177"/>
      <c r="F108" s="177"/>
      <c r="G108" s="177"/>
      <c r="H108" s="244"/>
      <c r="I108" s="244"/>
      <c r="J108" s="244"/>
      <c r="K108" s="244"/>
      <c r="L108" s="244"/>
      <c r="M108" s="244"/>
      <c r="N108" s="244"/>
    </row>
    <row r="110" spans="2:14">
      <c r="B110" s="246"/>
    </row>
    <row r="112" spans="2:14" s="218" customFormat="1">
      <c r="B112" s="218" t="s">
        <v>372</v>
      </c>
    </row>
    <row r="113" spans="2:9" s="219" customFormat="1">
      <c r="B113" s="219" t="s">
        <v>243</v>
      </c>
      <c r="C113" s="220" t="s">
        <v>373</v>
      </c>
      <c r="D113" s="219" t="s">
        <v>360</v>
      </c>
    </row>
    <row r="114" spans="2:9" s="222" customFormat="1">
      <c r="B114" s="219" t="s">
        <v>341</v>
      </c>
      <c r="C114" s="221">
        <f>SUM(I122+I134)</f>
        <v>1823717.5004365123</v>
      </c>
      <c r="D114" s="221">
        <f>C114-C4</f>
        <v>-1204992.3996928316</v>
      </c>
    </row>
    <row r="115" spans="2:9" ht="13.5" thickBot="1"/>
    <row r="116" spans="2:9" ht="39" thickBot="1">
      <c r="B116" s="224" t="s">
        <v>195</v>
      </c>
      <c r="C116" s="225" t="s">
        <v>342</v>
      </c>
      <c r="D116" s="226" t="s">
        <v>343</v>
      </c>
      <c r="E116" s="226" t="s">
        <v>351</v>
      </c>
      <c r="F116" s="226" t="s">
        <v>375</v>
      </c>
      <c r="G116" s="226" t="s">
        <v>361</v>
      </c>
      <c r="H116" s="226" t="s">
        <v>362</v>
      </c>
      <c r="I116" s="226" t="s">
        <v>354</v>
      </c>
    </row>
    <row r="117" spans="2:9" ht="13.5" thickBot="1">
      <c r="B117" s="228">
        <v>1</v>
      </c>
      <c r="C117" s="229"/>
      <c r="D117" s="229"/>
      <c r="E117" s="230">
        <v>0.47</v>
      </c>
      <c r="F117" s="230">
        <v>0</v>
      </c>
      <c r="G117" s="229"/>
      <c r="H117" s="230" t="s">
        <v>237</v>
      </c>
      <c r="I117" s="230" t="s">
        <v>237</v>
      </c>
    </row>
    <row r="118" spans="2:9" ht="13.5" thickBot="1">
      <c r="B118" s="228">
        <v>2</v>
      </c>
      <c r="C118" s="231">
        <v>5000</v>
      </c>
      <c r="D118" s="230">
        <v>9.625</v>
      </c>
      <c r="E118" s="230">
        <v>0.47</v>
      </c>
      <c r="F118" s="231">
        <f>C118*D118*E118</f>
        <v>22618.75</v>
      </c>
      <c r="G118" s="231">
        <f>F118*0.9</f>
        <v>20356.875</v>
      </c>
      <c r="H118" s="231">
        <f>G118</f>
        <v>20356.875</v>
      </c>
      <c r="I118" s="231">
        <f>H118*$C$28</f>
        <v>74641.875006785616</v>
      </c>
    </row>
    <row r="119" spans="2:9" ht="13.5" thickBot="1">
      <c r="B119" s="228">
        <v>3</v>
      </c>
      <c r="C119" s="231">
        <v>10000</v>
      </c>
      <c r="D119" s="230">
        <v>9.625</v>
      </c>
      <c r="E119" s="230">
        <v>0.47</v>
      </c>
      <c r="F119" s="231">
        <f>C119*D119*E119</f>
        <v>45237.5</v>
      </c>
      <c r="G119" s="231">
        <f>F119*0.9</f>
        <v>40713.75</v>
      </c>
      <c r="H119" s="231">
        <f>SUM(G118:G119)</f>
        <v>61070.625</v>
      </c>
      <c r="I119" s="231">
        <f>H119*$C$28</f>
        <v>223925.62502035688</v>
      </c>
    </row>
    <row r="120" spans="2:9" ht="13.5" thickBot="1">
      <c r="B120" s="228">
        <v>4</v>
      </c>
      <c r="C120" s="231">
        <v>15000</v>
      </c>
      <c r="D120" s="230">
        <v>9.625</v>
      </c>
      <c r="E120" s="230">
        <v>0.47</v>
      </c>
      <c r="F120" s="231">
        <f>C120*D120*E120</f>
        <v>67856.25</v>
      </c>
      <c r="G120" s="231">
        <f>F120*0.9</f>
        <v>61070.625</v>
      </c>
      <c r="H120" s="231">
        <f>SUM(G118:G120)</f>
        <v>122141.25</v>
      </c>
      <c r="I120" s="231">
        <f>H120*$C$28</f>
        <v>447851.25004071376</v>
      </c>
    </row>
    <row r="121" spans="2:9" ht="13.5" thickBot="1">
      <c r="B121" s="228">
        <v>5</v>
      </c>
      <c r="C121" s="231">
        <v>20000</v>
      </c>
      <c r="D121" s="230">
        <v>9.625</v>
      </c>
      <c r="E121" s="230">
        <v>0.47</v>
      </c>
      <c r="F121" s="231">
        <f>C121*D121*E121</f>
        <v>90475</v>
      </c>
      <c r="G121" s="231">
        <f>F121*0.9</f>
        <v>81427.5</v>
      </c>
      <c r="H121" s="231">
        <f>SUM(G118:G121)</f>
        <v>203568.75</v>
      </c>
      <c r="I121" s="231">
        <f>H121*$C$28</f>
        <v>746418.75006785628</v>
      </c>
    </row>
    <row r="122" spans="2:9" ht="13.5" thickBot="1">
      <c r="B122" s="232" t="s">
        <v>324</v>
      </c>
      <c r="C122" s="231">
        <f>SUM(C118:C121)</f>
        <v>50000</v>
      </c>
      <c r="D122" s="229"/>
      <c r="E122" s="229"/>
      <c r="F122" s="229"/>
      <c r="G122" s="229"/>
      <c r="H122" s="233">
        <v>175069</v>
      </c>
      <c r="I122" s="233">
        <f>SUM(I118:I121)</f>
        <v>1492837.5001357123</v>
      </c>
    </row>
    <row r="123" spans="2:9" ht="39" thickBot="1">
      <c r="B123" s="234" t="s">
        <v>325</v>
      </c>
      <c r="C123" s="235">
        <v>3.6666666669999999</v>
      </c>
      <c r="D123" s="229"/>
      <c r="E123" s="229"/>
      <c r="F123" s="229"/>
      <c r="G123" s="229"/>
      <c r="H123" s="229"/>
      <c r="I123" s="236"/>
    </row>
    <row r="124" spans="2:9">
      <c r="B124" s="237"/>
      <c r="C124" s="238"/>
      <c r="D124" s="237"/>
      <c r="E124" s="237"/>
      <c r="F124" s="239"/>
      <c r="G124" s="239"/>
      <c r="H124" s="239"/>
      <c r="I124" s="239"/>
    </row>
    <row r="126" spans="2:9">
      <c r="B126" s="787" t="s">
        <v>350</v>
      </c>
      <c r="C126" s="787"/>
      <c r="D126" s="787"/>
      <c r="E126" s="240"/>
      <c r="F126" s="240"/>
      <c r="G126" s="240"/>
      <c r="H126" s="240"/>
    </row>
    <row r="127" spans="2:9" ht="13.5" thickBot="1"/>
    <row r="128" spans="2:9" ht="179.25" thickBot="1">
      <c r="B128" s="224" t="s">
        <v>195</v>
      </c>
      <c r="C128" s="225" t="s">
        <v>342</v>
      </c>
      <c r="D128" s="226" t="s">
        <v>343</v>
      </c>
      <c r="E128" s="226" t="s">
        <v>351</v>
      </c>
      <c r="F128" s="226" t="s">
        <v>374</v>
      </c>
      <c r="G128" s="226" t="s">
        <v>352</v>
      </c>
      <c r="H128" s="226" t="s">
        <v>353</v>
      </c>
      <c r="I128" s="226" t="s">
        <v>354</v>
      </c>
    </row>
    <row r="129" spans="2:9" ht="13.5" thickBot="1">
      <c r="B129" s="228">
        <v>1</v>
      </c>
      <c r="C129" s="230">
        <v>0</v>
      </c>
      <c r="D129" s="230">
        <v>2.4</v>
      </c>
      <c r="E129" s="230">
        <v>0.47</v>
      </c>
      <c r="F129" s="230" t="s">
        <v>355</v>
      </c>
      <c r="G129" s="212"/>
      <c r="H129" s="230" t="s">
        <v>355</v>
      </c>
      <c r="I129" s="230" t="s">
        <v>356</v>
      </c>
    </row>
    <row r="130" spans="2:9" ht="13.5" thickBot="1">
      <c r="B130" s="228">
        <v>2</v>
      </c>
      <c r="C130" s="231">
        <v>5000</v>
      </c>
      <c r="D130" s="230">
        <v>2.4</v>
      </c>
      <c r="E130" s="230">
        <v>0.47</v>
      </c>
      <c r="F130" s="231">
        <f>C130*D130*E130</f>
        <v>5640</v>
      </c>
      <c r="G130" s="213">
        <f>F130*$G$41</f>
        <v>4512</v>
      </c>
      <c r="H130" s="231">
        <f>G130</f>
        <v>4512</v>
      </c>
      <c r="I130" s="213">
        <f>H130*3.66666667</f>
        <v>16544.000015040001</v>
      </c>
    </row>
    <row r="131" spans="2:9" ht="13.5" thickBot="1">
      <c r="B131" s="228">
        <v>3</v>
      </c>
      <c r="C131" s="231">
        <v>10000</v>
      </c>
      <c r="D131" s="230">
        <v>2.4</v>
      </c>
      <c r="E131" s="230">
        <v>0.47</v>
      </c>
      <c r="F131" s="231">
        <f>C131*D131*E131</f>
        <v>11280</v>
      </c>
      <c r="G131" s="213">
        <f>F131*$G$41</f>
        <v>9024</v>
      </c>
      <c r="H131" s="231">
        <f>SUM(G130:G131)</f>
        <v>13536</v>
      </c>
      <c r="I131" s="213">
        <f>H131*3.66666667</f>
        <v>49632.000045120003</v>
      </c>
    </row>
    <row r="132" spans="2:9" ht="13.5" thickBot="1">
      <c r="B132" s="228">
        <v>4</v>
      </c>
      <c r="C132" s="231">
        <v>15000</v>
      </c>
      <c r="D132" s="230">
        <v>2.4</v>
      </c>
      <c r="E132" s="230">
        <v>0.47</v>
      </c>
      <c r="F132" s="231">
        <f>C132*D132*E132</f>
        <v>16920</v>
      </c>
      <c r="G132" s="213">
        <f>F132*$G$41</f>
        <v>13536</v>
      </c>
      <c r="H132" s="231">
        <f>SUM(G130:G132)</f>
        <v>27072</v>
      </c>
      <c r="I132" s="213">
        <f>H132*3.66666667</f>
        <v>99264.000090240006</v>
      </c>
    </row>
    <row r="133" spans="2:9" ht="13.5" thickBot="1">
      <c r="B133" s="228">
        <v>5</v>
      </c>
      <c r="C133" s="231">
        <v>20000</v>
      </c>
      <c r="D133" s="230">
        <v>2.4</v>
      </c>
      <c r="E133" s="230">
        <v>0.47</v>
      </c>
      <c r="F133" s="231">
        <f>C133*D133*E133</f>
        <v>22560</v>
      </c>
      <c r="G133" s="213">
        <f>F133*$G$41</f>
        <v>18048</v>
      </c>
      <c r="H133" s="231">
        <f>SUM(G130:G133)</f>
        <v>45120</v>
      </c>
      <c r="I133" s="213">
        <f>H133*3.66666667</f>
        <v>165440.00015040001</v>
      </c>
    </row>
    <row r="134" spans="2:9" ht="13.5" thickBot="1">
      <c r="B134" s="232" t="s">
        <v>311</v>
      </c>
      <c r="C134" s="231">
        <f>SUM(C129:C133)</f>
        <v>50000</v>
      </c>
      <c r="D134" s="229"/>
      <c r="E134" s="229"/>
      <c r="F134" s="229"/>
      <c r="G134" s="215" t="s">
        <v>157</v>
      </c>
      <c r="H134" s="233">
        <f>SUM(H130:H133)</f>
        <v>90240</v>
      </c>
      <c r="I134" s="233">
        <f>SUM(I130:I133)</f>
        <v>330880.00030080002</v>
      </c>
    </row>
    <row r="136" spans="2:9">
      <c r="F136" s="223" t="s">
        <v>357</v>
      </c>
      <c r="G136" s="243">
        <v>0.8</v>
      </c>
    </row>
  </sheetData>
  <mergeCells count="5">
    <mergeCell ref="B31:D31"/>
    <mergeCell ref="B58:D58"/>
    <mergeCell ref="B86:D86"/>
    <mergeCell ref="B99:N99"/>
    <mergeCell ref="B126:D126"/>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L43"/>
  <sheetViews>
    <sheetView showGridLines="0" topLeftCell="A24" workbookViewId="0">
      <selection activeCell="E39" sqref="E39"/>
    </sheetView>
  </sheetViews>
  <sheetFormatPr defaultColWidth="8.85546875" defaultRowHeight="15"/>
  <cols>
    <col min="4" max="4" width="21.85546875" bestFit="1" customWidth="1"/>
    <col min="5" max="5" width="24.42578125" bestFit="1" customWidth="1"/>
    <col min="6" max="6" width="11.42578125" style="1" bestFit="1" customWidth="1"/>
    <col min="7" max="7" width="51.42578125" customWidth="1"/>
    <col min="8" max="8" width="20.42578125" bestFit="1" customWidth="1"/>
    <col min="9" max="9" width="12.5703125" customWidth="1"/>
    <col min="10" max="10" width="11.42578125" customWidth="1"/>
    <col min="11" max="11" width="11.42578125" bestFit="1" customWidth="1"/>
  </cols>
  <sheetData>
    <row r="2" spans="3:12" ht="15.75" thickBot="1"/>
    <row r="3" spans="3:12" ht="51.75" thickBot="1">
      <c r="C3" s="2" t="s">
        <v>0</v>
      </c>
      <c r="D3" s="3" t="s">
        <v>1</v>
      </c>
      <c r="E3" s="3" t="s">
        <v>2</v>
      </c>
      <c r="F3" s="25" t="s">
        <v>3</v>
      </c>
      <c r="G3" s="3" t="s">
        <v>4</v>
      </c>
      <c r="H3" s="3" t="s">
        <v>5</v>
      </c>
      <c r="I3" s="3" t="s">
        <v>6</v>
      </c>
      <c r="J3" s="4" t="s">
        <v>7</v>
      </c>
      <c r="K3" s="3" t="s">
        <v>8</v>
      </c>
      <c r="L3" s="5"/>
    </row>
    <row r="4" spans="3:12" ht="15" customHeight="1" thickBot="1">
      <c r="C4" s="19">
        <v>1</v>
      </c>
      <c r="D4" s="20" t="s">
        <v>9</v>
      </c>
      <c r="E4" s="20" t="s">
        <v>10</v>
      </c>
      <c r="F4" s="26">
        <v>3201</v>
      </c>
      <c r="G4" s="20" t="s">
        <v>11</v>
      </c>
      <c r="H4" s="20" t="s">
        <v>12</v>
      </c>
      <c r="I4" s="21">
        <v>2003</v>
      </c>
      <c r="J4" s="21">
        <v>9</v>
      </c>
      <c r="K4" s="20" t="s">
        <v>13</v>
      </c>
      <c r="L4" s="5"/>
    </row>
    <row r="5" spans="3:12" ht="26.25" thickBot="1">
      <c r="C5" s="19">
        <v>2</v>
      </c>
      <c r="D5" s="20" t="s">
        <v>14</v>
      </c>
      <c r="E5" s="20" t="s">
        <v>10</v>
      </c>
      <c r="F5" s="26">
        <v>2816</v>
      </c>
      <c r="G5" s="20" t="s">
        <v>15</v>
      </c>
      <c r="H5" s="20" t="s">
        <v>16</v>
      </c>
      <c r="I5" s="21">
        <v>2009</v>
      </c>
      <c r="J5" s="21">
        <v>4</v>
      </c>
      <c r="K5" s="20" t="s">
        <v>17</v>
      </c>
      <c r="L5" s="5"/>
    </row>
    <row r="6" spans="3:12" ht="35.25" customHeight="1" thickBot="1">
      <c r="C6" s="19">
        <v>3</v>
      </c>
      <c r="D6" s="20" t="s">
        <v>18</v>
      </c>
      <c r="E6" s="20" t="s">
        <v>10</v>
      </c>
      <c r="F6" s="26">
        <v>4502</v>
      </c>
      <c r="G6" s="20" t="s">
        <v>15</v>
      </c>
      <c r="H6" s="20" t="s">
        <v>16</v>
      </c>
      <c r="I6" s="21">
        <v>2009</v>
      </c>
      <c r="J6" s="21">
        <v>5</v>
      </c>
      <c r="K6" s="20" t="s">
        <v>17</v>
      </c>
      <c r="L6" s="5"/>
    </row>
    <row r="7" spans="3:12" ht="26.25" thickBot="1">
      <c r="C7" s="19">
        <v>4</v>
      </c>
      <c r="D7" s="20" t="s">
        <v>19</v>
      </c>
      <c r="E7" s="20" t="s">
        <v>20</v>
      </c>
      <c r="F7" s="26">
        <v>4284.55</v>
      </c>
      <c r="G7" s="20" t="s">
        <v>21</v>
      </c>
      <c r="H7" s="20" t="s">
        <v>12</v>
      </c>
      <c r="I7" s="21">
        <v>2009</v>
      </c>
      <c r="J7" s="21">
        <v>4</v>
      </c>
      <c r="K7" s="20" t="s">
        <v>17</v>
      </c>
      <c r="L7" s="5"/>
    </row>
    <row r="8" spans="3:12" ht="35.25" customHeight="1" thickBot="1">
      <c r="C8" s="19">
        <v>5</v>
      </c>
      <c r="D8" s="20" t="s">
        <v>22</v>
      </c>
      <c r="E8" s="20" t="s">
        <v>23</v>
      </c>
      <c r="F8" s="26">
        <v>5698.05</v>
      </c>
      <c r="G8" s="20" t="s">
        <v>24</v>
      </c>
      <c r="H8" s="20" t="s">
        <v>12</v>
      </c>
      <c r="I8" s="21">
        <v>2009</v>
      </c>
      <c r="J8" s="21">
        <v>4</v>
      </c>
      <c r="K8" s="20" t="s">
        <v>17</v>
      </c>
      <c r="L8" s="5"/>
    </row>
    <row r="9" spans="3:12" ht="35.25" customHeight="1" thickBot="1">
      <c r="C9" s="19">
        <v>6</v>
      </c>
      <c r="D9" s="20" t="s">
        <v>25</v>
      </c>
      <c r="E9" s="20" t="s">
        <v>26</v>
      </c>
      <c r="F9" s="26">
        <v>3971.37</v>
      </c>
      <c r="G9" s="20" t="s">
        <v>27</v>
      </c>
      <c r="H9" s="20" t="s">
        <v>12</v>
      </c>
      <c r="I9" s="21">
        <v>2009</v>
      </c>
      <c r="J9" s="21">
        <v>7</v>
      </c>
      <c r="K9" s="20" t="s">
        <v>17</v>
      </c>
      <c r="L9" s="5"/>
    </row>
    <row r="10" spans="3:12" ht="48" customHeight="1" thickBot="1">
      <c r="C10" s="19">
        <v>7</v>
      </c>
      <c r="D10" s="20" t="s">
        <v>28</v>
      </c>
      <c r="E10" s="20" t="s">
        <v>29</v>
      </c>
      <c r="F10" s="26">
        <v>3921.99</v>
      </c>
      <c r="G10" s="20" t="s">
        <v>30</v>
      </c>
      <c r="H10" s="20" t="s">
        <v>12</v>
      </c>
      <c r="I10" s="21">
        <v>2009</v>
      </c>
      <c r="J10" s="21">
        <v>4</v>
      </c>
      <c r="K10" s="20" t="s">
        <v>17</v>
      </c>
      <c r="L10" s="5"/>
    </row>
    <row r="11" spans="3:12">
      <c r="C11" s="19">
        <v>8</v>
      </c>
      <c r="D11" s="20" t="s">
        <v>31</v>
      </c>
      <c r="E11" s="20" t="s">
        <v>32</v>
      </c>
      <c r="F11" s="26">
        <v>8236.3809999999994</v>
      </c>
      <c r="G11" s="20" t="s">
        <v>30</v>
      </c>
      <c r="H11" s="20" t="s">
        <v>16</v>
      </c>
      <c r="I11" s="21">
        <v>2009</v>
      </c>
      <c r="J11" s="21">
        <v>4</v>
      </c>
      <c r="K11" s="20" t="s">
        <v>17</v>
      </c>
      <c r="L11" s="5"/>
    </row>
    <row r="12" spans="3:12" ht="15.75" thickBot="1">
      <c r="C12" s="6">
        <v>9</v>
      </c>
      <c r="D12" s="7" t="s">
        <v>33</v>
      </c>
      <c r="E12" s="7" t="s">
        <v>34</v>
      </c>
      <c r="F12" s="27">
        <v>9285.9</v>
      </c>
      <c r="G12" s="7" t="s">
        <v>35</v>
      </c>
      <c r="H12" s="7" t="s">
        <v>12</v>
      </c>
      <c r="I12" s="8">
        <v>2009</v>
      </c>
      <c r="J12" s="8">
        <v>7</v>
      </c>
      <c r="K12" s="7" t="s">
        <v>17</v>
      </c>
      <c r="L12" s="5"/>
    </row>
    <row r="13" spans="3:12" ht="15.75" thickBot="1">
      <c r="C13" s="6">
        <v>11</v>
      </c>
      <c r="D13" s="7" t="s">
        <v>43</v>
      </c>
      <c r="E13" s="7" t="s">
        <v>44</v>
      </c>
      <c r="F13" s="27">
        <v>7950</v>
      </c>
      <c r="G13" s="7" t="s">
        <v>45</v>
      </c>
      <c r="H13" s="7" t="s">
        <v>12</v>
      </c>
      <c r="I13" s="10">
        <v>40325</v>
      </c>
      <c r="J13" s="8">
        <v>11</v>
      </c>
      <c r="K13" s="7" t="s">
        <v>17</v>
      </c>
      <c r="L13" s="5"/>
    </row>
    <row r="14" spans="3:12" ht="15.75" thickBot="1">
      <c r="C14" s="6">
        <v>12</v>
      </c>
      <c r="D14" s="7" t="s">
        <v>46</v>
      </c>
      <c r="E14" s="7" t="s">
        <v>47</v>
      </c>
      <c r="F14" s="27">
        <v>4580.66</v>
      </c>
      <c r="G14" s="7" t="s">
        <v>45</v>
      </c>
      <c r="H14" s="7" t="s">
        <v>12</v>
      </c>
      <c r="I14" s="10">
        <v>40325</v>
      </c>
      <c r="J14" s="8">
        <v>10</v>
      </c>
      <c r="K14" s="7" t="s">
        <v>17</v>
      </c>
      <c r="L14" s="5"/>
    </row>
    <row r="15" spans="3:12" ht="26.25" thickBot="1">
      <c r="C15" s="6">
        <v>13</v>
      </c>
      <c r="D15" s="7" t="s">
        <v>48</v>
      </c>
      <c r="E15" s="7" t="s">
        <v>47</v>
      </c>
      <c r="F15" s="27">
        <v>7277</v>
      </c>
      <c r="G15" s="7" t="s">
        <v>49</v>
      </c>
      <c r="H15" s="7" t="s">
        <v>12</v>
      </c>
      <c r="I15" s="10">
        <v>40325</v>
      </c>
      <c r="J15" s="8">
        <v>9</v>
      </c>
      <c r="K15" s="7" t="s">
        <v>17</v>
      </c>
      <c r="L15" s="5"/>
    </row>
    <row r="16" spans="3:12" ht="35.25" customHeight="1">
      <c r="C16" s="19">
        <v>14</v>
      </c>
      <c r="D16" s="20" t="s">
        <v>50</v>
      </c>
      <c r="E16" s="20" t="s">
        <v>51</v>
      </c>
      <c r="F16" s="26">
        <v>6133</v>
      </c>
      <c r="G16" s="20" t="s">
        <v>49</v>
      </c>
      <c r="H16" s="20" t="s">
        <v>12</v>
      </c>
      <c r="I16" s="23">
        <v>40325</v>
      </c>
      <c r="J16" s="21" t="s">
        <v>52</v>
      </c>
      <c r="K16" s="20" t="s">
        <v>17</v>
      </c>
      <c r="L16" s="5"/>
    </row>
    <row r="17" spans="3:12" ht="26.25" thickBot="1">
      <c r="C17" s="6">
        <v>15</v>
      </c>
      <c r="D17" s="7" t="s">
        <v>53</v>
      </c>
      <c r="E17" s="7" t="s">
        <v>54</v>
      </c>
      <c r="F17" s="27">
        <v>6353</v>
      </c>
      <c r="G17" s="7" t="s">
        <v>55</v>
      </c>
      <c r="H17" s="7" t="s">
        <v>12</v>
      </c>
      <c r="I17" s="12">
        <v>42988</v>
      </c>
      <c r="J17" s="8">
        <v>11</v>
      </c>
      <c r="K17" s="7" t="s">
        <v>17</v>
      </c>
      <c r="L17" s="5"/>
    </row>
    <row r="18" spans="3:12" ht="26.25" thickBot="1">
      <c r="C18" s="6">
        <v>16</v>
      </c>
      <c r="D18" s="7" t="s">
        <v>56</v>
      </c>
      <c r="E18" s="7" t="s">
        <v>57</v>
      </c>
      <c r="F18" s="27">
        <v>9107</v>
      </c>
      <c r="G18" s="7" t="s">
        <v>58</v>
      </c>
      <c r="H18" s="7" t="s">
        <v>16</v>
      </c>
      <c r="I18" s="10">
        <v>40606</v>
      </c>
      <c r="J18" s="8">
        <v>20</v>
      </c>
      <c r="K18" s="7" t="s">
        <v>17</v>
      </c>
      <c r="L18" s="5"/>
    </row>
    <row r="19" spans="3:12" ht="26.25" thickBot="1">
      <c r="C19" s="6">
        <v>17</v>
      </c>
      <c r="D19" s="7" t="s">
        <v>59</v>
      </c>
      <c r="E19" s="7" t="s">
        <v>60</v>
      </c>
      <c r="F19" s="27">
        <v>8768</v>
      </c>
      <c r="G19" s="7" t="s">
        <v>61</v>
      </c>
      <c r="H19" s="7" t="s">
        <v>62</v>
      </c>
      <c r="I19" s="8" t="s">
        <v>41</v>
      </c>
      <c r="J19" s="8">
        <v>3</v>
      </c>
      <c r="K19" s="7" t="s">
        <v>17</v>
      </c>
      <c r="L19" s="5"/>
    </row>
    <row r="20" spans="3:12" ht="25.5">
      <c r="C20" s="19">
        <v>18</v>
      </c>
      <c r="D20" s="20" t="s">
        <v>63</v>
      </c>
      <c r="E20" s="20" t="s">
        <v>64</v>
      </c>
      <c r="F20" s="26">
        <v>30000</v>
      </c>
      <c r="G20" s="20" t="s">
        <v>65</v>
      </c>
      <c r="H20" s="20" t="s">
        <v>62</v>
      </c>
      <c r="I20" s="21" t="s">
        <v>41</v>
      </c>
      <c r="J20" s="21">
        <v>14</v>
      </c>
      <c r="K20" s="20" t="s">
        <v>66</v>
      </c>
      <c r="L20" s="5"/>
    </row>
    <row r="21" spans="3:12" ht="28.5" thickBot="1">
      <c r="C21" s="6">
        <v>19</v>
      </c>
      <c r="D21" s="7" t="s">
        <v>67</v>
      </c>
      <c r="E21" s="7" t="s">
        <v>68</v>
      </c>
      <c r="F21" s="27">
        <v>21574</v>
      </c>
      <c r="G21" s="7" t="s">
        <v>69</v>
      </c>
      <c r="H21" s="7" t="s">
        <v>12</v>
      </c>
      <c r="I21" s="8" t="s">
        <v>70</v>
      </c>
      <c r="J21" s="8" t="s">
        <v>71</v>
      </c>
      <c r="K21" s="7" t="s">
        <v>72</v>
      </c>
      <c r="L21" s="5"/>
    </row>
    <row r="22" spans="3:12" ht="15.75" thickBot="1">
      <c r="C22" s="6">
        <v>20</v>
      </c>
      <c r="D22" s="7" t="s">
        <v>73</v>
      </c>
      <c r="E22" s="7" t="s">
        <v>74</v>
      </c>
      <c r="F22" s="29">
        <v>28907</v>
      </c>
      <c r="G22" s="7" t="s">
        <v>75</v>
      </c>
      <c r="H22" s="7" t="s">
        <v>12</v>
      </c>
      <c r="I22" s="13">
        <v>41989</v>
      </c>
      <c r="J22" s="8">
        <v>24</v>
      </c>
      <c r="K22" s="7" t="s">
        <v>76</v>
      </c>
      <c r="L22" s="5"/>
    </row>
    <row r="23" spans="3:12" ht="15.75" thickBot="1">
      <c r="C23" s="6">
        <v>21</v>
      </c>
      <c r="D23" s="7" t="s">
        <v>77</v>
      </c>
      <c r="E23" s="7" t="s">
        <v>78</v>
      </c>
      <c r="F23" s="27">
        <v>23777</v>
      </c>
      <c r="G23" s="7" t="s">
        <v>79</v>
      </c>
      <c r="H23" s="7" t="s">
        <v>12</v>
      </c>
      <c r="I23" s="8" t="s">
        <v>80</v>
      </c>
      <c r="J23" s="8">
        <v>2</v>
      </c>
      <c r="K23" s="7" t="s">
        <v>81</v>
      </c>
      <c r="L23" s="5"/>
    </row>
    <row r="24" spans="3:12" ht="15.75" thickBot="1">
      <c r="C24" s="6">
        <v>22</v>
      </c>
      <c r="D24" s="7" t="s">
        <v>82</v>
      </c>
      <c r="E24" s="7" t="s">
        <v>83</v>
      </c>
      <c r="F24" s="27">
        <v>15084</v>
      </c>
      <c r="G24" s="7" t="s">
        <v>84</v>
      </c>
      <c r="H24" s="7" t="s">
        <v>12</v>
      </c>
      <c r="I24" s="8" t="s">
        <v>80</v>
      </c>
      <c r="J24" s="8" t="s">
        <v>85</v>
      </c>
      <c r="K24" s="7" t="s">
        <v>17</v>
      </c>
      <c r="L24" s="5"/>
    </row>
    <row r="25" spans="3:12" ht="26.25" thickBot="1">
      <c r="C25" s="6">
        <v>23</v>
      </c>
      <c r="D25" s="7" t="s">
        <v>86</v>
      </c>
      <c r="E25" s="7" t="s">
        <v>83</v>
      </c>
      <c r="F25" s="27">
        <v>40000</v>
      </c>
      <c r="G25" s="7" t="s">
        <v>87</v>
      </c>
      <c r="H25" s="7" t="s">
        <v>88</v>
      </c>
      <c r="I25" s="14"/>
      <c r="J25" s="8">
        <v>2</v>
      </c>
      <c r="K25" s="7" t="s">
        <v>89</v>
      </c>
      <c r="L25" s="5"/>
    </row>
    <row r="26" spans="3:12" ht="26.25" thickBot="1">
      <c r="C26" s="19">
        <v>24</v>
      </c>
      <c r="D26" s="20" t="s">
        <v>90</v>
      </c>
      <c r="E26" s="20" t="s">
        <v>91</v>
      </c>
      <c r="F26" s="26">
        <v>4200</v>
      </c>
      <c r="G26" s="20" t="s">
        <v>92</v>
      </c>
      <c r="H26" s="20" t="s">
        <v>16</v>
      </c>
      <c r="I26" s="23">
        <v>40774</v>
      </c>
      <c r="J26" s="21">
        <v>15</v>
      </c>
      <c r="K26" s="20" t="s">
        <v>93</v>
      </c>
      <c r="L26" s="5"/>
    </row>
    <row r="27" spans="3:12" ht="24.75" customHeight="1">
      <c r="C27" s="19">
        <v>26</v>
      </c>
      <c r="D27" s="20" t="s">
        <v>98</v>
      </c>
      <c r="E27" s="20" t="s">
        <v>99</v>
      </c>
      <c r="F27" s="26">
        <v>24000</v>
      </c>
      <c r="G27" s="20" t="s">
        <v>100</v>
      </c>
      <c r="H27" s="20" t="s">
        <v>12</v>
      </c>
      <c r="I27" s="11">
        <v>40668</v>
      </c>
      <c r="J27" s="21" t="s">
        <v>38</v>
      </c>
      <c r="K27" s="20" t="s">
        <v>101</v>
      </c>
      <c r="L27" s="22"/>
    </row>
    <row r="28" spans="3:12" ht="28.5" thickBot="1">
      <c r="C28" s="6">
        <v>27</v>
      </c>
      <c r="D28" s="7" t="s">
        <v>102</v>
      </c>
      <c r="E28" s="7" t="s">
        <v>103</v>
      </c>
      <c r="F28" s="27">
        <v>58726</v>
      </c>
      <c r="G28" s="7" t="s">
        <v>104</v>
      </c>
      <c r="H28" s="7" t="s">
        <v>16</v>
      </c>
      <c r="I28" s="8" t="s">
        <v>105</v>
      </c>
      <c r="J28" s="8">
        <v>9</v>
      </c>
      <c r="K28" s="7" t="s">
        <v>17</v>
      </c>
      <c r="L28" s="5"/>
    </row>
    <row r="29" spans="3:12" ht="39" thickBot="1">
      <c r="C29" s="6">
        <v>28</v>
      </c>
      <c r="D29" s="7" t="s">
        <v>106</v>
      </c>
      <c r="E29" s="7" t="s">
        <v>107</v>
      </c>
      <c r="F29" s="27">
        <v>105329.32399999999</v>
      </c>
      <c r="G29" s="7" t="s">
        <v>108</v>
      </c>
      <c r="H29" s="7" t="s">
        <v>12</v>
      </c>
      <c r="I29" s="8" t="s">
        <v>109</v>
      </c>
      <c r="J29" s="8">
        <v>11</v>
      </c>
      <c r="K29" s="7" t="s">
        <v>17</v>
      </c>
      <c r="L29" s="5"/>
    </row>
    <row r="30" spans="3:12" ht="39" thickBot="1">
      <c r="C30" s="6">
        <v>29</v>
      </c>
      <c r="D30" s="7" t="s">
        <v>110</v>
      </c>
      <c r="E30" s="7" t="s">
        <v>107</v>
      </c>
      <c r="F30" s="27">
        <v>42985.38</v>
      </c>
      <c r="G30" s="7" t="s">
        <v>111</v>
      </c>
      <c r="H30" s="7" t="s">
        <v>12</v>
      </c>
      <c r="I30" s="8" t="s">
        <v>112</v>
      </c>
      <c r="J30" s="8">
        <v>10</v>
      </c>
      <c r="K30" s="7" t="s">
        <v>17</v>
      </c>
      <c r="L30" s="5"/>
    </row>
    <row r="31" spans="3:12" ht="30">
      <c r="C31" s="19">
        <v>30</v>
      </c>
      <c r="D31" s="20" t="s">
        <v>113</v>
      </c>
      <c r="E31" s="20" t="s">
        <v>107</v>
      </c>
      <c r="F31" s="26">
        <v>28348.799999999999</v>
      </c>
      <c r="G31" s="24" t="s">
        <v>114</v>
      </c>
      <c r="H31" s="20" t="s">
        <v>40</v>
      </c>
      <c r="I31" s="21" t="s">
        <v>41</v>
      </c>
      <c r="J31" s="21">
        <v>12</v>
      </c>
      <c r="K31" s="20" t="s">
        <v>17</v>
      </c>
      <c r="L31" s="5"/>
    </row>
    <row r="32" spans="3:12" ht="26.25" thickBot="1">
      <c r="C32" s="6">
        <v>31</v>
      </c>
      <c r="D32" s="7" t="s">
        <v>115</v>
      </c>
      <c r="E32" s="7" t="s">
        <v>107</v>
      </c>
      <c r="F32" s="27">
        <v>92526.8</v>
      </c>
      <c r="G32" s="7" t="s">
        <v>116</v>
      </c>
      <c r="H32" s="7" t="s">
        <v>40</v>
      </c>
      <c r="I32" s="8" t="s">
        <v>41</v>
      </c>
      <c r="J32" s="8">
        <v>23</v>
      </c>
      <c r="K32" s="7" t="s">
        <v>17</v>
      </c>
      <c r="L32" s="5"/>
    </row>
    <row r="33" spans="3:12" ht="26.25" thickBot="1">
      <c r="C33" s="6">
        <v>32</v>
      </c>
      <c r="D33" s="7" t="s">
        <v>117</v>
      </c>
      <c r="E33" s="7" t="s">
        <v>107</v>
      </c>
      <c r="F33" s="27">
        <v>159253</v>
      </c>
      <c r="G33" s="7" t="s">
        <v>118</v>
      </c>
      <c r="H33" s="7" t="s">
        <v>40</v>
      </c>
      <c r="I33" s="8" t="s">
        <v>41</v>
      </c>
      <c r="J33" s="8">
        <v>17</v>
      </c>
      <c r="K33" s="7" t="s">
        <v>17</v>
      </c>
      <c r="L33" s="5"/>
    </row>
    <row r="34" spans="3:12" ht="15.75" thickBot="1">
      <c r="C34" s="15"/>
      <c r="D34" s="16"/>
      <c r="E34" s="17" t="s">
        <v>119</v>
      </c>
      <c r="F34" s="30">
        <v>770817.20499999996</v>
      </c>
      <c r="G34" s="16"/>
      <c r="H34" s="16"/>
      <c r="I34" s="16"/>
      <c r="J34" s="16"/>
      <c r="K34" s="16"/>
      <c r="L34" s="5"/>
    </row>
    <row r="35" spans="3:12" ht="25.5">
      <c r="C35" s="19">
        <v>10</v>
      </c>
      <c r="D35" s="20" t="s">
        <v>36</v>
      </c>
      <c r="E35" s="20" t="s">
        <v>37</v>
      </c>
      <c r="F35" s="28" t="s">
        <v>38</v>
      </c>
      <c r="G35" s="20" t="s">
        <v>39</v>
      </c>
      <c r="H35" s="20" t="s">
        <v>40</v>
      </c>
      <c r="I35" s="21" t="s">
        <v>41</v>
      </c>
      <c r="J35" s="21">
        <v>7</v>
      </c>
      <c r="K35" s="20" t="s">
        <v>42</v>
      </c>
    </row>
    <row r="36" spans="3:12" ht="26.25" thickBot="1">
      <c r="C36" s="6">
        <v>25</v>
      </c>
      <c r="D36" s="7" t="s">
        <v>94</v>
      </c>
      <c r="E36" s="7" t="s">
        <v>91</v>
      </c>
      <c r="F36" s="27">
        <v>20</v>
      </c>
      <c r="G36" s="7" t="s">
        <v>95</v>
      </c>
      <c r="H36" s="7" t="s">
        <v>96</v>
      </c>
      <c r="I36" s="8" t="s">
        <v>97</v>
      </c>
      <c r="J36" s="8">
        <v>10</v>
      </c>
      <c r="K36" s="7"/>
    </row>
    <row r="37" spans="3:12" ht="16.5">
      <c r="C37" s="9" t="s">
        <v>121</v>
      </c>
    </row>
    <row r="38" spans="3:12">
      <c r="C38" s="18" t="s">
        <v>120</v>
      </c>
    </row>
    <row r="39" spans="3:12" ht="16.5">
      <c r="C39" s="9">
        <v>2</v>
      </c>
      <c r="D39" t="s">
        <v>122</v>
      </c>
      <c r="E39" s="31">
        <v>40000</v>
      </c>
      <c r="F39" s="1" t="s">
        <v>123</v>
      </c>
      <c r="H39" s="32">
        <f>0.5*E39</f>
        <v>20000</v>
      </c>
    </row>
    <row r="41" spans="3:12">
      <c r="C41">
        <v>3</v>
      </c>
      <c r="D41" t="s">
        <v>145</v>
      </c>
      <c r="E41" t="s">
        <v>146</v>
      </c>
    </row>
    <row r="42" spans="3:12">
      <c r="E42" t="s">
        <v>147</v>
      </c>
    </row>
    <row r="43" spans="3:12">
      <c r="E43" t="s">
        <v>148</v>
      </c>
    </row>
  </sheetData>
  <pageMargins left="0.7" right="0.7" top="0.75" bottom="0.75" header="0.3" footer="0.3"/>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M1849"/>
  <sheetViews>
    <sheetView showGridLines="0" workbookViewId="0">
      <selection activeCell="M22" sqref="M22"/>
    </sheetView>
  </sheetViews>
  <sheetFormatPr defaultColWidth="8.85546875" defaultRowHeight="15"/>
  <cols>
    <col min="1" max="1" width="30.140625" customWidth="1"/>
    <col min="5" max="5" width="8.85546875" style="250"/>
  </cols>
  <sheetData>
    <row r="1" spans="1:12" s="253" customFormat="1" ht="16.5">
      <c r="A1" s="270" t="s">
        <v>404</v>
      </c>
      <c r="B1" s="270"/>
      <c r="C1" s="270"/>
      <c r="D1" s="270"/>
      <c r="E1" s="270"/>
      <c r="F1" s="270"/>
      <c r="G1" s="270"/>
      <c r="H1" s="270"/>
      <c r="I1" s="270"/>
      <c r="J1" s="270"/>
      <c r="K1" s="270"/>
      <c r="L1" s="270"/>
    </row>
    <row r="2" spans="1:12" s="253" customFormat="1">
      <c r="E2" s="271"/>
    </row>
    <row r="3" spans="1:12" s="272" customFormat="1" ht="12">
      <c r="B3" s="273" t="s">
        <v>405</v>
      </c>
      <c r="C3" s="273"/>
      <c r="D3" s="273"/>
      <c r="E3" s="273"/>
      <c r="F3" s="273"/>
      <c r="G3" s="273"/>
      <c r="H3" s="273"/>
      <c r="I3" s="273"/>
      <c r="J3" s="273"/>
      <c r="K3" s="273"/>
      <c r="L3" s="273"/>
    </row>
    <row r="4" spans="1:12" s="253" customFormat="1">
      <c r="A4" s="274"/>
      <c r="B4" s="275" t="s">
        <v>406</v>
      </c>
      <c r="C4" s="275"/>
      <c r="D4" s="275"/>
      <c r="E4" s="275"/>
      <c r="F4" s="275"/>
      <c r="G4" s="275" t="s">
        <v>407</v>
      </c>
      <c r="H4" s="275"/>
      <c r="I4" s="275"/>
      <c r="J4" s="275"/>
      <c r="K4" s="275"/>
      <c r="L4" s="275"/>
    </row>
    <row r="5" spans="1:12" s="253" customFormat="1" ht="22.5">
      <c r="A5" s="251" t="s">
        <v>408</v>
      </c>
      <c r="B5" s="251" t="s">
        <v>409</v>
      </c>
      <c r="C5" s="251" t="s">
        <v>410</v>
      </c>
      <c r="D5" s="251" t="s">
        <v>411</v>
      </c>
      <c r="E5" s="252" t="s">
        <v>412</v>
      </c>
      <c r="F5" s="251" t="s">
        <v>413</v>
      </c>
      <c r="G5" s="251" t="s">
        <v>414</v>
      </c>
      <c r="H5" s="251" t="s">
        <v>415</v>
      </c>
      <c r="I5" s="251" t="s">
        <v>416</v>
      </c>
      <c r="J5" s="251" t="s">
        <v>417</v>
      </c>
      <c r="K5" s="251" t="s">
        <v>418</v>
      </c>
      <c r="L5" s="251" t="s">
        <v>419</v>
      </c>
    </row>
    <row r="6" spans="1:12" s="253" customFormat="1">
      <c r="A6" s="276" t="s">
        <v>420</v>
      </c>
      <c r="B6" s="276"/>
      <c r="C6" s="276"/>
      <c r="D6" s="277"/>
      <c r="E6" s="278"/>
      <c r="F6" s="277"/>
      <c r="G6" s="277"/>
      <c r="H6" s="277"/>
      <c r="I6" s="277"/>
      <c r="J6" s="277"/>
      <c r="K6" s="277"/>
      <c r="L6" s="277"/>
    </row>
    <row r="7" spans="1:12" s="253" customFormat="1">
      <c r="A7" s="267" t="s">
        <v>421</v>
      </c>
      <c r="B7" s="268">
        <v>110000</v>
      </c>
      <c r="C7" s="279">
        <v>55000</v>
      </c>
      <c r="D7" s="268">
        <v>200000</v>
      </c>
      <c r="E7" s="269">
        <v>200000</v>
      </c>
      <c r="F7" s="268">
        <v>200000</v>
      </c>
      <c r="G7" s="268">
        <v>400000</v>
      </c>
      <c r="H7" s="268">
        <v>100000</v>
      </c>
      <c r="I7" s="268">
        <v>100000</v>
      </c>
      <c r="J7" s="268">
        <v>80000</v>
      </c>
      <c r="K7" s="268">
        <v>100000</v>
      </c>
      <c r="L7" s="268">
        <v>80000</v>
      </c>
    </row>
    <row r="8" spans="1:12" s="253" customFormat="1">
      <c r="A8" s="267" t="s">
        <v>422</v>
      </c>
      <c r="B8" s="268">
        <v>160000</v>
      </c>
      <c r="C8" s="268">
        <v>160000</v>
      </c>
      <c r="D8" s="268">
        <v>160000</v>
      </c>
      <c r="E8" s="269">
        <v>160000</v>
      </c>
      <c r="F8" s="268">
        <v>160000</v>
      </c>
      <c r="G8" s="268">
        <v>160000</v>
      </c>
      <c r="H8" s="268">
        <v>160000</v>
      </c>
      <c r="I8" s="268">
        <v>160000</v>
      </c>
      <c r="J8" s="268">
        <v>160000</v>
      </c>
      <c r="K8" s="268">
        <v>160000</v>
      </c>
      <c r="L8" s="268">
        <v>160000</v>
      </c>
    </row>
    <row r="9" spans="1:12" s="253" customFormat="1">
      <c r="A9" s="267" t="s">
        <v>423</v>
      </c>
      <c r="B9" s="268">
        <v>130000</v>
      </c>
      <c r="C9" s="268">
        <v>130000</v>
      </c>
      <c r="D9" s="268">
        <v>130000</v>
      </c>
      <c r="E9" s="269">
        <v>130000</v>
      </c>
      <c r="F9" s="268">
        <v>130000</v>
      </c>
      <c r="G9" s="268">
        <v>130000</v>
      </c>
      <c r="H9" s="268">
        <v>130000</v>
      </c>
      <c r="I9" s="268">
        <v>130000</v>
      </c>
      <c r="J9" s="268">
        <v>130000</v>
      </c>
      <c r="K9" s="268">
        <v>130000</v>
      </c>
      <c r="L9" s="268">
        <v>130000</v>
      </c>
    </row>
    <row r="10" spans="1:12" s="253" customFormat="1">
      <c r="A10" s="267" t="s">
        <v>424</v>
      </c>
      <c r="B10" s="268">
        <v>100000</v>
      </c>
      <c r="C10" s="268">
        <v>100000</v>
      </c>
      <c r="D10" s="268">
        <v>100000</v>
      </c>
      <c r="E10" s="269">
        <v>100000</v>
      </c>
      <c r="F10" s="268">
        <v>100000</v>
      </c>
      <c r="G10" s="268">
        <v>100000</v>
      </c>
      <c r="H10" s="268">
        <v>100000</v>
      </c>
      <c r="I10" s="268">
        <v>100000</v>
      </c>
      <c r="J10" s="268">
        <v>100000</v>
      </c>
      <c r="K10" s="268">
        <v>100000</v>
      </c>
      <c r="L10" s="268">
        <v>100000</v>
      </c>
    </row>
    <row r="11" spans="1:12" s="253" customFormat="1">
      <c r="A11" s="251" t="s">
        <v>425</v>
      </c>
      <c r="B11" s="280">
        <f>SUM(B7:B10)</f>
        <v>500000</v>
      </c>
      <c r="C11" s="280">
        <f t="shared" ref="C11:L11" si="0">SUM(C7:C10)</f>
        <v>445000</v>
      </c>
      <c r="D11" s="280">
        <f t="shared" si="0"/>
        <v>590000</v>
      </c>
      <c r="E11" s="281">
        <f>SUM(E7:E10)</f>
        <v>590000</v>
      </c>
      <c r="F11" s="280">
        <f t="shared" si="0"/>
        <v>590000</v>
      </c>
      <c r="G11" s="280">
        <f t="shared" si="0"/>
        <v>790000</v>
      </c>
      <c r="H11" s="280">
        <f t="shared" si="0"/>
        <v>490000</v>
      </c>
      <c r="I11" s="280">
        <f t="shared" si="0"/>
        <v>490000</v>
      </c>
      <c r="J11" s="280">
        <f t="shared" si="0"/>
        <v>470000</v>
      </c>
      <c r="K11" s="280">
        <f t="shared" si="0"/>
        <v>490000</v>
      </c>
      <c r="L11" s="280">
        <f t="shared" si="0"/>
        <v>470000</v>
      </c>
    </row>
    <row r="12" spans="1:12" s="253" customFormat="1">
      <c r="A12" s="276" t="s">
        <v>426</v>
      </c>
      <c r="B12" s="276"/>
      <c r="C12" s="276"/>
      <c r="D12" s="277"/>
      <c r="E12" s="278"/>
      <c r="F12" s="277"/>
      <c r="G12" s="277"/>
      <c r="H12" s="277"/>
      <c r="I12" s="277"/>
      <c r="J12" s="277"/>
      <c r="K12" s="277"/>
      <c r="L12" s="277"/>
    </row>
    <row r="13" spans="1:12" s="282" customFormat="1">
      <c r="A13" s="267" t="s">
        <v>427</v>
      </c>
      <c r="B13" s="268">
        <v>300000</v>
      </c>
      <c r="C13" s="268">
        <v>300000</v>
      </c>
      <c r="D13" s="268">
        <v>300000</v>
      </c>
      <c r="E13" s="269">
        <v>300000</v>
      </c>
      <c r="F13" s="268">
        <v>300000</v>
      </c>
      <c r="G13" s="268">
        <v>300000</v>
      </c>
      <c r="H13" s="268">
        <v>300000</v>
      </c>
      <c r="I13" s="268">
        <v>300000</v>
      </c>
      <c r="J13" s="268">
        <v>300000</v>
      </c>
      <c r="K13" s="268">
        <v>300000</v>
      </c>
      <c r="L13" s="268">
        <v>300000</v>
      </c>
    </row>
    <row r="14" spans="1:12" s="253" customFormat="1">
      <c r="A14" s="267" t="s">
        <v>428</v>
      </c>
      <c r="B14" s="274"/>
      <c r="C14" s="274"/>
      <c r="D14" s="274"/>
      <c r="E14" s="283"/>
      <c r="F14" s="274"/>
      <c r="G14" s="274"/>
      <c r="H14" s="274"/>
      <c r="I14" s="274"/>
      <c r="J14" s="274"/>
      <c r="K14" s="274"/>
      <c r="L14" s="274"/>
    </row>
    <row r="15" spans="1:12" s="253" customFormat="1">
      <c r="A15" s="284" t="s">
        <v>429</v>
      </c>
      <c r="B15" s="268">
        <v>400000</v>
      </c>
      <c r="C15" s="268">
        <v>400000</v>
      </c>
      <c r="D15" s="268">
        <v>400000</v>
      </c>
      <c r="E15" s="269">
        <v>400000</v>
      </c>
      <c r="F15" s="268">
        <v>400000</v>
      </c>
      <c r="G15" s="268">
        <v>400000</v>
      </c>
      <c r="H15" s="268">
        <v>400000</v>
      </c>
      <c r="I15" s="268">
        <v>400000</v>
      </c>
      <c r="J15" s="268">
        <v>400000</v>
      </c>
      <c r="K15" s="268">
        <v>400000</v>
      </c>
      <c r="L15" s="268">
        <v>400000</v>
      </c>
    </row>
    <row r="16" spans="1:12" s="253" customFormat="1">
      <c r="A16" s="284" t="s">
        <v>430</v>
      </c>
      <c r="B16" s="268">
        <v>250000</v>
      </c>
      <c r="C16" s="268">
        <v>250000</v>
      </c>
      <c r="D16" s="268">
        <v>250000</v>
      </c>
      <c r="E16" s="269">
        <v>250000</v>
      </c>
      <c r="F16" s="268">
        <v>250000</v>
      </c>
      <c r="G16" s="268">
        <v>250000</v>
      </c>
      <c r="H16" s="268">
        <v>250000</v>
      </c>
      <c r="I16" s="268">
        <v>250000</v>
      </c>
      <c r="J16" s="268">
        <v>250000</v>
      </c>
      <c r="K16" s="268">
        <v>250000</v>
      </c>
      <c r="L16" s="268">
        <v>250000</v>
      </c>
    </row>
    <row r="17" spans="1:13" s="253" customFormat="1">
      <c r="A17" s="284" t="s">
        <v>431</v>
      </c>
      <c r="B17" s="268">
        <v>500000</v>
      </c>
      <c r="C17" s="268">
        <v>500000</v>
      </c>
      <c r="D17" s="268">
        <v>500000</v>
      </c>
      <c r="E17" s="269">
        <v>500000</v>
      </c>
      <c r="F17" s="268">
        <v>500000</v>
      </c>
      <c r="G17" s="268">
        <v>500000</v>
      </c>
      <c r="H17" s="268">
        <v>500000</v>
      </c>
      <c r="I17" s="268">
        <v>500000</v>
      </c>
      <c r="J17" s="268">
        <v>500000</v>
      </c>
      <c r="K17" s="268">
        <v>500000</v>
      </c>
      <c r="L17" s="268">
        <v>500000</v>
      </c>
    </row>
    <row r="18" spans="1:13" s="282" customFormat="1">
      <c r="A18" s="284" t="s">
        <v>432</v>
      </c>
      <c r="B18" s="268">
        <v>300000</v>
      </c>
      <c r="C18" s="268">
        <v>300000</v>
      </c>
      <c r="D18" s="268">
        <v>300000</v>
      </c>
      <c r="E18" s="269">
        <v>300000</v>
      </c>
      <c r="F18" s="268"/>
      <c r="G18" s="268">
        <v>300000</v>
      </c>
      <c r="H18" s="268">
        <v>300000</v>
      </c>
      <c r="I18" s="268">
        <v>300000</v>
      </c>
      <c r="J18" s="268">
        <v>300000</v>
      </c>
      <c r="K18" s="268">
        <v>300000</v>
      </c>
      <c r="L18" s="268">
        <v>300000</v>
      </c>
    </row>
    <row r="19" spans="1:13" s="253" customFormat="1">
      <c r="A19" s="267" t="s">
        <v>433</v>
      </c>
      <c r="B19" s="268">
        <v>400000</v>
      </c>
      <c r="C19" s="268">
        <v>400000</v>
      </c>
      <c r="D19" s="268">
        <v>400000</v>
      </c>
      <c r="E19" s="269">
        <v>400000</v>
      </c>
      <c r="F19" s="268">
        <v>400000</v>
      </c>
      <c r="G19" s="268">
        <v>400000</v>
      </c>
      <c r="H19" s="268">
        <v>400000</v>
      </c>
      <c r="I19" s="268">
        <v>400000</v>
      </c>
      <c r="J19" s="268">
        <v>400000</v>
      </c>
      <c r="K19" s="268">
        <v>400000</v>
      </c>
      <c r="L19" s="268">
        <v>400000</v>
      </c>
    </row>
    <row r="20" spans="1:13" s="253" customFormat="1">
      <c r="A20" s="267" t="s">
        <v>434</v>
      </c>
      <c r="B20" s="268">
        <v>240000</v>
      </c>
      <c r="C20" s="268">
        <v>240000</v>
      </c>
      <c r="D20" s="268">
        <v>240000</v>
      </c>
      <c r="E20" s="269">
        <v>240000</v>
      </c>
      <c r="F20" s="268">
        <v>240000</v>
      </c>
      <c r="G20" s="268">
        <v>240000</v>
      </c>
      <c r="H20" s="268">
        <v>240000</v>
      </c>
      <c r="I20" s="268">
        <v>240000</v>
      </c>
      <c r="J20" s="268">
        <v>240000</v>
      </c>
      <c r="K20" s="268">
        <v>240000</v>
      </c>
      <c r="L20" s="268">
        <v>240000</v>
      </c>
    </row>
    <row r="21" spans="1:13" s="253" customFormat="1" ht="22.5">
      <c r="A21" s="267" t="s">
        <v>435</v>
      </c>
      <c r="B21" s="268">
        <v>100000</v>
      </c>
      <c r="C21" s="268">
        <v>100000</v>
      </c>
      <c r="D21" s="268">
        <v>100000</v>
      </c>
      <c r="E21" s="269">
        <v>100000</v>
      </c>
      <c r="F21" s="268">
        <v>100000</v>
      </c>
      <c r="G21" s="268">
        <v>100000</v>
      </c>
      <c r="H21" s="268">
        <v>100000</v>
      </c>
      <c r="I21" s="268">
        <v>100000</v>
      </c>
      <c r="J21" s="268">
        <v>100000</v>
      </c>
      <c r="K21" s="268">
        <v>100000</v>
      </c>
      <c r="L21" s="268">
        <v>100000</v>
      </c>
      <c r="M21" s="253">
        <f>'Plantation establis cost'!E11/4.5</f>
        <v>131111.11111111112</v>
      </c>
    </row>
    <row r="22" spans="1:13" s="253" customFormat="1">
      <c r="A22" s="251" t="s">
        <v>425</v>
      </c>
      <c r="B22" s="280">
        <f>SUM(B13:B21)</f>
        <v>2490000</v>
      </c>
      <c r="C22" s="280">
        <f t="shared" ref="C22:L22" si="1">SUM(C13:C21)</f>
        <v>2490000</v>
      </c>
      <c r="D22" s="280">
        <f t="shared" si="1"/>
        <v>2490000</v>
      </c>
      <c r="E22" s="281">
        <f>SUM(E13:E21)</f>
        <v>2490000</v>
      </c>
      <c r="F22" s="280">
        <f t="shared" si="1"/>
        <v>2190000</v>
      </c>
      <c r="G22" s="280">
        <f t="shared" si="1"/>
        <v>2490000</v>
      </c>
      <c r="H22" s="280">
        <f t="shared" si="1"/>
        <v>2490000</v>
      </c>
      <c r="I22" s="280">
        <f t="shared" si="1"/>
        <v>2490000</v>
      </c>
      <c r="J22" s="280">
        <f t="shared" si="1"/>
        <v>2490000</v>
      </c>
      <c r="K22" s="280">
        <f>SUM(K13:K21)</f>
        <v>2490000</v>
      </c>
      <c r="L22" s="280">
        <f t="shared" si="1"/>
        <v>2490000</v>
      </c>
    </row>
    <row r="23" spans="1:13" s="253" customFormat="1">
      <c r="A23" s="285" t="s">
        <v>436</v>
      </c>
      <c r="B23" s="280">
        <f>B11+B22</f>
        <v>2990000</v>
      </c>
      <c r="C23" s="280">
        <f t="shared" ref="C23:L23" si="2">C11+C22</f>
        <v>2935000</v>
      </c>
      <c r="D23" s="280">
        <f t="shared" si="2"/>
        <v>3080000</v>
      </c>
      <c r="E23" s="281">
        <f>E11+E22</f>
        <v>3080000</v>
      </c>
      <c r="F23" s="280">
        <f t="shared" si="2"/>
        <v>2780000</v>
      </c>
      <c r="G23" s="280">
        <f t="shared" si="2"/>
        <v>3280000</v>
      </c>
      <c r="H23" s="280">
        <f t="shared" si="2"/>
        <v>2980000</v>
      </c>
      <c r="I23" s="280">
        <f t="shared" si="2"/>
        <v>2980000</v>
      </c>
      <c r="J23" s="280">
        <f t="shared" si="2"/>
        <v>2960000</v>
      </c>
      <c r="K23" s="280">
        <f t="shared" si="2"/>
        <v>2980000</v>
      </c>
      <c r="L23" s="280">
        <f t="shared" si="2"/>
        <v>2960000</v>
      </c>
    </row>
    <row r="24" spans="1:13" s="254" customFormat="1"/>
    <row r="25" spans="1:13" s="254" customFormat="1"/>
    <row r="26" spans="1:13" s="254" customFormat="1">
      <c r="A26" s="255" t="s">
        <v>438</v>
      </c>
    </row>
    <row r="27" spans="1:13" s="254" customFormat="1" ht="16.5" hidden="1">
      <c r="A27" s="256" t="s">
        <v>404</v>
      </c>
      <c r="B27" s="256"/>
      <c r="C27" s="256"/>
      <c r="D27" s="256"/>
      <c r="E27" s="256"/>
      <c r="F27" s="256"/>
      <c r="G27" s="256"/>
      <c r="H27" s="256"/>
      <c r="I27" s="256"/>
      <c r="J27" s="256"/>
      <c r="K27" s="256"/>
      <c r="L27" s="256"/>
    </row>
    <row r="28" spans="1:13" s="254" customFormat="1" hidden="1"/>
    <row r="29" spans="1:13" s="254" customFormat="1" ht="15.75" hidden="1">
      <c r="B29" s="257" t="s">
        <v>437</v>
      </c>
      <c r="C29" s="257"/>
      <c r="D29" s="257"/>
      <c r="E29" s="257"/>
      <c r="F29" s="257"/>
      <c r="G29" s="257"/>
      <c r="H29" s="257"/>
      <c r="I29" s="257"/>
      <c r="J29" s="257"/>
      <c r="K29" s="257"/>
      <c r="L29" s="257"/>
    </row>
    <row r="30" spans="1:13" s="254" customFormat="1" hidden="1">
      <c r="B30" s="258" t="s">
        <v>406</v>
      </c>
      <c r="C30" s="258"/>
      <c r="D30" s="258"/>
      <c r="E30" s="258"/>
      <c r="F30" s="258"/>
      <c r="G30" s="258" t="s">
        <v>407</v>
      </c>
      <c r="H30" s="258"/>
      <c r="I30" s="258"/>
      <c r="J30" s="258"/>
      <c r="K30" s="258"/>
      <c r="L30" s="258"/>
    </row>
    <row r="31" spans="1:13" s="254" customFormat="1" ht="23.25" hidden="1">
      <c r="A31" s="259" t="s">
        <v>408</v>
      </c>
      <c r="B31" s="259" t="s">
        <v>409</v>
      </c>
      <c r="C31" s="259" t="s">
        <v>410</v>
      </c>
      <c r="D31" s="259" t="s">
        <v>411</v>
      </c>
      <c r="E31" s="259" t="s">
        <v>412</v>
      </c>
      <c r="F31" s="259" t="s">
        <v>413</v>
      </c>
      <c r="G31" s="259" t="s">
        <v>414</v>
      </c>
      <c r="H31" s="259" t="s">
        <v>415</v>
      </c>
      <c r="I31" s="259" t="s">
        <v>416</v>
      </c>
      <c r="J31" s="259" t="s">
        <v>417</v>
      </c>
      <c r="K31" s="259" t="s">
        <v>418</v>
      </c>
      <c r="L31" s="259" t="s">
        <v>419</v>
      </c>
    </row>
    <row r="32" spans="1:13" s="254" customFormat="1" hidden="1">
      <c r="A32" s="260" t="s">
        <v>420</v>
      </c>
      <c r="B32" s="260"/>
      <c r="C32" s="260"/>
      <c r="D32" s="261"/>
      <c r="E32" s="261"/>
      <c r="F32" s="261"/>
      <c r="G32" s="261"/>
      <c r="H32" s="261"/>
      <c r="I32" s="261"/>
      <c r="J32" s="261"/>
      <c r="K32" s="261"/>
      <c r="L32" s="261"/>
    </row>
    <row r="33" spans="1:12" s="254" customFormat="1" hidden="1">
      <c r="A33" s="262" t="s">
        <v>421</v>
      </c>
      <c r="B33" s="263">
        <f>B7/7000</f>
        <v>15.714285714285714</v>
      </c>
      <c r="C33" s="263">
        <f t="shared" ref="C33:L33" si="3">C7/7000</f>
        <v>7.8571428571428568</v>
      </c>
      <c r="D33" s="263">
        <f t="shared" si="3"/>
        <v>28.571428571428573</v>
      </c>
      <c r="E33" s="263">
        <f t="shared" si="3"/>
        <v>28.571428571428573</v>
      </c>
      <c r="F33" s="263">
        <f t="shared" si="3"/>
        <v>28.571428571428573</v>
      </c>
      <c r="G33" s="263">
        <f t="shared" si="3"/>
        <v>57.142857142857146</v>
      </c>
      <c r="H33" s="263">
        <f t="shared" si="3"/>
        <v>14.285714285714286</v>
      </c>
      <c r="I33" s="263">
        <f t="shared" si="3"/>
        <v>14.285714285714286</v>
      </c>
      <c r="J33" s="263">
        <f t="shared" si="3"/>
        <v>11.428571428571429</v>
      </c>
      <c r="K33" s="263">
        <f t="shared" si="3"/>
        <v>14.285714285714286</v>
      </c>
      <c r="L33" s="263">
        <f t="shared" si="3"/>
        <v>11.428571428571429</v>
      </c>
    </row>
    <row r="34" spans="1:12" s="254" customFormat="1" hidden="1">
      <c r="A34" s="262" t="s">
        <v>422</v>
      </c>
      <c r="B34" s="263">
        <f t="shared" ref="B34:L36" si="4">B8/7000</f>
        <v>22.857142857142858</v>
      </c>
      <c r="C34" s="263">
        <f t="shared" si="4"/>
        <v>22.857142857142858</v>
      </c>
      <c r="D34" s="263">
        <f t="shared" si="4"/>
        <v>22.857142857142858</v>
      </c>
      <c r="E34" s="263">
        <f t="shared" si="4"/>
        <v>22.857142857142858</v>
      </c>
      <c r="F34" s="263">
        <f t="shared" si="4"/>
        <v>22.857142857142858</v>
      </c>
      <c r="G34" s="263">
        <f t="shared" si="4"/>
        <v>22.857142857142858</v>
      </c>
      <c r="H34" s="263">
        <f t="shared" si="4"/>
        <v>22.857142857142858</v>
      </c>
      <c r="I34" s="263">
        <f t="shared" si="4"/>
        <v>22.857142857142858</v>
      </c>
      <c r="J34" s="263">
        <f t="shared" si="4"/>
        <v>22.857142857142858</v>
      </c>
      <c r="K34" s="263">
        <f t="shared" si="4"/>
        <v>22.857142857142858</v>
      </c>
      <c r="L34" s="263">
        <f t="shared" si="4"/>
        <v>22.857142857142858</v>
      </c>
    </row>
    <row r="35" spans="1:12" s="254" customFormat="1" hidden="1">
      <c r="A35" s="262" t="s">
        <v>423</v>
      </c>
      <c r="B35" s="263">
        <f t="shared" si="4"/>
        <v>18.571428571428573</v>
      </c>
      <c r="C35" s="263">
        <f t="shared" si="4"/>
        <v>18.571428571428573</v>
      </c>
      <c r="D35" s="263">
        <f t="shared" si="4"/>
        <v>18.571428571428573</v>
      </c>
      <c r="E35" s="263">
        <f t="shared" si="4"/>
        <v>18.571428571428573</v>
      </c>
      <c r="F35" s="263">
        <f t="shared" si="4"/>
        <v>18.571428571428573</v>
      </c>
      <c r="G35" s="263">
        <f t="shared" si="4"/>
        <v>18.571428571428573</v>
      </c>
      <c r="H35" s="263">
        <f t="shared" si="4"/>
        <v>18.571428571428573</v>
      </c>
      <c r="I35" s="263">
        <f t="shared" si="4"/>
        <v>18.571428571428573</v>
      </c>
      <c r="J35" s="263">
        <f t="shared" si="4"/>
        <v>18.571428571428573</v>
      </c>
      <c r="K35" s="263">
        <f t="shared" si="4"/>
        <v>18.571428571428573</v>
      </c>
      <c r="L35" s="263">
        <f t="shared" si="4"/>
        <v>18.571428571428573</v>
      </c>
    </row>
    <row r="36" spans="1:12" s="254" customFormat="1" hidden="1">
      <c r="A36" s="262" t="s">
        <v>424</v>
      </c>
      <c r="B36" s="263">
        <f t="shared" si="4"/>
        <v>14.285714285714286</v>
      </c>
      <c r="C36" s="263">
        <f t="shared" si="4"/>
        <v>14.285714285714286</v>
      </c>
      <c r="D36" s="263">
        <f t="shared" si="4"/>
        <v>14.285714285714286</v>
      </c>
      <c r="E36" s="263">
        <f t="shared" si="4"/>
        <v>14.285714285714286</v>
      </c>
      <c r="F36" s="263">
        <f t="shared" si="4"/>
        <v>14.285714285714286</v>
      </c>
      <c r="G36" s="263">
        <f t="shared" si="4"/>
        <v>14.285714285714286</v>
      </c>
      <c r="H36" s="263">
        <f t="shared" si="4"/>
        <v>14.285714285714286</v>
      </c>
      <c r="I36" s="263">
        <f t="shared" si="4"/>
        <v>14.285714285714286</v>
      </c>
      <c r="J36" s="263">
        <f t="shared" si="4"/>
        <v>14.285714285714286</v>
      </c>
      <c r="K36" s="263">
        <f t="shared" si="4"/>
        <v>14.285714285714286</v>
      </c>
      <c r="L36" s="263">
        <f t="shared" si="4"/>
        <v>14.285714285714286</v>
      </c>
    </row>
    <row r="37" spans="1:12" s="254" customFormat="1" hidden="1">
      <c r="A37" s="259" t="s">
        <v>425</v>
      </c>
      <c r="B37" s="264">
        <f t="shared" ref="B37:L37" si="5">SUM(B33:B36)</f>
        <v>71.428571428571431</v>
      </c>
      <c r="C37" s="264">
        <f t="shared" si="5"/>
        <v>63.571428571428577</v>
      </c>
      <c r="D37" s="264">
        <f t="shared" si="5"/>
        <v>84.285714285714292</v>
      </c>
      <c r="E37" s="264">
        <f t="shared" si="5"/>
        <v>84.285714285714292</v>
      </c>
      <c r="F37" s="264">
        <f t="shared" si="5"/>
        <v>84.285714285714292</v>
      </c>
      <c r="G37" s="264">
        <f t="shared" si="5"/>
        <v>112.85714285714286</v>
      </c>
      <c r="H37" s="264">
        <f t="shared" si="5"/>
        <v>70.000000000000014</v>
      </c>
      <c r="I37" s="264">
        <f t="shared" si="5"/>
        <v>70.000000000000014</v>
      </c>
      <c r="J37" s="264">
        <f t="shared" si="5"/>
        <v>67.142857142857153</v>
      </c>
      <c r="K37" s="264">
        <f t="shared" si="5"/>
        <v>70.000000000000014</v>
      </c>
      <c r="L37" s="264">
        <f t="shared" si="5"/>
        <v>67.142857142857153</v>
      </c>
    </row>
    <row r="38" spans="1:12" s="254" customFormat="1" hidden="1">
      <c r="A38" s="260" t="s">
        <v>426</v>
      </c>
      <c r="B38" s="260"/>
      <c r="C38" s="260"/>
      <c r="D38" s="261"/>
      <c r="E38" s="261"/>
      <c r="F38" s="261"/>
      <c r="G38" s="261"/>
      <c r="H38" s="261"/>
      <c r="I38" s="261"/>
      <c r="J38" s="261"/>
      <c r="K38" s="261"/>
      <c r="L38" s="261"/>
    </row>
    <row r="39" spans="1:12" s="254" customFormat="1" hidden="1">
      <c r="A39" s="262" t="s">
        <v>427</v>
      </c>
      <c r="B39" s="263">
        <f>B13/7000</f>
        <v>42.857142857142854</v>
      </c>
      <c r="C39" s="263">
        <f t="shared" ref="C39:L39" si="6">C13/7000</f>
        <v>42.857142857142854</v>
      </c>
      <c r="D39" s="263">
        <f t="shared" si="6"/>
        <v>42.857142857142854</v>
      </c>
      <c r="E39" s="263">
        <f t="shared" si="6"/>
        <v>42.857142857142854</v>
      </c>
      <c r="F39" s="263">
        <f t="shared" si="6"/>
        <v>42.857142857142854</v>
      </c>
      <c r="G39" s="263">
        <f t="shared" si="6"/>
        <v>42.857142857142854</v>
      </c>
      <c r="H39" s="263">
        <f t="shared" si="6"/>
        <v>42.857142857142854</v>
      </c>
      <c r="I39" s="263">
        <f t="shared" si="6"/>
        <v>42.857142857142854</v>
      </c>
      <c r="J39" s="263">
        <f t="shared" si="6"/>
        <v>42.857142857142854</v>
      </c>
      <c r="K39" s="263">
        <f>K13/7000</f>
        <v>42.857142857142854</v>
      </c>
      <c r="L39" s="263">
        <f t="shared" si="6"/>
        <v>42.857142857142854</v>
      </c>
    </row>
    <row r="40" spans="1:12" s="254" customFormat="1" hidden="1">
      <c r="A40" s="262" t="s">
        <v>428</v>
      </c>
      <c r="B40" s="263">
        <f t="shared" ref="B40:L47" si="7">B14/7000</f>
        <v>0</v>
      </c>
      <c r="C40" s="263">
        <f t="shared" si="7"/>
        <v>0</v>
      </c>
      <c r="D40" s="263">
        <f t="shared" si="7"/>
        <v>0</v>
      </c>
      <c r="E40" s="263">
        <f t="shared" si="7"/>
        <v>0</v>
      </c>
      <c r="F40" s="263">
        <f t="shared" si="7"/>
        <v>0</v>
      </c>
      <c r="G40" s="263">
        <f t="shared" si="7"/>
        <v>0</v>
      </c>
      <c r="H40" s="263">
        <f t="shared" si="7"/>
        <v>0</v>
      </c>
      <c r="I40" s="263">
        <f t="shared" si="7"/>
        <v>0</v>
      </c>
      <c r="J40" s="263">
        <f t="shared" si="7"/>
        <v>0</v>
      </c>
      <c r="K40" s="263">
        <f>K14/7000</f>
        <v>0</v>
      </c>
      <c r="L40" s="263">
        <f t="shared" si="7"/>
        <v>0</v>
      </c>
    </row>
    <row r="41" spans="1:12" s="254" customFormat="1" hidden="1">
      <c r="A41" s="265" t="s">
        <v>429</v>
      </c>
      <c r="B41" s="263">
        <f t="shared" si="7"/>
        <v>57.142857142857146</v>
      </c>
      <c r="C41" s="263">
        <f t="shared" si="7"/>
        <v>57.142857142857146</v>
      </c>
      <c r="D41" s="263">
        <f t="shared" si="7"/>
        <v>57.142857142857146</v>
      </c>
      <c r="E41" s="263">
        <f t="shared" si="7"/>
        <v>57.142857142857146</v>
      </c>
      <c r="F41" s="263">
        <f t="shared" si="7"/>
        <v>57.142857142857146</v>
      </c>
      <c r="G41" s="263">
        <f t="shared" si="7"/>
        <v>57.142857142857146</v>
      </c>
      <c r="H41" s="263">
        <f t="shared" si="7"/>
        <v>57.142857142857146</v>
      </c>
      <c r="I41" s="263">
        <f t="shared" si="7"/>
        <v>57.142857142857146</v>
      </c>
      <c r="J41" s="263">
        <f t="shared" si="7"/>
        <v>57.142857142857146</v>
      </c>
      <c r="K41" s="263">
        <f t="shared" si="7"/>
        <v>57.142857142857146</v>
      </c>
      <c r="L41" s="263">
        <f t="shared" si="7"/>
        <v>57.142857142857146</v>
      </c>
    </row>
    <row r="42" spans="1:12" s="254" customFormat="1" hidden="1">
      <c r="A42" s="265" t="s">
        <v>430</v>
      </c>
      <c r="B42" s="263">
        <f t="shared" si="7"/>
        <v>35.714285714285715</v>
      </c>
      <c r="C42" s="263">
        <f t="shared" si="7"/>
        <v>35.714285714285715</v>
      </c>
      <c r="D42" s="263">
        <f t="shared" si="7"/>
        <v>35.714285714285715</v>
      </c>
      <c r="E42" s="263">
        <f t="shared" si="7"/>
        <v>35.714285714285715</v>
      </c>
      <c r="F42" s="263">
        <f t="shared" si="7"/>
        <v>35.714285714285715</v>
      </c>
      <c r="G42" s="263">
        <f t="shared" si="7"/>
        <v>35.714285714285715</v>
      </c>
      <c r="H42" s="263">
        <f t="shared" si="7"/>
        <v>35.714285714285715</v>
      </c>
      <c r="I42" s="263">
        <f t="shared" si="7"/>
        <v>35.714285714285715</v>
      </c>
      <c r="J42" s="263">
        <f t="shared" si="7"/>
        <v>35.714285714285715</v>
      </c>
      <c r="K42" s="263">
        <f t="shared" si="7"/>
        <v>35.714285714285715</v>
      </c>
      <c r="L42" s="263">
        <f t="shared" si="7"/>
        <v>35.714285714285715</v>
      </c>
    </row>
    <row r="43" spans="1:12" s="254" customFormat="1" hidden="1">
      <c r="A43" s="265" t="s">
        <v>431</v>
      </c>
      <c r="B43" s="263">
        <f t="shared" si="7"/>
        <v>71.428571428571431</v>
      </c>
      <c r="C43" s="263">
        <f t="shared" si="7"/>
        <v>71.428571428571431</v>
      </c>
      <c r="D43" s="263">
        <f t="shared" si="7"/>
        <v>71.428571428571431</v>
      </c>
      <c r="E43" s="263">
        <f t="shared" si="7"/>
        <v>71.428571428571431</v>
      </c>
      <c r="F43" s="263">
        <f t="shared" si="7"/>
        <v>71.428571428571431</v>
      </c>
      <c r="G43" s="263">
        <f t="shared" si="7"/>
        <v>71.428571428571431</v>
      </c>
      <c r="H43" s="263">
        <f t="shared" si="7"/>
        <v>71.428571428571431</v>
      </c>
      <c r="I43" s="263">
        <f t="shared" si="7"/>
        <v>71.428571428571431</v>
      </c>
      <c r="J43" s="263">
        <f t="shared" si="7"/>
        <v>71.428571428571431</v>
      </c>
      <c r="K43" s="263">
        <f t="shared" si="7"/>
        <v>71.428571428571431</v>
      </c>
      <c r="L43" s="263">
        <f t="shared" si="7"/>
        <v>71.428571428571431</v>
      </c>
    </row>
    <row r="44" spans="1:12" s="254" customFormat="1" hidden="1">
      <c r="A44" s="265" t="s">
        <v>432</v>
      </c>
      <c r="B44" s="263">
        <f t="shared" si="7"/>
        <v>42.857142857142854</v>
      </c>
      <c r="C44" s="263">
        <f t="shared" si="7"/>
        <v>42.857142857142854</v>
      </c>
      <c r="D44" s="263">
        <f t="shared" si="7"/>
        <v>42.857142857142854</v>
      </c>
      <c r="E44" s="263">
        <f t="shared" si="7"/>
        <v>42.857142857142854</v>
      </c>
      <c r="F44" s="263">
        <f t="shared" si="7"/>
        <v>0</v>
      </c>
      <c r="G44" s="263">
        <f t="shared" si="7"/>
        <v>42.857142857142854</v>
      </c>
      <c r="H44" s="263">
        <f t="shared" si="7"/>
        <v>42.857142857142854</v>
      </c>
      <c r="I44" s="263">
        <f t="shared" si="7"/>
        <v>42.857142857142854</v>
      </c>
      <c r="J44" s="263">
        <f t="shared" si="7"/>
        <v>42.857142857142854</v>
      </c>
      <c r="K44" s="263">
        <f t="shared" si="7"/>
        <v>42.857142857142854</v>
      </c>
      <c r="L44" s="263">
        <f t="shared" si="7"/>
        <v>42.857142857142854</v>
      </c>
    </row>
    <row r="45" spans="1:12" s="254" customFormat="1" hidden="1">
      <c r="A45" s="262" t="s">
        <v>433</v>
      </c>
      <c r="B45" s="263">
        <f t="shared" si="7"/>
        <v>57.142857142857146</v>
      </c>
      <c r="C45" s="263">
        <f t="shared" si="7"/>
        <v>57.142857142857146</v>
      </c>
      <c r="D45" s="263">
        <f t="shared" si="7"/>
        <v>57.142857142857146</v>
      </c>
      <c r="E45" s="263">
        <f t="shared" si="7"/>
        <v>57.142857142857146</v>
      </c>
      <c r="F45" s="263">
        <f t="shared" si="7"/>
        <v>57.142857142857146</v>
      </c>
      <c r="G45" s="263">
        <f t="shared" si="7"/>
        <v>57.142857142857146</v>
      </c>
      <c r="H45" s="263">
        <f t="shared" si="7"/>
        <v>57.142857142857146</v>
      </c>
      <c r="I45" s="263">
        <f t="shared" si="7"/>
        <v>57.142857142857146</v>
      </c>
      <c r="J45" s="263">
        <f t="shared" si="7"/>
        <v>57.142857142857146</v>
      </c>
      <c r="K45" s="263">
        <f t="shared" si="7"/>
        <v>57.142857142857146</v>
      </c>
      <c r="L45" s="263">
        <f t="shared" si="7"/>
        <v>57.142857142857146</v>
      </c>
    </row>
    <row r="46" spans="1:12" s="254" customFormat="1" hidden="1">
      <c r="A46" s="262" t="s">
        <v>434</v>
      </c>
      <c r="B46" s="263">
        <f t="shared" si="7"/>
        <v>34.285714285714285</v>
      </c>
      <c r="C46" s="263">
        <f t="shared" si="7"/>
        <v>34.285714285714285</v>
      </c>
      <c r="D46" s="263">
        <f t="shared" si="7"/>
        <v>34.285714285714285</v>
      </c>
      <c r="E46" s="263">
        <f t="shared" si="7"/>
        <v>34.285714285714285</v>
      </c>
      <c r="F46" s="263">
        <f t="shared" si="7"/>
        <v>34.285714285714285</v>
      </c>
      <c r="G46" s="263">
        <f t="shared" si="7"/>
        <v>34.285714285714285</v>
      </c>
      <c r="H46" s="263">
        <f t="shared" si="7"/>
        <v>34.285714285714285</v>
      </c>
      <c r="I46" s="263">
        <f t="shared" si="7"/>
        <v>34.285714285714285</v>
      </c>
      <c r="J46" s="263">
        <f t="shared" si="7"/>
        <v>34.285714285714285</v>
      </c>
      <c r="K46" s="263">
        <f t="shared" si="7"/>
        <v>34.285714285714285</v>
      </c>
      <c r="L46" s="263">
        <f t="shared" si="7"/>
        <v>34.285714285714285</v>
      </c>
    </row>
    <row r="47" spans="1:12" s="254" customFormat="1" ht="23.25" hidden="1">
      <c r="A47" s="262" t="s">
        <v>435</v>
      </c>
      <c r="B47" s="263">
        <f t="shared" si="7"/>
        <v>14.285714285714286</v>
      </c>
      <c r="C47" s="263">
        <f t="shared" si="7"/>
        <v>14.285714285714286</v>
      </c>
      <c r="D47" s="263">
        <f t="shared" si="7"/>
        <v>14.285714285714286</v>
      </c>
      <c r="E47" s="263">
        <f t="shared" si="7"/>
        <v>14.285714285714286</v>
      </c>
      <c r="F47" s="263">
        <f t="shared" si="7"/>
        <v>14.285714285714286</v>
      </c>
      <c r="G47" s="263">
        <f t="shared" si="7"/>
        <v>14.285714285714286</v>
      </c>
      <c r="H47" s="263">
        <f t="shared" si="7"/>
        <v>14.285714285714286</v>
      </c>
      <c r="I47" s="263">
        <f t="shared" si="7"/>
        <v>14.285714285714286</v>
      </c>
      <c r="J47" s="263">
        <f t="shared" si="7"/>
        <v>14.285714285714286</v>
      </c>
      <c r="K47" s="263">
        <f t="shared" si="7"/>
        <v>14.285714285714286</v>
      </c>
      <c r="L47" s="263">
        <f t="shared" si="7"/>
        <v>14.285714285714286</v>
      </c>
    </row>
    <row r="48" spans="1:12" s="254" customFormat="1" hidden="1">
      <c r="A48" s="259" t="s">
        <v>425</v>
      </c>
      <c r="B48" s="264">
        <f t="shared" ref="B48:L48" si="8">SUM(B39:B47)</f>
        <v>355.71428571428572</v>
      </c>
      <c r="C48" s="264">
        <f t="shared" si="8"/>
        <v>355.71428571428572</v>
      </c>
      <c r="D48" s="264">
        <f t="shared" si="8"/>
        <v>355.71428571428572</v>
      </c>
      <c r="E48" s="264">
        <f t="shared" si="8"/>
        <v>355.71428571428572</v>
      </c>
      <c r="F48" s="264">
        <f t="shared" si="8"/>
        <v>312.85714285714289</v>
      </c>
      <c r="G48" s="264">
        <f t="shared" si="8"/>
        <v>355.71428571428572</v>
      </c>
      <c r="H48" s="264">
        <f t="shared" si="8"/>
        <v>355.71428571428572</v>
      </c>
      <c r="I48" s="264">
        <f t="shared" si="8"/>
        <v>355.71428571428572</v>
      </c>
      <c r="J48" s="264">
        <f t="shared" si="8"/>
        <v>355.71428571428572</v>
      </c>
      <c r="K48" s="264">
        <f t="shared" si="8"/>
        <v>355.71428571428572</v>
      </c>
      <c r="L48" s="264">
        <f t="shared" si="8"/>
        <v>355.71428571428572</v>
      </c>
    </row>
    <row r="49" spans="1:12" s="254" customFormat="1" hidden="1">
      <c r="A49" s="266" t="s">
        <v>436</v>
      </c>
      <c r="B49" s="264">
        <f t="shared" ref="B49:L49" si="9">B37+B48</f>
        <v>427.14285714285717</v>
      </c>
      <c r="C49" s="264">
        <f t="shared" si="9"/>
        <v>419.28571428571428</v>
      </c>
      <c r="D49" s="264">
        <f t="shared" si="9"/>
        <v>440</v>
      </c>
      <c r="E49" s="264">
        <f t="shared" si="9"/>
        <v>440</v>
      </c>
      <c r="F49" s="264">
        <f t="shared" si="9"/>
        <v>397.14285714285717</v>
      </c>
      <c r="G49" s="264">
        <f t="shared" si="9"/>
        <v>468.57142857142856</v>
      </c>
      <c r="H49" s="264">
        <f t="shared" si="9"/>
        <v>425.71428571428572</v>
      </c>
      <c r="I49" s="264">
        <f t="shared" si="9"/>
        <v>425.71428571428572</v>
      </c>
      <c r="J49" s="264">
        <f t="shared" si="9"/>
        <v>422.85714285714289</v>
      </c>
      <c r="K49" s="264">
        <f t="shared" si="9"/>
        <v>425.71428571428572</v>
      </c>
      <c r="L49" s="264">
        <f t="shared" si="9"/>
        <v>422.85714285714289</v>
      </c>
    </row>
    <row r="50" spans="1:12" s="254" customFormat="1"/>
    <row r="51" spans="1:12" s="254" customFormat="1"/>
    <row r="52" spans="1:12" s="254" customFormat="1"/>
    <row r="53" spans="1:12" s="254" customFormat="1"/>
    <row r="54" spans="1:12" s="254" customFormat="1"/>
    <row r="55" spans="1:12" s="254" customFormat="1"/>
    <row r="56" spans="1:12" s="254" customFormat="1"/>
    <row r="57" spans="1:12" s="254" customFormat="1"/>
    <row r="58" spans="1:12" s="254" customFormat="1"/>
    <row r="59" spans="1:12" s="254" customFormat="1"/>
    <row r="60" spans="1:12" s="254" customFormat="1"/>
    <row r="61" spans="1:12" s="254" customFormat="1"/>
    <row r="62" spans="1:12" s="254" customFormat="1"/>
    <row r="63" spans="1:12" s="254" customFormat="1"/>
    <row r="64" spans="1:12" s="254" customFormat="1"/>
    <row r="65" s="254" customFormat="1"/>
    <row r="66" s="254" customFormat="1"/>
    <row r="67" s="254" customFormat="1"/>
    <row r="68" s="254" customFormat="1"/>
    <row r="69" s="254" customFormat="1"/>
    <row r="70" s="254" customFormat="1"/>
    <row r="71" s="254" customFormat="1"/>
    <row r="72" s="254" customFormat="1"/>
    <row r="73" s="254" customFormat="1"/>
    <row r="74" s="254" customFormat="1"/>
    <row r="75" s="254" customFormat="1"/>
    <row r="76" s="254" customFormat="1"/>
    <row r="77" s="254" customFormat="1"/>
    <row r="78" s="254" customFormat="1"/>
    <row r="79" s="254" customFormat="1"/>
    <row r="80" s="254" customFormat="1"/>
    <row r="81" s="254" customFormat="1"/>
    <row r="82" s="254" customFormat="1"/>
    <row r="83" s="254" customFormat="1"/>
    <row r="84" s="254" customFormat="1"/>
    <row r="85" s="254" customFormat="1"/>
    <row r="86" s="254" customFormat="1"/>
    <row r="87" s="254" customFormat="1"/>
    <row r="88" s="254" customFormat="1"/>
    <row r="89" s="254" customFormat="1"/>
    <row r="90" s="254" customFormat="1"/>
    <row r="91" s="254" customFormat="1"/>
    <row r="92" s="254" customFormat="1"/>
    <row r="93" s="254" customFormat="1"/>
    <row r="94" s="254" customFormat="1"/>
    <row r="95" s="254" customFormat="1"/>
    <row r="96" s="254" customFormat="1"/>
    <row r="97" s="254" customFormat="1"/>
    <row r="98" s="254" customFormat="1"/>
    <row r="99" s="254" customFormat="1"/>
    <row r="100" s="254" customFormat="1"/>
    <row r="101" s="254" customFormat="1"/>
    <row r="102" s="254" customFormat="1"/>
    <row r="103" s="254" customFormat="1"/>
    <row r="104" s="254" customFormat="1"/>
    <row r="105" s="254" customFormat="1"/>
    <row r="106" s="254" customFormat="1"/>
    <row r="107" s="254" customFormat="1"/>
    <row r="108" s="254" customFormat="1"/>
    <row r="109" s="254" customFormat="1"/>
    <row r="110" s="254" customFormat="1"/>
    <row r="111" s="254" customFormat="1"/>
    <row r="112" s="254" customFormat="1"/>
    <row r="113" s="254" customFormat="1"/>
    <row r="114" s="254" customFormat="1"/>
    <row r="115" s="254" customFormat="1"/>
    <row r="116" s="254" customFormat="1"/>
    <row r="117" s="254" customFormat="1"/>
    <row r="118" s="254" customFormat="1"/>
    <row r="119" s="254" customFormat="1"/>
    <row r="120" s="254" customFormat="1"/>
    <row r="121" s="254" customFormat="1"/>
    <row r="122" s="254" customFormat="1"/>
    <row r="123" s="254" customFormat="1"/>
    <row r="124" s="254" customFormat="1"/>
    <row r="125" s="254" customFormat="1"/>
    <row r="126" s="254" customFormat="1"/>
    <row r="127" s="254" customFormat="1"/>
    <row r="128" s="254" customFormat="1"/>
    <row r="129" s="254" customFormat="1"/>
    <row r="130" s="254" customFormat="1"/>
    <row r="131" s="254" customFormat="1"/>
    <row r="132" s="254" customFormat="1"/>
    <row r="133" s="254" customFormat="1"/>
    <row r="134" s="254" customFormat="1"/>
    <row r="135" s="254" customFormat="1"/>
    <row r="136" s="254" customFormat="1"/>
    <row r="137" s="254" customFormat="1"/>
    <row r="138" s="254" customFormat="1"/>
    <row r="139" s="254" customFormat="1"/>
    <row r="140" s="254" customFormat="1"/>
    <row r="141" s="254" customFormat="1"/>
    <row r="142" s="254" customFormat="1"/>
    <row r="143" s="254" customFormat="1"/>
    <row r="144" s="254" customFormat="1"/>
    <row r="145" s="254" customFormat="1"/>
    <row r="146" s="254" customFormat="1"/>
    <row r="147" s="254" customFormat="1"/>
    <row r="148" s="254" customFormat="1"/>
    <row r="149" s="254" customFormat="1"/>
    <row r="150" s="254" customFormat="1"/>
    <row r="151" s="254" customFormat="1"/>
    <row r="152" s="254" customFormat="1"/>
    <row r="153" s="254" customFormat="1"/>
    <row r="154" s="254" customFormat="1"/>
    <row r="155" s="254" customFormat="1"/>
    <row r="156" s="254" customFormat="1"/>
    <row r="157" s="254" customFormat="1"/>
    <row r="158" s="254" customFormat="1"/>
    <row r="159" s="254" customFormat="1"/>
    <row r="160" s="254" customFormat="1"/>
    <row r="161" s="254" customFormat="1"/>
    <row r="162" s="254" customFormat="1"/>
    <row r="163" s="254" customFormat="1"/>
    <row r="164" s="254" customFormat="1"/>
    <row r="165" s="254" customFormat="1"/>
    <row r="166" s="254" customFormat="1"/>
    <row r="167" s="254" customFormat="1"/>
    <row r="168" s="254" customFormat="1"/>
    <row r="169" s="254" customFormat="1"/>
    <row r="170" s="254" customFormat="1"/>
    <row r="171" s="254" customFormat="1"/>
    <row r="172" s="254" customFormat="1"/>
    <row r="173" s="254" customFormat="1"/>
    <row r="174" s="254" customFormat="1"/>
    <row r="175" s="254" customFormat="1"/>
    <row r="176" s="254" customFormat="1"/>
    <row r="177" s="254" customFormat="1"/>
    <row r="178" s="254" customFormat="1"/>
    <row r="179" s="254" customFormat="1"/>
    <row r="180" s="254" customFormat="1"/>
    <row r="181" s="254" customFormat="1"/>
    <row r="182" s="254" customFormat="1"/>
    <row r="183" s="254" customFormat="1"/>
    <row r="184" s="254" customFormat="1"/>
    <row r="185" s="254" customFormat="1"/>
    <row r="186" s="254" customFormat="1"/>
    <row r="187" s="254" customFormat="1"/>
    <row r="188" s="254" customFormat="1"/>
    <row r="189" s="254" customFormat="1"/>
    <row r="190" s="254" customFormat="1"/>
    <row r="191" s="254" customFormat="1"/>
    <row r="192" s="254" customFormat="1"/>
    <row r="193" s="254" customFormat="1"/>
    <row r="194" s="254" customFormat="1"/>
    <row r="195" s="254" customFormat="1"/>
    <row r="196" s="254" customFormat="1"/>
    <row r="197" s="254" customFormat="1"/>
    <row r="198" s="254" customFormat="1"/>
    <row r="199" s="254" customFormat="1"/>
    <row r="200" s="254" customFormat="1"/>
    <row r="201" s="254" customFormat="1"/>
    <row r="202" s="254" customFormat="1"/>
    <row r="203" s="254" customFormat="1"/>
    <row r="204" s="254" customFormat="1"/>
    <row r="205" s="254" customFormat="1"/>
    <row r="206" s="254" customFormat="1"/>
    <row r="207" s="254" customFormat="1"/>
    <row r="208" s="254" customFormat="1"/>
    <row r="209" s="254" customFormat="1"/>
    <row r="210" s="254" customFormat="1"/>
    <row r="211" s="254" customFormat="1"/>
    <row r="212" s="254" customFormat="1"/>
    <row r="213" s="254" customFormat="1"/>
    <row r="214" s="254" customFormat="1"/>
    <row r="215" s="254" customFormat="1"/>
    <row r="216" s="254" customFormat="1"/>
    <row r="217" s="254" customFormat="1"/>
    <row r="218" s="254" customFormat="1"/>
    <row r="219" s="254" customFormat="1"/>
    <row r="220" s="254" customFormat="1"/>
    <row r="221" s="254" customFormat="1"/>
    <row r="222" s="254" customFormat="1"/>
    <row r="223" s="254" customFormat="1"/>
    <row r="224" s="254" customFormat="1"/>
    <row r="225" s="254" customFormat="1"/>
    <row r="226" s="254" customFormat="1"/>
    <row r="227" s="254" customFormat="1"/>
    <row r="228" s="254" customFormat="1"/>
    <row r="229" s="254" customFormat="1"/>
    <row r="230" s="254" customFormat="1"/>
    <row r="231" s="254" customFormat="1"/>
    <row r="232" s="254" customFormat="1"/>
    <row r="233" s="254" customFormat="1"/>
    <row r="234" s="254" customFormat="1"/>
    <row r="235" s="254" customFormat="1"/>
    <row r="236" s="254" customFormat="1"/>
    <row r="237" s="254" customFormat="1"/>
    <row r="238" s="254" customFormat="1"/>
    <row r="239" s="254" customFormat="1"/>
    <row r="240" s="254" customFormat="1"/>
    <row r="241" s="254" customFormat="1"/>
    <row r="242" s="254" customFormat="1"/>
    <row r="243" s="254" customFormat="1"/>
    <row r="244" s="254" customFormat="1"/>
    <row r="245" s="254" customFormat="1"/>
    <row r="246" s="254" customFormat="1"/>
    <row r="247" s="254" customFormat="1"/>
    <row r="248" s="254" customFormat="1"/>
    <row r="249" s="254" customFormat="1"/>
    <row r="250" s="254" customFormat="1"/>
    <row r="251" s="254" customFormat="1"/>
    <row r="252" s="254" customFormat="1"/>
    <row r="253" s="254" customFormat="1"/>
    <row r="254" s="254" customFormat="1"/>
    <row r="255" s="254" customFormat="1"/>
    <row r="256" s="254" customFormat="1"/>
    <row r="257" s="254" customFormat="1"/>
    <row r="258" s="254" customFormat="1"/>
    <row r="259" s="254" customFormat="1"/>
    <row r="260" s="254" customFormat="1"/>
    <row r="261" s="254" customFormat="1"/>
    <row r="262" s="254" customFormat="1"/>
    <row r="263" s="254" customFormat="1"/>
    <row r="264" s="254" customFormat="1"/>
    <row r="265" s="254" customFormat="1"/>
    <row r="266" s="254" customFormat="1"/>
    <row r="267" s="254" customFormat="1"/>
    <row r="268" s="254" customFormat="1"/>
    <row r="269" s="254" customFormat="1"/>
    <row r="270" s="254" customFormat="1"/>
    <row r="271" s="254" customFormat="1"/>
    <row r="272" s="254" customFormat="1"/>
    <row r="273" s="254" customFormat="1"/>
    <row r="274" s="254" customFormat="1"/>
    <row r="275" s="254" customFormat="1"/>
    <row r="276" s="254" customFormat="1"/>
    <row r="277" s="254" customFormat="1"/>
    <row r="278" s="254" customFormat="1"/>
    <row r="279" s="254" customFormat="1"/>
    <row r="280" s="254" customFormat="1"/>
    <row r="281" s="254" customFormat="1"/>
    <row r="282" s="254" customFormat="1"/>
    <row r="283" s="254" customFormat="1"/>
    <row r="284" s="254" customFormat="1"/>
    <row r="285" s="254" customFormat="1"/>
    <row r="286" s="254" customFormat="1"/>
    <row r="287" s="254" customFormat="1"/>
    <row r="288" s="254" customFormat="1"/>
    <row r="289" s="254" customFormat="1"/>
    <row r="290" s="254" customFormat="1"/>
    <row r="291" s="254" customFormat="1"/>
    <row r="292" s="254" customFormat="1"/>
    <row r="293" s="254" customFormat="1"/>
    <row r="294" s="254" customFormat="1"/>
    <row r="295" s="254" customFormat="1"/>
    <row r="296" s="254" customFormat="1"/>
    <row r="297" s="254" customFormat="1"/>
    <row r="298" s="254" customFormat="1"/>
    <row r="299" s="254" customFormat="1"/>
    <row r="300" s="254" customFormat="1"/>
    <row r="301" s="254" customFormat="1"/>
    <row r="302" s="254" customFormat="1"/>
    <row r="303" s="254" customFormat="1"/>
    <row r="304" s="254" customFormat="1"/>
    <row r="305" s="254" customFormat="1"/>
    <row r="306" s="254" customFormat="1"/>
    <row r="307" s="254" customFormat="1"/>
    <row r="308" s="254" customFormat="1"/>
    <row r="309" s="254" customFormat="1"/>
    <row r="310" s="254" customFormat="1"/>
    <row r="311" s="254" customFormat="1"/>
    <row r="312" s="254" customFormat="1"/>
    <row r="313" s="254" customFormat="1"/>
    <row r="314" s="254" customFormat="1"/>
    <row r="315" s="254" customFormat="1"/>
    <row r="316" s="254" customFormat="1"/>
    <row r="317" s="254" customFormat="1"/>
    <row r="318" s="254" customFormat="1"/>
    <row r="319" s="254" customFormat="1"/>
    <row r="320" s="254" customFormat="1"/>
    <row r="321" s="254" customFormat="1"/>
    <row r="322" s="254" customFormat="1"/>
    <row r="323" s="254" customFormat="1"/>
    <row r="324" s="254" customFormat="1"/>
    <row r="325" s="254" customFormat="1"/>
    <row r="326" s="254" customFormat="1"/>
    <row r="327" s="254" customFormat="1"/>
    <row r="328" s="254" customFormat="1"/>
    <row r="329" s="254" customFormat="1"/>
    <row r="330" s="254" customFormat="1"/>
    <row r="331" s="254" customFormat="1"/>
    <row r="332" s="254" customFormat="1"/>
    <row r="333" s="254" customFormat="1"/>
    <row r="334" s="254" customFormat="1"/>
    <row r="335" s="254" customFormat="1"/>
    <row r="336" s="254" customFormat="1"/>
    <row r="337" s="254" customFormat="1"/>
    <row r="338" s="254" customFormat="1"/>
    <row r="339" s="254" customFormat="1"/>
    <row r="340" s="254" customFormat="1"/>
    <row r="341" s="254" customFormat="1"/>
    <row r="342" s="254" customFormat="1"/>
    <row r="343" s="254" customFormat="1"/>
    <row r="344" s="254" customFormat="1"/>
    <row r="345" s="254" customFormat="1"/>
    <row r="346" s="254" customFormat="1"/>
    <row r="347" s="254" customFormat="1"/>
    <row r="348" s="254" customFormat="1"/>
    <row r="349" s="254" customFormat="1"/>
    <row r="350" s="254" customFormat="1"/>
    <row r="351" s="254" customFormat="1"/>
    <row r="352" s="254" customFormat="1"/>
    <row r="353" s="254" customFormat="1"/>
    <row r="354" s="254" customFormat="1"/>
    <row r="355" s="254" customFormat="1"/>
    <row r="356" s="254" customFormat="1"/>
    <row r="357" s="254" customFormat="1"/>
    <row r="358" s="254" customFormat="1"/>
    <row r="359" s="254" customFormat="1"/>
    <row r="360" s="254" customFormat="1"/>
    <row r="361" s="254" customFormat="1"/>
    <row r="362" s="254" customFormat="1"/>
    <row r="363" s="254" customFormat="1"/>
    <row r="364" s="254" customFormat="1"/>
    <row r="365" s="254" customFormat="1"/>
    <row r="366" s="254" customFormat="1"/>
    <row r="367" s="254" customFormat="1"/>
    <row r="368" s="254" customFormat="1"/>
    <row r="369" s="254" customFormat="1"/>
    <row r="370" s="254" customFormat="1"/>
    <row r="371" s="254" customFormat="1"/>
    <row r="372" s="254" customFormat="1"/>
    <row r="373" s="254" customFormat="1"/>
    <row r="374" s="254" customFormat="1"/>
    <row r="375" s="254" customFormat="1"/>
    <row r="376" s="254" customFormat="1"/>
    <row r="377" s="254" customFormat="1"/>
    <row r="378" s="254" customFormat="1"/>
    <row r="379" s="254" customFormat="1"/>
    <row r="380" s="254" customFormat="1"/>
    <row r="381" s="254" customFormat="1"/>
    <row r="382" s="254" customFormat="1"/>
    <row r="383" s="254" customFormat="1"/>
    <row r="384" s="254" customFormat="1"/>
    <row r="385" s="254" customFormat="1"/>
    <row r="386" s="254" customFormat="1"/>
    <row r="387" s="254" customFormat="1"/>
    <row r="388" s="254" customFormat="1"/>
    <row r="389" s="254" customFormat="1"/>
    <row r="390" s="254" customFormat="1"/>
    <row r="391" s="254" customFormat="1"/>
    <row r="392" s="254" customFormat="1"/>
    <row r="393" s="254" customFormat="1"/>
    <row r="394" s="254" customFormat="1"/>
    <row r="395" s="254" customFormat="1"/>
    <row r="396" s="254" customFormat="1"/>
    <row r="397" s="254" customFormat="1"/>
    <row r="398" s="254" customFormat="1"/>
    <row r="399" s="254" customFormat="1"/>
    <row r="400" s="254" customFormat="1"/>
    <row r="401" s="254" customFormat="1"/>
    <row r="402" s="254" customFormat="1"/>
    <row r="403" s="254" customFormat="1"/>
    <row r="404" s="254" customFormat="1"/>
    <row r="405" s="254" customFormat="1"/>
    <row r="406" s="254" customFormat="1"/>
    <row r="407" s="254" customFormat="1"/>
    <row r="408" s="254" customFormat="1"/>
    <row r="409" s="254" customFormat="1"/>
    <row r="410" s="254" customFormat="1"/>
    <row r="411" s="254" customFormat="1"/>
    <row r="412" s="254" customFormat="1"/>
    <row r="413" s="254" customFormat="1"/>
    <row r="414" s="254" customFormat="1"/>
    <row r="415" s="254" customFormat="1"/>
    <row r="416" s="254" customFormat="1"/>
    <row r="417" s="254" customFormat="1"/>
    <row r="418" s="254" customFormat="1"/>
    <row r="419" s="254" customFormat="1"/>
    <row r="420" s="254" customFormat="1"/>
    <row r="421" s="254" customFormat="1"/>
    <row r="422" s="254" customFormat="1"/>
    <row r="423" s="254" customFormat="1"/>
    <row r="424" s="254" customFormat="1"/>
    <row r="425" s="254" customFormat="1"/>
    <row r="426" s="254" customFormat="1"/>
    <row r="427" s="254" customFormat="1"/>
    <row r="428" s="254" customFormat="1"/>
    <row r="429" s="254" customFormat="1"/>
    <row r="430" s="254" customFormat="1"/>
    <row r="431" s="254" customFormat="1"/>
    <row r="432" s="254" customFormat="1"/>
    <row r="433" s="254" customFormat="1"/>
    <row r="434" s="254" customFormat="1"/>
    <row r="435" s="254" customFormat="1"/>
    <row r="436" s="254" customFormat="1"/>
    <row r="437" s="254" customFormat="1"/>
    <row r="438" s="254" customFormat="1"/>
    <row r="439" s="254" customFormat="1"/>
    <row r="440" s="254" customFormat="1"/>
    <row r="441" s="254" customFormat="1"/>
    <row r="442" s="254" customFormat="1"/>
    <row r="443" s="254" customFormat="1"/>
    <row r="444" s="254" customFormat="1"/>
    <row r="445" s="254" customFormat="1"/>
    <row r="446" s="254" customFormat="1"/>
    <row r="447" s="254" customFormat="1"/>
    <row r="448" s="254" customFormat="1"/>
    <row r="449" s="254" customFormat="1"/>
    <row r="450" s="254" customFormat="1"/>
    <row r="451" s="254" customFormat="1"/>
    <row r="452" s="254" customFormat="1"/>
    <row r="453" s="254" customFormat="1"/>
    <row r="454" s="254" customFormat="1"/>
    <row r="455" s="254" customFormat="1"/>
    <row r="456" s="254" customFormat="1"/>
    <row r="457" s="254" customFormat="1"/>
    <row r="458" s="254" customFormat="1"/>
    <row r="459" s="254" customFormat="1"/>
    <row r="460" s="254" customFormat="1"/>
    <row r="461" s="254" customFormat="1"/>
    <row r="462" s="254" customFormat="1"/>
    <row r="463" s="254" customFormat="1"/>
    <row r="464" s="254" customFormat="1"/>
    <row r="465" s="254" customFormat="1"/>
    <row r="466" s="254" customFormat="1"/>
    <row r="467" s="254" customFormat="1"/>
    <row r="468" s="254" customFormat="1"/>
    <row r="469" s="254" customFormat="1"/>
    <row r="470" s="254" customFormat="1"/>
    <row r="471" s="254" customFormat="1"/>
    <row r="472" s="254" customFormat="1"/>
    <row r="473" s="254" customFormat="1"/>
    <row r="474" s="254" customFormat="1"/>
    <row r="475" s="254" customFormat="1"/>
    <row r="476" s="254" customFormat="1"/>
    <row r="477" s="254" customFormat="1"/>
    <row r="478" s="254" customFormat="1"/>
    <row r="479" s="254" customFormat="1"/>
    <row r="480" s="254" customFormat="1"/>
    <row r="481" s="254" customFormat="1"/>
    <row r="482" s="254" customFormat="1"/>
    <row r="483" s="254" customFormat="1"/>
    <row r="484" s="254" customFormat="1"/>
    <row r="485" s="254" customFormat="1"/>
    <row r="486" s="254" customFormat="1"/>
    <row r="487" s="254" customFormat="1"/>
    <row r="488" s="254" customFormat="1"/>
    <row r="489" s="254" customFormat="1"/>
    <row r="490" s="254" customFormat="1"/>
    <row r="491" s="254" customFormat="1"/>
    <row r="492" s="254" customFormat="1"/>
    <row r="493" s="254" customFormat="1"/>
    <row r="494" s="254" customFormat="1"/>
    <row r="495" s="254" customFormat="1"/>
    <row r="496" s="254" customFormat="1"/>
    <row r="497" s="254" customFormat="1"/>
    <row r="498" s="254" customFormat="1"/>
    <row r="499" s="254" customFormat="1"/>
    <row r="500" s="254" customFormat="1"/>
    <row r="501" s="254" customFormat="1"/>
    <row r="502" s="254" customFormat="1"/>
    <row r="503" s="254" customFormat="1"/>
    <row r="504" s="254" customFormat="1"/>
    <row r="505" s="254" customFormat="1"/>
    <row r="506" s="254" customFormat="1"/>
    <row r="507" s="254" customFormat="1"/>
    <row r="508" s="254" customFormat="1"/>
    <row r="509" s="254" customFormat="1"/>
    <row r="510" s="254" customFormat="1"/>
    <row r="511" s="254" customFormat="1"/>
    <row r="512" s="254" customFormat="1"/>
    <row r="513" s="254" customFormat="1"/>
    <row r="514" s="254" customFormat="1"/>
    <row r="515" s="254" customFormat="1"/>
    <row r="516" s="254" customFormat="1"/>
    <row r="517" s="254" customFormat="1"/>
    <row r="518" s="254" customFormat="1"/>
    <row r="519" s="254" customFormat="1"/>
    <row r="520" s="254" customFormat="1"/>
    <row r="521" s="254" customFormat="1"/>
    <row r="522" s="254" customFormat="1"/>
    <row r="523" s="254" customFormat="1"/>
    <row r="524" s="254" customFormat="1"/>
    <row r="525" s="254" customFormat="1"/>
    <row r="526" s="254" customFormat="1"/>
    <row r="527" s="254" customFormat="1"/>
    <row r="528" s="254" customFormat="1"/>
    <row r="529" s="254" customFormat="1"/>
    <row r="530" s="254" customFormat="1"/>
    <row r="531" s="254" customFormat="1"/>
    <row r="532" s="254" customFormat="1"/>
    <row r="533" s="254" customFormat="1"/>
    <row r="534" s="254" customFormat="1"/>
    <row r="535" s="254" customFormat="1"/>
    <row r="536" s="254" customFormat="1"/>
    <row r="537" s="254" customFormat="1"/>
    <row r="538" s="254" customFormat="1"/>
    <row r="539" s="254" customFormat="1"/>
    <row r="540" s="254" customFormat="1"/>
    <row r="541" s="254" customFormat="1"/>
    <row r="542" s="254" customFormat="1"/>
    <row r="543" s="254" customFormat="1"/>
    <row r="544" s="254" customFormat="1"/>
    <row r="545" s="254" customFormat="1"/>
    <row r="546" s="254" customFormat="1"/>
    <row r="547" s="254" customFormat="1"/>
    <row r="548" s="254" customFormat="1"/>
    <row r="549" s="254" customFormat="1"/>
    <row r="550" s="254" customFormat="1"/>
    <row r="551" s="254" customFormat="1"/>
    <row r="552" s="254" customFormat="1"/>
    <row r="553" s="254" customFormat="1"/>
    <row r="554" s="254" customFormat="1"/>
    <row r="555" s="254" customFormat="1"/>
    <row r="556" s="254" customFormat="1"/>
    <row r="557" s="254" customFormat="1"/>
    <row r="558" s="254" customFormat="1"/>
    <row r="559" s="254" customFormat="1"/>
    <row r="560" s="254" customFormat="1"/>
    <row r="561" s="254" customFormat="1"/>
    <row r="562" s="254" customFormat="1"/>
    <row r="563" s="254" customFormat="1"/>
    <row r="564" s="254" customFormat="1"/>
    <row r="565" s="254" customFormat="1"/>
    <row r="566" s="254" customFormat="1"/>
    <row r="567" s="254" customFormat="1"/>
    <row r="568" s="254" customFormat="1"/>
    <row r="569" s="254" customFormat="1"/>
    <row r="570" s="254" customFormat="1"/>
    <row r="571" s="254" customFormat="1"/>
    <row r="572" s="254" customFormat="1"/>
    <row r="573" s="254" customFormat="1"/>
    <row r="574" s="254" customFormat="1"/>
    <row r="575" s="254" customFormat="1"/>
    <row r="576" s="254" customFormat="1"/>
    <row r="577" s="254" customFormat="1"/>
    <row r="578" s="254" customFormat="1"/>
    <row r="579" s="254" customFormat="1"/>
    <row r="580" s="254" customFormat="1"/>
    <row r="581" s="254" customFormat="1"/>
    <row r="582" s="254" customFormat="1"/>
    <row r="583" s="254" customFormat="1"/>
    <row r="584" s="254" customFormat="1"/>
    <row r="585" s="254" customFormat="1"/>
    <row r="586" s="254" customFormat="1"/>
    <row r="587" s="254" customFormat="1"/>
    <row r="588" s="254" customFormat="1"/>
    <row r="589" s="254" customFormat="1"/>
    <row r="590" s="254" customFormat="1"/>
    <row r="591" s="254" customFormat="1"/>
    <row r="592" s="254" customFormat="1"/>
    <row r="593" s="254" customFormat="1"/>
    <row r="594" s="254" customFormat="1"/>
    <row r="595" s="254" customFormat="1"/>
    <row r="596" s="254" customFormat="1"/>
    <row r="597" s="254" customFormat="1"/>
    <row r="598" s="254" customFormat="1"/>
    <row r="599" s="254" customFormat="1"/>
    <row r="600" s="254" customFormat="1"/>
    <row r="601" s="254" customFormat="1"/>
    <row r="602" s="254" customFormat="1"/>
    <row r="603" s="254" customFormat="1"/>
    <row r="604" s="254" customFormat="1"/>
    <row r="605" s="254" customFormat="1"/>
    <row r="606" s="254" customFormat="1"/>
    <row r="607" s="254" customFormat="1"/>
    <row r="608" s="254" customFormat="1"/>
    <row r="609" s="254" customFormat="1"/>
    <row r="610" s="254" customFormat="1"/>
    <row r="611" s="254" customFormat="1"/>
    <row r="612" s="254" customFormat="1"/>
    <row r="613" s="254" customFormat="1"/>
    <row r="614" s="254" customFormat="1"/>
    <row r="615" s="254" customFormat="1"/>
    <row r="616" s="254" customFormat="1"/>
    <row r="617" s="254" customFormat="1"/>
    <row r="618" s="254" customFormat="1"/>
    <row r="619" s="254" customFormat="1"/>
    <row r="620" s="254" customFormat="1"/>
    <row r="621" s="254" customFormat="1"/>
    <row r="622" s="254" customFormat="1"/>
    <row r="623" s="254" customFormat="1"/>
    <row r="624" s="254" customFormat="1"/>
    <row r="625" s="254" customFormat="1"/>
    <row r="626" s="254" customFormat="1"/>
    <row r="627" s="254" customFormat="1"/>
    <row r="628" s="254" customFormat="1"/>
    <row r="629" s="254" customFormat="1"/>
    <row r="630" s="254" customFormat="1"/>
    <row r="631" s="254" customFormat="1"/>
    <row r="632" s="254" customFormat="1"/>
    <row r="633" s="254" customFormat="1"/>
    <row r="634" s="254" customFormat="1"/>
    <row r="635" s="254" customFormat="1"/>
    <row r="636" s="254" customFormat="1"/>
    <row r="637" s="254" customFormat="1"/>
    <row r="638" s="254" customFormat="1"/>
    <row r="639" s="254" customFormat="1"/>
    <row r="640" s="254" customFormat="1"/>
    <row r="641" s="254" customFormat="1"/>
    <row r="642" s="254" customFormat="1"/>
    <row r="643" s="254" customFormat="1"/>
    <row r="644" s="254" customFormat="1"/>
    <row r="645" s="254" customFormat="1"/>
    <row r="646" s="254" customFormat="1"/>
    <row r="647" s="254" customFormat="1"/>
    <row r="648" s="254" customFormat="1"/>
    <row r="649" s="254" customFormat="1"/>
    <row r="650" s="254" customFormat="1"/>
    <row r="651" s="254" customFormat="1"/>
    <row r="652" s="254" customFormat="1"/>
    <row r="653" s="254" customFormat="1"/>
    <row r="654" s="254" customFormat="1"/>
    <row r="655" s="254" customFormat="1"/>
    <row r="656" s="254" customFormat="1"/>
    <row r="657" s="254" customFormat="1"/>
    <row r="658" s="254" customFormat="1"/>
    <row r="659" s="254" customFormat="1"/>
    <row r="660" s="254" customFormat="1"/>
    <row r="661" s="254" customFormat="1"/>
    <row r="662" s="254" customFormat="1"/>
    <row r="663" s="254" customFormat="1"/>
    <row r="664" s="254" customFormat="1"/>
    <row r="665" s="254" customFormat="1"/>
    <row r="666" s="254" customFormat="1"/>
    <row r="667" s="254" customFormat="1"/>
    <row r="668" s="254" customFormat="1"/>
    <row r="669" s="254" customFormat="1"/>
    <row r="670" s="254" customFormat="1"/>
    <row r="671" s="254" customFormat="1"/>
    <row r="672" s="254" customFormat="1"/>
    <row r="673" s="254" customFormat="1"/>
    <row r="674" s="254" customFormat="1"/>
    <row r="675" s="254" customFormat="1"/>
    <row r="676" s="254" customFormat="1"/>
    <row r="677" s="254" customFormat="1"/>
    <row r="678" s="254" customFormat="1"/>
    <row r="679" s="254" customFormat="1"/>
    <row r="680" s="254" customFormat="1"/>
    <row r="681" s="254" customFormat="1"/>
    <row r="682" s="254" customFormat="1"/>
    <row r="683" s="254" customFormat="1"/>
    <row r="684" s="254" customFormat="1"/>
    <row r="685" s="254" customFormat="1"/>
    <row r="686" s="254" customFormat="1"/>
    <row r="687" s="254" customFormat="1"/>
    <row r="688" s="254" customFormat="1"/>
    <row r="689" s="254" customFormat="1"/>
    <row r="690" s="254" customFormat="1"/>
    <row r="691" s="254" customFormat="1"/>
    <row r="692" s="254" customFormat="1"/>
    <row r="693" s="254" customFormat="1"/>
    <row r="694" s="254" customFormat="1"/>
    <row r="695" s="254" customFormat="1"/>
    <row r="696" s="254" customFormat="1"/>
    <row r="697" s="254" customFormat="1"/>
    <row r="698" s="254" customFormat="1"/>
    <row r="699" s="254" customFormat="1"/>
    <row r="700" s="254" customFormat="1"/>
    <row r="701" s="254" customFormat="1"/>
    <row r="702" s="254" customFormat="1"/>
    <row r="703" s="254" customFormat="1"/>
    <row r="704" s="254" customFormat="1"/>
    <row r="705" s="254" customFormat="1"/>
    <row r="706" s="254" customFormat="1"/>
    <row r="707" s="254" customFormat="1"/>
    <row r="708" s="254" customFormat="1"/>
    <row r="709" s="254" customFormat="1"/>
    <row r="710" s="254" customFormat="1"/>
    <row r="711" s="254" customFormat="1"/>
    <row r="712" s="254" customFormat="1"/>
    <row r="713" s="254" customFormat="1"/>
    <row r="714" s="254" customFormat="1"/>
    <row r="715" s="254" customFormat="1"/>
    <row r="716" s="254" customFormat="1"/>
    <row r="717" s="254" customFormat="1"/>
    <row r="718" s="254" customFormat="1"/>
    <row r="719" s="254" customFormat="1"/>
    <row r="720" s="254" customFormat="1"/>
    <row r="721" s="254" customFormat="1"/>
    <row r="722" s="254" customFormat="1"/>
    <row r="723" s="254" customFormat="1"/>
    <row r="724" s="254" customFormat="1"/>
    <row r="725" s="254" customFormat="1"/>
    <row r="726" s="254" customFormat="1"/>
    <row r="727" s="254" customFormat="1"/>
    <row r="728" s="254" customFormat="1"/>
    <row r="729" s="254" customFormat="1"/>
    <row r="730" s="254" customFormat="1"/>
    <row r="731" s="254" customFormat="1"/>
    <row r="732" s="254" customFormat="1"/>
    <row r="733" s="254" customFormat="1"/>
    <row r="734" s="254" customFormat="1"/>
    <row r="735" s="254" customFormat="1"/>
    <row r="736" s="254" customFormat="1"/>
    <row r="737" s="254" customFormat="1"/>
    <row r="738" s="254" customFormat="1"/>
    <row r="739" s="254" customFormat="1"/>
    <row r="740" s="254" customFormat="1"/>
    <row r="741" s="254" customFormat="1"/>
    <row r="742" s="254" customFormat="1"/>
    <row r="743" s="254" customFormat="1"/>
    <row r="744" s="254" customFormat="1"/>
    <row r="745" s="254" customFormat="1"/>
    <row r="746" s="254" customFormat="1"/>
    <row r="747" s="254" customFormat="1"/>
    <row r="748" s="254" customFormat="1"/>
    <row r="749" s="254" customFormat="1"/>
    <row r="750" s="254" customFormat="1"/>
    <row r="751" s="254" customFormat="1"/>
    <row r="752" s="254" customFormat="1"/>
    <row r="753" s="254" customFormat="1"/>
    <row r="754" s="254" customFormat="1"/>
    <row r="755" s="254" customFormat="1"/>
    <row r="756" s="254" customFormat="1"/>
    <row r="757" s="254" customFormat="1"/>
    <row r="758" s="254" customFormat="1"/>
    <row r="759" s="254" customFormat="1"/>
    <row r="760" s="254" customFormat="1"/>
    <row r="761" s="254" customFormat="1"/>
    <row r="762" s="254" customFormat="1"/>
    <row r="763" s="254" customFormat="1"/>
    <row r="764" s="254" customFormat="1"/>
    <row r="765" s="254" customFormat="1"/>
    <row r="766" s="254" customFormat="1"/>
    <row r="767" s="254" customFormat="1"/>
    <row r="768" s="254" customFormat="1"/>
    <row r="769" s="254" customFormat="1"/>
    <row r="770" s="254" customFormat="1"/>
    <row r="771" s="254" customFormat="1"/>
    <row r="772" s="254" customFormat="1"/>
    <row r="773" s="254" customFormat="1"/>
    <row r="774" s="254" customFormat="1"/>
    <row r="775" s="254" customFormat="1"/>
    <row r="776" s="254" customFormat="1"/>
    <row r="777" s="254" customFormat="1"/>
    <row r="778" s="254" customFormat="1"/>
    <row r="779" s="254" customFormat="1"/>
    <row r="780" s="254" customFormat="1"/>
    <row r="781" s="254" customFormat="1"/>
    <row r="782" s="254" customFormat="1"/>
    <row r="783" s="254" customFormat="1"/>
    <row r="784" s="254" customFormat="1"/>
    <row r="785" s="254" customFormat="1"/>
    <row r="786" s="254" customFormat="1"/>
    <row r="787" s="254" customFormat="1"/>
    <row r="788" s="254" customFormat="1"/>
    <row r="789" s="254" customFormat="1"/>
    <row r="790" s="254" customFormat="1"/>
    <row r="791" s="254" customFormat="1"/>
    <row r="792" s="254" customFormat="1"/>
    <row r="793" s="254" customFormat="1"/>
    <row r="794" s="254" customFormat="1"/>
    <row r="795" s="254" customFormat="1"/>
    <row r="796" s="254" customFormat="1"/>
    <row r="797" s="254" customFormat="1"/>
    <row r="798" s="254" customFormat="1"/>
    <row r="799" s="254" customFormat="1"/>
    <row r="800" s="254" customFormat="1"/>
    <row r="801" s="254" customFormat="1"/>
    <row r="802" s="254" customFormat="1"/>
    <row r="803" s="254" customFormat="1"/>
    <row r="804" s="254" customFormat="1"/>
    <row r="805" s="254" customFormat="1"/>
    <row r="806" s="254" customFormat="1"/>
    <row r="807" s="254" customFormat="1"/>
    <row r="808" s="254" customFormat="1"/>
    <row r="809" s="254" customFormat="1"/>
    <row r="810" s="254" customFormat="1"/>
    <row r="811" s="254" customFormat="1"/>
    <row r="812" s="254" customFormat="1"/>
    <row r="813" s="254" customFormat="1"/>
    <row r="814" s="254" customFormat="1"/>
    <row r="815" s="254" customFormat="1"/>
    <row r="816" s="254" customFormat="1"/>
    <row r="817" s="254" customFormat="1"/>
    <row r="818" s="254" customFormat="1"/>
    <row r="819" s="254" customFormat="1"/>
    <row r="820" s="254" customFormat="1"/>
    <row r="821" s="254" customFormat="1"/>
    <row r="822" s="254" customFormat="1"/>
    <row r="823" s="254" customFormat="1"/>
    <row r="824" s="254" customFormat="1"/>
    <row r="825" s="254" customFormat="1"/>
    <row r="826" s="254" customFormat="1"/>
    <row r="827" s="254" customFormat="1"/>
    <row r="828" s="254" customFormat="1"/>
    <row r="829" s="254" customFormat="1"/>
    <row r="830" s="254" customFormat="1"/>
    <row r="831" s="254" customFormat="1"/>
    <row r="832" s="254" customFormat="1"/>
    <row r="833" s="254" customFormat="1"/>
    <row r="834" s="254" customFormat="1"/>
    <row r="835" s="254" customFormat="1"/>
    <row r="836" s="254" customFormat="1"/>
    <row r="837" s="254" customFormat="1"/>
    <row r="838" s="254" customFormat="1"/>
    <row r="839" s="254" customFormat="1"/>
    <row r="840" s="254" customFormat="1"/>
    <row r="841" s="254" customFormat="1"/>
    <row r="842" s="254" customFormat="1"/>
    <row r="843" s="254" customFormat="1"/>
    <row r="844" s="254" customFormat="1"/>
    <row r="845" s="254" customFormat="1"/>
    <row r="846" s="254" customFormat="1"/>
    <row r="847" s="254" customFormat="1"/>
    <row r="848" s="254" customFormat="1"/>
    <row r="849" s="254" customFormat="1"/>
    <row r="850" s="254" customFormat="1"/>
    <row r="851" s="254" customFormat="1"/>
    <row r="852" s="254" customFormat="1"/>
    <row r="853" s="254" customFormat="1"/>
    <row r="854" s="254" customFormat="1"/>
    <row r="855" s="254" customFormat="1"/>
    <row r="856" s="254" customFormat="1"/>
    <row r="857" s="254" customFormat="1"/>
    <row r="858" s="254" customFormat="1"/>
    <row r="859" s="254" customFormat="1"/>
    <row r="860" s="254" customFormat="1"/>
    <row r="861" s="254" customFormat="1"/>
    <row r="862" s="254" customFormat="1"/>
    <row r="863" s="254" customFormat="1"/>
    <row r="864" s="254" customFormat="1"/>
    <row r="865" s="254" customFormat="1"/>
    <row r="866" s="254" customFormat="1"/>
    <row r="867" s="254" customFormat="1"/>
    <row r="868" s="254" customFormat="1"/>
    <row r="869" s="254" customFormat="1"/>
    <row r="870" s="254" customFormat="1"/>
    <row r="871" s="254" customFormat="1"/>
    <row r="872" s="254" customFormat="1"/>
    <row r="873" s="254" customFormat="1"/>
    <row r="874" s="254" customFormat="1"/>
    <row r="875" s="254" customFormat="1"/>
    <row r="876" s="254" customFormat="1"/>
    <row r="877" s="254" customFormat="1"/>
    <row r="878" s="254" customFormat="1"/>
    <row r="879" s="254" customFormat="1"/>
    <row r="880" s="254" customFormat="1"/>
    <row r="881" s="254" customFormat="1"/>
    <row r="882" s="254" customFormat="1"/>
    <row r="883" s="254" customFormat="1"/>
    <row r="884" s="254" customFormat="1"/>
    <row r="885" s="254" customFormat="1"/>
    <row r="886" s="254" customFormat="1"/>
    <row r="887" s="254" customFormat="1"/>
    <row r="888" s="254" customFormat="1"/>
    <row r="889" s="254" customFormat="1"/>
    <row r="890" s="254" customFormat="1"/>
    <row r="891" s="254" customFormat="1"/>
    <row r="892" s="254" customFormat="1"/>
    <row r="893" s="254" customFormat="1"/>
    <row r="894" s="254" customFormat="1"/>
    <row r="895" s="254" customFormat="1"/>
    <row r="896" s="254" customFormat="1"/>
    <row r="897" s="254" customFormat="1"/>
    <row r="898" s="254" customFormat="1"/>
    <row r="899" s="254" customFormat="1"/>
    <row r="900" s="254" customFormat="1"/>
    <row r="901" s="254" customFormat="1"/>
    <row r="902" s="254" customFormat="1"/>
    <row r="903" s="254" customFormat="1"/>
    <row r="904" s="254" customFormat="1"/>
    <row r="905" s="254" customFormat="1"/>
    <row r="906" s="254" customFormat="1"/>
    <row r="907" s="254" customFormat="1"/>
    <row r="908" s="254" customFormat="1"/>
    <row r="909" s="254" customFormat="1"/>
    <row r="910" s="254" customFormat="1"/>
    <row r="911" s="254" customFormat="1"/>
    <row r="912" s="254" customFormat="1"/>
    <row r="913" s="254" customFormat="1"/>
    <row r="914" s="254" customFormat="1"/>
    <row r="915" s="254" customFormat="1"/>
    <row r="916" s="254" customFormat="1"/>
    <row r="917" s="254" customFormat="1"/>
    <row r="918" s="254" customFormat="1"/>
    <row r="919" s="254" customFormat="1"/>
    <row r="920" s="254" customFormat="1"/>
    <row r="921" s="254" customFormat="1"/>
    <row r="922" s="254" customFormat="1"/>
    <row r="923" s="254" customFormat="1"/>
    <row r="924" s="254" customFormat="1"/>
    <row r="925" s="254" customFormat="1"/>
    <row r="926" s="254" customFormat="1"/>
    <row r="927" s="254" customFormat="1"/>
    <row r="928" s="254" customFormat="1"/>
    <row r="929" s="254" customFormat="1"/>
    <row r="930" s="254" customFormat="1"/>
    <row r="931" s="254" customFormat="1"/>
    <row r="932" s="254" customFormat="1"/>
    <row r="933" s="254" customFormat="1"/>
    <row r="934" s="254" customFormat="1"/>
    <row r="935" s="254" customFormat="1"/>
    <row r="936" s="254" customFormat="1"/>
    <row r="937" s="254" customFormat="1"/>
    <row r="938" s="254" customFormat="1"/>
    <row r="939" s="254" customFormat="1"/>
    <row r="940" s="254" customFormat="1"/>
    <row r="941" s="254" customFormat="1"/>
    <row r="942" s="254" customFormat="1"/>
    <row r="943" s="254" customFormat="1"/>
    <row r="944" s="254" customFormat="1"/>
    <row r="945" s="254" customFormat="1"/>
    <row r="946" s="254" customFormat="1"/>
    <row r="947" s="254" customFormat="1"/>
    <row r="948" s="254" customFormat="1"/>
    <row r="949" s="254" customFormat="1"/>
    <row r="950" s="254" customFormat="1"/>
    <row r="951" s="254" customFormat="1"/>
    <row r="952" s="254" customFormat="1"/>
    <row r="953" s="254" customFormat="1"/>
    <row r="954" s="254" customFormat="1"/>
    <row r="955" s="254" customFormat="1"/>
    <row r="956" s="254" customFormat="1"/>
    <row r="957" s="254" customFormat="1"/>
    <row r="958" s="254" customFormat="1"/>
    <row r="959" s="254" customFormat="1"/>
    <row r="960" s="254" customFormat="1"/>
    <row r="961" s="254" customFormat="1"/>
    <row r="962" s="254" customFormat="1"/>
    <row r="963" s="254" customFormat="1"/>
    <row r="964" s="254" customFormat="1"/>
    <row r="965" s="254" customFormat="1"/>
    <row r="966" s="254" customFormat="1"/>
    <row r="967" s="254" customFormat="1"/>
    <row r="968" s="254" customFormat="1"/>
    <row r="969" s="254" customFormat="1"/>
    <row r="970" s="254" customFormat="1"/>
    <row r="971" s="254" customFormat="1"/>
    <row r="972" s="254" customFormat="1"/>
    <row r="973" s="254" customFormat="1"/>
    <row r="974" s="254" customFormat="1"/>
    <row r="975" s="254" customFormat="1"/>
    <row r="976" s="254" customFormat="1"/>
    <row r="977" s="254" customFormat="1"/>
    <row r="978" s="254" customFormat="1"/>
    <row r="979" s="254" customFormat="1"/>
    <row r="980" s="254" customFormat="1"/>
    <row r="981" s="254" customFormat="1"/>
    <row r="982" s="254" customFormat="1"/>
    <row r="983" s="254" customFormat="1"/>
    <row r="984" s="254" customFormat="1"/>
    <row r="985" s="254" customFormat="1"/>
    <row r="986" s="254" customFormat="1"/>
    <row r="987" s="254" customFormat="1"/>
    <row r="988" s="254" customFormat="1"/>
    <row r="989" s="254" customFormat="1"/>
    <row r="990" s="254" customFormat="1"/>
    <row r="991" s="254" customFormat="1"/>
    <row r="992" s="254" customFormat="1"/>
    <row r="993" s="254" customFormat="1"/>
    <row r="994" s="254" customFormat="1"/>
    <row r="995" s="254" customFormat="1"/>
    <row r="996" s="254" customFormat="1"/>
    <row r="997" s="254" customFormat="1"/>
    <row r="998" s="254" customFormat="1"/>
    <row r="999" s="254" customFormat="1"/>
    <row r="1000" s="254" customFormat="1"/>
    <row r="1001" s="254" customFormat="1"/>
    <row r="1002" s="254" customFormat="1"/>
    <row r="1003" s="254" customFormat="1"/>
    <row r="1004" s="254" customFormat="1"/>
    <row r="1005" s="254" customFormat="1"/>
    <row r="1006" s="254" customFormat="1"/>
    <row r="1007" s="254" customFormat="1"/>
    <row r="1008" s="254" customFormat="1"/>
    <row r="1009" s="254" customFormat="1"/>
    <row r="1010" s="254" customFormat="1"/>
    <row r="1011" s="254" customFormat="1"/>
    <row r="1012" s="254" customFormat="1"/>
    <row r="1013" s="254" customFormat="1"/>
    <row r="1014" s="254" customFormat="1"/>
    <row r="1015" s="254" customFormat="1"/>
    <row r="1016" s="254" customFormat="1"/>
    <row r="1017" s="254" customFormat="1"/>
    <row r="1018" s="254" customFormat="1"/>
    <row r="1019" s="254" customFormat="1"/>
    <row r="1020" s="254" customFormat="1"/>
    <row r="1021" s="254" customFormat="1"/>
    <row r="1022" s="254" customFormat="1"/>
    <row r="1023" s="254" customFormat="1"/>
    <row r="1024" s="254" customFormat="1"/>
    <row r="1025" s="254" customFormat="1"/>
    <row r="1026" s="254" customFormat="1"/>
    <row r="1027" s="254" customFormat="1"/>
    <row r="1028" s="254" customFormat="1"/>
    <row r="1029" s="254" customFormat="1"/>
    <row r="1030" s="254" customFormat="1"/>
    <row r="1031" s="254" customFormat="1"/>
    <row r="1032" s="254" customFormat="1"/>
    <row r="1033" s="254" customFormat="1"/>
    <row r="1034" s="254" customFormat="1"/>
    <row r="1035" s="254" customFormat="1"/>
    <row r="1036" s="254" customFormat="1"/>
    <row r="1037" s="254" customFormat="1"/>
    <row r="1038" s="254" customFormat="1"/>
    <row r="1039" s="254" customFormat="1"/>
    <row r="1040" s="254" customFormat="1"/>
    <row r="1041" s="254" customFormat="1"/>
    <row r="1042" s="254" customFormat="1"/>
    <row r="1043" s="254" customFormat="1"/>
    <row r="1044" s="254" customFormat="1"/>
    <row r="1045" s="254" customFormat="1"/>
    <row r="1046" s="254" customFormat="1"/>
    <row r="1047" s="254" customFormat="1"/>
    <row r="1048" s="254" customFormat="1"/>
    <row r="1049" s="254" customFormat="1"/>
    <row r="1050" s="254" customFormat="1"/>
    <row r="1051" s="254" customFormat="1"/>
    <row r="1052" s="254" customFormat="1"/>
    <row r="1053" s="254" customFormat="1"/>
    <row r="1054" s="254" customFormat="1"/>
    <row r="1055" s="254" customFormat="1"/>
    <row r="1056" s="254" customFormat="1"/>
    <row r="1057" s="254" customFormat="1"/>
    <row r="1058" s="254" customFormat="1"/>
    <row r="1059" s="254" customFormat="1"/>
    <row r="1060" s="254" customFormat="1"/>
    <row r="1061" s="254" customFormat="1"/>
    <row r="1062" s="254" customFormat="1"/>
    <row r="1063" s="254" customFormat="1"/>
    <row r="1064" s="254" customFormat="1"/>
    <row r="1065" s="254" customFormat="1"/>
    <row r="1066" s="254" customFormat="1"/>
    <row r="1067" s="254" customFormat="1"/>
    <row r="1068" s="254" customFormat="1"/>
    <row r="1069" s="254" customFormat="1"/>
    <row r="1070" s="254" customFormat="1"/>
    <row r="1071" s="254" customFormat="1"/>
    <row r="1072" s="254" customFormat="1"/>
    <row r="1073" s="254" customFormat="1"/>
    <row r="1074" s="254" customFormat="1"/>
    <row r="1075" s="254" customFormat="1"/>
    <row r="1076" s="254" customFormat="1"/>
    <row r="1077" s="254" customFormat="1"/>
    <row r="1078" s="254" customFormat="1"/>
    <row r="1079" s="254" customFormat="1"/>
    <row r="1080" s="254" customFormat="1"/>
    <row r="1081" s="254" customFormat="1"/>
    <row r="1082" s="254" customFormat="1"/>
    <row r="1083" s="254" customFormat="1"/>
    <row r="1084" s="254" customFormat="1"/>
    <row r="1085" s="254" customFormat="1"/>
    <row r="1086" s="254" customFormat="1"/>
    <row r="1087" s="254" customFormat="1"/>
    <row r="1088" s="254" customFormat="1"/>
    <row r="1089" s="254" customFormat="1"/>
    <row r="1090" s="254" customFormat="1"/>
    <row r="1091" s="254" customFormat="1"/>
    <row r="1092" s="254" customFormat="1"/>
    <row r="1093" s="254" customFormat="1"/>
    <row r="1094" s="254" customFormat="1"/>
    <row r="1095" s="254" customFormat="1"/>
    <row r="1096" s="254" customFormat="1"/>
    <row r="1097" s="254" customFormat="1"/>
    <row r="1098" s="254" customFormat="1"/>
    <row r="1099" s="254" customFormat="1"/>
    <row r="1100" s="254" customFormat="1"/>
    <row r="1101" s="254" customFormat="1"/>
    <row r="1102" s="254" customFormat="1"/>
    <row r="1103" s="254" customFormat="1"/>
    <row r="1104" s="254" customFormat="1"/>
    <row r="1105" s="254" customFormat="1"/>
    <row r="1106" s="254" customFormat="1"/>
    <row r="1107" s="254" customFormat="1"/>
    <row r="1108" s="254" customFormat="1"/>
    <row r="1109" s="254" customFormat="1"/>
    <row r="1110" s="254" customFormat="1"/>
    <row r="1111" s="254" customFormat="1"/>
    <row r="1112" s="254" customFormat="1"/>
    <row r="1113" s="254" customFormat="1"/>
    <row r="1114" s="254" customFormat="1"/>
    <row r="1115" s="254" customFormat="1"/>
    <row r="1116" s="254" customFormat="1"/>
    <row r="1117" s="254" customFormat="1"/>
    <row r="1118" s="254" customFormat="1"/>
    <row r="1119" s="254" customFormat="1"/>
    <row r="1120" s="254" customFormat="1"/>
    <row r="1121" s="254" customFormat="1"/>
    <row r="1122" s="254" customFormat="1"/>
    <row r="1123" s="254" customFormat="1"/>
    <row r="1124" s="254" customFormat="1"/>
    <row r="1125" s="254" customFormat="1"/>
    <row r="1126" s="254" customFormat="1"/>
    <row r="1127" s="254" customFormat="1"/>
    <row r="1128" s="254" customFormat="1"/>
    <row r="1129" s="254" customFormat="1"/>
    <row r="1130" s="254" customFormat="1"/>
    <row r="1131" s="254" customFormat="1"/>
    <row r="1132" s="254" customFormat="1"/>
    <row r="1133" s="254" customFormat="1"/>
    <row r="1134" s="254" customFormat="1"/>
    <row r="1135" s="254" customFormat="1"/>
    <row r="1136" s="254" customFormat="1"/>
    <row r="1137" s="254" customFormat="1"/>
    <row r="1138" s="254" customFormat="1"/>
    <row r="1139" s="254" customFormat="1"/>
    <row r="1140" s="254" customFormat="1"/>
    <row r="1141" s="254" customFormat="1"/>
    <row r="1142" s="254" customFormat="1"/>
    <row r="1143" s="254" customFormat="1"/>
    <row r="1144" s="254" customFormat="1"/>
    <row r="1145" s="254" customFormat="1"/>
    <row r="1146" s="254" customFormat="1"/>
    <row r="1147" s="254" customFormat="1"/>
    <row r="1148" s="254" customFormat="1"/>
    <row r="1149" s="254" customFormat="1"/>
    <row r="1150" s="254" customFormat="1"/>
    <row r="1151" s="254" customFormat="1"/>
    <row r="1152" s="254" customFormat="1"/>
    <row r="1153" s="254" customFormat="1"/>
    <row r="1154" s="254" customFormat="1"/>
    <row r="1155" s="254" customFormat="1"/>
    <row r="1156" s="254" customFormat="1"/>
    <row r="1157" s="254" customFormat="1"/>
    <row r="1158" s="254" customFormat="1"/>
    <row r="1159" s="254" customFormat="1"/>
    <row r="1160" s="254" customFormat="1"/>
    <row r="1161" s="254" customFormat="1"/>
    <row r="1162" s="254" customFormat="1"/>
    <row r="1163" s="254" customFormat="1"/>
    <row r="1164" s="254" customFormat="1"/>
    <row r="1165" s="254" customFormat="1"/>
    <row r="1166" s="254" customFormat="1"/>
    <row r="1167" s="254" customFormat="1"/>
    <row r="1168" s="254" customFormat="1"/>
    <row r="1169" s="254" customFormat="1"/>
    <row r="1170" s="254" customFormat="1"/>
    <row r="1171" s="254" customFormat="1"/>
    <row r="1172" s="254" customFormat="1"/>
    <row r="1173" s="254" customFormat="1"/>
    <row r="1174" s="254" customFormat="1"/>
    <row r="1175" s="254" customFormat="1"/>
    <row r="1176" s="254" customFormat="1"/>
    <row r="1177" s="254" customFormat="1"/>
    <row r="1178" s="254" customFormat="1"/>
    <row r="1179" s="254" customFormat="1"/>
    <row r="1180" s="254" customFormat="1"/>
    <row r="1181" s="254" customFormat="1"/>
    <row r="1182" s="254" customFormat="1"/>
    <row r="1183" s="254" customFormat="1"/>
    <row r="1184" s="254" customFormat="1"/>
    <row r="1185" s="254" customFormat="1"/>
    <row r="1186" s="254" customFormat="1"/>
    <row r="1187" s="254" customFormat="1"/>
    <row r="1188" s="254" customFormat="1"/>
    <row r="1189" s="254" customFormat="1"/>
    <row r="1190" s="254" customFormat="1"/>
    <row r="1191" s="254" customFormat="1"/>
    <row r="1192" s="254" customFormat="1"/>
    <row r="1193" s="254" customFormat="1"/>
    <row r="1194" s="254" customFormat="1"/>
    <row r="1195" s="254" customFormat="1"/>
    <row r="1196" s="254" customFormat="1"/>
    <row r="1197" s="254" customFormat="1"/>
    <row r="1198" s="254" customFormat="1"/>
    <row r="1199" s="254" customFormat="1"/>
    <row r="1200" s="254" customFormat="1"/>
    <row r="1201" s="254" customFormat="1"/>
    <row r="1202" s="254" customFormat="1"/>
    <row r="1203" s="254" customFormat="1"/>
    <row r="1204" s="254" customFormat="1"/>
    <row r="1205" s="254" customFormat="1"/>
    <row r="1206" s="254" customFormat="1"/>
    <row r="1207" s="254" customFormat="1"/>
    <row r="1208" s="254" customFormat="1"/>
    <row r="1209" s="254" customFormat="1"/>
    <row r="1210" s="254" customFormat="1"/>
    <row r="1211" s="254" customFormat="1"/>
    <row r="1212" s="254" customFormat="1"/>
    <row r="1213" s="254" customFormat="1"/>
    <row r="1214" s="254" customFormat="1"/>
    <row r="1215" s="254" customFormat="1"/>
    <row r="1216" s="254" customFormat="1"/>
    <row r="1217" s="254" customFormat="1"/>
    <row r="1218" s="254" customFormat="1"/>
    <row r="1219" s="254" customFormat="1"/>
    <row r="1220" s="254" customFormat="1"/>
    <row r="1221" s="254" customFormat="1"/>
    <row r="1222" s="254" customFormat="1"/>
    <row r="1223" s="254" customFormat="1"/>
    <row r="1224" s="254" customFormat="1"/>
    <row r="1225" s="254" customFormat="1"/>
    <row r="1226" s="254" customFormat="1"/>
    <row r="1227" s="254" customFormat="1"/>
    <row r="1228" s="254" customFormat="1"/>
    <row r="1229" s="254" customFormat="1"/>
    <row r="1230" s="254" customFormat="1"/>
    <row r="1231" s="254" customFormat="1"/>
    <row r="1232" s="254" customFormat="1"/>
    <row r="1233" s="254" customFormat="1"/>
    <row r="1234" s="254" customFormat="1"/>
    <row r="1235" s="254" customFormat="1"/>
    <row r="1236" s="254" customFormat="1"/>
    <row r="1237" s="254" customFormat="1"/>
    <row r="1238" s="254" customFormat="1"/>
    <row r="1239" s="254" customFormat="1"/>
    <row r="1240" s="254" customFormat="1"/>
    <row r="1241" s="254" customFormat="1"/>
    <row r="1242" s="254" customFormat="1"/>
    <row r="1243" s="254" customFormat="1"/>
    <row r="1244" s="254" customFormat="1"/>
    <row r="1245" s="254" customFormat="1"/>
    <row r="1246" s="254" customFormat="1"/>
    <row r="1247" s="254" customFormat="1"/>
    <row r="1248" s="254" customFormat="1"/>
    <row r="1249" s="254" customFormat="1"/>
    <row r="1250" s="254" customFormat="1"/>
    <row r="1251" s="254" customFormat="1"/>
    <row r="1252" s="254" customFormat="1"/>
    <row r="1253" s="254" customFormat="1"/>
    <row r="1254" s="254" customFormat="1"/>
    <row r="1255" s="254" customFormat="1"/>
    <row r="1256" s="254" customFormat="1"/>
    <row r="1257" s="254" customFormat="1"/>
    <row r="1258" s="254" customFormat="1"/>
    <row r="1259" s="254" customFormat="1"/>
    <row r="1260" s="254" customFormat="1"/>
    <row r="1261" s="254" customFormat="1"/>
    <row r="1262" s="254" customFormat="1"/>
    <row r="1263" s="254" customFormat="1"/>
    <row r="1264" s="254" customFormat="1"/>
    <row r="1265" s="254" customFormat="1"/>
    <row r="1266" s="254" customFormat="1"/>
    <row r="1267" s="254" customFormat="1"/>
    <row r="1268" s="254" customFormat="1"/>
    <row r="1269" s="254" customFormat="1"/>
    <row r="1270" s="254" customFormat="1"/>
    <row r="1271" s="254" customFormat="1"/>
    <row r="1272" s="254" customFormat="1"/>
    <row r="1273" s="254" customFormat="1"/>
    <row r="1274" s="254" customFormat="1"/>
    <row r="1275" s="254" customFormat="1"/>
    <row r="1276" s="254" customFormat="1"/>
    <row r="1277" s="254" customFormat="1"/>
    <row r="1278" s="254" customFormat="1"/>
    <row r="1279" s="254" customFormat="1"/>
    <row r="1280" s="254" customFormat="1"/>
    <row r="1281" s="254" customFormat="1"/>
    <row r="1282" s="254" customFormat="1"/>
    <row r="1283" s="254" customFormat="1"/>
    <row r="1284" s="254" customFormat="1"/>
    <row r="1285" s="254" customFormat="1"/>
    <row r="1286" s="254" customFormat="1"/>
    <row r="1287" s="254" customFormat="1"/>
    <row r="1288" s="254" customFormat="1"/>
    <row r="1289" s="254" customFormat="1"/>
    <row r="1290" s="254" customFormat="1"/>
    <row r="1291" s="254" customFormat="1"/>
    <row r="1292" s="254" customFormat="1"/>
    <row r="1293" s="254" customFormat="1"/>
    <row r="1294" s="254" customFormat="1"/>
    <row r="1295" s="254" customFormat="1"/>
    <row r="1296" s="254" customFormat="1"/>
    <row r="1297" s="254" customFormat="1"/>
    <row r="1298" s="254" customFormat="1"/>
    <row r="1299" s="254" customFormat="1"/>
    <row r="1300" s="254" customFormat="1"/>
    <row r="1301" s="254" customFormat="1"/>
    <row r="1302" s="254" customFormat="1"/>
    <row r="1303" s="254" customFormat="1"/>
    <row r="1304" s="254" customFormat="1"/>
    <row r="1305" s="254" customFormat="1"/>
    <row r="1306" s="254" customFormat="1"/>
    <row r="1307" s="254" customFormat="1"/>
    <row r="1308" s="254" customFormat="1"/>
    <row r="1309" s="254" customFormat="1"/>
    <row r="1310" s="254" customFormat="1"/>
    <row r="1311" s="254" customFormat="1"/>
    <row r="1312" s="254" customFormat="1"/>
    <row r="1313" s="254" customFormat="1"/>
    <row r="1314" s="254" customFormat="1"/>
    <row r="1315" s="254" customFormat="1"/>
    <row r="1316" s="254" customFormat="1"/>
    <row r="1317" s="254" customFormat="1"/>
    <row r="1318" s="254" customFormat="1"/>
    <row r="1319" s="254" customFormat="1"/>
    <row r="1320" s="254" customFormat="1"/>
    <row r="1321" s="254" customFormat="1"/>
    <row r="1322" s="254" customFormat="1"/>
    <row r="1323" s="254" customFormat="1"/>
    <row r="1324" s="254" customFormat="1"/>
    <row r="1325" s="254" customFormat="1"/>
    <row r="1326" s="254" customFormat="1"/>
    <row r="1327" s="254" customFormat="1"/>
    <row r="1328" s="254" customFormat="1"/>
    <row r="1329" s="254" customFormat="1"/>
    <row r="1330" s="254" customFormat="1"/>
    <row r="1331" s="254" customFormat="1"/>
    <row r="1332" s="254" customFormat="1"/>
    <row r="1333" s="254" customFormat="1"/>
    <row r="1334" s="254" customFormat="1"/>
    <row r="1335" s="254" customFormat="1"/>
    <row r="1336" s="254" customFormat="1"/>
    <row r="1337" s="254" customFormat="1"/>
    <row r="1338" s="254" customFormat="1"/>
    <row r="1339" s="254" customFormat="1"/>
    <row r="1340" s="254" customFormat="1"/>
    <row r="1341" s="254" customFormat="1"/>
    <row r="1342" s="254" customFormat="1"/>
    <row r="1343" s="254" customFormat="1"/>
    <row r="1344" s="254" customFormat="1"/>
    <row r="1345" s="254" customFormat="1"/>
    <row r="1346" s="254" customFormat="1"/>
    <row r="1347" s="254" customFormat="1"/>
    <row r="1348" s="254" customFormat="1"/>
    <row r="1349" s="254" customFormat="1"/>
    <row r="1350" s="254" customFormat="1"/>
    <row r="1351" s="254" customFormat="1"/>
    <row r="1352" s="254" customFormat="1"/>
    <row r="1353" s="254" customFormat="1"/>
    <row r="1354" s="254" customFormat="1"/>
    <row r="1355" s="254" customFormat="1"/>
    <row r="1356" s="254" customFormat="1"/>
    <row r="1357" s="254" customFormat="1"/>
    <row r="1358" s="254" customFormat="1"/>
    <row r="1359" s="254" customFormat="1"/>
    <row r="1360" s="254" customFormat="1"/>
    <row r="1361" s="254" customFormat="1"/>
    <row r="1362" s="254" customFormat="1"/>
    <row r="1363" s="254" customFormat="1"/>
    <row r="1364" s="254" customFormat="1"/>
    <row r="1365" s="254" customFormat="1"/>
    <row r="1366" s="254" customFormat="1"/>
    <row r="1367" s="254" customFormat="1"/>
    <row r="1368" s="254" customFormat="1"/>
    <row r="1369" s="254" customFormat="1"/>
    <row r="1370" s="254" customFormat="1"/>
    <row r="1371" s="254" customFormat="1"/>
    <row r="1372" s="254" customFormat="1"/>
    <row r="1373" s="254" customFormat="1"/>
    <row r="1374" s="254" customFormat="1"/>
    <row r="1375" s="254" customFormat="1"/>
    <row r="1376" s="254" customFormat="1"/>
    <row r="1377" s="254" customFormat="1"/>
    <row r="1378" s="254" customFormat="1"/>
    <row r="1379" s="254" customFormat="1"/>
    <row r="1380" s="254" customFormat="1"/>
    <row r="1381" s="254" customFormat="1"/>
    <row r="1382" s="254" customFormat="1"/>
    <row r="1383" s="254" customFormat="1"/>
    <row r="1384" s="254" customFormat="1"/>
    <row r="1385" s="254" customFormat="1"/>
    <row r="1386" s="254" customFormat="1"/>
    <row r="1387" s="254" customFormat="1"/>
    <row r="1388" s="254" customFormat="1"/>
    <row r="1389" s="254" customFormat="1"/>
    <row r="1390" s="254" customFormat="1"/>
    <row r="1391" s="254" customFormat="1"/>
    <row r="1392" s="254" customFormat="1"/>
    <row r="1393" s="254" customFormat="1"/>
    <row r="1394" s="254" customFormat="1"/>
    <row r="1395" s="254" customFormat="1"/>
    <row r="1396" s="254" customFormat="1"/>
    <row r="1397" s="254" customFormat="1"/>
    <row r="1398" s="254" customFormat="1"/>
    <row r="1399" s="254" customFormat="1"/>
    <row r="1400" s="254" customFormat="1"/>
    <row r="1401" s="254" customFormat="1"/>
    <row r="1402" s="254" customFormat="1"/>
    <row r="1403" s="254" customFormat="1"/>
    <row r="1404" s="254" customFormat="1"/>
    <row r="1405" s="254" customFormat="1"/>
    <row r="1406" s="254" customFormat="1"/>
    <row r="1407" s="254" customFormat="1"/>
    <row r="1408" s="254" customFormat="1"/>
    <row r="1409" s="254" customFormat="1"/>
    <row r="1410" s="254" customFormat="1"/>
    <row r="1411" s="254" customFormat="1"/>
    <row r="1412" s="254" customFormat="1"/>
    <row r="1413" s="254" customFormat="1"/>
    <row r="1414" s="254" customFormat="1"/>
    <row r="1415" s="254" customFormat="1"/>
    <row r="1416" s="254" customFormat="1"/>
    <row r="1417" s="254" customFormat="1"/>
    <row r="1418" s="254" customFormat="1"/>
    <row r="1419" s="254" customFormat="1"/>
    <row r="1420" s="254" customFormat="1"/>
    <row r="1421" s="254" customFormat="1"/>
    <row r="1422" s="254" customFormat="1"/>
    <row r="1423" s="254" customFormat="1"/>
    <row r="1424" s="254" customFormat="1"/>
    <row r="1425" s="254" customFormat="1"/>
    <row r="1426" s="254" customFormat="1"/>
    <row r="1427" s="254" customFormat="1"/>
    <row r="1428" s="254" customFormat="1"/>
    <row r="1429" s="254" customFormat="1"/>
    <row r="1430" s="254" customFormat="1"/>
    <row r="1431" s="254" customFormat="1"/>
    <row r="1432" s="254" customFormat="1"/>
    <row r="1433" s="254" customFormat="1"/>
    <row r="1434" s="254" customFormat="1"/>
    <row r="1435" s="254" customFormat="1"/>
    <row r="1436" s="254" customFormat="1"/>
    <row r="1437" s="254" customFormat="1"/>
    <row r="1438" s="254" customFormat="1"/>
    <row r="1439" s="254" customFormat="1"/>
    <row r="1440" s="254" customFormat="1"/>
    <row r="1441" s="254" customFormat="1"/>
    <row r="1442" s="254" customFormat="1"/>
    <row r="1443" s="254" customFormat="1"/>
    <row r="1444" s="254" customFormat="1"/>
    <row r="1445" s="254" customFormat="1"/>
    <row r="1446" s="254" customFormat="1"/>
    <row r="1447" s="254" customFormat="1"/>
    <row r="1448" s="254" customFormat="1"/>
    <row r="1449" s="254" customFormat="1"/>
    <row r="1450" s="254" customFormat="1"/>
    <row r="1451" s="254" customFormat="1"/>
    <row r="1452" s="254" customFormat="1"/>
    <row r="1453" s="254" customFormat="1"/>
    <row r="1454" s="254" customFormat="1"/>
    <row r="1455" s="254" customFormat="1"/>
    <row r="1456" s="254" customFormat="1"/>
    <row r="1457" s="254" customFormat="1"/>
    <row r="1458" s="254" customFormat="1"/>
    <row r="1459" s="254" customFormat="1"/>
    <row r="1460" s="254" customFormat="1"/>
    <row r="1461" s="254" customFormat="1"/>
    <row r="1462" s="254" customFormat="1"/>
    <row r="1463" s="254" customFormat="1"/>
    <row r="1464" s="254" customFormat="1"/>
    <row r="1465" s="254" customFormat="1"/>
    <row r="1466" s="254" customFormat="1"/>
    <row r="1467" s="254" customFormat="1"/>
    <row r="1468" s="254" customFormat="1"/>
    <row r="1469" s="254" customFormat="1"/>
    <row r="1470" s="254" customFormat="1"/>
    <row r="1471" s="254" customFormat="1"/>
    <row r="1472" s="254" customFormat="1"/>
    <row r="1473" s="254" customFormat="1"/>
    <row r="1474" s="254" customFormat="1"/>
    <row r="1475" s="254" customFormat="1"/>
    <row r="1476" s="254" customFormat="1"/>
    <row r="1477" s="254" customFormat="1"/>
    <row r="1478" s="254" customFormat="1"/>
    <row r="1479" s="254" customFormat="1"/>
    <row r="1480" s="254" customFormat="1"/>
    <row r="1481" s="254" customFormat="1"/>
    <row r="1482" s="254" customFormat="1"/>
    <row r="1483" s="254" customFormat="1"/>
    <row r="1484" s="254" customFormat="1"/>
    <row r="1485" s="254" customFormat="1"/>
    <row r="1486" s="254" customFormat="1"/>
    <row r="1487" s="254" customFormat="1"/>
    <row r="1488" s="254" customFormat="1"/>
    <row r="1489" s="254" customFormat="1"/>
    <row r="1490" s="254" customFormat="1"/>
    <row r="1491" s="254" customFormat="1"/>
    <row r="1492" s="254" customFormat="1"/>
    <row r="1493" s="254" customFormat="1"/>
    <row r="1494" s="254" customFormat="1"/>
    <row r="1495" s="254" customFormat="1"/>
    <row r="1496" s="254" customFormat="1"/>
    <row r="1497" s="254" customFormat="1"/>
    <row r="1498" s="254" customFormat="1"/>
    <row r="1499" s="254" customFormat="1"/>
    <row r="1500" s="254" customFormat="1"/>
    <row r="1501" s="254" customFormat="1"/>
    <row r="1502" s="254" customFormat="1"/>
    <row r="1503" s="254" customFormat="1"/>
    <row r="1504" s="254" customFormat="1"/>
    <row r="1505" s="254" customFormat="1"/>
    <row r="1506" s="254" customFormat="1"/>
    <row r="1507" s="254" customFormat="1"/>
    <row r="1508" s="254" customFormat="1"/>
    <row r="1509" s="254" customFormat="1"/>
    <row r="1510" s="254" customFormat="1"/>
    <row r="1511" s="254" customFormat="1"/>
    <row r="1512" s="254" customFormat="1"/>
    <row r="1513" s="254" customFormat="1"/>
    <row r="1514" s="254" customFormat="1"/>
    <row r="1515" s="254" customFormat="1"/>
    <row r="1516" s="254" customFormat="1"/>
    <row r="1517" s="254" customFormat="1"/>
    <row r="1518" s="254" customFormat="1"/>
    <row r="1519" s="254" customFormat="1"/>
    <row r="1520" s="254" customFormat="1"/>
    <row r="1521" s="254" customFormat="1"/>
    <row r="1522" s="254" customFormat="1"/>
    <row r="1523" s="254" customFormat="1"/>
    <row r="1524" s="254" customFormat="1"/>
    <row r="1525" s="254" customFormat="1"/>
    <row r="1526" s="254" customFormat="1"/>
    <row r="1527" s="254" customFormat="1"/>
    <row r="1528" s="254" customFormat="1"/>
    <row r="1529" s="254" customFormat="1"/>
    <row r="1530" s="254" customFormat="1"/>
    <row r="1531" s="254" customFormat="1"/>
    <row r="1532" s="254" customFormat="1"/>
    <row r="1533" s="254" customFormat="1"/>
    <row r="1534" s="254" customFormat="1"/>
    <row r="1535" s="254" customFormat="1"/>
    <row r="1536" s="254" customFormat="1"/>
    <row r="1537" s="254" customFormat="1"/>
    <row r="1538" s="254" customFormat="1"/>
    <row r="1539" s="254" customFormat="1"/>
    <row r="1540" s="254" customFormat="1"/>
    <row r="1541" s="254" customFormat="1"/>
    <row r="1542" s="254" customFormat="1"/>
    <row r="1543" s="254" customFormat="1"/>
    <row r="1544" s="254" customFormat="1"/>
    <row r="1545" s="254" customFormat="1"/>
    <row r="1546" s="254" customFormat="1"/>
    <row r="1547" s="254" customFormat="1"/>
    <row r="1548" s="254" customFormat="1"/>
    <row r="1549" s="254" customFormat="1"/>
    <row r="1550" s="254" customFormat="1"/>
    <row r="1551" s="254" customFormat="1"/>
    <row r="1552" s="254" customFormat="1"/>
    <row r="1553" s="254" customFormat="1"/>
    <row r="1554" s="254" customFormat="1"/>
    <row r="1555" s="254" customFormat="1"/>
    <row r="1556" s="254" customFormat="1"/>
    <row r="1557" s="254" customFormat="1"/>
    <row r="1558" s="254" customFormat="1"/>
    <row r="1559" s="254" customFormat="1"/>
    <row r="1560" s="254" customFormat="1"/>
    <row r="1561" s="254" customFormat="1"/>
    <row r="1562" s="254" customFormat="1"/>
    <row r="1563" s="254" customFormat="1"/>
    <row r="1564" s="254" customFormat="1"/>
    <row r="1565" s="254" customFormat="1"/>
    <row r="1566" s="254" customFormat="1"/>
    <row r="1567" s="254" customFormat="1"/>
    <row r="1568" s="254" customFormat="1"/>
    <row r="1569" s="254" customFormat="1"/>
    <row r="1570" s="254" customFormat="1"/>
    <row r="1571" s="254" customFormat="1"/>
    <row r="1572" s="254" customFormat="1"/>
    <row r="1573" s="254" customFormat="1"/>
    <row r="1574" s="254" customFormat="1"/>
    <row r="1575" s="254" customFormat="1"/>
    <row r="1576" s="254" customFormat="1"/>
    <row r="1577" s="254" customFormat="1"/>
    <row r="1578" s="254" customFormat="1"/>
    <row r="1579" s="254" customFormat="1"/>
    <row r="1580" s="254" customFormat="1"/>
    <row r="1581" s="254" customFormat="1"/>
    <row r="1582" s="254" customFormat="1"/>
    <row r="1583" s="254" customFormat="1"/>
    <row r="1584" s="254" customFormat="1"/>
    <row r="1585" s="254" customFormat="1"/>
    <row r="1586" s="254" customFormat="1"/>
    <row r="1587" s="254" customFormat="1"/>
    <row r="1588" s="254" customFormat="1"/>
    <row r="1589" s="254" customFormat="1"/>
    <row r="1590" s="254" customFormat="1"/>
    <row r="1591" s="254" customFormat="1"/>
    <row r="1592" s="254" customFormat="1"/>
    <row r="1593" s="254" customFormat="1"/>
    <row r="1594" s="254" customFormat="1"/>
    <row r="1595" s="254" customFormat="1"/>
    <row r="1596" s="254" customFormat="1"/>
    <row r="1597" s="254" customFormat="1"/>
    <row r="1598" s="254" customFormat="1"/>
    <row r="1599" s="254" customFormat="1"/>
    <row r="1600" s="254" customFormat="1"/>
    <row r="1601" s="254" customFormat="1"/>
    <row r="1602" s="254" customFormat="1"/>
    <row r="1603" s="254" customFormat="1"/>
    <row r="1604" s="254" customFormat="1"/>
    <row r="1605" s="254" customFormat="1"/>
    <row r="1606" s="254" customFormat="1"/>
    <row r="1607" s="254" customFormat="1"/>
    <row r="1608" s="254" customFormat="1"/>
    <row r="1609" s="254" customFormat="1"/>
    <row r="1610" s="254" customFormat="1"/>
    <row r="1611" s="254" customFormat="1"/>
    <row r="1612" s="254" customFormat="1"/>
    <row r="1613" s="254" customFormat="1"/>
    <row r="1614" s="254" customFormat="1"/>
    <row r="1615" s="254" customFormat="1"/>
    <row r="1616" s="254" customFormat="1"/>
    <row r="1617" s="254" customFormat="1"/>
    <row r="1618" s="254" customFormat="1"/>
    <row r="1619" s="254" customFormat="1"/>
    <row r="1620" s="254" customFormat="1"/>
    <row r="1621" s="254" customFormat="1"/>
    <row r="1622" s="254" customFormat="1"/>
    <row r="1623" s="254" customFormat="1"/>
    <row r="1624" s="254" customFormat="1"/>
    <row r="1625" s="254" customFormat="1"/>
    <row r="1626" s="254" customFormat="1"/>
    <row r="1627" s="254" customFormat="1"/>
    <row r="1628" s="254" customFormat="1"/>
    <row r="1629" s="254" customFormat="1"/>
    <row r="1630" s="254" customFormat="1"/>
    <row r="1631" s="254" customFormat="1"/>
    <row r="1632" s="254" customFormat="1"/>
    <row r="1633" s="254" customFormat="1"/>
    <row r="1634" s="254" customFormat="1"/>
    <row r="1635" s="254" customFormat="1"/>
    <row r="1636" s="254" customFormat="1"/>
    <row r="1637" s="254" customFormat="1"/>
    <row r="1638" s="254" customFormat="1"/>
    <row r="1639" s="254" customFormat="1"/>
    <row r="1640" s="254" customFormat="1"/>
    <row r="1641" s="254" customFormat="1"/>
    <row r="1642" s="254" customFormat="1"/>
    <row r="1643" s="254" customFormat="1"/>
    <row r="1644" s="254" customFormat="1"/>
    <row r="1645" s="254" customFormat="1"/>
    <row r="1646" s="254" customFormat="1"/>
    <row r="1647" s="254" customFormat="1"/>
    <row r="1648" s="254" customFormat="1"/>
    <row r="1649" s="254" customFormat="1"/>
    <row r="1650" s="254" customFormat="1"/>
    <row r="1651" s="254" customFormat="1"/>
    <row r="1652" s="254" customFormat="1"/>
    <row r="1653" s="254" customFormat="1"/>
    <row r="1654" s="254" customFormat="1"/>
    <row r="1655" s="254" customFormat="1"/>
    <row r="1656" s="254" customFormat="1"/>
    <row r="1657" s="254" customFormat="1"/>
    <row r="1658" s="254" customFormat="1"/>
    <row r="1659" s="254" customFormat="1"/>
    <row r="1660" s="254" customFormat="1"/>
    <row r="1661" s="254" customFormat="1"/>
    <row r="1662" s="254" customFormat="1"/>
    <row r="1663" s="254" customFormat="1"/>
    <row r="1664" s="254" customFormat="1"/>
    <row r="1665" s="254" customFormat="1"/>
    <row r="1666" s="254" customFormat="1"/>
    <row r="1667" s="254" customFormat="1"/>
    <row r="1668" s="254" customFormat="1"/>
    <row r="1669" s="254" customFormat="1"/>
    <row r="1670" s="254" customFormat="1"/>
    <row r="1671" s="254" customFormat="1"/>
    <row r="1672" s="254" customFormat="1"/>
    <row r="1673" s="254" customFormat="1"/>
    <row r="1674" s="254" customFormat="1"/>
    <row r="1675" s="254" customFormat="1"/>
    <row r="1676" s="254" customFormat="1"/>
    <row r="1677" s="254" customFormat="1"/>
    <row r="1678" s="254" customFormat="1"/>
    <row r="1679" s="254" customFormat="1"/>
    <row r="1680" s="254" customFormat="1"/>
    <row r="1681" s="254" customFormat="1"/>
    <row r="1682" s="254" customFormat="1"/>
    <row r="1683" s="254" customFormat="1"/>
    <row r="1684" s="254" customFormat="1"/>
    <row r="1685" s="254" customFormat="1"/>
    <row r="1686" s="254" customFormat="1"/>
    <row r="1687" s="254" customFormat="1"/>
    <row r="1688" s="254" customFormat="1"/>
    <row r="1689" s="254" customFormat="1"/>
    <row r="1690" s="254" customFormat="1"/>
    <row r="1691" s="254" customFormat="1"/>
    <row r="1692" s="254" customFormat="1"/>
    <row r="1693" s="254" customFormat="1"/>
    <row r="1694" s="254" customFormat="1"/>
    <row r="1695" s="254" customFormat="1"/>
    <row r="1696" s="254" customFormat="1"/>
    <row r="1697" s="254" customFormat="1"/>
    <row r="1698" s="254" customFormat="1"/>
    <row r="1699" s="254" customFormat="1"/>
    <row r="1700" s="254" customFormat="1"/>
    <row r="1701" s="254" customFormat="1"/>
    <row r="1702" s="254" customFormat="1"/>
    <row r="1703" s="254" customFormat="1"/>
    <row r="1704" s="254" customFormat="1"/>
    <row r="1705" s="254" customFormat="1"/>
    <row r="1706" s="254" customFormat="1"/>
    <row r="1707" s="254" customFormat="1"/>
    <row r="1708" s="254" customFormat="1"/>
    <row r="1709" s="254" customFormat="1"/>
    <row r="1710" s="254" customFormat="1"/>
    <row r="1711" s="254" customFormat="1"/>
    <row r="1712" s="254" customFormat="1"/>
    <row r="1713" s="254" customFormat="1"/>
    <row r="1714" s="254" customFormat="1"/>
    <row r="1715" s="254" customFormat="1"/>
    <row r="1716" s="254" customFormat="1"/>
    <row r="1717" s="254" customFormat="1"/>
    <row r="1718" s="254" customFormat="1"/>
    <row r="1719" s="254" customFormat="1"/>
    <row r="1720" s="254" customFormat="1"/>
    <row r="1721" s="254" customFormat="1"/>
    <row r="1722" s="254" customFormat="1"/>
    <row r="1723" s="254" customFormat="1"/>
    <row r="1724" s="254" customFormat="1"/>
    <row r="1725" s="254" customFormat="1"/>
    <row r="1726" s="254" customFormat="1"/>
    <row r="1727" s="254" customFormat="1"/>
    <row r="1728" s="254" customFormat="1"/>
    <row r="1729" s="254" customFormat="1"/>
    <row r="1730" s="254" customFormat="1"/>
    <row r="1731" s="254" customFormat="1"/>
    <row r="1732" s="254" customFormat="1"/>
    <row r="1733" s="254" customFormat="1"/>
    <row r="1734" s="254" customFormat="1"/>
    <row r="1735" s="254" customFormat="1"/>
    <row r="1736" s="254" customFormat="1"/>
    <row r="1737" s="254" customFormat="1"/>
    <row r="1738" s="254" customFormat="1"/>
    <row r="1739" s="254" customFormat="1"/>
    <row r="1740" s="254" customFormat="1"/>
    <row r="1741" s="254" customFormat="1"/>
    <row r="1742" s="254" customFormat="1"/>
    <row r="1743" s="254" customFormat="1"/>
    <row r="1744" s="254" customFormat="1"/>
    <row r="1745" s="254" customFormat="1"/>
    <row r="1746" s="254" customFormat="1"/>
    <row r="1747" s="254" customFormat="1"/>
    <row r="1748" s="254" customFormat="1"/>
    <row r="1749" s="254" customFormat="1"/>
    <row r="1750" s="254" customFormat="1"/>
    <row r="1751" s="254" customFormat="1"/>
    <row r="1752" s="254" customFormat="1"/>
    <row r="1753" s="254" customFormat="1"/>
    <row r="1754" s="254" customFormat="1"/>
    <row r="1755" s="254" customFormat="1"/>
    <row r="1756" s="254" customFormat="1"/>
    <row r="1757" s="254" customFormat="1"/>
    <row r="1758" s="254" customFormat="1"/>
    <row r="1759" s="254" customFormat="1"/>
    <row r="1760" s="254" customFormat="1"/>
    <row r="1761" s="254" customFormat="1"/>
    <row r="1762" s="254" customFormat="1"/>
    <row r="1763" s="254" customFormat="1"/>
    <row r="1764" s="254" customFormat="1"/>
    <row r="1765" s="254" customFormat="1"/>
    <row r="1766" s="254" customFormat="1"/>
    <row r="1767" s="254" customFormat="1"/>
    <row r="1768" s="254" customFormat="1"/>
    <row r="1769" s="254" customFormat="1"/>
    <row r="1770" s="254" customFormat="1"/>
    <row r="1771" s="254" customFormat="1"/>
    <row r="1772" s="254" customFormat="1"/>
    <row r="1773" s="254" customFormat="1"/>
    <row r="1774" s="254" customFormat="1"/>
    <row r="1775" s="254" customFormat="1"/>
    <row r="1776" s="254" customFormat="1"/>
    <row r="1777" s="254" customFormat="1"/>
    <row r="1778" s="254" customFormat="1"/>
    <row r="1779" s="254" customFormat="1"/>
    <row r="1780" s="254" customFormat="1"/>
    <row r="1781" s="254" customFormat="1"/>
    <row r="1782" s="254" customFormat="1"/>
    <row r="1783" s="254" customFormat="1"/>
    <row r="1784" s="254" customFormat="1"/>
    <row r="1785" s="254" customFormat="1"/>
    <row r="1786" s="254" customFormat="1"/>
    <row r="1787" s="254" customFormat="1"/>
    <row r="1788" s="254" customFormat="1"/>
    <row r="1789" s="254" customFormat="1"/>
    <row r="1790" s="254" customFormat="1"/>
    <row r="1791" s="254" customFormat="1"/>
    <row r="1792" s="254" customFormat="1"/>
    <row r="1793" s="254" customFormat="1"/>
    <row r="1794" s="254" customFormat="1"/>
    <row r="1795" s="254" customFormat="1"/>
    <row r="1796" s="254" customFormat="1"/>
    <row r="1797" s="254" customFormat="1"/>
    <row r="1798" s="254" customFormat="1"/>
    <row r="1799" s="254" customFormat="1"/>
    <row r="1800" s="254" customFormat="1"/>
    <row r="1801" s="254" customFormat="1"/>
    <row r="1802" s="254" customFormat="1"/>
    <row r="1803" s="254" customFormat="1"/>
    <row r="1804" s="254" customFormat="1"/>
    <row r="1805" s="254" customFormat="1"/>
    <row r="1806" s="254" customFormat="1"/>
    <row r="1807" s="254" customFormat="1"/>
    <row r="1808" s="254" customFormat="1"/>
    <row r="1809" s="254" customFormat="1"/>
    <row r="1810" s="254" customFormat="1"/>
    <row r="1811" s="254" customFormat="1"/>
    <row r="1812" s="254" customFormat="1"/>
    <row r="1813" s="254" customFormat="1"/>
    <row r="1814" s="254" customFormat="1"/>
    <row r="1815" s="254" customFormat="1"/>
    <row r="1816" s="254" customFormat="1"/>
    <row r="1817" s="254" customFormat="1"/>
    <row r="1818" s="254" customFormat="1"/>
    <row r="1819" s="254" customFormat="1"/>
    <row r="1820" s="254" customFormat="1"/>
    <row r="1821" s="254" customFormat="1"/>
    <row r="1822" s="254" customFormat="1"/>
    <row r="1823" s="254" customFormat="1"/>
    <row r="1824" s="254" customFormat="1"/>
    <row r="1825" s="254" customFormat="1"/>
    <row r="1826" s="254" customFormat="1"/>
    <row r="1827" s="254" customFormat="1"/>
    <row r="1828" s="254" customFormat="1"/>
    <row r="1829" s="254" customFormat="1"/>
    <row r="1830" s="254" customFormat="1"/>
    <row r="1831" s="254" customFormat="1"/>
    <row r="1832" s="254" customFormat="1"/>
    <row r="1833" s="254" customFormat="1"/>
    <row r="1834" s="254" customFormat="1"/>
    <row r="1835" s="254" customFormat="1"/>
    <row r="1836" s="254" customFormat="1"/>
    <row r="1837" s="254" customFormat="1"/>
    <row r="1838" s="254" customFormat="1"/>
    <row r="1839" s="254" customFormat="1"/>
    <row r="1840" s="254" customFormat="1"/>
    <row r="1841" s="254" customFormat="1"/>
    <row r="1842" s="254" customFormat="1"/>
    <row r="1843" s="254" customFormat="1"/>
    <row r="1844" s="254" customFormat="1"/>
    <row r="1845" s="254" customFormat="1"/>
    <row r="1846" s="254" customFormat="1"/>
    <row r="1847" s="254" customFormat="1"/>
    <row r="1848" s="254" customFormat="1"/>
    <row r="1849" s="254" customFormat="1"/>
  </sheetData>
  <pageMargins left="0.7" right="0.7" top="0.75" bottom="0.75" header="0.3" footer="0.3"/>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C2:X29"/>
  <sheetViews>
    <sheetView showGridLines="0" workbookViewId="0">
      <selection activeCell="F25" sqref="F25"/>
    </sheetView>
  </sheetViews>
  <sheetFormatPr defaultColWidth="9.140625" defaultRowHeight="12"/>
  <cols>
    <col min="1" max="2" width="9.140625" style="300"/>
    <col min="3" max="3" width="49" style="300" bestFit="1" customWidth="1"/>
    <col min="4" max="4" width="11" style="299" bestFit="1" customWidth="1"/>
    <col min="5" max="23" width="9.140625" style="299"/>
    <col min="24" max="16384" width="9.140625" style="300"/>
  </cols>
  <sheetData>
    <row r="2" spans="3:24" ht="12.75" thickBot="1">
      <c r="C2" s="298" t="s">
        <v>443</v>
      </c>
    </row>
    <row r="3" spans="3:24" s="304" customFormat="1">
      <c r="C3" s="301"/>
      <c r="D3" s="302" t="s">
        <v>190</v>
      </c>
      <c r="E3" s="302" t="s">
        <v>191</v>
      </c>
      <c r="F3" s="302" t="s">
        <v>192</v>
      </c>
      <c r="G3" s="302" t="s">
        <v>193</v>
      </c>
      <c r="H3" s="302" t="s">
        <v>194</v>
      </c>
      <c r="I3" s="302" t="s">
        <v>444</v>
      </c>
      <c r="J3" s="302" t="s">
        <v>445</v>
      </c>
      <c r="K3" s="302" t="s">
        <v>446</v>
      </c>
      <c r="L3" s="302" t="s">
        <v>447</v>
      </c>
      <c r="M3" s="302" t="s">
        <v>448</v>
      </c>
      <c r="N3" s="302" t="s">
        <v>449</v>
      </c>
      <c r="O3" s="302" t="s">
        <v>450</v>
      </c>
      <c r="P3" s="302" t="s">
        <v>451</v>
      </c>
      <c r="Q3" s="302" t="s">
        <v>452</v>
      </c>
      <c r="R3" s="302" t="s">
        <v>453</v>
      </c>
      <c r="S3" s="302" t="s">
        <v>454</v>
      </c>
      <c r="T3" s="302" t="s">
        <v>455</v>
      </c>
      <c r="U3" s="302" t="s">
        <v>456</v>
      </c>
      <c r="V3" s="302" t="s">
        <v>457</v>
      </c>
      <c r="W3" s="303" t="s">
        <v>458</v>
      </c>
    </row>
    <row r="4" spans="3:24" s="308" customFormat="1">
      <c r="C4" s="305" t="s">
        <v>177</v>
      </c>
      <c r="D4" s="306"/>
      <c r="E4" s="306"/>
      <c r="F4" s="306"/>
      <c r="G4" s="306"/>
      <c r="H4" s="306"/>
      <c r="I4" s="306"/>
      <c r="J4" s="306"/>
      <c r="K4" s="306"/>
      <c r="L4" s="306"/>
      <c r="M4" s="306"/>
      <c r="N4" s="306"/>
      <c r="O4" s="306"/>
      <c r="P4" s="306"/>
      <c r="Q4" s="306"/>
      <c r="R4" s="306"/>
      <c r="S4" s="306"/>
      <c r="T4" s="306"/>
      <c r="U4" s="306"/>
      <c r="V4" s="306"/>
      <c r="W4" s="307"/>
    </row>
    <row r="5" spans="3:24" s="299" customFormat="1">
      <c r="C5" s="309" t="s">
        <v>459</v>
      </c>
      <c r="D5" s="310"/>
      <c r="E5" s="311"/>
      <c r="F5" s="311"/>
      <c r="G5" s="311"/>
      <c r="H5" s="311"/>
      <c r="I5" s="311"/>
      <c r="J5" s="311"/>
      <c r="K5" s="311"/>
      <c r="L5" s="311"/>
      <c r="M5" s="311"/>
      <c r="N5" s="311"/>
      <c r="O5" s="311"/>
      <c r="P5" s="311"/>
      <c r="Q5" s="311"/>
      <c r="R5" s="311"/>
      <c r="S5" s="311"/>
      <c r="T5" s="311"/>
      <c r="U5" s="311"/>
      <c r="V5" s="311"/>
      <c r="W5" s="312"/>
      <c r="X5" s="313"/>
    </row>
    <row r="6" spans="3:24">
      <c r="C6" s="309" t="s">
        <v>460</v>
      </c>
      <c r="D6" s="311"/>
      <c r="E6" s="311"/>
      <c r="F6" s="311"/>
      <c r="G6" s="311"/>
      <c r="H6" s="311"/>
      <c r="I6" s="311"/>
      <c r="J6" s="311"/>
      <c r="K6" s="311"/>
      <c r="L6" s="311"/>
      <c r="M6" s="311"/>
      <c r="N6" s="311"/>
      <c r="O6" s="311"/>
      <c r="P6" s="311"/>
      <c r="Q6" s="311"/>
      <c r="R6" s="311"/>
      <c r="S6" s="311"/>
      <c r="T6" s="311"/>
      <c r="U6" s="311"/>
      <c r="V6" s="311"/>
      <c r="W6" s="312"/>
    </row>
    <row r="7" spans="3:24" s="315" customFormat="1">
      <c r="C7" s="314"/>
      <c r="D7" s="311"/>
      <c r="E7" s="311"/>
      <c r="F7" s="311"/>
      <c r="G7" s="311"/>
      <c r="H7" s="311"/>
      <c r="I7" s="311"/>
      <c r="J7" s="311"/>
      <c r="K7" s="311"/>
      <c r="L7" s="311"/>
      <c r="M7" s="311"/>
      <c r="N7" s="311"/>
      <c r="O7" s="311"/>
      <c r="P7" s="311"/>
      <c r="Q7" s="311"/>
      <c r="R7" s="311"/>
      <c r="S7" s="311"/>
      <c r="T7" s="311"/>
      <c r="U7" s="311"/>
      <c r="V7" s="311"/>
      <c r="W7" s="312"/>
    </row>
    <row r="8" spans="3:24" s="315" customFormat="1">
      <c r="C8" s="309" t="s">
        <v>461</v>
      </c>
      <c r="D8" s="311"/>
      <c r="E8" s="311"/>
      <c r="F8" s="311"/>
      <c r="G8" s="311"/>
      <c r="H8" s="311"/>
      <c r="I8" s="311"/>
      <c r="J8" s="311"/>
      <c r="K8" s="311"/>
      <c r="L8" s="311"/>
      <c r="M8" s="311"/>
      <c r="N8" s="311"/>
      <c r="O8" s="311"/>
      <c r="P8" s="311"/>
      <c r="Q8" s="311"/>
      <c r="R8" s="311"/>
      <c r="S8" s="311"/>
      <c r="T8" s="311"/>
      <c r="U8" s="311"/>
      <c r="V8" s="311"/>
      <c r="W8" s="312"/>
    </row>
    <row r="9" spans="3:24" s="315" customFormat="1">
      <c r="C9" s="309" t="s">
        <v>462</v>
      </c>
      <c r="D9" s="311"/>
      <c r="E9" s="311"/>
      <c r="F9" s="311"/>
      <c r="G9" s="311"/>
      <c r="H9" s="311"/>
      <c r="I9" s="311"/>
      <c r="J9" s="311"/>
      <c r="K9" s="311"/>
      <c r="L9" s="311"/>
      <c r="M9" s="311"/>
      <c r="N9" s="311"/>
      <c r="O9" s="311"/>
      <c r="P9" s="311"/>
      <c r="Q9" s="311"/>
      <c r="R9" s="311"/>
      <c r="S9" s="311"/>
      <c r="T9" s="311"/>
      <c r="U9" s="311"/>
      <c r="V9" s="311"/>
      <c r="W9" s="312"/>
    </row>
    <row r="10" spans="3:24" s="315" customFormat="1">
      <c r="C10" s="309"/>
      <c r="D10" s="311"/>
      <c r="E10" s="311"/>
      <c r="F10" s="311"/>
      <c r="G10" s="311"/>
      <c r="H10" s="311"/>
      <c r="I10" s="311"/>
      <c r="J10" s="311"/>
      <c r="K10" s="311"/>
      <c r="L10" s="311"/>
      <c r="M10" s="311"/>
      <c r="N10" s="311"/>
      <c r="O10" s="311"/>
      <c r="P10" s="311"/>
      <c r="Q10" s="311"/>
      <c r="R10" s="311"/>
      <c r="S10" s="311"/>
      <c r="T10" s="311"/>
      <c r="U10" s="311"/>
      <c r="V10" s="311"/>
      <c r="W10" s="312"/>
    </row>
    <row r="11" spans="3:24" s="315" customFormat="1">
      <c r="C11" s="309" t="s">
        <v>463</v>
      </c>
      <c r="D11" s="311"/>
      <c r="E11" s="311"/>
      <c r="F11" s="311"/>
      <c r="G11" s="311"/>
      <c r="H11" s="311"/>
      <c r="I11" s="311"/>
      <c r="J11" s="311"/>
      <c r="K11" s="311"/>
      <c r="L11" s="311"/>
      <c r="M11" s="311"/>
      <c r="N11" s="311"/>
      <c r="O11" s="311"/>
      <c r="P11" s="311"/>
      <c r="Q11" s="311"/>
      <c r="R11" s="311"/>
      <c r="S11" s="311"/>
      <c r="T11" s="311"/>
      <c r="U11" s="311"/>
      <c r="V11" s="311"/>
      <c r="W11" s="312"/>
    </row>
    <row r="12" spans="3:24" s="315" customFormat="1">
      <c r="C12" s="309" t="s">
        <v>464</v>
      </c>
      <c r="D12" s="311"/>
      <c r="E12" s="311"/>
      <c r="F12" s="311"/>
      <c r="G12" s="311"/>
      <c r="H12" s="311"/>
      <c r="I12" s="311"/>
      <c r="J12" s="311"/>
      <c r="K12" s="311"/>
      <c r="L12" s="311"/>
      <c r="M12" s="311"/>
      <c r="N12" s="311"/>
      <c r="O12" s="311"/>
      <c r="P12" s="311"/>
      <c r="Q12" s="311"/>
      <c r="R12" s="311"/>
      <c r="S12" s="311"/>
      <c r="T12" s="311"/>
      <c r="U12" s="311"/>
      <c r="V12" s="311"/>
      <c r="W12" s="312"/>
    </row>
    <row r="13" spans="3:24" s="315" customFormat="1">
      <c r="C13" s="309"/>
      <c r="D13" s="311"/>
      <c r="E13" s="311"/>
      <c r="F13" s="311"/>
      <c r="G13" s="311"/>
      <c r="H13" s="311"/>
      <c r="I13" s="311"/>
      <c r="J13" s="311"/>
      <c r="K13" s="311"/>
      <c r="L13" s="311"/>
      <c r="M13" s="311"/>
      <c r="N13" s="311"/>
      <c r="O13" s="311"/>
      <c r="P13" s="311"/>
      <c r="Q13" s="311"/>
      <c r="R13" s="311"/>
      <c r="S13" s="311"/>
      <c r="T13" s="311"/>
      <c r="U13" s="311"/>
      <c r="V13" s="311"/>
      <c r="W13" s="312"/>
    </row>
    <row r="14" spans="3:24" s="315" customFormat="1">
      <c r="C14" s="309"/>
      <c r="D14" s="311"/>
      <c r="E14" s="311"/>
      <c r="F14" s="311"/>
      <c r="G14" s="311"/>
      <c r="H14" s="311"/>
      <c r="I14" s="311"/>
      <c r="J14" s="311"/>
      <c r="K14" s="311"/>
      <c r="L14" s="311"/>
      <c r="M14" s="311"/>
      <c r="N14" s="311"/>
      <c r="O14" s="311"/>
      <c r="P14" s="311"/>
      <c r="Q14" s="311"/>
      <c r="R14" s="311"/>
      <c r="S14" s="311"/>
      <c r="T14" s="311"/>
      <c r="U14" s="311"/>
      <c r="V14" s="311"/>
      <c r="W14" s="312"/>
    </row>
    <row r="15" spans="3:24" s="308" customFormat="1">
      <c r="C15" s="316" t="s">
        <v>465</v>
      </c>
      <c r="D15" s="317">
        <f>SUM(D5:D14)</f>
        <v>0</v>
      </c>
      <c r="E15" s="317">
        <f t="shared" ref="E15:W15" si="0">SUM(E5:E14)</f>
        <v>0</v>
      </c>
      <c r="F15" s="317">
        <f t="shared" si="0"/>
        <v>0</v>
      </c>
      <c r="G15" s="317">
        <f t="shared" si="0"/>
        <v>0</v>
      </c>
      <c r="H15" s="317">
        <f t="shared" si="0"/>
        <v>0</v>
      </c>
      <c r="I15" s="317">
        <f t="shared" si="0"/>
        <v>0</v>
      </c>
      <c r="J15" s="317">
        <f t="shared" si="0"/>
        <v>0</v>
      </c>
      <c r="K15" s="317">
        <f t="shared" si="0"/>
        <v>0</v>
      </c>
      <c r="L15" s="317">
        <f t="shared" si="0"/>
        <v>0</v>
      </c>
      <c r="M15" s="317">
        <f t="shared" si="0"/>
        <v>0</v>
      </c>
      <c r="N15" s="317">
        <f t="shared" si="0"/>
        <v>0</v>
      </c>
      <c r="O15" s="317">
        <f t="shared" si="0"/>
        <v>0</v>
      </c>
      <c r="P15" s="317">
        <f t="shared" si="0"/>
        <v>0</v>
      </c>
      <c r="Q15" s="317">
        <f t="shared" si="0"/>
        <v>0</v>
      </c>
      <c r="R15" s="317">
        <f t="shared" si="0"/>
        <v>0</v>
      </c>
      <c r="S15" s="317">
        <f t="shared" si="0"/>
        <v>0</v>
      </c>
      <c r="T15" s="317">
        <f t="shared" si="0"/>
        <v>0</v>
      </c>
      <c r="U15" s="317">
        <f t="shared" si="0"/>
        <v>0</v>
      </c>
      <c r="V15" s="317">
        <f t="shared" si="0"/>
        <v>0</v>
      </c>
      <c r="W15" s="318">
        <f t="shared" si="0"/>
        <v>0</v>
      </c>
    </row>
    <row r="16" spans="3:24">
      <c r="C16" s="309"/>
      <c r="D16" s="311"/>
      <c r="E16" s="311"/>
      <c r="F16" s="311"/>
      <c r="G16" s="311"/>
      <c r="H16" s="311"/>
      <c r="I16" s="311"/>
      <c r="J16" s="311"/>
      <c r="K16" s="311"/>
      <c r="L16" s="311"/>
      <c r="M16" s="311"/>
      <c r="N16" s="311"/>
      <c r="O16" s="311"/>
      <c r="P16" s="311"/>
      <c r="Q16" s="311"/>
      <c r="R16" s="311"/>
      <c r="S16" s="311"/>
      <c r="T16" s="311"/>
      <c r="U16" s="311"/>
      <c r="V16" s="311"/>
      <c r="W16" s="312"/>
    </row>
    <row r="17" spans="3:23" s="321" customFormat="1">
      <c r="C17" s="332" t="s">
        <v>466</v>
      </c>
      <c r="D17" s="319">
        <f>-'Project costs'!C9/1000</f>
        <v>-13702.831587451998</v>
      </c>
      <c r="E17" s="319">
        <f>-'Project costs'!D9/1000</f>
        <v>-16343.416498852004</v>
      </c>
      <c r="F17" s="319">
        <f>-'Project costs'!E9/1000</f>
        <v>-16557.503367852001</v>
      </c>
      <c r="G17" s="319">
        <f>-'Project costs'!F10/1000</f>
        <v>-74548.462895334</v>
      </c>
      <c r="H17" s="319">
        <f>-'Project costs'!G9/1000</f>
        <v>-16435.965363252002</v>
      </c>
      <c r="I17" s="319"/>
      <c r="J17" s="319"/>
      <c r="K17" s="319"/>
      <c r="L17" s="319"/>
      <c r="M17" s="319"/>
      <c r="N17" s="319"/>
      <c r="O17" s="319"/>
      <c r="P17" s="319"/>
      <c r="Q17" s="319"/>
      <c r="R17" s="319"/>
      <c r="S17" s="319"/>
      <c r="T17" s="319"/>
      <c r="U17" s="319"/>
      <c r="V17" s="319"/>
      <c r="W17" s="320"/>
    </row>
    <row r="18" spans="3:23">
      <c r="C18" s="309" t="s">
        <v>467</v>
      </c>
      <c r="D18" s="311"/>
      <c r="E18" s="311"/>
      <c r="F18" s="311"/>
      <c r="G18" s="311"/>
      <c r="H18" s="311"/>
      <c r="I18" s="311"/>
      <c r="J18" s="311"/>
      <c r="K18" s="311"/>
      <c r="L18" s="311"/>
      <c r="M18" s="311"/>
      <c r="N18" s="311"/>
      <c r="O18" s="311"/>
      <c r="P18" s="311"/>
      <c r="Q18" s="311"/>
      <c r="R18" s="311"/>
      <c r="S18" s="311"/>
      <c r="T18" s="311"/>
      <c r="U18" s="311"/>
      <c r="V18" s="311"/>
      <c r="W18" s="312"/>
    </row>
    <row r="19" spans="3:23">
      <c r="C19" s="309" t="s">
        <v>468</v>
      </c>
      <c r="D19" s="311"/>
      <c r="E19" s="311"/>
      <c r="F19" s="311"/>
      <c r="G19" s="311"/>
      <c r="H19" s="311"/>
      <c r="I19" s="311"/>
      <c r="J19" s="311"/>
      <c r="K19" s="311"/>
      <c r="L19" s="311"/>
      <c r="M19" s="311"/>
      <c r="N19" s="311"/>
      <c r="O19" s="311"/>
      <c r="P19" s="311"/>
      <c r="Q19" s="311"/>
      <c r="R19" s="311"/>
      <c r="S19" s="311"/>
      <c r="T19" s="311"/>
      <c r="U19" s="311"/>
      <c r="V19" s="311"/>
      <c r="W19" s="312"/>
    </row>
    <row r="20" spans="3:23">
      <c r="C20" s="309"/>
      <c r="D20" s="311"/>
      <c r="E20" s="311"/>
      <c r="F20" s="311"/>
      <c r="G20" s="311"/>
      <c r="H20" s="311"/>
      <c r="I20" s="311"/>
      <c r="J20" s="311"/>
      <c r="K20" s="322"/>
      <c r="L20" s="311"/>
      <c r="M20" s="311"/>
      <c r="N20" s="311"/>
      <c r="O20" s="311"/>
      <c r="P20" s="311"/>
      <c r="Q20" s="311"/>
      <c r="R20" s="311"/>
      <c r="S20" s="311"/>
      <c r="T20" s="311"/>
      <c r="U20" s="311"/>
      <c r="V20" s="311"/>
      <c r="W20" s="312"/>
    </row>
    <row r="21" spans="3:23">
      <c r="C21" s="323"/>
      <c r="D21" s="324"/>
      <c r="E21" s="324"/>
      <c r="F21" s="324"/>
      <c r="G21" s="324"/>
      <c r="H21" s="324"/>
      <c r="I21" s="324"/>
      <c r="J21" s="324"/>
      <c r="K21" s="325"/>
      <c r="L21" s="324"/>
      <c r="M21" s="324"/>
      <c r="N21" s="324"/>
      <c r="O21" s="324"/>
      <c r="P21" s="324"/>
      <c r="Q21" s="324"/>
      <c r="R21" s="324"/>
      <c r="S21" s="324"/>
      <c r="T21" s="324"/>
      <c r="U21" s="324"/>
      <c r="V21" s="324"/>
      <c r="W21" s="326"/>
    </row>
    <row r="22" spans="3:23" ht="12.75" thickBot="1">
      <c r="C22" s="327" t="s">
        <v>469</v>
      </c>
      <c r="D22" s="328">
        <f t="shared" ref="D22:W22" si="1">SUM(D15:D20)</f>
        <v>-13702.831587451998</v>
      </c>
      <c r="E22" s="328">
        <f t="shared" si="1"/>
        <v>-16343.416498852004</v>
      </c>
      <c r="F22" s="328">
        <f t="shared" si="1"/>
        <v>-16557.503367852001</v>
      </c>
      <c r="G22" s="328">
        <f t="shared" si="1"/>
        <v>-74548.462895334</v>
      </c>
      <c r="H22" s="328">
        <f t="shared" si="1"/>
        <v>-16435.965363252002</v>
      </c>
      <c r="I22" s="328">
        <f t="shared" si="1"/>
        <v>0</v>
      </c>
      <c r="J22" s="328">
        <f t="shared" si="1"/>
        <v>0</v>
      </c>
      <c r="K22" s="328">
        <f t="shared" si="1"/>
        <v>0</v>
      </c>
      <c r="L22" s="328">
        <f t="shared" si="1"/>
        <v>0</v>
      </c>
      <c r="M22" s="328">
        <f t="shared" si="1"/>
        <v>0</v>
      </c>
      <c r="N22" s="328">
        <f t="shared" si="1"/>
        <v>0</v>
      </c>
      <c r="O22" s="328">
        <f t="shared" si="1"/>
        <v>0</v>
      </c>
      <c r="P22" s="328">
        <f t="shared" si="1"/>
        <v>0</v>
      </c>
      <c r="Q22" s="328">
        <f t="shared" si="1"/>
        <v>0</v>
      </c>
      <c r="R22" s="328">
        <f t="shared" si="1"/>
        <v>0</v>
      </c>
      <c r="S22" s="328">
        <f t="shared" si="1"/>
        <v>0</v>
      </c>
      <c r="T22" s="328">
        <f t="shared" si="1"/>
        <v>0</v>
      </c>
      <c r="U22" s="328">
        <f t="shared" si="1"/>
        <v>0</v>
      </c>
      <c r="V22" s="328">
        <f t="shared" si="1"/>
        <v>0</v>
      </c>
      <c r="W22" s="329">
        <f t="shared" si="1"/>
        <v>0</v>
      </c>
    </row>
    <row r="24" spans="3:23" ht="12.75">
      <c r="C24" s="330" t="s">
        <v>470</v>
      </c>
      <c r="D24" s="67">
        <f>NPV(10%,D22:W22)</f>
        <v>-99527.017348778187</v>
      </c>
    </row>
    <row r="26" spans="3:23" ht="12.75">
      <c r="C26" s="330" t="s">
        <v>234</v>
      </c>
      <c r="D26" s="331" t="e">
        <f>IRR(D22:W22,10%)</f>
        <v>#NUM!</v>
      </c>
    </row>
    <row r="29" spans="3:23">
      <c r="D29" s="299" t="s">
        <v>366</v>
      </c>
    </row>
  </sheetData>
  <pageMargins left="0.7" right="0.7" top="0.75" bottom="0.75" header="0.3" footer="0.3"/>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2:N19"/>
  <sheetViews>
    <sheetView showGridLines="0" workbookViewId="0">
      <selection activeCell="K18" sqref="K18"/>
    </sheetView>
  </sheetViews>
  <sheetFormatPr defaultColWidth="8.85546875" defaultRowHeight="15"/>
  <cols>
    <col min="2" max="2" width="25" bestFit="1" customWidth="1"/>
    <col min="3" max="7" width="13.42578125" style="333" bestFit="1" customWidth="1"/>
    <col min="8" max="9" width="13.42578125" style="333" customWidth="1"/>
    <col min="10" max="10" width="12.42578125" bestFit="1" customWidth="1"/>
    <col min="11" max="11" width="46.42578125" customWidth="1"/>
  </cols>
  <sheetData>
    <row r="2" spans="2:11">
      <c r="C2" s="333" t="s">
        <v>707</v>
      </c>
    </row>
    <row r="4" spans="2:11">
      <c r="B4" s="33"/>
      <c r="C4" s="217" t="s">
        <v>471</v>
      </c>
      <c r="D4" s="217" t="s">
        <v>472</v>
      </c>
      <c r="E4" s="217" t="s">
        <v>473</v>
      </c>
      <c r="F4" s="217" t="s">
        <v>474</v>
      </c>
      <c r="G4" s="217" t="s">
        <v>475</v>
      </c>
      <c r="H4" s="217" t="s">
        <v>728</v>
      </c>
      <c r="I4" s="217" t="s">
        <v>729</v>
      </c>
      <c r="J4" s="217" t="s">
        <v>157</v>
      </c>
    </row>
    <row r="5" spans="2:11">
      <c r="B5" s="33" t="s">
        <v>725</v>
      </c>
      <c r="C5" s="755">
        <v>2398921.5874520009</v>
      </c>
      <c r="D5" s="755">
        <v>5039227.4988520052</v>
      </c>
      <c r="E5" s="755">
        <v>5252756.3678520042</v>
      </c>
      <c r="F5" s="755">
        <v>5261578.087852004</v>
      </c>
      <c r="G5" s="755">
        <v>5130100.3632520027</v>
      </c>
      <c r="H5" s="755">
        <v>3740367.5506519997</v>
      </c>
      <c r="I5" s="755">
        <v>3723535.5540879988</v>
      </c>
      <c r="J5" s="583">
        <f t="shared" ref="J5:J10" si="0">SUM(C5:I5)</f>
        <v>30546487.01000002</v>
      </c>
      <c r="K5" s="754"/>
    </row>
    <row r="6" spans="2:11">
      <c r="B6" s="33" t="s">
        <v>726</v>
      </c>
      <c r="C6" s="583">
        <f>63786302/7</f>
        <v>9112328.8571428563</v>
      </c>
      <c r="D6" s="583">
        <f>C6</f>
        <v>9112328.8571428563</v>
      </c>
      <c r="E6" s="583">
        <f t="shared" ref="E6:I6" si="1">D6</f>
        <v>9112328.8571428563</v>
      </c>
      <c r="F6" s="583">
        <f t="shared" si="1"/>
        <v>9112328.8571428563</v>
      </c>
      <c r="G6" s="583">
        <f t="shared" si="1"/>
        <v>9112328.8571428563</v>
      </c>
      <c r="H6" s="583">
        <f t="shared" si="1"/>
        <v>9112328.8571428563</v>
      </c>
      <c r="I6" s="583">
        <f t="shared" si="1"/>
        <v>9112328.8571428563</v>
      </c>
      <c r="J6" s="583">
        <f t="shared" si="0"/>
        <v>63786302</v>
      </c>
    </row>
    <row r="7" spans="2:11">
      <c r="B7" s="33" t="s">
        <v>731</v>
      </c>
      <c r="C7" s="583">
        <f>15000000/7</f>
        <v>2142857.1428571427</v>
      </c>
      <c r="D7" s="583">
        <f t="shared" ref="D7:I7" si="2">C7</f>
        <v>2142857.1428571427</v>
      </c>
      <c r="E7" s="583">
        <f t="shared" si="2"/>
        <v>2142857.1428571427</v>
      </c>
      <c r="F7" s="583">
        <f t="shared" si="2"/>
        <v>2142857.1428571427</v>
      </c>
      <c r="G7" s="583">
        <f t="shared" si="2"/>
        <v>2142857.1428571427</v>
      </c>
      <c r="H7" s="583">
        <f t="shared" si="2"/>
        <v>2142857.1428571427</v>
      </c>
      <c r="I7" s="583">
        <f t="shared" si="2"/>
        <v>2142857.1428571427</v>
      </c>
      <c r="J7" s="583">
        <f t="shared" si="0"/>
        <v>14999999.999999996</v>
      </c>
    </row>
    <row r="8" spans="2:11">
      <c r="B8" s="33" t="s">
        <v>727</v>
      </c>
      <c r="C8" s="583">
        <v>48724</v>
      </c>
      <c r="D8" s="583">
        <v>49003</v>
      </c>
      <c r="E8" s="583">
        <v>49561</v>
      </c>
      <c r="F8" s="583">
        <v>49561</v>
      </c>
      <c r="G8" s="583">
        <v>50679</v>
      </c>
      <c r="H8" s="583">
        <v>50957</v>
      </c>
      <c r="I8" s="583">
        <v>51515</v>
      </c>
      <c r="J8" s="583">
        <f t="shared" si="0"/>
        <v>350000</v>
      </c>
      <c r="K8" s="31"/>
    </row>
    <row r="9" spans="2:11">
      <c r="B9" s="33" t="s">
        <v>476</v>
      </c>
      <c r="C9" s="583">
        <f>SUM(C5:C8)</f>
        <v>13702831.587451998</v>
      </c>
      <c r="D9" s="583">
        <f t="shared" ref="D9:I9" si="3">SUM(D5:D8)</f>
        <v>16343416.498852003</v>
      </c>
      <c r="E9" s="583">
        <f t="shared" si="3"/>
        <v>16557503.367852002</v>
      </c>
      <c r="F9" s="583">
        <f t="shared" si="3"/>
        <v>16566325.087852001</v>
      </c>
      <c r="G9" s="583">
        <f t="shared" si="3"/>
        <v>16435965.363252003</v>
      </c>
      <c r="H9" s="583">
        <f t="shared" si="3"/>
        <v>15046510.550651997</v>
      </c>
      <c r="I9" s="583">
        <f t="shared" si="3"/>
        <v>15030236.554087996</v>
      </c>
      <c r="J9" s="583">
        <f t="shared" si="0"/>
        <v>109682789.01000001</v>
      </c>
    </row>
    <row r="10" spans="2:11">
      <c r="B10" s="33" t="s">
        <v>185</v>
      </c>
      <c r="C10" s="583">
        <f t="shared" ref="C10:I10" si="4">C9*4.5</f>
        <v>61662742.14353399</v>
      </c>
      <c r="D10" s="583">
        <f t="shared" si="4"/>
        <v>73545374.244834021</v>
      </c>
      <c r="E10" s="583">
        <f t="shared" si="4"/>
        <v>74508765.155334011</v>
      </c>
      <c r="F10" s="583">
        <f t="shared" si="4"/>
        <v>74548462.895334005</v>
      </c>
      <c r="G10" s="583">
        <f t="shared" si="4"/>
        <v>73961844.134634018</v>
      </c>
      <c r="H10" s="583">
        <f t="shared" si="4"/>
        <v>67709297.477933988</v>
      </c>
      <c r="I10" s="583">
        <f t="shared" si="4"/>
        <v>67636064.493395984</v>
      </c>
      <c r="J10" s="583">
        <f t="shared" si="0"/>
        <v>493572550.54500002</v>
      </c>
    </row>
    <row r="15" spans="2:11">
      <c r="C15" s="755"/>
      <c r="D15" s="755"/>
      <c r="E15" s="755"/>
      <c r="F15" s="755"/>
      <c r="G15" s="755"/>
      <c r="H15" s="755"/>
      <c r="I15" s="755"/>
    </row>
    <row r="19" spans="14:14">
      <c r="N19">
        <f>26-35</f>
        <v>-9</v>
      </c>
    </row>
  </sheetData>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D4:Q26"/>
  <sheetViews>
    <sheetView showGridLines="0" zoomScale="80" zoomScaleNormal="80" zoomScalePageLayoutView="80" workbookViewId="0">
      <selection activeCell="S19" sqref="S19"/>
    </sheetView>
  </sheetViews>
  <sheetFormatPr defaultColWidth="9.140625" defaultRowHeight="12.75"/>
  <cols>
    <col min="1" max="4" width="9.140625" style="35"/>
    <col min="5" max="5" width="13.42578125" style="35" bestFit="1" customWidth="1"/>
    <col min="6" max="6" width="11" style="35" bestFit="1" customWidth="1"/>
    <col min="7" max="7" width="10.140625" style="35" customWidth="1"/>
    <col min="8" max="8" width="11.5703125" style="35" customWidth="1"/>
    <col min="9" max="9" width="14.42578125" style="35" bestFit="1" customWidth="1"/>
    <col min="10" max="10" width="12.42578125" style="35" customWidth="1"/>
    <col min="11" max="11" width="11.5703125" style="35" customWidth="1"/>
    <col min="12" max="16384" width="9.140625" style="35"/>
  </cols>
  <sheetData>
    <row r="4" spans="4:17">
      <c r="D4" s="171" t="s">
        <v>335</v>
      </c>
      <c r="E4" s="46"/>
      <c r="F4" s="46"/>
      <c r="G4" s="46"/>
      <c r="H4" s="46"/>
      <c r="I4" s="46"/>
      <c r="J4" s="46"/>
      <c r="K4" s="46"/>
      <c r="L4" s="46"/>
      <c r="M4" s="46"/>
      <c r="N4" s="46"/>
      <c r="O4" s="46"/>
      <c r="P4" s="46"/>
      <c r="Q4" s="46"/>
    </row>
    <row r="6" spans="4:17" s="211" customFormat="1" ht="76.5">
      <c r="D6" s="556" t="s">
        <v>313</v>
      </c>
      <c r="E6" s="551" t="s">
        <v>708</v>
      </c>
      <c r="F6" s="551" t="s">
        <v>327</v>
      </c>
      <c r="G6" s="551" t="s">
        <v>620</v>
      </c>
      <c r="H6" s="551" t="s">
        <v>621</v>
      </c>
      <c r="I6" s="551" t="s">
        <v>709</v>
      </c>
      <c r="J6" s="551" t="s">
        <v>622</v>
      </c>
      <c r="K6" s="551" t="s">
        <v>623</v>
      </c>
    </row>
    <row r="7" spans="4:17">
      <c r="D7" s="66">
        <v>1</v>
      </c>
      <c r="E7" s="67">
        <f>'Ouput 1 Financial Analysis'!E5</f>
        <v>0</v>
      </c>
      <c r="F7" s="198">
        <f>20*30*12/1000</f>
        <v>7.2</v>
      </c>
      <c r="G7" s="67">
        <f>E7/F7</f>
        <v>0</v>
      </c>
      <c r="H7" s="67">
        <f>'T5Recurrent Costs- one CREMA'!L12/1000</f>
        <v>32</v>
      </c>
      <c r="I7" s="67">
        <f>H7/F7</f>
        <v>4.4444444444444446</v>
      </c>
      <c r="J7" s="67">
        <v>2</v>
      </c>
      <c r="K7" s="67">
        <f>G7+I7+J7</f>
        <v>6.4444444444444446</v>
      </c>
      <c r="M7" s="611"/>
    </row>
    <row r="8" spans="4:17">
      <c r="D8" s="66">
        <v>2</v>
      </c>
      <c r="E8" s="67">
        <f>'Ouput 1 Financial Analysis'!E6</f>
        <v>901.02951269732353</v>
      </c>
      <c r="F8" s="198">
        <f t="shared" ref="F8:F26" si="0">20*30*12/1000</f>
        <v>7.2</v>
      </c>
      <c r="G8" s="67">
        <f>E8/F8</f>
        <v>125.14298787462826</v>
      </c>
      <c r="H8" s="67">
        <f>H7</f>
        <v>32</v>
      </c>
      <c r="I8" s="67">
        <f t="shared" ref="I8:I26" si="1">H8/F8</f>
        <v>4.4444444444444446</v>
      </c>
      <c r="J8" s="67">
        <v>2</v>
      </c>
      <c r="K8" s="67">
        <f t="shared" ref="K8:K26" si="2">G8+I8+J8</f>
        <v>131.58743231907272</v>
      </c>
      <c r="M8" s="611"/>
    </row>
    <row r="9" spans="4:17">
      <c r="D9" s="66">
        <v>3</v>
      </c>
      <c r="E9" s="67">
        <f>'Ouput 1 Financial Analysis'!E7</f>
        <v>933.39739190116711</v>
      </c>
      <c r="F9" s="198">
        <f t="shared" si="0"/>
        <v>7.2</v>
      </c>
      <c r="G9" s="67">
        <f t="shared" ref="G9:G26" si="3">E9/F9</f>
        <v>129.63852665293987</v>
      </c>
      <c r="H9" s="67">
        <f t="shared" ref="H9:H26" si="4">H8</f>
        <v>32</v>
      </c>
      <c r="I9" s="67">
        <f t="shared" si="1"/>
        <v>4.4444444444444446</v>
      </c>
      <c r="J9" s="67">
        <v>4</v>
      </c>
      <c r="K9" s="67">
        <f t="shared" si="2"/>
        <v>138.08297109738433</v>
      </c>
      <c r="M9" s="611"/>
    </row>
    <row r="10" spans="4:17">
      <c r="D10" s="66">
        <v>4</v>
      </c>
      <c r="E10" s="67">
        <f>'Ouput 1 Financial Analysis'!E8</f>
        <v>964.14687714481818</v>
      </c>
      <c r="F10" s="198">
        <f t="shared" si="0"/>
        <v>7.2</v>
      </c>
      <c r="G10" s="67">
        <f t="shared" si="3"/>
        <v>133.90928849233586</v>
      </c>
      <c r="H10" s="67">
        <f t="shared" si="4"/>
        <v>32</v>
      </c>
      <c r="I10" s="67">
        <f t="shared" si="1"/>
        <v>4.4444444444444446</v>
      </c>
      <c r="J10" s="67">
        <v>4</v>
      </c>
      <c r="K10" s="67">
        <f>G10+I10+J10</f>
        <v>142.35373293678032</v>
      </c>
    </row>
    <row r="11" spans="4:17">
      <c r="D11" s="66">
        <v>5</v>
      </c>
      <c r="E11" s="67">
        <f>'Ouput 1 Financial Analysis'!E9</f>
        <v>993.3588881262873</v>
      </c>
      <c r="F11" s="198">
        <f t="shared" si="0"/>
        <v>7.2</v>
      </c>
      <c r="G11" s="67">
        <f t="shared" si="3"/>
        <v>137.96651223976212</v>
      </c>
      <c r="H11" s="67">
        <f t="shared" si="4"/>
        <v>32</v>
      </c>
      <c r="I11" s="67">
        <f t="shared" si="1"/>
        <v>4.4444444444444446</v>
      </c>
      <c r="J11" s="67">
        <f t="shared" ref="J11:J26" si="5">J10</f>
        <v>4</v>
      </c>
      <c r="K11" s="67">
        <f t="shared" si="2"/>
        <v>146.41095668420658</v>
      </c>
    </row>
    <row r="12" spans="4:17">
      <c r="D12" s="66">
        <v>6</v>
      </c>
      <c r="E12" s="67">
        <f>'Ouput 1 Financial Analysis'!E10</f>
        <v>1021.1102985586826</v>
      </c>
      <c r="F12" s="198">
        <f t="shared" si="0"/>
        <v>7.2</v>
      </c>
      <c r="G12" s="67">
        <f t="shared" si="3"/>
        <v>141.82087479981703</v>
      </c>
      <c r="H12" s="67">
        <f t="shared" si="4"/>
        <v>32</v>
      </c>
      <c r="I12" s="67">
        <f t="shared" si="1"/>
        <v>4.4444444444444446</v>
      </c>
      <c r="J12" s="67">
        <f t="shared" si="5"/>
        <v>4</v>
      </c>
      <c r="K12" s="67">
        <f t="shared" si="2"/>
        <v>150.26531924426149</v>
      </c>
    </row>
    <row r="13" spans="4:17">
      <c r="D13" s="66">
        <v>7</v>
      </c>
      <c r="E13" s="67">
        <f>'Ouput 1 Financial Analysis'!E11</f>
        <v>1047.4741384694582</v>
      </c>
      <c r="F13" s="198">
        <f t="shared" si="0"/>
        <v>7.2</v>
      </c>
      <c r="G13" s="67">
        <f t="shared" si="3"/>
        <v>145.48251923186919</v>
      </c>
      <c r="H13" s="67">
        <f t="shared" si="4"/>
        <v>32</v>
      </c>
      <c r="I13" s="67">
        <f t="shared" si="1"/>
        <v>4.4444444444444446</v>
      </c>
      <c r="J13" s="67">
        <f t="shared" si="5"/>
        <v>4</v>
      </c>
      <c r="K13" s="67">
        <f t="shared" si="2"/>
        <v>153.92696367631365</v>
      </c>
    </row>
    <row r="14" spans="4:17">
      <c r="D14" s="66">
        <v>8</v>
      </c>
      <c r="E14" s="67">
        <f>'Ouput 1 Financial Analysis'!E12</f>
        <v>1072.519786384695</v>
      </c>
      <c r="F14" s="198">
        <f t="shared" si="0"/>
        <v>7.2</v>
      </c>
      <c r="G14" s="67">
        <f t="shared" si="3"/>
        <v>148.96108144231874</v>
      </c>
      <c r="H14" s="67">
        <f t="shared" si="4"/>
        <v>32</v>
      </c>
      <c r="I14" s="67">
        <f t="shared" si="1"/>
        <v>4.4444444444444446</v>
      </c>
      <c r="J14" s="67">
        <f t="shared" si="5"/>
        <v>4</v>
      </c>
      <c r="K14" s="67">
        <f t="shared" si="2"/>
        <v>157.4055258867632</v>
      </c>
    </row>
    <row r="15" spans="4:17">
      <c r="D15" s="66">
        <v>9</v>
      </c>
      <c r="E15" s="67">
        <f>'Ouput 1 Financial Analysis'!E13</f>
        <v>1096.3131519041697</v>
      </c>
      <c r="F15" s="198">
        <f t="shared" si="0"/>
        <v>7.2</v>
      </c>
      <c r="G15" s="67">
        <f t="shared" si="3"/>
        <v>152.26571554224577</v>
      </c>
      <c r="H15" s="67">
        <f t="shared" si="4"/>
        <v>32</v>
      </c>
      <c r="I15" s="67">
        <f t="shared" si="1"/>
        <v>4.4444444444444446</v>
      </c>
      <c r="J15" s="67">
        <f t="shared" si="5"/>
        <v>4</v>
      </c>
      <c r="K15" s="67">
        <f t="shared" si="2"/>
        <v>160.71015998669023</v>
      </c>
    </row>
    <row r="16" spans="4:17">
      <c r="D16" s="66">
        <v>10</v>
      </c>
      <c r="E16" s="67">
        <f>'Ouput 1 Financial Analysis'!E14</f>
        <v>1118.916849147671</v>
      </c>
      <c r="F16" s="198">
        <f t="shared" si="0"/>
        <v>7.2</v>
      </c>
      <c r="G16" s="67">
        <f t="shared" si="3"/>
        <v>155.40511793717653</v>
      </c>
      <c r="H16" s="67">
        <f t="shared" si="4"/>
        <v>32</v>
      </c>
      <c r="I16" s="67">
        <f t="shared" si="1"/>
        <v>4.4444444444444446</v>
      </c>
      <c r="J16" s="67">
        <f t="shared" si="5"/>
        <v>4</v>
      </c>
      <c r="K16" s="67">
        <f t="shared" si="2"/>
        <v>163.84956238162098</v>
      </c>
    </row>
    <row r="17" spans="4:11">
      <c r="D17" s="66">
        <v>11</v>
      </c>
      <c r="E17" s="67">
        <f>'Ouput 1 Financial Analysis'!E15</f>
        <v>1140.3903615289971</v>
      </c>
      <c r="F17" s="198">
        <f t="shared" si="0"/>
        <v>7.2</v>
      </c>
      <c r="G17" s="67">
        <f t="shared" si="3"/>
        <v>158.38755021236071</v>
      </c>
      <c r="H17" s="67">
        <f t="shared" si="4"/>
        <v>32</v>
      </c>
      <c r="I17" s="67">
        <f t="shared" si="1"/>
        <v>4.4444444444444446</v>
      </c>
      <c r="J17" s="67">
        <f t="shared" si="5"/>
        <v>4</v>
      </c>
      <c r="K17" s="67">
        <f t="shared" si="2"/>
        <v>166.83199465680516</v>
      </c>
    </row>
    <row r="18" spans="4:11">
      <c r="D18" s="66">
        <v>12</v>
      </c>
      <c r="E18" s="67">
        <f>'Ouput 1 Financial Analysis'!E16</f>
        <v>1160.7901982912567</v>
      </c>
      <c r="F18" s="198">
        <f t="shared" si="0"/>
        <v>7.2</v>
      </c>
      <c r="G18" s="67">
        <f t="shared" si="3"/>
        <v>161.22086087378565</v>
      </c>
      <c r="H18" s="67">
        <f t="shared" si="4"/>
        <v>32</v>
      </c>
      <c r="I18" s="67">
        <f t="shared" si="1"/>
        <v>4.4444444444444446</v>
      </c>
      <c r="J18" s="67">
        <f t="shared" si="5"/>
        <v>4</v>
      </c>
      <c r="K18" s="67">
        <f t="shared" si="2"/>
        <v>169.66530531823011</v>
      </c>
    </row>
    <row r="19" spans="4:11">
      <c r="D19" s="66">
        <v>13</v>
      </c>
      <c r="E19" s="67">
        <f>'Ouput 1 Financial Analysis'!E17</f>
        <v>1180.1700432154034</v>
      </c>
      <c r="F19" s="198">
        <f t="shared" si="0"/>
        <v>7.2</v>
      </c>
      <c r="G19" s="67">
        <f t="shared" si="3"/>
        <v>163.91250600213937</v>
      </c>
      <c r="H19" s="67">
        <f t="shared" si="4"/>
        <v>32</v>
      </c>
      <c r="I19" s="67">
        <f t="shared" si="1"/>
        <v>4.4444444444444446</v>
      </c>
      <c r="J19" s="67">
        <f t="shared" si="5"/>
        <v>4</v>
      </c>
      <c r="K19" s="67">
        <f t="shared" si="2"/>
        <v>172.35695044658382</v>
      </c>
    </row>
    <row r="20" spans="4:11">
      <c r="D20" s="66">
        <v>14</v>
      </c>
      <c r="E20" s="67">
        <f>'Ouput 1 Financial Analysis'!E18</f>
        <v>1198.5808958933433</v>
      </c>
      <c r="F20" s="198">
        <f t="shared" si="0"/>
        <v>7.2</v>
      </c>
      <c r="G20" s="67">
        <f t="shared" si="3"/>
        <v>166.46956887407546</v>
      </c>
      <c r="H20" s="67">
        <f t="shared" si="4"/>
        <v>32</v>
      </c>
      <c r="I20" s="67">
        <f t="shared" si="1"/>
        <v>4.4444444444444446</v>
      </c>
      <c r="J20" s="67">
        <f t="shared" si="5"/>
        <v>4</v>
      </c>
      <c r="K20" s="67">
        <f t="shared" si="2"/>
        <v>174.91401331851992</v>
      </c>
    </row>
    <row r="21" spans="4:11">
      <c r="D21" s="66">
        <v>15</v>
      </c>
      <c r="E21" s="67">
        <f>'Ouput 1 Financial Analysis'!E19</f>
        <v>1216.0712059373855</v>
      </c>
      <c r="F21" s="198">
        <f t="shared" si="0"/>
        <v>7.2</v>
      </c>
      <c r="G21" s="67">
        <f t="shared" si="3"/>
        <v>168.89877860241464</v>
      </c>
      <c r="H21" s="67">
        <f t="shared" si="4"/>
        <v>32</v>
      </c>
      <c r="I21" s="67">
        <f t="shared" si="1"/>
        <v>4.4444444444444446</v>
      </c>
      <c r="J21" s="67">
        <f t="shared" si="5"/>
        <v>4</v>
      </c>
      <c r="K21" s="67">
        <f t="shared" si="2"/>
        <v>177.34322304685909</v>
      </c>
    </row>
    <row r="22" spans="4:11">
      <c r="D22" s="66">
        <v>16</v>
      </c>
      <c r="E22" s="67">
        <f>'Ouput 1 Financial Analysis'!E20</f>
        <v>1232.6870004792263</v>
      </c>
      <c r="F22" s="198">
        <f t="shared" si="0"/>
        <v>7.2</v>
      </c>
      <c r="G22" s="67">
        <f t="shared" si="3"/>
        <v>171.20652784433699</v>
      </c>
      <c r="H22" s="67">
        <f t="shared" si="4"/>
        <v>32</v>
      </c>
      <c r="I22" s="67">
        <f t="shared" si="1"/>
        <v>4.4444444444444446</v>
      </c>
      <c r="J22" s="67">
        <f t="shared" si="5"/>
        <v>4</v>
      </c>
      <c r="K22" s="67">
        <f t="shared" si="2"/>
        <v>179.65097228878145</v>
      </c>
    </row>
    <row r="23" spans="4:11">
      <c r="D23" s="66">
        <v>17</v>
      </c>
      <c r="E23" s="67">
        <f>'Ouput 1 Financial Analysis'!E21</f>
        <v>1248.4720052939742</v>
      </c>
      <c r="F23" s="198">
        <f t="shared" si="0"/>
        <v>7.2</v>
      </c>
      <c r="G23" s="67">
        <f t="shared" si="3"/>
        <v>173.39888962416308</v>
      </c>
      <c r="H23" s="67">
        <f t="shared" si="4"/>
        <v>32</v>
      </c>
      <c r="I23" s="67">
        <f t="shared" si="1"/>
        <v>4.4444444444444446</v>
      </c>
      <c r="J23" s="67">
        <f t="shared" si="5"/>
        <v>4</v>
      </c>
      <c r="K23" s="67">
        <f t="shared" si="2"/>
        <v>181.84333406860753</v>
      </c>
    </row>
    <row r="24" spans="4:11">
      <c r="D24" s="66">
        <v>18</v>
      </c>
      <c r="E24" s="67">
        <f>'Ouput 1 Financial Analysis'!E22</f>
        <v>1263.4677598679853</v>
      </c>
      <c r="F24" s="198">
        <f t="shared" si="0"/>
        <v>7.2</v>
      </c>
      <c r="G24" s="67">
        <f t="shared" si="3"/>
        <v>175.48163331499794</v>
      </c>
      <c r="H24" s="67">
        <f t="shared" si="4"/>
        <v>32</v>
      </c>
      <c r="I24" s="67">
        <f t="shared" si="1"/>
        <v>4.4444444444444446</v>
      </c>
      <c r="J24" s="67">
        <f t="shared" si="5"/>
        <v>4</v>
      </c>
      <c r="K24" s="67">
        <f t="shared" si="2"/>
        <v>183.92607775944239</v>
      </c>
    </row>
    <row r="25" spans="4:11">
      <c r="D25" s="66">
        <v>19</v>
      </c>
      <c r="E25" s="67">
        <f>'Ouput 1 Financial Analysis'!E23</f>
        <v>1277.7137267132957</v>
      </c>
      <c r="F25" s="198">
        <f t="shared" si="0"/>
        <v>7.2</v>
      </c>
      <c r="G25" s="67">
        <f t="shared" si="3"/>
        <v>177.46023982129108</v>
      </c>
      <c r="H25" s="67">
        <f t="shared" si="4"/>
        <v>32</v>
      </c>
      <c r="I25" s="67">
        <f t="shared" si="1"/>
        <v>4.4444444444444446</v>
      </c>
      <c r="J25" s="67">
        <f t="shared" si="5"/>
        <v>4</v>
      </c>
      <c r="K25" s="67">
        <f t="shared" si="2"/>
        <v>185.90468426573554</v>
      </c>
    </row>
    <row r="26" spans="4:11">
      <c r="D26" s="66">
        <v>20</v>
      </c>
      <c r="E26" s="67">
        <f>'Ouput 1 Financial Analysis'!E24</f>
        <v>1291.2473952163407</v>
      </c>
      <c r="F26" s="198">
        <f t="shared" si="0"/>
        <v>7.2</v>
      </c>
      <c r="G26" s="67">
        <f t="shared" si="3"/>
        <v>179.33991600226955</v>
      </c>
      <c r="H26" s="67">
        <f t="shared" si="4"/>
        <v>32</v>
      </c>
      <c r="I26" s="67">
        <f t="shared" si="1"/>
        <v>4.4444444444444446</v>
      </c>
      <c r="J26" s="67">
        <f t="shared" si="5"/>
        <v>4</v>
      </c>
      <c r="K26" s="67">
        <f t="shared" si="2"/>
        <v>187.784360446714</v>
      </c>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C2:P26"/>
  <sheetViews>
    <sheetView showGridLines="0" topLeftCell="A5" workbookViewId="0">
      <selection activeCell="L20" sqref="L20"/>
    </sheetView>
  </sheetViews>
  <sheetFormatPr defaultColWidth="8.85546875" defaultRowHeight="15"/>
  <cols>
    <col min="3" max="3" width="16.85546875" customWidth="1"/>
    <col min="4" max="5" width="12.140625" bestFit="1" customWidth="1"/>
    <col min="6" max="7" width="10.85546875" bestFit="1" customWidth="1"/>
    <col min="8" max="8" width="12.140625" bestFit="1" customWidth="1"/>
    <col min="9" max="9" width="11.5703125" customWidth="1"/>
    <col min="10" max="11" width="12.140625" bestFit="1" customWidth="1"/>
    <col min="12" max="12" width="10.85546875" bestFit="1" customWidth="1"/>
    <col min="13" max="13" width="12.140625" bestFit="1" customWidth="1"/>
    <col min="14" max="14" width="13.140625" bestFit="1" customWidth="1"/>
    <col min="15" max="15" width="11.42578125" bestFit="1" customWidth="1"/>
    <col min="16" max="16" width="13.85546875" bestFit="1" customWidth="1"/>
  </cols>
  <sheetData>
    <row r="2" spans="3:16" ht="15.75" thickBot="1">
      <c r="C2" t="s">
        <v>694</v>
      </c>
    </row>
    <row r="3" spans="3:16">
      <c r="C3" s="663"/>
      <c r="D3" s="789" t="s">
        <v>553</v>
      </c>
      <c r="E3" s="790"/>
      <c r="F3" s="789" t="s">
        <v>696</v>
      </c>
      <c r="G3" s="790"/>
      <c r="H3" s="789" t="s">
        <v>697</v>
      </c>
      <c r="I3" s="790"/>
      <c r="J3" s="789" t="s">
        <v>702</v>
      </c>
      <c r="K3" s="791"/>
      <c r="L3" s="791"/>
      <c r="M3" s="790"/>
      <c r="N3" s="657" t="s">
        <v>157</v>
      </c>
      <c r="O3" s="658"/>
      <c r="P3" s="663"/>
    </row>
    <row r="4" spans="3:16" ht="77.25">
      <c r="C4" s="667" t="s">
        <v>313</v>
      </c>
      <c r="D4" s="650" t="s">
        <v>310</v>
      </c>
      <c r="E4" s="651" t="s">
        <v>310</v>
      </c>
      <c r="F4" s="650" t="s">
        <v>730</v>
      </c>
      <c r="G4" s="651" t="s">
        <v>695</v>
      </c>
      <c r="H4" s="650">
        <v>25500</v>
      </c>
      <c r="I4" s="651" t="s">
        <v>559</v>
      </c>
      <c r="J4" s="650" t="s">
        <v>698</v>
      </c>
      <c r="K4" s="649" t="s">
        <v>699</v>
      </c>
      <c r="L4" s="649" t="s">
        <v>700</v>
      </c>
      <c r="M4" s="651" t="s">
        <v>701</v>
      </c>
      <c r="N4" s="659"/>
      <c r="O4" s="660"/>
      <c r="P4" s="664"/>
    </row>
    <row r="5" spans="3:16" ht="51.75">
      <c r="C5" s="667"/>
      <c r="D5" s="650" t="s">
        <v>581</v>
      </c>
      <c r="E5" s="651" t="s">
        <v>581</v>
      </c>
      <c r="F5" s="650" t="s">
        <v>581</v>
      </c>
      <c r="G5" s="651" t="s">
        <v>581</v>
      </c>
      <c r="H5" s="650" t="s">
        <v>581</v>
      </c>
      <c r="I5" s="651" t="s">
        <v>581</v>
      </c>
      <c r="J5" s="650" t="s">
        <v>581</v>
      </c>
      <c r="K5" s="649" t="s">
        <v>581</v>
      </c>
      <c r="L5" s="649" t="s">
        <v>581</v>
      </c>
      <c r="M5" s="651" t="s">
        <v>581</v>
      </c>
      <c r="N5" s="650" t="s">
        <v>581</v>
      </c>
      <c r="O5" s="651" t="s">
        <v>703</v>
      </c>
      <c r="P5" s="665" t="s">
        <v>745</v>
      </c>
    </row>
    <row r="6" spans="3:16">
      <c r="C6" s="192">
        <v>1</v>
      </c>
      <c r="D6" s="728"/>
      <c r="E6" s="731"/>
      <c r="F6" s="734">
        <v>0</v>
      </c>
      <c r="G6" s="653"/>
      <c r="H6" s="735">
        <v>13028.4</v>
      </c>
      <c r="I6" s="653">
        <v>0</v>
      </c>
      <c r="J6" s="652">
        <v>0</v>
      </c>
      <c r="K6" s="34">
        <v>0</v>
      </c>
      <c r="L6" s="34"/>
      <c r="M6" s="653"/>
      <c r="N6" s="652">
        <f>SUM(D6:M6)</f>
        <v>13028.4</v>
      </c>
      <c r="O6" s="660"/>
      <c r="P6" s="756">
        <f>N6*30*4/1000</f>
        <v>1563.4079999999999</v>
      </c>
    </row>
    <row r="7" spans="3:16">
      <c r="C7" s="192">
        <v>2</v>
      </c>
      <c r="D7" s="729">
        <v>43230</v>
      </c>
      <c r="E7" s="732">
        <v>27147.327745999984</v>
      </c>
      <c r="F7" s="34">
        <v>278.66666666666663</v>
      </c>
      <c r="G7" s="653">
        <v>27522.494999999995</v>
      </c>
      <c r="H7" s="735">
        <v>52113.599999999999</v>
      </c>
      <c r="I7" s="653">
        <v>15053.661333333339</v>
      </c>
      <c r="J7" s="652">
        <v>96752.385000000024</v>
      </c>
      <c r="K7" s="34">
        <v>73317.824999999997</v>
      </c>
      <c r="L7" s="737">
        <v>6733.3392857142862</v>
      </c>
      <c r="M7" s="653">
        <v>21738</v>
      </c>
      <c r="N7" s="652">
        <f t="shared" ref="N7:N25" si="0">SUM(D7:M7)</f>
        <v>363887.30003171432</v>
      </c>
      <c r="O7" s="660"/>
      <c r="P7" s="756">
        <f t="shared" ref="P7:P25" si="1">N7*30*4/1000</f>
        <v>43666.476003805721</v>
      </c>
    </row>
    <row r="8" spans="3:16">
      <c r="C8" s="192">
        <v>3</v>
      </c>
      <c r="D8" s="729">
        <v>127528.5</v>
      </c>
      <c r="E8" s="732">
        <v>80084.616850699953</v>
      </c>
      <c r="F8" s="34">
        <v>1114.6666666666665</v>
      </c>
      <c r="G8" s="653">
        <v>27522.494999999995</v>
      </c>
      <c r="H8" s="735">
        <v>104227.2</v>
      </c>
      <c r="I8" s="653">
        <v>30107.322666666678</v>
      </c>
      <c r="J8" s="652">
        <v>96752.385000000024</v>
      </c>
      <c r="K8" s="34">
        <v>73317.824999999997</v>
      </c>
      <c r="L8" s="737">
        <v>6733.3392857142862</v>
      </c>
      <c r="M8" s="653">
        <v>21738</v>
      </c>
      <c r="N8" s="652">
        <f t="shared" si="0"/>
        <v>569126.35046974756</v>
      </c>
      <c r="O8" s="660"/>
      <c r="P8" s="756">
        <f t="shared" si="1"/>
        <v>68295.162056369707</v>
      </c>
    </row>
    <row r="9" spans="3:16">
      <c r="C9" s="192">
        <v>4</v>
      </c>
      <c r="D9" s="729">
        <v>207612.07500000033</v>
      </c>
      <c r="E9" s="732">
        <v>130375.04150016559</v>
      </c>
      <c r="F9" s="34">
        <v>4876.6666666666661</v>
      </c>
      <c r="G9" s="653">
        <v>27522.494999999995</v>
      </c>
      <c r="H9" s="735">
        <v>151455.15</v>
      </c>
      <c r="I9" s="653">
        <v>48924.399333333371</v>
      </c>
      <c r="J9" s="652">
        <v>193504.77000000005</v>
      </c>
      <c r="K9" s="34">
        <v>146635.65</v>
      </c>
      <c r="L9" s="737">
        <v>13466.678571428572</v>
      </c>
      <c r="M9" s="653">
        <v>43476</v>
      </c>
      <c r="N9" s="652">
        <f t="shared" si="0"/>
        <v>967848.92607159447</v>
      </c>
      <c r="O9" s="660"/>
      <c r="P9" s="756">
        <f t="shared" si="1"/>
        <v>116141.87112859133</v>
      </c>
    </row>
    <row r="10" spans="3:16">
      <c r="C10" s="192">
        <v>5</v>
      </c>
      <c r="D10" s="729">
        <v>283691.47125000041</v>
      </c>
      <c r="E10" s="732">
        <v>178150.94491715651</v>
      </c>
      <c r="F10" s="34">
        <v>10450</v>
      </c>
      <c r="G10" s="653">
        <v>27522.494999999995</v>
      </c>
      <c r="H10" s="735">
        <v>216597.15</v>
      </c>
      <c r="I10" s="653">
        <v>67741.47600000001</v>
      </c>
      <c r="J10" s="652">
        <v>193504.77000000005</v>
      </c>
      <c r="K10" s="34">
        <v>146635.65</v>
      </c>
      <c r="L10" s="737">
        <v>13466.678571428572</v>
      </c>
      <c r="M10" s="653">
        <v>43476</v>
      </c>
      <c r="N10" s="652">
        <f t="shared" si="0"/>
        <v>1181236.6357385856</v>
      </c>
      <c r="O10" s="660"/>
      <c r="P10" s="756">
        <f t="shared" si="1"/>
        <v>141748.39628863029</v>
      </c>
    </row>
    <row r="11" spans="3:16">
      <c r="C11" s="192">
        <v>6</v>
      </c>
      <c r="D11" s="729">
        <v>312736.89768749988</v>
      </c>
      <c r="E11" s="732">
        <v>223538.05316329841</v>
      </c>
      <c r="F11" s="34">
        <v>17416.666666666664</v>
      </c>
      <c r="G11" s="653">
        <v>27522.494999999995</v>
      </c>
      <c r="H11" s="735">
        <v>214968.59999999998</v>
      </c>
      <c r="I11" s="653">
        <v>82795.137333333434</v>
      </c>
      <c r="J11" s="652">
        <v>290257.15499999997</v>
      </c>
      <c r="K11" s="34">
        <v>219953.47500000001</v>
      </c>
      <c r="L11" s="34">
        <v>20200.017857142855</v>
      </c>
      <c r="M11" s="653">
        <v>65214</v>
      </c>
      <c r="N11" s="652">
        <f t="shared" si="0"/>
        <v>1474602.4977079413</v>
      </c>
      <c r="O11" s="660"/>
      <c r="P11" s="756">
        <f t="shared" si="1"/>
        <v>176952.29972495296</v>
      </c>
    </row>
    <row r="12" spans="3:16">
      <c r="C12" s="192">
        <v>7</v>
      </c>
      <c r="D12" s="729">
        <v>297100.05280312442</v>
      </c>
      <c r="E12" s="732">
        <v>266655.80599713465</v>
      </c>
      <c r="F12" s="34">
        <v>24383.333333333332</v>
      </c>
      <c r="G12" s="653">
        <v>27522.494999999995</v>
      </c>
      <c r="H12" s="735">
        <v>260568</v>
      </c>
      <c r="I12" s="653">
        <v>94085.383333333419</v>
      </c>
      <c r="J12" s="652">
        <v>290257.15499999997</v>
      </c>
      <c r="K12" s="34">
        <v>219953.47500000001</v>
      </c>
      <c r="L12" s="34">
        <v>20200.017857142855</v>
      </c>
      <c r="M12" s="653">
        <v>65214</v>
      </c>
      <c r="N12" s="652">
        <f t="shared" si="0"/>
        <v>1565939.7183240689</v>
      </c>
      <c r="O12" s="661">
        <f>SUM(N6:N12)</f>
        <v>6135669.8283436522</v>
      </c>
      <c r="P12" s="756">
        <f t="shared" si="1"/>
        <v>187912.76619888828</v>
      </c>
    </row>
    <row r="13" spans="3:16">
      <c r="C13" s="192">
        <v>8</v>
      </c>
      <c r="D13" s="729">
        <v>282245.05016296898</v>
      </c>
      <c r="E13" s="732">
        <v>249277.86397127761</v>
      </c>
      <c r="F13" s="34">
        <v>24383.333333333332</v>
      </c>
      <c r="G13" s="653">
        <v>27522.494999999995</v>
      </c>
      <c r="H13" s="735">
        <v>343363.48200000002</v>
      </c>
      <c r="I13" s="653">
        <v>94085.383333333419</v>
      </c>
      <c r="J13" s="652">
        <v>290257.15499999997</v>
      </c>
      <c r="K13" s="34">
        <v>219953.47500000001</v>
      </c>
      <c r="L13" s="34">
        <v>20200.017857142855</v>
      </c>
      <c r="M13" s="653">
        <v>65214</v>
      </c>
      <c r="N13" s="652">
        <f t="shared" si="0"/>
        <v>1616502.2556580564</v>
      </c>
      <c r="O13" s="660"/>
      <c r="P13" s="756">
        <f t="shared" si="1"/>
        <v>193980.27067896677</v>
      </c>
    </row>
    <row r="14" spans="3:16">
      <c r="C14" s="192">
        <v>9</v>
      </c>
      <c r="D14" s="729">
        <v>268132.79765482026</v>
      </c>
      <c r="E14" s="732">
        <v>232768.81904671341</v>
      </c>
      <c r="F14" s="34">
        <v>24383.333333333332</v>
      </c>
      <c r="G14" s="653">
        <v>27522.494999999995</v>
      </c>
      <c r="H14" s="735">
        <v>343363.48200000002</v>
      </c>
      <c r="I14" s="653">
        <v>94085.383333333419</v>
      </c>
      <c r="J14" s="652">
        <v>290257.15499999997</v>
      </c>
      <c r="K14" s="34">
        <v>219953.47500000001</v>
      </c>
      <c r="L14" s="34">
        <v>20200.017857142855</v>
      </c>
      <c r="M14" s="653">
        <v>65214</v>
      </c>
      <c r="N14" s="652">
        <f t="shared" si="0"/>
        <v>1585880.9582253434</v>
      </c>
      <c r="O14" s="660"/>
      <c r="P14" s="756">
        <f t="shared" si="1"/>
        <v>190305.7149870412</v>
      </c>
    </row>
    <row r="15" spans="3:16">
      <c r="C15" s="192">
        <v>10</v>
      </c>
      <c r="D15" s="729">
        <v>254726.15777207911</v>
      </c>
      <c r="E15" s="732">
        <v>217085.22636837853</v>
      </c>
      <c r="F15" s="34">
        <v>24383.333333333332</v>
      </c>
      <c r="G15" s="653">
        <v>27522.494999999995</v>
      </c>
      <c r="H15" s="735">
        <v>241025.4</v>
      </c>
      <c r="I15" s="653">
        <v>94085.383333333419</v>
      </c>
      <c r="J15" s="652">
        <v>290257.15499999997</v>
      </c>
      <c r="K15" s="34">
        <v>219953.47500000001</v>
      </c>
      <c r="L15" s="34">
        <v>20200.017857142855</v>
      </c>
      <c r="M15" s="653">
        <v>65214</v>
      </c>
      <c r="N15" s="652">
        <f t="shared" si="0"/>
        <v>1454452.6436642674</v>
      </c>
      <c r="O15" s="660"/>
      <c r="P15" s="756">
        <f t="shared" si="1"/>
        <v>174534.31723971208</v>
      </c>
    </row>
    <row r="16" spans="3:16">
      <c r="C16" s="192">
        <v>11</v>
      </c>
      <c r="D16" s="729">
        <v>241989.84988347549</v>
      </c>
      <c r="E16" s="732">
        <v>202185.81332395953</v>
      </c>
      <c r="F16" s="34">
        <v>24383.333333333332</v>
      </c>
      <c r="G16" s="653">
        <v>27522.494999999995</v>
      </c>
      <c r="H16" s="735">
        <v>241025.4</v>
      </c>
      <c r="I16" s="653">
        <v>94085.383333333419</v>
      </c>
      <c r="J16" s="652">
        <v>290257.15499999997</v>
      </c>
      <c r="K16" s="34">
        <v>219953.47500000001</v>
      </c>
      <c r="L16" s="34">
        <v>20200.017857142855</v>
      </c>
      <c r="M16" s="653">
        <v>65214</v>
      </c>
      <c r="N16" s="652">
        <f t="shared" si="0"/>
        <v>1426816.9227312447</v>
      </c>
      <c r="O16" s="660"/>
      <c r="P16" s="756">
        <f t="shared" si="1"/>
        <v>171218.03072774937</v>
      </c>
    </row>
    <row r="17" spans="3:16">
      <c r="C17" s="192">
        <v>12</v>
      </c>
      <c r="D17" s="729">
        <v>229890.35738930214</v>
      </c>
      <c r="E17" s="732">
        <v>188031.37093176041</v>
      </c>
      <c r="F17" s="34">
        <v>24383.333333333332</v>
      </c>
      <c r="G17" s="653">
        <v>27522.494999999995</v>
      </c>
      <c r="H17" s="735">
        <v>236400.31799999994</v>
      </c>
      <c r="I17" s="653">
        <v>94085.383333333419</v>
      </c>
      <c r="J17" s="652">
        <v>290257.15499999997</v>
      </c>
      <c r="K17" s="34">
        <v>219953.47500000001</v>
      </c>
      <c r="L17" s="34">
        <v>20200.017857142855</v>
      </c>
      <c r="M17" s="653">
        <v>65214</v>
      </c>
      <c r="N17" s="652">
        <f t="shared" si="0"/>
        <v>1395937.9058448721</v>
      </c>
      <c r="O17" s="660"/>
      <c r="P17" s="756">
        <f t="shared" si="1"/>
        <v>167512.54870138466</v>
      </c>
    </row>
    <row r="18" spans="3:16">
      <c r="C18" s="192">
        <v>13</v>
      </c>
      <c r="D18" s="729">
        <v>218395.83951983677</v>
      </c>
      <c r="E18" s="732">
        <v>174584.65065917402</v>
      </c>
      <c r="F18" s="34">
        <v>24383.333333333332</v>
      </c>
      <c r="G18" s="653">
        <v>27522.494999999995</v>
      </c>
      <c r="H18" s="735">
        <v>249428.71799999991</v>
      </c>
      <c r="I18" s="653">
        <v>94085.383333333637</v>
      </c>
      <c r="J18" s="652">
        <v>290257.15499999997</v>
      </c>
      <c r="K18" s="34">
        <v>219953.47500000001</v>
      </c>
      <c r="L18" s="34">
        <v>20200.017857142855</v>
      </c>
      <c r="M18" s="653">
        <v>65214</v>
      </c>
      <c r="N18" s="652">
        <f t="shared" si="0"/>
        <v>1384025.0677028208</v>
      </c>
      <c r="O18" s="660"/>
      <c r="P18" s="756">
        <f t="shared" si="1"/>
        <v>166083.00812433849</v>
      </c>
    </row>
    <row r="19" spans="3:16">
      <c r="C19" s="192">
        <v>14</v>
      </c>
      <c r="D19" s="729">
        <v>207476.0475438445</v>
      </c>
      <c r="E19" s="732">
        <v>161810.26640021458</v>
      </c>
      <c r="F19" s="34">
        <v>24383.333333333332</v>
      </c>
      <c r="G19" s="653">
        <v>27522.494999999995</v>
      </c>
      <c r="H19" s="735">
        <v>78170.39999999998</v>
      </c>
      <c r="I19" s="653">
        <v>94085.383333333419</v>
      </c>
      <c r="J19" s="652">
        <v>290257.15499999997</v>
      </c>
      <c r="K19" s="34">
        <v>219953.47500000001</v>
      </c>
      <c r="L19" s="34">
        <v>20200.017857142855</v>
      </c>
      <c r="M19" s="653">
        <v>65214</v>
      </c>
      <c r="N19" s="652">
        <f t="shared" si="0"/>
        <v>1189072.5734678688</v>
      </c>
      <c r="O19" s="660"/>
      <c r="P19" s="756">
        <f t="shared" si="1"/>
        <v>142688.70881614427</v>
      </c>
    </row>
    <row r="20" spans="3:16">
      <c r="C20" s="192">
        <v>15</v>
      </c>
      <c r="D20" s="729">
        <v>197102.24516665144</v>
      </c>
      <c r="E20" s="732">
        <v>149674.6013542038</v>
      </c>
      <c r="F20" s="34">
        <v>24383.333333333332</v>
      </c>
      <c r="G20" s="653">
        <v>27522.494999999995</v>
      </c>
      <c r="H20" s="735">
        <v>260568</v>
      </c>
      <c r="I20" s="653">
        <v>94085.383333333419</v>
      </c>
      <c r="J20" s="652">
        <v>290257.15499999997</v>
      </c>
      <c r="K20" s="34">
        <v>219953.47500000001</v>
      </c>
      <c r="L20" s="34">
        <v>20200.017857142855</v>
      </c>
      <c r="M20" s="653">
        <v>65214</v>
      </c>
      <c r="N20" s="652">
        <f t="shared" si="0"/>
        <v>1348960.7060446648</v>
      </c>
      <c r="O20" s="660"/>
      <c r="P20" s="756">
        <f t="shared" si="1"/>
        <v>161875.28472535976</v>
      </c>
    </row>
    <row r="21" spans="3:16">
      <c r="C21" s="192">
        <v>16</v>
      </c>
      <c r="D21" s="729">
        <v>187247.13290831912</v>
      </c>
      <c r="E21" s="732">
        <v>138145.71956049354</v>
      </c>
      <c r="F21" s="34">
        <v>24383.333333333332</v>
      </c>
      <c r="G21" s="653">
        <v>27522.494999999995</v>
      </c>
      <c r="H21" s="735">
        <v>307795.94999999995</v>
      </c>
      <c r="I21" s="653">
        <v>94085.383333333419</v>
      </c>
      <c r="J21" s="652">
        <v>290257.15499999997</v>
      </c>
      <c r="K21" s="34">
        <v>219953.47500000001</v>
      </c>
      <c r="L21" s="34">
        <v>20200.017857142855</v>
      </c>
      <c r="M21" s="653">
        <v>65214</v>
      </c>
      <c r="N21" s="652">
        <f t="shared" si="0"/>
        <v>1374804.6619926223</v>
      </c>
      <c r="O21" s="660"/>
      <c r="P21" s="756">
        <f t="shared" si="1"/>
        <v>164976.5594391147</v>
      </c>
    </row>
    <row r="22" spans="3:16">
      <c r="C22" s="192">
        <v>17</v>
      </c>
      <c r="D22" s="729">
        <v>177884.77626290434</v>
      </c>
      <c r="E22" s="732">
        <v>127193.28185646856</v>
      </c>
      <c r="F22" s="34">
        <v>24383.333333333332</v>
      </c>
      <c r="G22" s="653">
        <v>27522.494999999995</v>
      </c>
      <c r="H22" s="735">
        <v>372937.94999999995</v>
      </c>
      <c r="I22" s="653">
        <v>94085.383333333419</v>
      </c>
      <c r="J22" s="652">
        <v>290257.15499999997</v>
      </c>
      <c r="K22" s="34">
        <v>219953.47500000001</v>
      </c>
      <c r="L22" s="34">
        <v>20200.017857142855</v>
      </c>
      <c r="M22" s="653">
        <v>65214</v>
      </c>
      <c r="N22" s="652">
        <f t="shared" si="0"/>
        <v>1419631.8676431826</v>
      </c>
      <c r="O22" s="660"/>
      <c r="P22" s="756">
        <f t="shared" si="1"/>
        <v>170355.82411718194</v>
      </c>
    </row>
    <row r="23" spans="3:16">
      <c r="C23" s="192">
        <v>18</v>
      </c>
      <c r="D23" s="729">
        <v>168990.53744975803</v>
      </c>
      <c r="E23" s="732">
        <v>116788.46603764594</v>
      </c>
      <c r="F23" s="34">
        <v>24383.333333333332</v>
      </c>
      <c r="G23" s="653">
        <v>27522.494999999995</v>
      </c>
      <c r="H23" s="735">
        <v>371309.39999999997</v>
      </c>
      <c r="I23" s="653">
        <v>94085.383333333419</v>
      </c>
      <c r="J23" s="652">
        <v>290257.15499999997</v>
      </c>
      <c r="K23" s="34">
        <v>219953.47500000001</v>
      </c>
      <c r="L23" s="34">
        <v>20200.017857142855</v>
      </c>
      <c r="M23" s="653">
        <v>65214</v>
      </c>
      <c r="N23" s="652">
        <f t="shared" si="0"/>
        <v>1398704.2630112136</v>
      </c>
      <c r="O23" s="660"/>
      <c r="P23" s="756">
        <f t="shared" si="1"/>
        <v>167844.51156134563</v>
      </c>
    </row>
    <row r="24" spans="3:16">
      <c r="C24" s="192">
        <v>19</v>
      </c>
      <c r="D24" s="729">
        <v>160541.01057727105</v>
      </c>
      <c r="E24" s="732">
        <v>106903.89100976272</v>
      </c>
      <c r="F24" s="34">
        <v>24383.333333333332</v>
      </c>
      <c r="G24" s="653">
        <v>27522.494999999995</v>
      </c>
      <c r="H24" s="735">
        <v>703533.6</v>
      </c>
      <c r="I24" s="653">
        <v>94085.383333333419</v>
      </c>
      <c r="J24" s="652">
        <v>290257.15499999997</v>
      </c>
      <c r="K24" s="34">
        <v>219953.47500000001</v>
      </c>
      <c r="L24" s="34">
        <v>20200.017857142855</v>
      </c>
      <c r="M24" s="653">
        <v>65214</v>
      </c>
      <c r="N24" s="652">
        <f t="shared" si="0"/>
        <v>1712594.3611108437</v>
      </c>
      <c r="O24" s="660"/>
      <c r="P24" s="756">
        <f t="shared" si="1"/>
        <v>205511.32333330123</v>
      </c>
    </row>
    <row r="25" spans="3:16" ht="15.75" thickBot="1">
      <c r="C25" s="193">
        <v>20</v>
      </c>
      <c r="D25" s="730">
        <v>152513.960048407</v>
      </c>
      <c r="E25" s="733">
        <v>97513.544733275805</v>
      </c>
      <c r="F25" s="34">
        <v>24383.333333333332</v>
      </c>
      <c r="G25" s="655">
        <v>27522.494999999995</v>
      </c>
      <c r="H25" s="736">
        <v>814275</v>
      </c>
      <c r="I25" s="655">
        <v>94085.383333333419</v>
      </c>
      <c r="J25" s="654">
        <v>290257.15499999997</v>
      </c>
      <c r="K25" s="656">
        <v>219953.47500000001</v>
      </c>
      <c r="L25" s="656">
        <v>20200.017857142855</v>
      </c>
      <c r="M25" s="655">
        <v>65214</v>
      </c>
      <c r="N25" s="654">
        <f t="shared" si="0"/>
        <v>1805918.3643054925</v>
      </c>
      <c r="O25" s="662">
        <f>SUM(N6:N25)</f>
        <v>25248972.379746143</v>
      </c>
      <c r="P25" s="756">
        <f t="shared" si="1"/>
        <v>216710.2037166591</v>
      </c>
    </row>
    <row r="26" spans="3:16" ht="15.75" thickBot="1">
      <c r="C26" s="193" t="s">
        <v>736</v>
      </c>
      <c r="D26" s="730">
        <f>SUM(D6:D25)</f>
        <v>4019034.7590802633</v>
      </c>
      <c r="E26" s="733">
        <f>SUM(E6:E25)</f>
        <v>3067915.3054277836</v>
      </c>
      <c r="F26" s="34">
        <f t="shared" ref="F26:N26" si="2">SUM(F6:F25)</f>
        <v>375503.33333333331</v>
      </c>
      <c r="G26" s="655">
        <f t="shared" si="2"/>
        <v>522927.40499999991</v>
      </c>
      <c r="H26" s="736">
        <f t="shared" si="2"/>
        <v>5576155.2000000002</v>
      </c>
      <c r="I26" s="655">
        <f t="shared" si="2"/>
        <v>1561817.3633333342</v>
      </c>
      <c r="J26" s="654">
        <f t="shared" si="2"/>
        <v>4934371.6349999998</v>
      </c>
      <c r="K26" s="656">
        <f t="shared" si="2"/>
        <v>3739209.0750000011</v>
      </c>
      <c r="L26" s="656">
        <f t="shared" si="2"/>
        <v>343400.30357142841</v>
      </c>
      <c r="M26" s="655">
        <f t="shared" si="2"/>
        <v>1108638</v>
      </c>
      <c r="N26" s="654">
        <f t="shared" si="2"/>
        <v>25248972.379746143</v>
      </c>
      <c r="O26" s="662"/>
      <c r="P26" s="666"/>
    </row>
  </sheetData>
  <mergeCells count="4">
    <mergeCell ref="D3:E3"/>
    <mergeCell ref="F3:G3"/>
    <mergeCell ref="H3:I3"/>
    <mergeCell ref="J3:M3"/>
  </mergeCells>
  <pageMargins left="0.7" right="0.7" top="0.75" bottom="0.75" header="0.3" footer="0.3"/>
  <pageSetup orientation="portrait" horizontalDpi="0" verticalDpi="0" r:id="rId1"/>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C2:W49"/>
  <sheetViews>
    <sheetView showGridLines="0" zoomScale="90" zoomScaleNormal="90" zoomScalePageLayoutView="90" workbookViewId="0">
      <selection activeCell="M6" sqref="M6"/>
    </sheetView>
  </sheetViews>
  <sheetFormatPr defaultColWidth="8.85546875" defaultRowHeight="15"/>
  <cols>
    <col min="3" max="3" width="6.85546875" customWidth="1"/>
    <col min="4" max="4" width="10.140625" style="1" bestFit="1" customWidth="1"/>
    <col min="5" max="5" width="8.85546875" style="1" customWidth="1"/>
    <col min="6" max="6" width="9.5703125" style="1" customWidth="1"/>
    <col min="7" max="7" width="11.5703125" style="1" customWidth="1"/>
    <col min="8" max="8" width="10.42578125" style="1" bestFit="1" customWidth="1"/>
    <col min="9" max="9" width="13" style="247" bestFit="1" customWidth="1"/>
    <col min="10" max="10" width="12.5703125" style="1" bestFit="1" customWidth="1"/>
    <col min="11" max="12" width="11.5703125" style="247" customWidth="1"/>
    <col min="13" max="14" width="13.5703125" style="247" bestFit="1" customWidth="1"/>
    <col min="16" max="16" width="11.140625" bestFit="1" customWidth="1"/>
  </cols>
  <sheetData>
    <row r="2" spans="3:18">
      <c r="C2" s="648" t="s">
        <v>705</v>
      </c>
    </row>
    <row r="3" spans="3:18">
      <c r="C3" s="792" t="s">
        <v>378</v>
      </c>
      <c r="D3" s="793" t="s">
        <v>556</v>
      </c>
      <c r="E3" s="793"/>
      <c r="F3" s="793"/>
      <c r="G3" s="739"/>
      <c r="H3" s="637"/>
      <c r="I3" s="577" t="s">
        <v>157</v>
      </c>
      <c r="J3" s="578" t="s">
        <v>379</v>
      </c>
      <c r="K3" s="578"/>
      <c r="L3" s="578"/>
      <c r="M3" s="579"/>
      <c r="N3" s="253"/>
      <c r="O3" s="253"/>
    </row>
    <row r="4" spans="3:18" ht="135">
      <c r="C4" s="792"/>
      <c r="D4" s="580" t="s">
        <v>553</v>
      </c>
      <c r="E4" s="580" t="s">
        <v>554</v>
      </c>
      <c r="F4" s="580" t="s">
        <v>555</v>
      </c>
      <c r="G4" s="647" t="str">
        <f>'Organis for Shea nut collectors'!E5</f>
        <v>Increase in price paid to Collectors after organising Shea Nut Collection (50%)</v>
      </c>
      <c r="H4" s="647" t="s">
        <v>732</v>
      </c>
      <c r="I4" s="742" t="s">
        <v>380</v>
      </c>
      <c r="J4" s="581" t="s">
        <v>381</v>
      </c>
      <c r="K4" s="582" t="s">
        <v>642</v>
      </c>
      <c r="L4" s="579" t="s">
        <v>333</v>
      </c>
      <c r="M4" s="579" t="s">
        <v>382</v>
      </c>
      <c r="N4" s="253"/>
      <c r="O4" s="253"/>
    </row>
    <row r="5" spans="3:18">
      <c r="C5" s="274" t="s">
        <v>383</v>
      </c>
      <c r="D5" s="578">
        <f>'Output 1 - Economic Model'!H47+43*5+27*5</f>
        <v>-1512.2928000000002</v>
      </c>
      <c r="E5" s="578">
        <f>'Output 2 - Economic Model'!K47</f>
        <v>-1012.5</v>
      </c>
      <c r="F5" s="578">
        <f>'Output 3 - Economic Model'!H46</f>
        <v>-7792</v>
      </c>
      <c r="G5" s="578">
        <f>'Organis for Shea nut collectors'!F6/1000</f>
        <v>374.85</v>
      </c>
      <c r="H5" s="578">
        <f>'Carbon valuation'!P6</f>
        <v>1563.4079999999999</v>
      </c>
      <c r="I5" s="579">
        <f>D5+E5+F5+H5+G5</f>
        <v>-8378.5347999999994</v>
      </c>
      <c r="J5" s="579">
        <f>-'Project costs'!C10/1000</f>
        <v>-61662.742143533993</v>
      </c>
      <c r="K5" s="579"/>
      <c r="L5" s="579">
        <f>J5+K5</f>
        <v>-61662.742143533993</v>
      </c>
      <c r="M5" s="579">
        <f>I5+L5</f>
        <v>-70041.276943533987</v>
      </c>
      <c r="N5" s="253"/>
      <c r="O5" s="253"/>
    </row>
    <row r="6" spans="3:18">
      <c r="C6" s="274" t="s">
        <v>384</v>
      </c>
      <c r="D6" s="578">
        <f>'Output 1 - Economic Model'!H48+127*5+80*5</f>
        <v>-1163.7667492107057</v>
      </c>
      <c r="E6" s="578">
        <f>'Output 2 - Economic Model'!K48</f>
        <v>-6693.7725</v>
      </c>
      <c r="F6" s="578">
        <f>'Output 3 - Economic Model'!H47</f>
        <v>-5385.6</v>
      </c>
      <c r="G6" s="578">
        <f>'Organis for Shea nut collectors'!F7/1000</f>
        <v>749.7</v>
      </c>
      <c r="H6" s="578">
        <f>'Carbon valuation'!P7</f>
        <v>43666.476003805721</v>
      </c>
      <c r="I6" s="579">
        <f t="shared" ref="I6:I24" si="0">D6+E6+F6+H6+G6</f>
        <v>31173.036754595018</v>
      </c>
      <c r="J6" s="579">
        <f>-'Project costs'!D10/1000</f>
        <v>-73545.37424483402</v>
      </c>
      <c r="K6" s="579"/>
      <c r="L6" s="579">
        <f t="shared" ref="L6:L23" si="1">J6+K6</f>
        <v>-73545.37424483402</v>
      </c>
      <c r="M6" s="579">
        <f t="shared" ref="M6:M24" si="2">I6+L6</f>
        <v>-42372.337490239006</v>
      </c>
      <c r="N6" s="253"/>
      <c r="O6" s="253"/>
    </row>
    <row r="7" spans="3:18">
      <c r="C7" s="274" t="s">
        <v>385</v>
      </c>
      <c r="D7" s="578">
        <f>'Output 1 - Economic Model'!H49</f>
        <v>5454.8884545779038</v>
      </c>
      <c r="E7" s="578">
        <f>'Output 2 - Economic Model'!K49</f>
        <v>-16443.922500000001</v>
      </c>
      <c r="F7" s="578">
        <f>'Output 3 - Economic Model'!H48</f>
        <v>-5408.48</v>
      </c>
      <c r="G7" s="578">
        <f>'Organis for Shea nut collectors'!F8/1000</f>
        <v>1124.55</v>
      </c>
      <c r="H7" s="578">
        <f>'Carbon valuation'!P8</f>
        <v>68295.162056369707</v>
      </c>
      <c r="I7" s="579">
        <f t="shared" si="0"/>
        <v>53022.198010947614</v>
      </c>
      <c r="J7" s="579">
        <f>-'Project costs'!E10/1000</f>
        <v>-74508.765155334011</v>
      </c>
      <c r="K7" s="579"/>
      <c r="L7" s="579">
        <f t="shared" si="1"/>
        <v>-74508.765155334011</v>
      </c>
      <c r="M7" s="579">
        <f t="shared" si="2"/>
        <v>-21486.567144386398</v>
      </c>
      <c r="N7" s="253"/>
      <c r="O7" s="253"/>
    </row>
    <row r="8" spans="3:18">
      <c r="C8" s="274" t="s">
        <v>386</v>
      </c>
      <c r="D8" s="578">
        <f>'Output 1 - Economic Model'!H50</f>
        <v>11179.146663774885</v>
      </c>
      <c r="E8" s="578">
        <f>'Output 2 - Economic Model'!K50</f>
        <v>-22256.797500000001</v>
      </c>
      <c r="F8" s="578">
        <f>'Output 3 - Economic Model'!H49</f>
        <v>7772.4103225806448</v>
      </c>
      <c r="G8" s="578">
        <f>'Organis for Shea nut collectors'!F9/1000</f>
        <v>1499.4</v>
      </c>
      <c r="H8" s="578">
        <f>'Carbon valuation'!P9</f>
        <v>116141.87112859133</v>
      </c>
      <c r="I8" s="579">
        <f t="shared" si="0"/>
        <v>114336.03061494685</v>
      </c>
      <c r="J8" s="579">
        <f>-'Project costs'!F10/1000</f>
        <v>-74548.462895334</v>
      </c>
      <c r="K8" s="579"/>
      <c r="L8" s="579">
        <f t="shared" si="1"/>
        <v>-74548.462895334</v>
      </c>
      <c r="M8" s="579">
        <f t="shared" si="2"/>
        <v>39787.567719612853</v>
      </c>
      <c r="N8" s="253"/>
      <c r="O8" s="253"/>
    </row>
    <row r="9" spans="3:18">
      <c r="C9" s="274" t="s">
        <v>387</v>
      </c>
      <c r="D9" s="578">
        <f>'Output 1 - Economic Model'!H51</f>
        <v>11076.913475360332</v>
      </c>
      <c r="E9" s="578">
        <f>'Output 2 - Economic Model'!K51</f>
        <v>-16557.322500000002</v>
      </c>
      <c r="F9" s="578">
        <f>'Output 3 - Economic Model'!H50</f>
        <v>14169.290322580644</v>
      </c>
      <c r="G9" s="578">
        <f>'Organis for Shea nut collectors'!F10/1000</f>
        <v>1499.4</v>
      </c>
      <c r="H9" s="578">
        <f>'Carbon valuation'!P10</f>
        <v>141748.39628863029</v>
      </c>
      <c r="I9" s="579">
        <f t="shared" si="0"/>
        <v>151936.67758657126</v>
      </c>
      <c r="J9" s="579">
        <f>-'Project costs'!G10/1000</f>
        <v>-73961.844134634011</v>
      </c>
      <c r="K9" s="579"/>
      <c r="L9" s="579">
        <f t="shared" si="1"/>
        <v>-73961.844134634011</v>
      </c>
      <c r="M9" s="579">
        <f t="shared" si="2"/>
        <v>77974.833451937244</v>
      </c>
      <c r="N9" s="253"/>
      <c r="O9" s="253"/>
    </row>
    <row r="10" spans="3:18">
      <c r="C10" s="274" t="s">
        <v>388</v>
      </c>
      <c r="D10" s="578">
        <f>'Output 1 - Economic Model'!H52</f>
        <v>11664.536138366511</v>
      </c>
      <c r="E10" s="578">
        <f>'Output 2 - Economic Model'!K52</f>
        <v>3748.5</v>
      </c>
      <c r="F10" s="578">
        <f>'Output 3 - Economic Model'!H51</f>
        <v>13756.092903225805</v>
      </c>
      <c r="G10" s="578">
        <f>'Organis for Shea nut collectors'!F11/1000</f>
        <v>1499.4</v>
      </c>
      <c r="H10" s="578">
        <f>'Carbon valuation'!P11</f>
        <v>176952.29972495296</v>
      </c>
      <c r="I10" s="579">
        <f t="shared" si="0"/>
        <v>207620.82876654525</v>
      </c>
      <c r="J10" s="579">
        <f>-'Project costs'!H10/1000</f>
        <v>-67709.297477933986</v>
      </c>
      <c r="K10" s="579"/>
      <c r="L10" s="579">
        <f t="shared" si="1"/>
        <v>-67709.297477933986</v>
      </c>
      <c r="M10" s="579">
        <f t="shared" si="2"/>
        <v>139911.53128861127</v>
      </c>
      <c r="N10" s="253"/>
      <c r="O10" s="253"/>
      <c r="R10" s="248"/>
    </row>
    <row r="11" spans="3:18">
      <c r="C11" s="33" t="s">
        <v>389</v>
      </c>
      <c r="D11" s="34">
        <f>'Output 1 - Economic Model'!H53</f>
        <v>12222.777668222381</v>
      </c>
      <c r="E11" s="34">
        <f>'Output 2 - Economic Model'!K53</f>
        <v>3748.5</v>
      </c>
      <c r="F11" s="34">
        <f>'Output 3 - Economic Model'!H52</f>
        <v>8450.1290322580644</v>
      </c>
      <c r="G11" s="578">
        <f>'Organis for Shea nut collectors'!F12/1000</f>
        <v>1499.4</v>
      </c>
      <c r="H11" s="578">
        <f>'Carbon valuation'!P12</f>
        <v>187912.76619888828</v>
      </c>
      <c r="I11" s="579">
        <f t="shared" si="0"/>
        <v>213833.57289936871</v>
      </c>
      <c r="J11" s="579">
        <f>-'Project costs'!I10/1000</f>
        <v>-67636.064493395985</v>
      </c>
      <c r="K11" s="579"/>
      <c r="L11" s="579">
        <f t="shared" si="1"/>
        <v>-67636.064493395985</v>
      </c>
      <c r="M11" s="579">
        <f t="shared" si="2"/>
        <v>146197.50840597274</v>
      </c>
      <c r="N11"/>
      <c r="Q11">
        <v>1.2</v>
      </c>
    </row>
    <row r="12" spans="3:18">
      <c r="C12" s="33" t="s">
        <v>390</v>
      </c>
      <c r="D12" s="34">
        <f>'Output 1 - Economic Model'!H54</f>
        <v>12753.107121585459</v>
      </c>
      <c r="E12" s="34">
        <f>'Output 2 - Economic Model'!K54</f>
        <v>3748.5</v>
      </c>
      <c r="F12" s="34">
        <f>'Output 3 - Economic Model'!H53</f>
        <v>65888.24113548387</v>
      </c>
      <c r="G12" s="578">
        <f>'Organis for Shea nut collectors'!F13/1000</f>
        <v>1499.4</v>
      </c>
      <c r="H12" s="578">
        <f>'Carbon valuation'!P13</f>
        <v>193980.27067896677</v>
      </c>
      <c r="I12" s="579">
        <f t="shared" si="0"/>
        <v>277869.51893603615</v>
      </c>
      <c r="J12" s="583">
        <v>0</v>
      </c>
      <c r="K12" s="579">
        <f>J11*0.9</f>
        <v>-60872.458044056388</v>
      </c>
      <c r="L12" s="579">
        <f t="shared" si="1"/>
        <v>-60872.458044056388</v>
      </c>
      <c r="M12" s="579">
        <f t="shared" si="2"/>
        <v>216997.06089197978</v>
      </c>
      <c r="N12"/>
    </row>
    <row r="13" spans="3:18">
      <c r="C13" s="33" t="s">
        <v>391</v>
      </c>
      <c r="D13" s="34">
        <f>'Output 1 - Economic Model'!H55</f>
        <v>13256.920102280377</v>
      </c>
      <c r="E13" s="34">
        <f>'Output 2 - Economic Model'!K55</f>
        <v>3748.5</v>
      </c>
      <c r="F13" s="34">
        <f>'Output 3 - Economic Model'!H54</f>
        <v>65888.24113548387</v>
      </c>
      <c r="G13" s="578">
        <f>'Organis for Shea nut collectors'!F14/1000</f>
        <v>1499.4</v>
      </c>
      <c r="H13" s="578">
        <f>'Carbon valuation'!P14</f>
        <v>190305.7149870412</v>
      </c>
      <c r="I13" s="579">
        <f t="shared" si="0"/>
        <v>274698.77622480545</v>
      </c>
      <c r="J13" s="583">
        <v>0</v>
      </c>
      <c r="K13" s="579">
        <f t="shared" ref="K13:K24" si="3">K12</f>
        <v>-60872.458044056388</v>
      </c>
      <c r="L13" s="579">
        <f t="shared" si="1"/>
        <v>-60872.458044056388</v>
      </c>
      <c r="M13" s="579">
        <f t="shared" si="2"/>
        <v>213826.31818074908</v>
      </c>
      <c r="N13"/>
      <c r="Q13" s="247"/>
    </row>
    <row r="14" spans="3:18">
      <c r="C14" s="33" t="s">
        <v>392</v>
      </c>
      <c r="D14" s="34">
        <f>'Output 1 - Economic Model'!H56</f>
        <v>13735.542433940549</v>
      </c>
      <c r="E14" s="34">
        <f>'Output 2 - Economic Model'!K56</f>
        <v>3748.5</v>
      </c>
      <c r="F14" s="34">
        <f>'Output 3 - Economic Model'!H55</f>
        <v>82360.301419354844</v>
      </c>
      <c r="G14" s="578">
        <f>'Organis for Shea nut collectors'!F15/1000</f>
        <v>1499.4</v>
      </c>
      <c r="H14" s="578">
        <f>'Carbon valuation'!P15</f>
        <v>174534.31723971208</v>
      </c>
      <c r="I14" s="579">
        <f t="shared" si="0"/>
        <v>275878.06109300751</v>
      </c>
      <c r="J14" s="583">
        <v>0</v>
      </c>
      <c r="K14" s="579">
        <f t="shared" si="3"/>
        <v>-60872.458044056388</v>
      </c>
      <c r="L14" s="579">
        <f t="shared" si="1"/>
        <v>-60872.458044056388</v>
      </c>
      <c r="M14" s="579">
        <f t="shared" si="2"/>
        <v>215005.60304895113</v>
      </c>
      <c r="N14"/>
      <c r="O14" s="616"/>
    </row>
    <row r="15" spans="3:18">
      <c r="C15" s="33" t="s">
        <v>393</v>
      </c>
      <c r="D15" s="34">
        <f>'Output 1 - Economic Model'!H57</f>
        <v>14190.233649017715</v>
      </c>
      <c r="E15" s="34">
        <f>'Output 2 - Economic Model'!K57</f>
        <v>3748.5</v>
      </c>
      <c r="F15" s="34">
        <f>'Output 3 - Economic Model'!H56</f>
        <v>57652.210993548382</v>
      </c>
      <c r="G15" s="578">
        <f>'Organis for Shea nut collectors'!F16/1000</f>
        <v>1499.4</v>
      </c>
      <c r="H15" s="578">
        <f>'Carbon valuation'!P16</f>
        <v>171218.03072774937</v>
      </c>
      <c r="I15" s="579">
        <f t="shared" si="0"/>
        <v>248308.37537031548</v>
      </c>
      <c r="J15" s="583"/>
      <c r="K15" s="579">
        <f t="shared" si="3"/>
        <v>-60872.458044056388</v>
      </c>
      <c r="L15" s="579">
        <f t="shared" si="1"/>
        <v>-60872.458044056388</v>
      </c>
      <c r="M15" s="579">
        <f t="shared" si="2"/>
        <v>187435.91732625908</v>
      </c>
      <c r="N15"/>
    </row>
    <row r="16" spans="3:18">
      <c r="C16" s="33" t="s">
        <v>394</v>
      </c>
      <c r="D16" s="34">
        <f>'Output 1 - Economic Model'!H58</f>
        <v>14622.190303341024</v>
      </c>
      <c r="E16" s="34">
        <f>'Output 2 - Economic Model'!K58</f>
        <v>3860.9549999999999</v>
      </c>
      <c r="F16" s="34">
        <f>'Output 3 - Economic Model'!H57</f>
        <v>0</v>
      </c>
      <c r="G16" s="578">
        <f>'Organis for Shea nut collectors'!F17/1000</f>
        <v>1499.4</v>
      </c>
      <c r="H16" s="578">
        <f>'Carbon valuation'!P17</f>
        <v>167512.54870138466</v>
      </c>
      <c r="I16" s="579">
        <f t="shared" si="0"/>
        <v>187495.09400472566</v>
      </c>
      <c r="J16" s="583">
        <v>0</v>
      </c>
      <c r="K16" s="579">
        <f t="shared" si="3"/>
        <v>-60872.458044056388</v>
      </c>
      <c r="L16" s="579">
        <f t="shared" si="1"/>
        <v>-60872.458044056388</v>
      </c>
      <c r="M16" s="579">
        <f t="shared" si="2"/>
        <v>126622.63596066927</v>
      </c>
      <c r="N16"/>
    </row>
    <row r="17" spans="3:23">
      <c r="C17" s="33" t="s">
        <v>395</v>
      </c>
      <c r="D17" s="34">
        <f>'Output 1 - Economic Model'!H59</f>
        <v>15032.549124948164</v>
      </c>
      <c r="E17" s="34">
        <f>'Output 2 - Economic Model'!K59</f>
        <v>4610.6549999999997</v>
      </c>
      <c r="F17" s="34">
        <f>'Output 3 - Economic Model'!H58</f>
        <v>0</v>
      </c>
      <c r="G17" s="578">
        <f>'Organis for Shea nut collectors'!F18/1000</f>
        <v>1499.4</v>
      </c>
      <c r="H17" s="578">
        <f>'Carbon valuation'!P18</f>
        <v>166083.00812433849</v>
      </c>
      <c r="I17" s="579">
        <f t="shared" si="0"/>
        <v>187225.61224928664</v>
      </c>
      <c r="J17" s="583">
        <v>0</v>
      </c>
      <c r="K17" s="579">
        <f t="shared" si="3"/>
        <v>-60872.458044056388</v>
      </c>
      <c r="L17" s="579">
        <f t="shared" si="1"/>
        <v>-60872.458044056388</v>
      </c>
      <c r="M17" s="579">
        <f t="shared" si="2"/>
        <v>126353.15420523025</v>
      </c>
      <c r="N17"/>
    </row>
    <row r="18" spans="3:23">
      <c r="C18" s="33" t="s">
        <v>396</v>
      </c>
      <c r="D18" s="34">
        <f>'Output 1 - Economic Model'!H60</f>
        <v>15422.390005474947</v>
      </c>
      <c r="E18" s="34">
        <f>'Output 2 - Economic Model'!K60</f>
        <v>6484.9050000000007</v>
      </c>
      <c r="F18" s="34">
        <f>'Output 3 - Economic Model'!H59</f>
        <v>0</v>
      </c>
      <c r="G18" s="578">
        <f>'Organis for Shea nut collectors'!F19/1000</f>
        <v>1499.4</v>
      </c>
      <c r="H18" s="578">
        <f>'Carbon valuation'!P19</f>
        <v>142688.70881614427</v>
      </c>
      <c r="I18" s="579">
        <f t="shared" si="0"/>
        <v>166095.4038216192</v>
      </c>
      <c r="J18" s="583">
        <v>0</v>
      </c>
      <c r="K18" s="579">
        <f t="shared" si="3"/>
        <v>-60872.458044056388</v>
      </c>
      <c r="L18" s="579">
        <f t="shared" si="1"/>
        <v>-60872.458044056388</v>
      </c>
      <c r="M18" s="579">
        <f t="shared" si="2"/>
        <v>105222.94577756281</v>
      </c>
      <c r="N18"/>
    </row>
    <row r="19" spans="3:23">
      <c r="C19" s="33" t="s">
        <v>397</v>
      </c>
      <c r="D19" s="34">
        <f>'Output 1 - Economic Model'!H61</f>
        <v>15792.738841975395</v>
      </c>
      <c r="E19" s="34">
        <f>'Output 2 - Economic Model'!K61</f>
        <v>9108.8549999999996</v>
      </c>
      <c r="F19" s="34">
        <f>'Output 3 - Economic Model'!H60</f>
        <v>0</v>
      </c>
      <c r="G19" s="578">
        <f>'Organis for Shea nut collectors'!F20/1000</f>
        <v>1499.4</v>
      </c>
      <c r="H19" s="578">
        <f>'Carbon valuation'!P20</f>
        <v>161875.28472535976</v>
      </c>
      <c r="I19" s="579">
        <f t="shared" si="0"/>
        <v>188276.27856733513</v>
      </c>
      <c r="J19" s="583">
        <v>0</v>
      </c>
      <c r="K19" s="579">
        <f t="shared" si="3"/>
        <v>-60872.458044056388</v>
      </c>
      <c r="L19" s="579">
        <f t="shared" si="1"/>
        <v>-60872.458044056388</v>
      </c>
      <c r="M19" s="579">
        <f t="shared" si="2"/>
        <v>127403.82052327874</v>
      </c>
      <c r="N19"/>
    </row>
    <row r="20" spans="3:23">
      <c r="C20" s="33" t="s">
        <v>398</v>
      </c>
      <c r="D20" s="34">
        <f>'Output 1 - Economic Model'!H62</f>
        <v>16144.570236650819</v>
      </c>
      <c r="E20" s="34">
        <f>'Output 2 - Economic Model'!K62</f>
        <v>11245.5</v>
      </c>
      <c r="F20" s="34">
        <f>'Output 3 - Economic Model'!H61</f>
        <v>12336</v>
      </c>
      <c r="G20" s="578">
        <f>'Organis for Shea nut collectors'!F21/1000</f>
        <v>1499.4</v>
      </c>
      <c r="H20" s="578">
        <f>'Carbon valuation'!P21</f>
        <v>164976.5594391147</v>
      </c>
      <c r="I20" s="579">
        <f t="shared" si="0"/>
        <v>206202.02967576552</v>
      </c>
      <c r="J20" s="583">
        <v>0</v>
      </c>
      <c r="K20" s="579">
        <f t="shared" si="3"/>
        <v>-60872.458044056388</v>
      </c>
      <c r="L20" s="579">
        <f t="shared" si="1"/>
        <v>-60872.458044056388</v>
      </c>
      <c r="M20" s="579">
        <f t="shared" si="2"/>
        <v>145329.57163170911</v>
      </c>
      <c r="N20"/>
    </row>
    <row r="21" spans="3:23">
      <c r="C21" s="33" t="s">
        <v>399</v>
      </c>
      <c r="D21" s="34">
        <f>'Output 1 - Economic Model'!H63</f>
        <v>16478.810061592474</v>
      </c>
      <c r="E21" s="34">
        <f>'Output 2 - Economic Model'!K63</f>
        <v>11245.5</v>
      </c>
      <c r="F21" s="34">
        <f>'Output 3 - Economic Model'!H62</f>
        <v>12336</v>
      </c>
      <c r="G21" s="578">
        <f>'Organis for Shea nut collectors'!F22/1000</f>
        <v>1499.4</v>
      </c>
      <c r="H21" s="578">
        <f>'Carbon valuation'!P22</f>
        <v>170355.82411718194</v>
      </c>
      <c r="I21" s="579">
        <f t="shared" si="0"/>
        <v>211915.53417877443</v>
      </c>
      <c r="J21" s="583">
        <v>0</v>
      </c>
      <c r="K21" s="579">
        <f t="shared" si="3"/>
        <v>-60872.458044056388</v>
      </c>
      <c r="L21" s="579">
        <f t="shared" si="1"/>
        <v>-60872.458044056388</v>
      </c>
      <c r="M21" s="579">
        <f t="shared" si="2"/>
        <v>151043.07613471802</v>
      </c>
      <c r="N21"/>
    </row>
    <row r="22" spans="3:23">
      <c r="C22" s="33" t="s">
        <v>400</v>
      </c>
      <c r="D22" s="34">
        <f>'Output 1 - Economic Model'!H64</f>
        <v>16796.337895287041</v>
      </c>
      <c r="E22" s="34">
        <f>'Output 2 - Economic Model'!K64</f>
        <v>11245.5</v>
      </c>
      <c r="F22" s="34">
        <f>'Output 3 - Economic Model'!H63</f>
        <v>15420</v>
      </c>
      <c r="G22" s="578">
        <f>'Organis for Shea nut collectors'!F23/1000</f>
        <v>1499.4</v>
      </c>
      <c r="H22" s="578">
        <f>'Carbon valuation'!P23</f>
        <v>167844.51156134563</v>
      </c>
      <c r="I22" s="579">
        <f t="shared" si="0"/>
        <v>212805.74945663268</v>
      </c>
      <c r="J22" s="583">
        <v>0</v>
      </c>
      <c r="K22" s="579">
        <f t="shared" si="3"/>
        <v>-60872.458044056388</v>
      </c>
      <c r="L22" s="579">
        <f t="shared" si="1"/>
        <v>-60872.458044056388</v>
      </c>
      <c r="M22" s="579">
        <f t="shared" si="2"/>
        <v>151933.29141257628</v>
      </c>
      <c r="N22"/>
    </row>
    <row r="23" spans="3:23">
      <c r="C23" s="33" t="s">
        <v>401</v>
      </c>
      <c r="D23" s="34">
        <f>'Output 1 - Economic Model'!H65</f>
        <v>17097.98933729688</v>
      </c>
      <c r="E23" s="34">
        <f>'Output 2 - Economic Model'!K65</f>
        <v>11245.5</v>
      </c>
      <c r="F23" s="34">
        <f>'Output 3 - Economic Model'!H64</f>
        <v>10794</v>
      </c>
      <c r="G23" s="578">
        <f>'Organis for Shea nut collectors'!F24/1000</f>
        <v>1499.4</v>
      </c>
      <c r="H23" s="578">
        <f>'Carbon valuation'!P24</f>
        <v>205511.32333330123</v>
      </c>
      <c r="I23" s="579">
        <f t="shared" si="0"/>
        <v>246148.21267059809</v>
      </c>
      <c r="J23" s="583">
        <v>0</v>
      </c>
      <c r="K23" s="579">
        <f t="shared" si="3"/>
        <v>-60872.458044056388</v>
      </c>
      <c r="L23" s="579">
        <f t="shared" si="1"/>
        <v>-60872.458044056388</v>
      </c>
      <c r="M23" s="579">
        <f t="shared" si="2"/>
        <v>185275.75462654169</v>
      </c>
      <c r="N23"/>
    </row>
    <row r="24" spans="3:23">
      <c r="C24" s="33" t="s">
        <v>402</v>
      </c>
      <c r="D24" s="34">
        <f>'Output 1 - Economic Model'!H66</f>
        <v>17384.558207206232</v>
      </c>
      <c r="E24" s="34">
        <f>'Output 2 - Economic Model'!K66</f>
        <v>11320.47</v>
      </c>
      <c r="F24" s="34">
        <f>'Output 3 - Economic Model'!H65</f>
        <v>12336</v>
      </c>
      <c r="G24" s="578">
        <f>'Organis for Shea nut collectors'!F25/1000</f>
        <v>1499.4</v>
      </c>
      <c r="H24" s="578">
        <f>'Carbon valuation'!P25</f>
        <v>216710.2037166591</v>
      </c>
      <c r="I24" s="579">
        <f t="shared" si="0"/>
        <v>259250.63192386532</v>
      </c>
      <c r="J24" s="583">
        <v>0</v>
      </c>
      <c r="K24" s="579">
        <f t="shared" si="3"/>
        <v>-60872.458044056388</v>
      </c>
      <c r="L24" s="579">
        <f>J24+K24</f>
        <v>-60872.458044056388</v>
      </c>
      <c r="M24" s="579">
        <f t="shared" si="2"/>
        <v>198378.17387980892</v>
      </c>
      <c r="N24"/>
    </row>
    <row r="25" spans="3:23">
      <c r="C25" s="584" t="s">
        <v>704</v>
      </c>
      <c r="D25" s="584"/>
      <c r="E25" s="584"/>
      <c r="F25" s="584"/>
      <c r="G25" s="584"/>
      <c r="H25" s="578">
        <f>'Carbon valuation'!P26</f>
        <v>0</v>
      </c>
      <c r="I25" s="743"/>
      <c r="J25" s="584"/>
      <c r="K25" s="584"/>
      <c r="L25" s="585"/>
      <c r="M25" s="579">
        <f>NPV(10%,M5:M24)</f>
        <v>739031.18834057159</v>
      </c>
      <c r="P25" s="247"/>
      <c r="W25" t="s">
        <v>366</v>
      </c>
    </row>
    <row r="26" spans="3:23">
      <c r="C26" s="33" t="s">
        <v>741</v>
      </c>
      <c r="D26" s="33"/>
      <c r="E26" s="33"/>
      <c r="F26" s="33"/>
      <c r="G26" s="33"/>
      <c r="H26" s="33"/>
      <c r="I26" s="33"/>
      <c r="J26" s="33"/>
      <c r="K26" s="33"/>
      <c r="L26" s="585"/>
      <c r="M26" s="668">
        <f>IRR(M5:M24)</f>
        <v>0.46059134925803713</v>
      </c>
      <c r="P26" s="216"/>
    </row>
    <row r="28" spans="3:23">
      <c r="C28" s="249" t="s">
        <v>403</v>
      </c>
      <c r="D28" s="523"/>
      <c r="E28" s="523"/>
      <c r="F28" s="523"/>
      <c r="G28" s="523"/>
      <c r="H28" s="523"/>
    </row>
    <row r="30" spans="3:23">
      <c r="C30" s="179" t="s">
        <v>328</v>
      </c>
      <c r="D30" s="180"/>
      <c r="E30" s="44"/>
      <c r="F30" s="44"/>
      <c r="G30" s="44"/>
      <c r="H30" s="44"/>
      <c r="I30" s="203">
        <v>0.1</v>
      </c>
      <c r="J30" s="602"/>
      <c r="K30" s="602"/>
    </row>
    <row r="31" spans="3:23">
      <c r="C31" s="181" t="s">
        <v>721</v>
      </c>
      <c r="D31" s="178"/>
      <c r="E31" s="47"/>
      <c r="F31" s="47"/>
      <c r="G31" s="47"/>
      <c r="H31" s="47"/>
      <c r="I31" s="182">
        <f>NPV(I30,M5:M24)</f>
        <v>739031.18834057159</v>
      </c>
      <c r="J31" s="723"/>
      <c r="K31" s="723"/>
    </row>
    <row r="32" spans="3:23">
      <c r="C32" s="184" t="s">
        <v>722</v>
      </c>
      <c r="D32" s="178"/>
      <c r="E32" s="47"/>
      <c r="F32" s="47"/>
      <c r="G32" s="47"/>
      <c r="H32" s="47"/>
      <c r="I32" s="183">
        <f>IRR(M5:M24,I30)</f>
        <v>0.46059134925803713</v>
      </c>
      <c r="J32" s="602"/>
      <c r="K32" s="602"/>
    </row>
    <row r="33" spans="3:11">
      <c r="C33" s="181" t="s">
        <v>684</v>
      </c>
      <c r="D33" s="178"/>
      <c r="E33" s="47"/>
      <c r="F33" s="47"/>
      <c r="G33" s="47"/>
      <c r="H33" s="47"/>
      <c r="I33" s="185">
        <f>NPV(I30,I5:I24)</f>
        <v>1303508.2140340416</v>
      </c>
      <c r="J33" s="724"/>
      <c r="K33" s="724"/>
    </row>
    <row r="34" spans="3:11">
      <c r="C34" s="181" t="s">
        <v>685</v>
      </c>
      <c r="D34" s="178"/>
      <c r="E34" s="47"/>
      <c r="F34" s="47"/>
      <c r="G34" s="47"/>
      <c r="H34" s="47"/>
      <c r="I34" s="185">
        <f>NPV(I30,L5:L24)</f>
        <v>-564477.02569347015</v>
      </c>
      <c r="J34" s="724"/>
      <c r="K34" s="724"/>
    </row>
    <row r="35" spans="3:11">
      <c r="C35" s="181" t="s">
        <v>329</v>
      </c>
      <c r="D35" s="178"/>
      <c r="E35" s="47"/>
      <c r="F35" s="47"/>
      <c r="G35" s="47"/>
      <c r="H35" s="47"/>
      <c r="I35" s="186">
        <f>-I33/I34</f>
        <v>2.3092316510714648</v>
      </c>
      <c r="J35" s="725"/>
      <c r="K35" s="725"/>
    </row>
    <row r="36" spans="3:11">
      <c r="C36" s="181" t="s">
        <v>330</v>
      </c>
      <c r="D36" s="178"/>
      <c r="E36" s="47"/>
      <c r="F36" s="47"/>
      <c r="G36" s="47"/>
      <c r="H36" s="47"/>
      <c r="I36" s="183">
        <f>+(I34-I33)/I33</f>
        <v>-1.4330444715392707</v>
      </c>
      <c r="J36" s="602"/>
      <c r="K36" s="602"/>
    </row>
    <row r="37" spans="3:11">
      <c r="C37" s="187" t="s">
        <v>331</v>
      </c>
      <c r="D37" s="188"/>
      <c r="E37" s="51"/>
      <c r="F37" s="51"/>
      <c r="G37" s="51"/>
      <c r="H37" s="51"/>
      <c r="I37" s="189">
        <f>(I33-I34)/I34</f>
        <v>-3.3092316510714648</v>
      </c>
      <c r="J37" s="602"/>
      <c r="K37" s="602"/>
    </row>
    <row r="38" spans="3:11">
      <c r="C38" s="35"/>
      <c r="D38" s="35"/>
      <c r="E38" s="36"/>
      <c r="F38" s="36"/>
      <c r="G38" s="36"/>
      <c r="H38" s="36"/>
      <c r="I38" s="36"/>
      <c r="J38" s="36"/>
      <c r="K38" s="36"/>
    </row>
    <row r="39" spans="3:11" ht="15.75" thickBot="1">
      <c r="C39" s="76" t="s">
        <v>692</v>
      </c>
      <c r="D39" s="35"/>
      <c r="E39" s="36"/>
      <c r="F39" s="36"/>
      <c r="G39" s="36"/>
      <c r="H39" s="36"/>
      <c r="I39" s="36"/>
      <c r="J39" s="36"/>
      <c r="K39" s="36"/>
    </row>
    <row r="40" spans="3:11">
      <c r="C40" s="763"/>
      <c r="D40" s="764"/>
      <c r="E40" s="764"/>
      <c r="F40" s="645"/>
      <c r="G40" s="738"/>
      <c r="H40" s="641" t="s">
        <v>624</v>
      </c>
      <c r="I40" s="744" t="s">
        <v>722</v>
      </c>
      <c r="J40" s="559" t="s">
        <v>329</v>
      </c>
      <c r="K40" s="36"/>
    </row>
    <row r="41" spans="3:11">
      <c r="C41" s="646"/>
      <c r="D41" s="629"/>
      <c r="E41" s="629"/>
      <c r="F41" s="629"/>
      <c r="G41" s="629"/>
      <c r="H41" s="640" t="s">
        <v>625</v>
      </c>
      <c r="I41" s="745"/>
      <c r="J41" s="561"/>
      <c r="K41" s="36"/>
    </row>
    <row r="42" spans="3:11">
      <c r="C42" s="765" t="s">
        <v>626</v>
      </c>
      <c r="D42" s="766"/>
      <c r="E42" s="629"/>
      <c r="F42" s="629"/>
      <c r="G42" s="629"/>
      <c r="H42" s="750">
        <f>I31</f>
        <v>739031.18834057159</v>
      </c>
      <c r="I42" s="746">
        <f>I32</f>
        <v>0.46059134925803713</v>
      </c>
      <c r="J42" s="752">
        <f>I35</f>
        <v>2.3092316510714648</v>
      </c>
      <c r="K42" s="36"/>
    </row>
    <row r="43" spans="3:11">
      <c r="C43" s="741" t="s">
        <v>742</v>
      </c>
      <c r="D43" s="740"/>
      <c r="E43" s="629"/>
      <c r="F43" s="629"/>
      <c r="G43" s="629"/>
      <c r="H43" s="750">
        <v>1230504</v>
      </c>
      <c r="I43" s="746">
        <v>0.67</v>
      </c>
      <c r="J43" s="752">
        <v>3.4</v>
      </c>
      <c r="K43" s="36"/>
    </row>
    <row r="44" spans="3:11">
      <c r="C44" s="741" t="s">
        <v>743</v>
      </c>
      <c r="D44" s="740"/>
      <c r="E44" s="629"/>
      <c r="F44" s="629"/>
      <c r="G44" s="629"/>
      <c r="H44" s="750">
        <v>1421853</v>
      </c>
      <c r="I44" s="746">
        <v>1.1599999999999999</v>
      </c>
      <c r="J44" s="752">
        <v>4.6500000000000004</v>
      </c>
      <c r="K44" s="36"/>
    </row>
    <row r="45" spans="3:11">
      <c r="C45" s="741" t="s">
        <v>744</v>
      </c>
      <c r="D45" s="740"/>
      <c r="E45" s="629"/>
      <c r="F45" s="629"/>
      <c r="G45" s="629"/>
      <c r="H45" s="750">
        <v>958524</v>
      </c>
      <c r="I45" s="746">
        <v>1.1599999999999999</v>
      </c>
      <c r="J45" s="752">
        <v>4.08</v>
      </c>
      <c r="K45" s="36"/>
    </row>
    <row r="46" spans="3:11">
      <c r="C46" s="767" t="s">
        <v>687</v>
      </c>
      <c r="D46" s="768"/>
      <c r="E46" s="768"/>
      <c r="F46" s="629"/>
      <c r="G46" s="629"/>
      <c r="H46" s="750">
        <v>1942692</v>
      </c>
      <c r="I46" s="746">
        <v>1.04</v>
      </c>
      <c r="J46" s="752">
        <v>4.79</v>
      </c>
      <c r="K46" s="36"/>
    </row>
    <row r="47" spans="3:11">
      <c r="C47" s="767" t="s">
        <v>723</v>
      </c>
      <c r="D47" s="768"/>
      <c r="E47" s="768"/>
      <c r="F47" s="629"/>
      <c r="G47" s="629"/>
      <c r="H47" s="750">
        <v>1669921</v>
      </c>
      <c r="I47" s="746">
        <v>0.93</v>
      </c>
      <c r="J47" s="752">
        <v>4.26</v>
      </c>
      <c r="K47" s="36"/>
    </row>
    <row r="48" spans="3:11">
      <c r="C48" s="627" t="s">
        <v>739</v>
      </c>
      <c r="D48" s="628"/>
      <c r="E48" s="629"/>
      <c r="F48" s="629"/>
      <c r="G48" s="629"/>
      <c r="H48" s="750">
        <v>2007892</v>
      </c>
      <c r="I48" s="746">
        <v>1.05</v>
      </c>
      <c r="J48" s="752">
        <v>3.79</v>
      </c>
      <c r="K48" s="36"/>
    </row>
    <row r="49" spans="3:11" ht="15.75" thickBot="1">
      <c r="C49" s="726" t="s">
        <v>724</v>
      </c>
      <c r="D49" s="727"/>
      <c r="E49" s="727"/>
      <c r="F49" s="727"/>
      <c r="G49" s="727"/>
      <c r="H49" s="751">
        <v>1589845</v>
      </c>
      <c r="I49" s="747">
        <v>0.96</v>
      </c>
      <c r="J49" s="753">
        <v>2.4</v>
      </c>
      <c r="K49" s="36"/>
    </row>
  </sheetData>
  <mergeCells count="6">
    <mergeCell ref="C42:D42"/>
    <mergeCell ref="C46:E46"/>
    <mergeCell ref="C47:E47"/>
    <mergeCell ref="C3:C4"/>
    <mergeCell ref="D3:F3"/>
    <mergeCell ref="C40:E40"/>
  </mergeCell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7" tint="-0.249977111117893"/>
  </sheetPr>
  <dimension ref="C2:AA67"/>
  <sheetViews>
    <sheetView showGridLines="0" workbookViewId="0">
      <selection activeCell="I43" sqref="I43"/>
    </sheetView>
  </sheetViews>
  <sheetFormatPr defaultColWidth="9.140625" defaultRowHeight="12.75"/>
  <cols>
    <col min="1" max="3" width="9.140625" style="35"/>
    <col min="4" max="4" width="10.42578125" style="35" customWidth="1"/>
    <col min="5" max="6" width="8.42578125" style="36" bestFit="1" customWidth="1"/>
    <col min="7" max="7" width="12.42578125" style="36" customWidth="1"/>
    <col min="8" max="8" width="10" style="36" bestFit="1" customWidth="1"/>
    <col min="9" max="9" width="10.42578125" style="36" customWidth="1"/>
    <col min="10" max="10" width="10.85546875" style="36" customWidth="1"/>
    <col min="11" max="11" width="6.5703125" style="36" bestFit="1" customWidth="1"/>
    <col min="12" max="12" width="9" style="36" customWidth="1"/>
    <col min="13" max="24" width="7.5703125" style="36" customWidth="1"/>
    <col min="25" max="25" width="9.140625" style="36"/>
    <col min="26" max="16384" width="9.140625" style="35"/>
  </cols>
  <sheetData>
    <row r="2" spans="4:25">
      <c r="D2" s="171" t="s">
        <v>737</v>
      </c>
      <c r="J2" s="614"/>
    </row>
    <row r="3" spans="4:25">
      <c r="E3" s="288"/>
    </row>
    <row r="4" spans="4:25" ht="66" customHeight="1">
      <c r="D4" s="522" t="s">
        <v>313</v>
      </c>
      <c r="E4" s="295" t="s">
        <v>617</v>
      </c>
      <c r="F4" s="295" t="s">
        <v>618</v>
      </c>
      <c r="G4" s="295" t="s">
        <v>612</v>
      </c>
      <c r="H4" s="295" t="s">
        <v>616</v>
      </c>
      <c r="I4" s="295" t="s">
        <v>619</v>
      </c>
      <c r="L4" s="36" t="s">
        <v>680</v>
      </c>
      <c r="W4" s="35"/>
      <c r="X4" s="35"/>
      <c r="Y4" s="35"/>
    </row>
    <row r="5" spans="4:25">
      <c r="D5" s="151"/>
      <c r="E5" s="67"/>
      <c r="F5" s="67"/>
      <c r="G5" s="67"/>
      <c r="H5" s="67"/>
      <c r="I5" s="67"/>
      <c r="W5" s="35"/>
      <c r="X5" s="35"/>
      <c r="Y5" s="35"/>
    </row>
    <row r="6" spans="4:25">
      <c r="D6" s="66">
        <v>1</v>
      </c>
      <c r="E6" s="67">
        <f>'TC4 wood fuel potential'!N37</f>
        <v>0</v>
      </c>
      <c r="F6" s="67">
        <f>'Table6 REMA establishment Costs'!D22*4.5/1000</f>
        <v>364.32</v>
      </c>
      <c r="G6" s="67">
        <f>'CREMA recurrent Economic costs'!L22/1000</f>
        <v>566.82640000000004</v>
      </c>
      <c r="H6" s="67">
        <f t="shared" ref="H6:H25" si="0">SUM(F6:G6)</f>
        <v>931.14640000000009</v>
      </c>
      <c r="I6" s="67">
        <f>E6-F6-G6</f>
        <v>-931.14640000000009</v>
      </c>
      <c r="L6" s="36">
        <f t="shared" ref="L6:L25" si="1">I6/(1+0.1)^D6</f>
        <v>-846.4967272727273</v>
      </c>
      <c r="M6" s="618" t="s">
        <v>681</v>
      </c>
      <c r="W6" s="35"/>
      <c r="X6" s="35"/>
      <c r="Y6" s="35"/>
    </row>
    <row r="7" spans="4:25">
      <c r="D7" s="66">
        <v>2</v>
      </c>
      <c r="E7" s="67">
        <f>'TC4 wood fuel potential'!N38/1000</f>
        <v>1802.0590253946471</v>
      </c>
      <c r="F7" s="67"/>
      <c r="G7" s="67">
        <f>'CREMA recurrent Economic costs'!M22/1000</f>
        <v>573.57640000000004</v>
      </c>
      <c r="H7" s="67">
        <f t="shared" si="0"/>
        <v>573.57640000000004</v>
      </c>
      <c r="I7" s="67">
        <f t="shared" ref="I7:I25" si="2">E7-F7-G7</f>
        <v>1228.4826253946471</v>
      </c>
      <c r="L7" s="36">
        <f t="shared" si="1"/>
        <v>1015.2748970203694</v>
      </c>
      <c r="M7" s="618" t="s">
        <v>681</v>
      </c>
      <c r="W7" s="35"/>
      <c r="X7" s="35"/>
      <c r="Y7" s="35"/>
    </row>
    <row r="8" spans="4:25">
      <c r="D8" s="66">
        <v>3</v>
      </c>
      <c r="E8" s="67">
        <f>'TC4 wood fuel potential'!N39/1000</f>
        <v>1866.7947838023342</v>
      </c>
      <c r="F8" s="67"/>
      <c r="G8" s="67">
        <f>'CREMA recurrent Economic costs'!N22/1000</f>
        <v>813.83752000000004</v>
      </c>
      <c r="H8" s="67">
        <f t="shared" si="0"/>
        <v>813.83752000000004</v>
      </c>
      <c r="I8" s="67">
        <f t="shared" si="2"/>
        <v>1052.9572638023342</v>
      </c>
      <c r="L8" s="36">
        <f t="shared" si="1"/>
        <v>791.1023770115205</v>
      </c>
      <c r="M8" s="618" t="s">
        <v>681</v>
      </c>
      <c r="W8" s="35"/>
      <c r="X8" s="35"/>
      <c r="Y8" s="35"/>
    </row>
    <row r="9" spans="4:25">
      <c r="D9" s="66">
        <v>4</v>
      </c>
      <c r="E9" s="67">
        <f>'TC4 wood fuel potential'!N40/1000</f>
        <v>1928.2937542896364</v>
      </c>
      <c r="F9" s="67"/>
      <c r="G9" s="67">
        <f>G8</f>
        <v>813.83752000000004</v>
      </c>
      <c r="H9" s="67">
        <f t="shared" si="0"/>
        <v>813.83752000000004</v>
      </c>
      <c r="I9" s="67">
        <f t="shared" si="2"/>
        <v>1114.4562342896363</v>
      </c>
      <c r="L9" s="36">
        <f t="shared" si="1"/>
        <v>761.18860343530912</v>
      </c>
      <c r="M9" s="618" t="s">
        <v>681</v>
      </c>
      <c r="W9" s="35"/>
      <c r="X9" s="35"/>
      <c r="Y9" s="35"/>
    </row>
    <row r="10" spans="4:25">
      <c r="D10" s="66">
        <v>5</v>
      </c>
      <c r="E10" s="67">
        <f>'TC4 wood fuel potential'!N41/1000</f>
        <v>1986.7177762525746</v>
      </c>
      <c r="F10" s="67"/>
      <c r="G10" s="67">
        <f>G9</f>
        <v>813.83752000000004</v>
      </c>
      <c r="H10" s="67">
        <f t="shared" si="0"/>
        <v>813.83752000000004</v>
      </c>
      <c r="I10" s="67">
        <f t="shared" si="2"/>
        <v>1172.8802562525746</v>
      </c>
      <c r="L10" s="36">
        <f t="shared" si="1"/>
        <v>728.26636050230934</v>
      </c>
      <c r="M10" s="618" t="s">
        <v>681</v>
      </c>
      <c r="W10" s="35"/>
      <c r="X10" s="35"/>
      <c r="Y10" s="35"/>
    </row>
    <row r="11" spans="4:25">
      <c r="D11" s="66">
        <v>6</v>
      </c>
      <c r="E11" s="67">
        <f>'TC4 wood fuel potential'!N42/1000</f>
        <v>2042.2205971173653</v>
      </c>
      <c r="F11" s="67"/>
      <c r="G11" s="67">
        <f t="shared" ref="G11:G25" si="3">G10</f>
        <v>813.83752000000004</v>
      </c>
      <c r="H11" s="67">
        <f t="shared" si="0"/>
        <v>813.83752000000004</v>
      </c>
      <c r="I11" s="67">
        <f t="shared" si="2"/>
        <v>1228.3830771173652</v>
      </c>
      <c r="L11" s="36">
        <f t="shared" si="1"/>
        <v>693.39022315199122</v>
      </c>
      <c r="M11" s="618" t="s">
        <v>681</v>
      </c>
      <c r="W11" s="35"/>
      <c r="X11" s="35"/>
      <c r="Y11" s="35"/>
    </row>
    <row r="12" spans="4:25">
      <c r="D12" s="66">
        <v>7</v>
      </c>
      <c r="E12" s="67">
        <f>'TC4 wood fuel potential'!N43/1000</f>
        <v>2094.9482769389165</v>
      </c>
      <c r="F12" s="67"/>
      <c r="G12" s="67">
        <f t="shared" si="3"/>
        <v>813.83752000000004</v>
      </c>
      <c r="H12" s="67">
        <f t="shared" si="0"/>
        <v>813.83752000000004</v>
      </c>
      <c r="I12" s="67">
        <f t="shared" si="2"/>
        <v>1281.1107569389164</v>
      </c>
      <c r="L12" s="36">
        <f t="shared" si="1"/>
        <v>657.4123852758903</v>
      </c>
      <c r="M12" s="618" t="s">
        <v>681</v>
      </c>
      <c r="W12" s="35"/>
      <c r="X12" s="35"/>
      <c r="Y12" s="35"/>
    </row>
    <row r="13" spans="4:25">
      <c r="D13" s="66">
        <v>8</v>
      </c>
      <c r="E13" s="67">
        <f>'TC4 wood fuel potential'!N44/1000</f>
        <v>2145.0395727693899</v>
      </c>
      <c r="F13" s="67"/>
      <c r="G13" s="67">
        <f t="shared" si="3"/>
        <v>813.83752000000004</v>
      </c>
      <c r="H13" s="67">
        <f t="shared" si="0"/>
        <v>813.83752000000004</v>
      </c>
      <c r="I13" s="67">
        <f t="shared" si="2"/>
        <v>1331.2020527693899</v>
      </c>
      <c r="L13" s="36">
        <f t="shared" si="1"/>
        <v>621.01558216726698</v>
      </c>
      <c r="M13" s="618" t="s">
        <v>681</v>
      </c>
      <c r="W13" s="35"/>
      <c r="X13" s="35"/>
      <c r="Y13" s="35"/>
    </row>
    <row r="14" spans="4:25">
      <c r="D14" s="66">
        <v>9</v>
      </c>
      <c r="E14" s="67">
        <f>'TC4 wood fuel potential'!N45/1000</f>
        <v>2192.6263038083393</v>
      </c>
      <c r="F14" s="67"/>
      <c r="G14" s="67">
        <f t="shared" si="3"/>
        <v>813.83752000000004</v>
      </c>
      <c r="H14" s="67">
        <f t="shared" si="0"/>
        <v>813.83752000000004</v>
      </c>
      <c r="I14" s="67">
        <f t="shared" si="2"/>
        <v>1378.7887838083393</v>
      </c>
      <c r="L14" s="36">
        <f t="shared" si="1"/>
        <v>584.74103945181139</v>
      </c>
      <c r="M14" s="618" t="s">
        <v>681</v>
      </c>
      <c r="W14" s="35"/>
      <c r="X14" s="35"/>
      <c r="Y14" s="35"/>
    </row>
    <row r="15" spans="4:25">
      <c r="D15" s="66">
        <v>10</v>
      </c>
      <c r="E15" s="67">
        <f>'TC4 wood fuel potential'!N46/1000</f>
        <v>2237.8336982953419</v>
      </c>
      <c r="F15" s="67"/>
      <c r="G15" s="67">
        <f t="shared" si="3"/>
        <v>813.83752000000004</v>
      </c>
      <c r="H15" s="67">
        <f t="shared" si="0"/>
        <v>813.83752000000004</v>
      </c>
      <c r="I15" s="67">
        <f t="shared" si="2"/>
        <v>1423.9961782953419</v>
      </c>
      <c r="L15" s="36">
        <f t="shared" si="1"/>
        <v>549.01217071506767</v>
      </c>
      <c r="M15" s="618" t="s">
        <v>681</v>
      </c>
      <c r="W15" s="35"/>
      <c r="X15" s="35"/>
      <c r="Y15" s="35"/>
    </row>
    <row r="16" spans="4:25">
      <c r="D16" s="66">
        <v>11</v>
      </c>
      <c r="E16" s="67">
        <f>'TC4 wood fuel potential'!N47/1000</f>
        <v>2280.7807230579942</v>
      </c>
      <c r="F16" s="67"/>
      <c r="G16" s="67">
        <f t="shared" si="3"/>
        <v>813.83752000000004</v>
      </c>
      <c r="H16" s="67">
        <f t="shared" si="0"/>
        <v>813.83752000000004</v>
      </c>
      <c r="I16" s="67">
        <f t="shared" si="2"/>
        <v>1466.9432030579942</v>
      </c>
      <c r="L16" s="36">
        <f t="shared" si="1"/>
        <v>514.1546435575201</v>
      </c>
      <c r="M16" s="618" t="s">
        <v>681</v>
      </c>
      <c r="W16" s="35"/>
      <c r="X16" s="35"/>
      <c r="Y16" s="35"/>
    </row>
    <row r="17" spans="4:25">
      <c r="D17" s="66">
        <v>12</v>
      </c>
      <c r="E17" s="67">
        <f>'TC4 wood fuel potential'!N48/1000</f>
        <v>2321.5803965825135</v>
      </c>
      <c r="F17" s="67"/>
      <c r="G17" s="67">
        <f t="shared" si="3"/>
        <v>813.83752000000004</v>
      </c>
      <c r="H17" s="67">
        <f t="shared" si="0"/>
        <v>813.83752000000004</v>
      </c>
      <c r="I17" s="67">
        <f t="shared" si="2"/>
        <v>1507.7428765825134</v>
      </c>
      <c r="L17" s="36">
        <f t="shared" si="1"/>
        <v>480.41334566245143</v>
      </c>
      <c r="M17" s="618" t="s">
        <v>681</v>
      </c>
      <c r="W17" s="35"/>
      <c r="X17" s="35"/>
      <c r="Y17" s="35"/>
    </row>
    <row r="18" spans="4:25">
      <c r="D18" s="66">
        <v>13</v>
      </c>
      <c r="E18" s="67">
        <f>'TC4 wood fuel potential'!N49/1000</f>
        <v>2360.3400864308069</v>
      </c>
      <c r="F18" s="67"/>
      <c r="G18" s="67">
        <f t="shared" si="3"/>
        <v>813.83752000000004</v>
      </c>
      <c r="H18" s="67">
        <f t="shared" si="0"/>
        <v>813.83752000000004</v>
      </c>
      <c r="I18" s="67">
        <f t="shared" si="2"/>
        <v>1546.5025664308068</v>
      </c>
      <c r="L18" s="36">
        <f t="shared" si="1"/>
        <v>447.96670666637544</v>
      </c>
      <c r="M18" s="618" t="s">
        <v>681</v>
      </c>
      <c r="W18" s="35"/>
      <c r="X18" s="35"/>
      <c r="Y18" s="35"/>
    </row>
    <row r="19" spans="4:25">
      <c r="D19" s="66">
        <v>14</v>
      </c>
      <c r="E19" s="67">
        <f>'TC4 wood fuel potential'!N50/1000</f>
        <v>2397.1617917866865</v>
      </c>
      <c r="F19" s="67"/>
      <c r="G19" s="67">
        <f t="shared" si="3"/>
        <v>813.83752000000004</v>
      </c>
      <c r="H19" s="67">
        <f t="shared" si="0"/>
        <v>813.83752000000004</v>
      </c>
      <c r="I19" s="67">
        <f t="shared" si="2"/>
        <v>1583.3242717866865</v>
      </c>
      <c r="L19" s="36">
        <f t="shared" si="1"/>
        <v>416.93876646284843</v>
      </c>
      <c r="M19" s="618" t="s">
        <v>681</v>
      </c>
      <c r="W19" s="35"/>
      <c r="X19" s="35"/>
      <c r="Y19" s="35"/>
    </row>
    <row r="20" spans="4:25">
      <c r="D20" s="66">
        <v>15</v>
      </c>
      <c r="E20" s="67">
        <f>'TC4 wood fuel potential'!N51/1000</f>
        <v>2432.1424118747709</v>
      </c>
      <c r="F20" s="67"/>
      <c r="G20" s="67">
        <f t="shared" si="3"/>
        <v>813.83752000000004</v>
      </c>
      <c r="H20" s="67">
        <f t="shared" si="0"/>
        <v>813.83752000000004</v>
      </c>
      <c r="I20" s="67">
        <f t="shared" si="2"/>
        <v>1618.3048918747709</v>
      </c>
      <c r="L20" s="36">
        <f t="shared" si="1"/>
        <v>387.40932457004379</v>
      </c>
      <c r="M20" s="618" t="s">
        <v>681</v>
      </c>
      <c r="W20" s="35"/>
      <c r="X20" s="35"/>
      <c r="Y20" s="35"/>
    </row>
    <row r="21" spans="4:25">
      <c r="D21" s="66">
        <v>16</v>
      </c>
      <c r="E21" s="67">
        <f>'TC4 wood fuel potential'!N52/1000</f>
        <v>2465.3740009584526</v>
      </c>
      <c r="F21" s="67"/>
      <c r="G21" s="67">
        <f t="shared" si="3"/>
        <v>813.83752000000004</v>
      </c>
      <c r="H21" s="67">
        <f t="shared" si="0"/>
        <v>813.83752000000004</v>
      </c>
      <c r="I21" s="67">
        <f t="shared" si="2"/>
        <v>1651.5364809584526</v>
      </c>
      <c r="L21" s="36">
        <f t="shared" si="1"/>
        <v>359.42245707689113</v>
      </c>
      <c r="M21" s="618" t="s">
        <v>681</v>
      </c>
      <c r="W21" s="35"/>
      <c r="X21" s="35"/>
      <c r="Y21" s="35"/>
    </row>
    <row r="22" spans="4:25">
      <c r="D22" s="66">
        <v>17</v>
      </c>
      <c r="E22" s="67">
        <f>'TC4 wood fuel potential'!N53/1000</f>
        <v>2496.9440105879485</v>
      </c>
      <c r="F22" s="67"/>
      <c r="G22" s="67">
        <f t="shared" si="3"/>
        <v>813.83752000000004</v>
      </c>
      <c r="H22" s="67">
        <f t="shared" si="0"/>
        <v>813.83752000000004</v>
      </c>
      <c r="I22" s="67">
        <f t="shared" si="2"/>
        <v>1683.1064905879484</v>
      </c>
      <c r="L22" s="36">
        <f t="shared" si="1"/>
        <v>332.99364635404089</v>
      </c>
      <c r="M22" s="618" t="s">
        <v>681</v>
      </c>
      <c r="W22" s="35"/>
      <c r="X22" s="35"/>
      <c r="Y22" s="35"/>
    </row>
    <row r="23" spans="4:25">
      <c r="D23" s="66">
        <v>18</v>
      </c>
      <c r="E23" s="67">
        <f>'TC4 wood fuel potential'!N54/1000</f>
        <v>2526.9355197359705</v>
      </c>
      <c r="F23" s="67"/>
      <c r="G23" s="67">
        <f t="shared" si="3"/>
        <v>813.83752000000004</v>
      </c>
      <c r="H23" s="67">
        <f t="shared" si="0"/>
        <v>813.83752000000004</v>
      </c>
      <c r="I23" s="67">
        <f t="shared" si="2"/>
        <v>1713.0979997359705</v>
      </c>
      <c r="L23" s="36">
        <f t="shared" si="1"/>
        <v>308.11573322840604</v>
      </c>
      <c r="M23" s="618" t="s">
        <v>681</v>
      </c>
      <c r="W23" s="35"/>
      <c r="X23" s="35"/>
      <c r="Y23" s="35"/>
    </row>
    <row r="24" spans="4:25">
      <c r="D24" s="66">
        <v>19</v>
      </c>
      <c r="E24" s="67">
        <f>'TC4 wood fuel potential'!N55/1000</f>
        <v>2555.4274534265915</v>
      </c>
      <c r="F24" s="67"/>
      <c r="G24" s="67">
        <f t="shared" si="3"/>
        <v>813.83752000000004</v>
      </c>
      <c r="H24" s="67">
        <f t="shared" si="0"/>
        <v>813.83752000000004</v>
      </c>
      <c r="I24" s="67">
        <f t="shared" si="2"/>
        <v>1741.5899334265914</v>
      </c>
      <c r="L24" s="36">
        <f t="shared" si="1"/>
        <v>284.76387085834057</v>
      </c>
      <c r="M24" s="618" t="s">
        <v>681</v>
      </c>
      <c r="W24" s="35"/>
      <c r="X24" s="35"/>
      <c r="Y24" s="35"/>
    </row>
    <row r="25" spans="4:25">
      <c r="D25" s="66">
        <v>20</v>
      </c>
      <c r="E25" s="67">
        <f>'TC4 wood fuel potential'!N56/1000</f>
        <v>2582.4947904326814</v>
      </c>
      <c r="F25" s="67"/>
      <c r="G25" s="67">
        <f t="shared" si="3"/>
        <v>813.83752000000004</v>
      </c>
      <c r="H25" s="67">
        <f t="shared" si="0"/>
        <v>813.83752000000004</v>
      </c>
      <c r="I25" s="67">
        <f t="shared" si="2"/>
        <v>1768.6572704326813</v>
      </c>
      <c r="L25" s="36">
        <f t="shared" si="1"/>
        <v>262.89963340839245</v>
      </c>
      <c r="M25" s="618" t="s">
        <v>681</v>
      </c>
      <c r="W25" s="35"/>
      <c r="X25" s="35"/>
      <c r="Y25" s="35"/>
    </row>
    <row r="26" spans="4:25">
      <c r="G26" s="67">
        <f>0.5*E26</f>
        <v>0</v>
      </c>
      <c r="L26" s="36">
        <f>SUM(L6:L25)</f>
        <v>9349.9850393041179</v>
      </c>
      <c r="M26" s="618" t="s">
        <v>681</v>
      </c>
    </row>
    <row r="28" spans="4:25">
      <c r="D28" s="179" t="s">
        <v>328</v>
      </c>
      <c r="E28" s="289"/>
      <c r="F28" s="44"/>
      <c r="G28" s="44"/>
      <c r="H28" s="44"/>
      <c r="I28" s="203">
        <v>0.1</v>
      </c>
    </row>
    <row r="29" spans="4:25">
      <c r="D29" s="181" t="s">
        <v>332</v>
      </c>
      <c r="E29" s="290"/>
      <c r="F29" s="47"/>
      <c r="G29" s="47"/>
      <c r="H29" s="47"/>
      <c r="I29" s="182">
        <f>NPV(I28,I6:I25)</f>
        <v>9349.9850393041161</v>
      </c>
      <c r="M29" s="618" t="s">
        <v>681</v>
      </c>
    </row>
    <row r="30" spans="4:25">
      <c r="D30" s="184" t="s">
        <v>326</v>
      </c>
      <c r="E30" s="290"/>
      <c r="F30" s="47"/>
      <c r="G30" s="47"/>
      <c r="H30" s="47"/>
      <c r="I30" s="183">
        <f>IRR(I6:I25,0.1)</f>
        <v>1.2582038127079485</v>
      </c>
      <c r="M30" s="618" t="s">
        <v>681</v>
      </c>
    </row>
    <row r="31" spans="4:25">
      <c r="D31" s="181" t="s">
        <v>684</v>
      </c>
      <c r="E31" s="290"/>
      <c r="F31" s="47"/>
      <c r="G31" s="47"/>
      <c r="H31" s="47"/>
      <c r="I31" s="185">
        <f>NPV(I28,E6:E25)</f>
        <v>16186.724150627126</v>
      </c>
      <c r="M31" s="618"/>
    </row>
    <row r="32" spans="4:25">
      <c r="D32" s="181" t="s">
        <v>685</v>
      </c>
      <c r="E32" s="290"/>
      <c r="F32" s="47"/>
      <c r="G32" s="47"/>
      <c r="H32" s="47"/>
      <c r="I32" s="185">
        <f>NPV(I28,F6:G25)</f>
        <v>6245.3264648390987</v>
      </c>
      <c r="M32" s="618"/>
    </row>
    <row r="33" spans="3:27">
      <c r="D33" s="181" t="s">
        <v>329</v>
      </c>
      <c r="E33" s="290"/>
      <c r="F33" s="47"/>
      <c r="G33" s="47"/>
      <c r="H33" s="47"/>
      <c r="I33" s="186">
        <f>I31/I32</f>
        <v>2.5918139334681123</v>
      </c>
      <c r="M33" s="618" t="s">
        <v>681</v>
      </c>
    </row>
    <row r="34" spans="3:27">
      <c r="D34" s="181" t="s">
        <v>330</v>
      </c>
      <c r="E34" s="290"/>
      <c r="F34" s="47"/>
      <c r="G34" s="47"/>
      <c r="H34" s="47"/>
      <c r="I34" s="183">
        <f>+(I32-I31)/I31</f>
        <v>-0.61416983407373782</v>
      </c>
    </row>
    <row r="35" spans="3:27">
      <c r="D35" s="187" t="s">
        <v>331</v>
      </c>
      <c r="E35" s="291"/>
      <c r="F35" s="51"/>
      <c r="G35" s="51"/>
      <c r="H35" s="51"/>
      <c r="I35" s="189">
        <f>(I31-I32)/I32</f>
        <v>1.5918139334681123</v>
      </c>
    </row>
    <row r="36" spans="3:27" ht="18.75">
      <c r="D36" s="593" t="s">
        <v>643</v>
      </c>
      <c r="Z36" s="36"/>
      <c r="AA36" s="36"/>
    </row>
    <row r="37" spans="3:27" s="543" customFormat="1" ht="12">
      <c r="D37" s="543" t="s">
        <v>655</v>
      </c>
      <c r="E37" s="596"/>
      <c r="F37" s="596"/>
      <c r="G37" s="596"/>
      <c r="H37" s="596"/>
      <c r="I37" s="596"/>
      <c r="J37" s="596"/>
      <c r="K37" s="596"/>
      <c r="L37" s="596"/>
      <c r="M37" s="596"/>
      <c r="N37" s="596"/>
      <c r="O37" s="596"/>
      <c r="P37" s="596"/>
      <c r="Q37" s="596"/>
      <c r="R37" s="596"/>
      <c r="S37" s="596"/>
      <c r="T37" s="596"/>
      <c r="U37" s="596"/>
      <c r="V37" s="596"/>
      <c r="W37" s="596"/>
      <c r="X37" s="596"/>
      <c r="Y37" s="596"/>
      <c r="Z37" s="596"/>
      <c r="AA37" s="596"/>
    </row>
    <row r="38" spans="3:27" s="543" customFormat="1" ht="12">
      <c r="D38" s="599" t="s">
        <v>662</v>
      </c>
      <c r="E38" s="596"/>
      <c r="F38" s="596"/>
      <c r="G38" s="596"/>
      <c r="H38" s="596"/>
      <c r="I38" s="596"/>
      <c r="J38" s="596"/>
      <c r="K38" s="596"/>
      <c r="L38" s="596"/>
      <c r="M38" s="596"/>
      <c r="N38" s="596"/>
      <c r="O38" s="596"/>
      <c r="P38" s="596"/>
      <c r="Q38" s="596"/>
      <c r="R38" s="596"/>
      <c r="S38" s="596"/>
      <c r="T38" s="596"/>
      <c r="U38" s="596"/>
      <c r="V38" s="596"/>
      <c r="W38" s="596"/>
      <c r="X38" s="596"/>
      <c r="Y38" s="596"/>
      <c r="Z38" s="596"/>
      <c r="AA38" s="596"/>
    </row>
    <row r="39" spans="3:27" s="600" customFormat="1" ht="12">
      <c r="D39" s="543" t="s">
        <v>658</v>
      </c>
      <c r="E39" s="601"/>
      <c r="F39" s="601"/>
      <c r="G39" s="601"/>
      <c r="H39" s="601"/>
      <c r="I39" s="601"/>
      <c r="J39" s="601"/>
      <c r="K39" s="601"/>
      <c r="L39" s="601"/>
      <c r="M39" s="601"/>
      <c r="N39" s="601"/>
      <c r="O39" s="601"/>
      <c r="P39" s="601"/>
      <c r="Q39" s="601"/>
      <c r="R39" s="601"/>
      <c r="S39" s="601"/>
      <c r="T39" s="601"/>
      <c r="U39" s="601"/>
      <c r="V39" s="601"/>
      <c r="W39" s="601"/>
      <c r="X39" s="601"/>
      <c r="Y39" s="601"/>
      <c r="Z39" s="601"/>
      <c r="AA39" s="601"/>
    </row>
    <row r="40" spans="3:27" s="600" customFormat="1" ht="12">
      <c r="D40" s="543" t="s">
        <v>659</v>
      </c>
      <c r="E40" s="601"/>
      <c r="F40" s="601"/>
      <c r="G40" s="601"/>
      <c r="H40" s="601"/>
      <c r="I40" s="601"/>
      <c r="J40" s="601"/>
      <c r="K40" s="601"/>
      <c r="L40" s="601"/>
      <c r="M40" s="601"/>
      <c r="N40" s="601"/>
      <c r="O40" s="601"/>
      <c r="P40" s="601"/>
      <c r="Q40" s="601"/>
      <c r="R40" s="601"/>
      <c r="S40" s="601"/>
      <c r="T40" s="601"/>
      <c r="U40" s="601"/>
      <c r="V40" s="601"/>
      <c r="W40" s="601"/>
      <c r="X40" s="601"/>
      <c r="Y40" s="601"/>
      <c r="Z40" s="601"/>
      <c r="AA40" s="601"/>
    </row>
    <row r="41" spans="3:27" s="600" customFormat="1" ht="12">
      <c r="D41" s="543" t="s">
        <v>660</v>
      </c>
      <c r="E41" s="601"/>
      <c r="F41" s="601"/>
      <c r="G41" s="601"/>
      <c r="H41" s="601"/>
      <c r="I41" s="601"/>
      <c r="J41" s="601"/>
      <c r="K41" s="601"/>
      <c r="L41" s="601"/>
      <c r="M41" s="601"/>
      <c r="N41" s="601"/>
      <c r="O41" s="601"/>
      <c r="P41" s="601"/>
      <c r="Q41" s="601"/>
      <c r="R41" s="601"/>
      <c r="S41" s="601"/>
      <c r="T41" s="601"/>
      <c r="U41" s="601"/>
      <c r="V41" s="601"/>
      <c r="W41" s="601"/>
      <c r="X41" s="601"/>
      <c r="Y41" s="601"/>
      <c r="Z41" s="601"/>
      <c r="AA41" s="601"/>
    </row>
    <row r="44" spans="3:27" ht="11.25" customHeight="1">
      <c r="C44" s="76" t="s">
        <v>442</v>
      </c>
    </row>
    <row r="45" spans="3:27">
      <c r="C45" s="522" t="s">
        <v>441</v>
      </c>
      <c r="D45" s="556"/>
      <c r="E45" s="576" t="s">
        <v>383</v>
      </c>
      <c r="F45" s="576" t="s">
        <v>384</v>
      </c>
      <c r="G45" s="576" t="s">
        <v>385</v>
      </c>
      <c r="H45" s="574"/>
    </row>
    <row r="46" spans="3:27" s="211" customFormat="1" ht="63.75">
      <c r="C46" s="572" t="s">
        <v>313</v>
      </c>
      <c r="D46" s="573" t="str">
        <f>I4</f>
        <v>Net benefits for one CREMA (Cedis'000)</v>
      </c>
      <c r="E46" s="574">
        <v>2</v>
      </c>
      <c r="F46" s="574">
        <v>5</v>
      </c>
      <c r="G46" s="574">
        <v>3</v>
      </c>
      <c r="H46" s="575" t="s">
        <v>630</v>
      </c>
      <c r="I46" s="210"/>
      <c r="J46" s="210"/>
      <c r="K46" s="210"/>
      <c r="L46" s="210"/>
      <c r="M46" s="210"/>
      <c r="N46" s="210"/>
      <c r="O46" s="210"/>
      <c r="P46" s="210"/>
      <c r="Q46" s="210"/>
      <c r="R46" s="210"/>
      <c r="S46" s="210"/>
      <c r="T46" s="210"/>
      <c r="U46" s="210"/>
      <c r="V46" s="210"/>
      <c r="W46" s="210"/>
      <c r="X46" s="210"/>
      <c r="Y46" s="210"/>
    </row>
    <row r="47" spans="3:27">
      <c r="C47" s="66">
        <v>1</v>
      </c>
      <c r="D47" s="70">
        <f>I6</f>
        <v>-931.14640000000009</v>
      </c>
      <c r="E47" s="67">
        <f t="shared" ref="E47:E66" si="4">$E$46*D47</f>
        <v>-1862.2928000000002</v>
      </c>
      <c r="F47" s="67"/>
      <c r="G47" s="67"/>
      <c r="H47" s="139">
        <f>SUM(E47:G47)</f>
        <v>-1862.2928000000002</v>
      </c>
      <c r="I47" s="36">
        <f>H47/(1+0.1)^C47</f>
        <v>-1692.9934545454546</v>
      </c>
    </row>
    <row r="48" spans="3:27">
      <c r="C48" s="66">
        <v>2</v>
      </c>
      <c r="D48" s="70">
        <f t="shared" ref="D48:D66" si="5">I7</f>
        <v>1228.4826253946471</v>
      </c>
      <c r="E48" s="67">
        <f t="shared" si="4"/>
        <v>2456.9652507892943</v>
      </c>
      <c r="F48" s="67">
        <f t="shared" ref="F48:F66" si="6">$F$46*D47</f>
        <v>-4655.732</v>
      </c>
      <c r="G48" s="67"/>
      <c r="H48" s="139">
        <f t="shared" ref="H48:H66" si="7">SUM(E48:G48)</f>
        <v>-2198.7667492107057</v>
      </c>
      <c r="I48" s="36">
        <f t="shared" ref="I48:I66" si="8">H48/(1+0.1)^C48</f>
        <v>-1817.1626026534755</v>
      </c>
    </row>
    <row r="49" spans="3:9">
      <c r="C49" s="66">
        <v>3</v>
      </c>
      <c r="D49" s="70">
        <f t="shared" si="5"/>
        <v>1052.9572638023342</v>
      </c>
      <c r="E49" s="67">
        <f t="shared" si="4"/>
        <v>2105.9145276046684</v>
      </c>
      <c r="F49" s="67">
        <f t="shared" si="6"/>
        <v>6142.4131269732352</v>
      </c>
      <c r="G49" s="67">
        <f t="shared" ref="G49:G66" si="9">$G$46*D47</f>
        <v>-2793.4392000000003</v>
      </c>
      <c r="H49" s="139">
        <f>SUM(E49:G49)</f>
        <v>5454.8884545779038</v>
      </c>
      <c r="I49" s="36">
        <f t="shared" si="8"/>
        <v>4098.3384331915113</v>
      </c>
    </row>
    <row r="50" spans="3:9">
      <c r="C50" s="66">
        <v>4</v>
      </c>
      <c r="D50" s="70">
        <f t="shared" si="5"/>
        <v>1114.4562342896363</v>
      </c>
      <c r="E50" s="67">
        <f t="shared" si="4"/>
        <v>2228.9124685792726</v>
      </c>
      <c r="F50" s="67">
        <f t="shared" si="6"/>
        <v>5264.7863190116714</v>
      </c>
      <c r="G50" s="67">
        <f t="shared" si="9"/>
        <v>3685.4478761839414</v>
      </c>
      <c r="H50" s="139">
        <f t="shared" si="7"/>
        <v>11179.146663774885</v>
      </c>
      <c r="I50" s="36">
        <f t="shared" si="8"/>
        <v>7635.5075908577846</v>
      </c>
    </row>
    <row r="51" spans="3:9">
      <c r="C51" s="66">
        <v>5</v>
      </c>
      <c r="D51" s="70">
        <f t="shared" si="5"/>
        <v>1172.8802562525746</v>
      </c>
      <c r="E51" s="67">
        <f t="shared" si="4"/>
        <v>2345.7605125051491</v>
      </c>
      <c r="F51" s="67">
        <f t="shared" si="6"/>
        <v>5572.2811714481813</v>
      </c>
      <c r="G51" s="67">
        <f t="shared" si="9"/>
        <v>3158.8717914070025</v>
      </c>
      <c r="H51" s="139">
        <f t="shared" si="7"/>
        <v>11076.913475360332</v>
      </c>
      <c r="I51" s="36">
        <f t="shared" si="8"/>
        <v>6877.8917705325193</v>
      </c>
    </row>
    <row r="52" spans="3:9">
      <c r="C52" s="66">
        <v>6</v>
      </c>
      <c r="D52" s="70">
        <f t="shared" si="5"/>
        <v>1228.3830771173652</v>
      </c>
      <c r="E52" s="67">
        <f t="shared" si="4"/>
        <v>2456.7661542347305</v>
      </c>
      <c r="F52" s="67">
        <f t="shared" si="6"/>
        <v>5864.4012812628725</v>
      </c>
      <c r="G52" s="67">
        <f t="shared" si="9"/>
        <v>3343.3687028689092</v>
      </c>
      <c r="H52" s="139">
        <f t="shared" si="7"/>
        <v>11664.536138366511</v>
      </c>
      <c r="I52" s="36">
        <f t="shared" si="8"/>
        <v>6584.3265562780543</v>
      </c>
    </row>
    <row r="53" spans="3:9">
      <c r="C53" s="66">
        <v>7</v>
      </c>
      <c r="D53" s="70">
        <f t="shared" si="5"/>
        <v>1281.1107569389164</v>
      </c>
      <c r="E53" s="67">
        <f t="shared" si="4"/>
        <v>2562.2215138778329</v>
      </c>
      <c r="F53" s="67">
        <f t="shared" si="6"/>
        <v>6141.9153855868262</v>
      </c>
      <c r="G53" s="67">
        <f t="shared" si="9"/>
        <v>3518.6407687577239</v>
      </c>
      <c r="H53" s="139">
        <f t="shared" si="7"/>
        <v>12222.777668222381</v>
      </c>
      <c r="I53" s="36">
        <f t="shared" si="8"/>
        <v>6272.2175877772988</v>
      </c>
    </row>
    <row r="54" spans="3:9">
      <c r="C54" s="66">
        <v>8</v>
      </c>
      <c r="D54" s="70">
        <f t="shared" si="5"/>
        <v>1331.2020527693899</v>
      </c>
      <c r="E54" s="67">
        <f t="shared" si="4"/>
        <v>2662.4041055387797</v>
      </c>
      <c r="F54" s="67">
        <f t="shared" si="6"/>
        <v>6405.5537846945826</v>
      </c>
      <c r="G54" s="67">
        <f t="shared" si="9"/>
        <v>3685.1492313520957</v>
      </c>
      <c r="H54" s="139">
        <f t="shared" si="7"/>
        <v>12753.107121585459</v>
      </c>
      <c r="I54" s="36">
        <f t="shared" si="8"/>
        <v>5949.4185928249235</v>
      </c>
    </row>
    <row r="55" spans="3:9">
      <c r="C55" s="66">
        <v>9</v>
      </c>
      <c r="D55" s="70">
        <f t="shared" si="5"/>
        <v>1378.7887838083393</v>
      </c>
      <c r="E55" s="67">
        <f t="shared" si="4"/>
        <v>2757.5775676166786</v>
      </c>
      <c r="F55" s="67">
        <f t="shared" si="6"/>
        <v>6656.0102638469489</v>
      </c>
      <c r="G55" s="67">
        <f t="shared" si="9"/>
        <v>3843.3322708167493</v>
      </c>
      <c r="H55" s="139">
        <f t="shared" si="7"/>
        <v>13256.920102280377</v>
      </c>
      <c r="I55" s="36">
        <f t="shared" si="8"/>
        <v>5622.2282423314236</v>
      </c>
    </row>
    <row r="56" spans="3:9">
      <c r="C56" s="66">
        <v>10</v>
      </c>
      <c r="D56" s="70">
        <f t="shared" si="5"/>
        <v>1423.9961782953419</v>
      </c>
      <c r="E56" s="67">
        <f t="shared" si="4"/>
        <v>2847.9923565906838</v>
      </c>
      <c r="F56" s="67">
        <f t="shared" si="6"/>
        <v>6893.9439190416961</v>
      </c>
      <c r="G56" s="67">
        <f t="shared" si="9"/>
        <v>3993.6061583081696</v>
      </c>
      <c r="H56" s="139">
        <f t="shared" si="7"/>
        <v>13735.542433940549</v>
      </c>
      <c r="I56" s="36">
        <f t="shared" si="8"/>
        <v>5295.6462120803526</v>
      </c>
    </row>
    <row r="57" spans="3:9">
      <c r="C57" s="66">
        <v>11</v>
      </c>
      <c r="D57" s="70">
        <f t="shared" si="5"/>
        <v>1466.9432030579942</v>
      </c>
      <c r="E57" s="67">
        <f t="shared" si="4"/>
        <v>2933.8864061159884</v>
      </c>
      <c r="F57" s="67">
        <f t="shared" si="6"/>
        <v>7119.9808914767091</v>
      </c>
      <c r="G57" s="67">
        <f t="shared" si="9"/>
        <v>4136.3663514250184</v>
      </c>
      <c r="H57" s="139">
        <f t="shared" si="7"/>
        <v>14190.233649017715</v>
      </c>
      <c r="I57" s="36">
        <f t="shared" si="8"/>
        <v>4973.590326196284</v>
      </c>
    </row>
    <row r="58" spans="3:9">
      <c r="C58" s="66">
        <v>12</v>
      </c>
      <c r="D58" s="70">
        <f t="shared" si="5"/>
        <v>1507.7428765825134</v>
      </c>
      <c r="E58" s="67">
        <f t="shared" si="4"/>
        <v>3015.4857531650268</v>
      </c>
      <c r="F58" s="67">
        <f t="shared" si="6"/>
        <v>7334.7160152899705</v>
      </c>
      <c r="G58" s="67">
        <f t="shared" si="9"/>
        <v>4271.9885348860262</v>
      </c>
      <c r="H58" s="139">
        <f t="shared" si="7"/>
        <v>14622.190303341024</v>
      </c>
      <c r="I58" s="36">
        <f t="shared" si="8"/>
        <v>4659.080453069997</v>
      </c>
    </row>
    <row r="59" spans="3:9">
      <c r="C59" s="66">
        <v>13</v>
      </c>
      <c r="D59" s="70">
        <f t="shared" si="5"/>
        <v>1546.5025664308068</v>
      </c>
      <c r="E59" s="67">
        <f t="shared" si="4"/>
        <v>3093.0051328616137</v>
      </c>
      <c r="F59" s="67">
        <f t="shared" si="6"/>
        <v>7538.7143829125671</v>
      </c>
      <c r="G59" s="67">
        <f t="shared" si="9"/>
        <v>4400.829609173983</v>
      </c>
      <c r="H59" s="139">
        <f t="shared" si="7"/>
        <v>15032.549124948164</v>
      </c>
      <c r="I59" s="36">
        <f t="shared" si="8"/>
        <v>4354.3940181393982</v>
      </c>
    </row>
    <row r="60" spans="3:9">
      <c r="C60" s="66">
        <v>14</v>
      </c>
      <c r="D60" s="70">
        <f t="shared" si="5"/>
        <v>1583.3242717866865</v>
      </c>
      <c r="E60" s="67">
        <f t="shared" si="4"/>
        <v>3166.648543573373</v>
      </c>
      <c r="F60" s="67">
        <f t="shared" si="6"/>
        <v>7732.5128321540342</v>
      </c>
      <c r="G60" s="67">
        <f t="shared" si="9"/>
        <v>4523.2286297475403</v>
      </c>
      <c r="H60" s="139">
        <f t="shared" si="7"/>
        <v>15422.390005474947</v>
      </c>
      <c r="I60" s="36">
        <f t="shared" si="8"/>
        <v>4061.1973045392656</v>
      </c>
    </row>
    <row r="61" spans="3:9">
      <c r="C61" s="66">
        <v>15</v>
      </c>
      <c r="D61" s="70">
        <f t="shared" si="5"/>
        <v>1618.3048918747709</v>
      </c>
      <c r="E61" s="67">
        <f t="shared" si="4"/>
        <v>3236.6097837495417</v>
      </c>
      <c r="F61" s="67">
        <f t="shared" si="6"/>
        <v>7916.6213589334329</v>
      </c>
      <c r="G61" s="67">
        <f t="shared" si="9"/>
        <v>4639.5076992924205</v>
      </c>
      <c r="H61" s="139">
        <f t="shared" si="7"/>
        <v>15792.738841975395</v>
      </c>
      <c r="I61" s="36">
        <f t="shared" si="8"/>
        <v>3780.6561165324783</v>
      </c>
    </row>
    <row r="62" spans="3:9">
      <c r="C62" s="66">
        <v>16</v>
      </c>
      <c r="D62" s="70">
        <f t="shared" si="5"/>
        <v>1651.5364809584526</v>
      </c>
      <c r="E62" s="67">
        <f t="shared" si="4"/>
        <v>3303.0729619169051</v>
      </c>
      <c r="F62" s="67">
        <f t="shared" si="6"/>
        <v>8091.5244593738544</v>
      </c>
      <c r="G62" s="67">
        <f t="shared" si="9"/>
        <v>4749.972815360059</v>
      </c>
      <c r="H62" s="139">
        <f t="shared" si="7"/>
        <v>16144.570236650819</v>
      </c>
      <c r="I62" s="36">
        <f t="shared" si="8"/>
        <v>3513.5288683056715</v>
      </c>
    </row>
    <row r="63" spans="3:9">
      <c r="C63" s="66">
        <v>17</v>
      </c>
      <c r="D63" s="70">
        <f t="shared" si="5"/>
        <v>1683.1064905879484</v>
      </c>
      <c r="E63" s="67">
        <f t="shared" si="4"/>
        <v>3366.2129811758969</v>
      </c>
      <c r="F63" s="67">
        <f t="shared" si="6"/>
        <v>8257.6824047922637</v>
      </c>
      <c r="G63" s="67">
        <f t="shared" si="9"/>
        <v>4854.9146756243126</v>
      </c>
      <c r="H63" s="139">
        <f t="shared" si="7"/>
        <v>16478.810061592474</v>
      </c>
      <c r="I63" s="36">
        <f t="shared" si="8"/>
        <v>3260.2447205039766</v>
      </c>
    </row>
    <row r="64" spans="3:9">
      <c r="C64" s="66">
        <v>18</v>
      </c>
      <c r="D64" s="70">
        <f t="shared" si="5"/>
        <v>1713.0979997359705</v>
      </c>
      <c r="E64" s="67">
        <f t="shared" si="4"/>
        <v>3426.1959994719409</v>
      </c>
      <c r="F64" s="67">
        <f t="shared" si="6"/>
        <v>8415.5324529397421</v>
      </c>
      <c r="G64" s="67">
        <f t="shared" si="9"/>
        <v>4954.6094428753577</v>
      </c>
      <c r="H64" s="139">
        <f t="shared" si="7"/>
        <v>16796.337895287041</v>
      </c>
      <c r="I64" s="36">
        <f t="shared" si="8"/>
        <v>3020.9690087525955</v>
      </c>
    </row>
    <row r="65" spans="3:9">
      <c r="C65" s="66">
        <v>19</v>
      </c>
      <c r="D65" s="70">
        <f t="shared" si="5"/>
        <v>1741.5899334265914</v>
      </c>
      <c r="E65" s="67">
        <f t="shared" si="4"/>
        <v>3483.1798668531828</v>
      </c>
      <c r="F65" s="67">
        <f t="shared" si="6"/>
        <v>8565.4899986798519</v>
      </c>
      <c r="G65" s="67">
        <f t="shared" si="9"/>
        <v>5049.3194717638453</v>
      </c>
      <c r="H65" s="139">
        <f t="shared" si="7"/>
        <v>17097.98933729688</v>
      </c>
      <c r="I65" s="36">
        <f t="shared" si="8"/>
        <v>2795.6578837153215</v>
      </c>
    </row>
    <row r="66" spans="3:9">
      <c r="C66" s="66">
        <v>20</v>
      </c>
      <c r="D66" s="70">
        <f t="shared" si="5"/>
        <v>1768.6572704326813</v>
      </c>
      <c r="E66" s="67">
        <f t="shared" si="4"/>
        <v>3537.3145408653627</v>
      </c>
      <c r="F66" s="67">
        <f t="shared" si="6"/>
        <v>8707.949667132958</v>
      </c>
      <c r="G66" s="67">
        <f t="shared" si="9"/>
        <v>5139.2939992079118</v>
      </c>
      <c r="H66" s="139">
        <f t="shared" si="7"/>
        <v>17384.558207206232</v>
      </c>
      <c r="I66" s="36">
        <f t="shared" si="8"/>
        <v>2584.1038035160341</v>
      </c>
    </row>
    <row r="67" spans="3:9">
      <c r="I67" s="36">
        <f>SUM(I47:I66)</f>
        <v>81828.841431945955</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7030A0"/>
  </sheetPr>
  <dimension ref="B2:AF67"/>
  <sheetViews>
    <sheetView showGridLines="0" topLeftCell="A2" zoomScale="90" zoomScaleNormal="90" zoomScalePageLayoutView="90" workbookViewId="0">
      <selection activeCell="E48" sqref="E48"/>
    </sheetView>
  </sheetViews>
  <sheetFormatPr defaultColWidth="9.140625" defaultRowHeight="12.75"/>
  <cols>
    <col min="1" max="1" width="9.140625" style="35"/>
    <col min="2" max="2" width="9.140625" style="35" customWidth="1"/>
    <col min="3" max="3" width="11.85546875" style="35" bestFit="1" customWidth="1"/>
    <col min="4" max="4" width="11.85546875" style="35" customWidth="1"/>
    <col min="5" max="5" width="13" style="35" bestFit="1" customWidth="1"/>
    <col min="6" max="6" width="13.42578125" style="36" bestFit="1" customWidth="1"/>
    <col min="7" max="7" width="10.5703125" style="36" bestFit="1" customWidth="1"/>
    <col min="8" max="8" width="11.42578125" style="36" bestFit="1" customWidth="1"/>
    <col min="9" max="10" width="9" style="36" bestFit="1" customWidth="1"/>
    <col min="11" max="11" width="11.85546875" style="36" customWidth="1"/>
    <col min="12" max="12" width="0.140625" style="36" customWidth="1"/>
    <col min="13" max="13" width="9.5703125" style="36" hidden="1" customWidth="1"/>
    <col min="14" max="14" width="9.5703125" style="36" customWidth="1"/>
    <col min="15" max="15" width="11.42578125" style="36" bestFit="1" customWidth="1"/>
    <col min="16" max="16" width="7.5703125" style="36" bestFit="1" customWidth="1"/>
    <col min="17" max="17" width="10.42578125" style="36" bestFit="1" customWidth="1"/>
    <col min="18" max="31" width="7.5703125" style="36" customWidth="1"/>
    <col min="32" max="32" width="9.140625" style="36"/>
    <col min="33" max="16384" width="9.140625" style="35"/>
  </cols>
  <sheetData>
    <row r="2" spans="2:32">
      <c r="B2" s="171" t="s">
        <v>740</v>
      </c>
    </row>
    <row r="3" spans="2:32">
      <c r="C3" s="171"/>
      <c r="D3" s="171"/>
      <c r="E3" s="171"/>
    </row>
    <row r="4" spans="2:32" s="211" customFormat="1" ht="63.75" customHeight="1">
      <c r="B4" s="522" t="s">
        <v>313</v>
      </c>
      <c r="C4" s="550" t="s">
        <v>666</v>
      </c>
      <c r="D4" s="758" t="s">
        <v>734</v>
      </c>
      <c r="E4" s="550" t="s">
        <v>664</v>
      </c>
      <c r="F4" s="551" t="s">
        <v>638</v>
      </c>
      <c r="G4" s="551" t="s">
        <v>667</v>
      </c>
      <c r="J4" s="210"/>
      <c r="K4" s="552" t="s">
        <v>680</v>
      </c>
      <c r="L4" s="552"/>
      <c r="M4" s="501"/>
      <c r="N4" s="210"/>
      <c r="O4" s="210"/>
      <c r="P4" s="210"/>
      <c r="Q4" s="210"/>
      <c r="R4" s="210"/>
      <c r="S4" s="210"/>
      <c r="T4" s="210"/>
      <c r="U4" s="210"/>
      <c r="V4" s="210"/>
      <c r="W4" s="210"/>
      <c r="X4" s="210"/>
      <c r="Y4" s="210"/>
      <c r="Z4" s="210"/>
    </row>
    <row r="5" spans="2:32" ht="15">
      <c r="B5" s="66">
        <v>1</v>
      </c>
      <c r="C5" s="67">
        <v>0</v>
      </c>
      <c r="D5" s="67">
        <f>'Output 2 Financial Analysis'!D5</f>
        <v>0</v>
      </c>
      <c r="E5" s="67">
        <f>300*4.5</f>
        <v>1350</v>
      </c>
      <c r="F5" s="67">
        <f t="shared" ref="F5:F24" si="0">SUM(E5:E5)</f>
        <v>1350</v>
      </c>
      <c r="G5" s="67">
        <f>C5-F5+D5</f>
        <v>-1350</v>
      </c>
      <c r="K5" s="36">
        <f t="shared" ref="K5:K24" si="1">G5/(1+0.1)^B5</f>
        <v>-1227.2727272727273</v>
      </c>
      <c r="L5" s="47"/>
      <c r="M5"/>
      <c r="AA5" s="35"/>
      <c r="AB5" s="35"/>
      <c r="AC5" s="35"/>
      <c r="AD5" s="35"/>
      <c r="AE5" s="35"/>
      <c r="AF5" s="35"/>
    </row>
    <row r="6" spans="2:32" ht="15">
      <c r="B6" s="66">
        <v>2</v>
      </c>
      <c r="C6" s="67">
        <v>0</v>
      </c>
      <c r="D6" s="67">
        <f>'Output 2 Financial Analysis'!D6</f>
        <v>74.97</v>
      </c>
      <c r="E6" s="67"/>
      <c r="F6" s="67">
        <f t="shared" si="0"/>
        <v>0</v>
      </c>
      <c r="G6" s="67">
        <f t="shared" ref="G6:G24" si="2">C6-F6+D6</f>
        <v>74.97</v>
      </c>
      <c r="K6" s="36">
        <f t="shared" si="1"/>
        <v>61.958677685950406</v>
      </c>
      <c r="L6" s="47"/>
      <c r="M6"/>
      <c r="AA6" s="35"/>
      <c r="AB6" s="35"/>
      <c r="AC6" s="35"/>
      <c r="AD6" s="35"/>
      <c r="AE6" s="35"/>
      <c r="AF6" s="35"/>
    </row>
    <row r="7" spans="2:32" ht="15">
      <c r="B7" s="66">
        <v>3</v>
      </c>
      <c r="C7" s="67">
        <v>0</v>
      </c>
      <c r="D7" s="67">
        <f>'Output 2 Financial Analysis'!D7</f>
        <v>74.97</v>
      </c>
      <c r="E7" s="67"/>
      <c r="F7" s="67">
        <f t="shared" si="0"/>
        <v>0</v>
      </c>
      <c r="G7" s="67">
        <f t="shared" si="2"/>
        <v>74.97</v>
      </c>
      <c r="K7" s="36">
        <f t="shared" si="1"/>
        <v>56.326070623591264</v>
      </c>
      <c r="L7" s="47"/>
      <c r="M7"/>
      <c r="AA7" s="35"/>
      <c r="AB7" s="35"/>
      <c r="AC7" s="35"/>
      <c r="AD7" s="35"/>
      <c r="AE7" s="35"/>
      <c r="AF7" s="35"/>
    </row>
    <row r="8" spans="2:32" ht="15">
      <c r="B8" s="66">
        <v>4</v>
      </c>
      <c r="C8" s="67">
        <v>0</v>
      </c>
      <c r="D8" s="67">
        <f>'Output 2 Financial Analysis'!D8</f>
        <v>74.97</v>
      </c>
      <c r="E8" s="67"/>
      <c r="F8" s="67">
        <f t="shared" si="0"/>
        <v>0</v>
      </c>
      <c r="G8" s="67">
        <f t="shared" si="2"/>
        <v>74.97</v>
      </c>
      <c r="K8" s="36">
        <f t="shared" si="1"/>
        <v>51.205518748719335</v>
      </c>
      <c r="L8" s="47"/>
      <c r="M8"/>
      <c r="AA8" s="35"/>
      <c r="AB8" s="35"/>
      <c r="AC8" s="35"/>
      <c r="AD8" s="35"/>
      <c r="AE8" s="35"/>
      <c r="AF8" s="35"/>
    </row>
    <row r="9" spans="2:32" ht="15">
      <c r="B9" s="66">
        <v>5</v>
      </c>
      <c r="C9" s="67">
        <v>0</v>
      </c>
      <c r="D9" s="67">
        <f>'Output 2 Financial Analysis'!D9</f>
        <v>74.97</v>
      </c>
      <c r="E9" s="67"/>
      <c r="F9" s="67">
        <f t="shared" si="0"/>
        <v>0</v>
      </c>
      <c r="G9" s="67">
        <f t="shared" si="2"/>
        <v>74.97</v>
      </c>
      <c r="K9" s="36">
        <f t="shared" si="1"/>
        <v>46.550471589744845</v>
      </c>
      <c r="L9" s="47"/>
      <c r="M9"/>
      <c r="AA9" s="35"/>
      <c r="AB9" s="35"/>
      <c r="AC9" s="35"/>
      <c r="AD9" s="35"/>
      <c r="AE9" s="35"/>
      <c r="AF9" s="35"/>
    </row>
    <row r="10" spans="2:32" ht="15">
      <c r="B10" s="66">
        <v>6</v>
      </c>
      <c r="C10" s="67">
        <v>0</v>
      </c>
      <c r="D10" s="67">
        <f>'Output 2 Financial Analysis'!D10</f>
        <v>74.97</v>
      </c>
      <c r="E10" s="67"/>
      <c r="F10" s="67">
        <f t="shared" si="0"/>
        <v>0</v>
      </c>
      <c r="G10" s="67">
        <f t="shared" si="2"/>
        <v>74.97</v>
      </c>
      <c r="K10" s="36">
        <f t="shared" si="1"/>
        <v>42.318610536131672</v>
      </c>
      <c r="L10" s="47"/>
      <c r="M10"/>
      <c r="AA10" s="35"/>
      <c r="AB10" s="35"/>
      <c r="AC10" s="35"/>
      <c r="AD10" s="35"/>
      <c r="AE10" s="35"/>
      <c r="AF10" s="35"/>
    </row>
    <row r="11" spans="2:32">
      <c r="B11" s="66">
        <v>7</v>
      </c>
      <c r="C11" s="67">
        <v>0</v>
      </c>
      <c r="D11" s="67">
        <f>'Output 2 Financial Analysis'!D11</f>
        <v>74.97</v>
      </c>
      <c r="E11" s="67"/>
      <c r="F11" s="67">
        <f t="shared" si="0"/>
        <v>0</v>
      </c>
      <c r="G11" s="67">
        <f t="shared" si="2"/>
        <v>74.97</v>
      </c>
      <c r="K11" s="36">
        <f t="shared" si="1"/>
        <v>38.471464123756064</v>
      </c>
      <c r="L11" s="47"/>
      <c r="AA11" s="35"/>
      <c r="AB11" s="35"/>
      <c r="AC11" s="35"/>
      <c r="AD11" s="35"/>
      <c r="AE11" s="35"/>
      <c r="AF11" s="35"/>
    </row>
    <row r="12" spans="2:32">
      <c r="B12" s="66">
        <v>8</v>
      </c>
      <c r="C12" s="67">
        <v>0</v>
      </c>
      <c r="D12" s="67">
        <f>'Output 2 Financial Analysis'!D12</f>
        <v>74.97</v>
      </c>
      <c r="E12" s="67"/>
      <c r="F12" s="67">
        <f t="shared" si="0"/>
        <v>0</v>
      </c>
      <c r="G12" s="67">
        <f t="shared" si="2"/>
        <v>74.97</v>
      </c>
      <c r="K12" s="36">
        <f t="shared" si="1"/>
        <v>34.974058294323697</v>
      </c>
      <c r="L12" s="47"/>
      <c r="AA12" s="35"/>
      <c r="AB12" s="35"/>
      <c r="AC12" s="35"/>
      <c r="AD12" s="35"/>
      <c r="AE12" s="35"/>
      <c r="AF12" s="35"/>
    </row>
    <row r="13" spans="2:32">
      <c r="B13" s="66">
        <v>9</v>
      </c>
      <c r="C13" s="67">
        <v>0</v>
      </c>
      <c r="D13" s="67">
        <f>'Output 2 Financial Analysis'!D13</f>
        <v>74.97</v>
      </c>
      <c r="E13" s="67"/>
      <c r="F13" s="67">
        <f t="shared" si="0"/>
        <v>0</v>
      </c>
      <c r="G13" s="67">
        <f t="shared" si="2"/>
        <v>74.97</v>
      </c>
      <c r="K13" s="36">
        <f t="shared" si="1"/>
        <v>31.794598449385173</v>
      </c>
      <c r="L13" s="47"/>
      <c r="AA13" s="35"/>
      <c r="AB13" s="35"/>
      <c r="AC13" s="35"/>
      <c r="AD13" s="35"/>
      <c r="AE13" s="35"/>
      <c r="AF13" s="35"/>
    </row>
    <row r="14" spans="2:32">
      <c r="B14" s="66">
        <v>10</v>
      </c>
      <c r="C14" s="67">
        <v>0</v>
      </c>
      <c r="D14" s="67">
        <f>'Output 2 Financial Analysis'!D14</f>
        <v>74.97</v>
      </c>
      <c r="E14" s="67"/>
      <c r="F14" s="67">
        <f t="shared" si="0"/>
        <v>0</v>
      </c>
      <c r="G14" s="67">
        <f t="shared" si="2"/>
        <v>74.97</v>
      </c>
      <c r="K14" s="36">
        <f t="shared" si="1"/>
        <v>28.904180408531975</v>
      </c>
      <c r="L14" s="47"/>
      <c r="AA14" s="35"/>
      <c r="AB14" s="35"/>
      <c r="AC14" s="35"/>
      <c r="AD14" s="35"/>
      <c r="AE14" s="35"/>
      <c r="AF14" s="35"/>
    </row>
    <row r="15" spans="2:32">
      <c r="B15" s="66">
        <v>11</v>
      </c>
      <c r="C15" s="67">
        <v>0</v>
      </c>
      <c r="D15" s="67">
        <f>'Output 2 Financial Analysis'!D15</f>
        <v>74.97</v>
      </c>
      <c r="E15" s="67"/>
      <c r="F15" s="67">
        <f t="shared" si="0"/>
        <v>0</v>
      </c>
      <c r="G15" s="67">
        <f t="shared" si="2"/>
        <v>74.97</v>
      </c>
      <c r="K15" s="36">
        <f t="shared" si="1"/>
        <v>26.276527644119973</v>
      </c>
      <c r="L15" s="47"/>
      <c r="AA15" s="35"/>
      <c r="AB15" s="35"/>
      <c r="AC15" s="35"/>
      <c r="AD15" s="35"/>
      <c r="AE15" s="35"/>
      <c r="AF15" s="35"/>
    </row>
    <row r="16" spans="2:32">
      <c r="B16" s="66">
        <v>12</v>
      </c>
      <c r="C16" s="67">
        <f t="shared" ref="C16:C23" si="3">85*0.588*3</f>
        <v>149.94</v>
      </c>
      <c r="D16" s="67">
        <f>'Output 2 Financial Analysis'!D16</f>
        <v>74.97</v>
      </c>
      <c r="E16" s="67"/>
      <c r="F16" s="67">
        <f t="shared" si="0"/>
        <v>0</v>
      </c>
      <c r="G16" s="67">
        <f t="shared" si="2"/>
        <v>224.91</v>
      </c>
      <c r="K16" s="36">
        <f t="shared" si="1"/>
        <v>71.663257211236285</v>
      </c>
      <c r="L16" s="47"/>
      <c r="AA16" s="35"/>
      <c r="AB16" s="35"/>
      <c r="AC16" s="35"/>
      <c r="AD16" s="35"/>
      <c r="AE16" s="35"/>
      <c r="AF16" s="35"/>
    </row>
    <row r="17" spans="2:32">
      <c r="B17" s="66">
        <v>13</v>
      </c>
      <c r="C17" s="67">
        <f t="shared" si="3"/>
        <v>149.94</v>
      </c>
      <c r="D17" s="67">
        <f>'Output 2 Financial Analysis'!D17</f>
        <v>74.97</v>
      </c>
      <c r="E17" s="67"/>
      <c r="F17" s="67">
        <f t="shared" si="0"/>
        <v>0</v>
      </c>
      <c r="G17" s="67">
        <f t="shared" si="2"/>
        <v>224.91</v>
      </c>
      <c r="K17" s="36">
        <f t="shared" si="1"/>
        <v>65.148415646578442</v>
      </c>
      <c r="L17" s="47"/>
      <c r="AA17" s="35"/>
      <c r="AB17" s="35"/>
      <c r="AC17" s="35"/>
      <c r="AD17" s="35"/>
      <c r="AE17" s="35"/>
      <c r="AF17" s="35"/>
    </row>
    <row r="18" spans="2:32">
      <c r="B18" s="66">
        <v>14</v>
      </c>
      <c r="C18" s="67">
        <f t="shared" si="3"/>
        <v>149.94</v>
      </c>
      <c r="D18" s="67">
        <f>'Output 2 Financial Analysis'!D18</f>
        <v>74.97</v>
      </c>
      <c r="E18" s="67"/>
      <c r="F18" s="67">
        <f t="shared" si="0"/>
        <v>0</v>
      </c>
      <c r="G18" s="67">
        <f t="shared" si="2"/>
        <v>224.91</v>
      </c>
      <c r="K18" s="36">
        <f t="shared" si="1"/>
        <v>59.225832405980391</v>
      </c>
      <c r="L18" s="47"/>
      <c r="M18" s="35"/>
      <c r="N18" s="35"/>
      <c r="AA18" s="35"/>
      <c r="AB18" s="35"/>
      <c r="AC18" s="35"/>
      <c r="AD18" s="35"/>
      <c r="AE18" s="35"/>
      <c r="AF18" s="35"/>
    </row>
    <row r="19" spans="2:32">
      <c r="B19" s="66">
        <v>15</v>
      </c>
      <c r="C19" s="67">
        <f t="shared" si="3"/>
        <v>149.94</v>
      </c>
      <c r="D19" s="67">
        <f>'Output 2 Financial Analysis'!D19</f>
        <v>74.97</v>
      </c>
      <c r="E19" s="67"/>
      <c r="F19" s="67">
        <f t="shared" si="0"/>
        <v>0</v>
      </c>
      <c r="G19" s="67">
        <f t="shared" si="2"/>
        <v>224.91</v>
      </c>
      <c r="K19" s="36">
        <f t="shared" si="1"/>
        <v>53.841665823618541</v>
      </c>
      <c r="L19" s="47"/>
      <c r="AA19" s="35"/>
      <c r="AB19" s="35"/>
      <c r="AC19" s="35"/>
      <c r="AD19" s="35"/>
      <c r="AE19" s="35"/>
      <c r="AF19" s="35"/>
    </row>
    <row r="20" spans="2:32">
      <c r="B20" s="66">
        <v>16</v>
      </c>
      <c r="C20" s="67">
        <f t="shared" si="3"/>
        <v>149.94</v>
      </c>
      <c r="D20" s="67">
        <f>'Output 2 Financial Analysis'!D20</f>
        <v>74.97</v>
      </c>
      <c r="E20" s="67"/>
      <c r="F20" s="67">
        <f t="shared" si="0"/>
        <v>0</v>
      </c>
      <c r="G20" s="67">
        <f t="shared" si="2"/>
        <v>224.91</v>
      </c>
      <c r="K20" s="36">
        <f t="shared" si="1"/>
        <v>48.946968930562306</v>
      </c>
      <c r="L20" s="47"/>
      <c r="AA20" s="35"/>
      <c r="AB20" s="35"/>
      <c r="AC20" s="35"/>
      <c r="AD20" s="35"/>
      <c r="AE20" s="35"/>
      <c r="AF20" s="35"/>
    </row>
    <row r="21" spans="2:32">
      <c r="B21" s="66">
        <v>17</v>
      </c>
      <c r="C21" s="67">
        <f t="shared" si="3"/>
        <v>149.94</v>
      </c>
      <c r="D21" s="67">
        <f>'Output 2 Financial Analysis'!D21</f>
        <v>74.97</v>
      </c>
      <c r="E21" s="67"/>
      <c r="F21" s="67">
        <f t="shared" si="0"/>
        <v>0</v>
      </c>
      <c r="G21" s="67">
        <f t="shared" si="2"/>
        <v>224.91</v>
      </c>
      <c r="K21" s="36">
        <f t="shared" si="1"/>
        <v>44.497244482329371</v>
      </c>
      <c r="L21" s="47"/>
      <c r="AA21" s="35"/>
      <c r="AB21" s="35"/>
      <c r="AC21" s="35"/>
      <c r="AD21" s="35"/>
      <c r="AE21" s="35"/>
      <c r="AF21" s="35"/>
    </row>
    <row r="22" spans="2:32">
      <c r="B22" s="66">
        <v>18</v>
      </c>
      <c r="C22" s="67">
        <f t="shared" si="3"/>
        <v>149.94</v>
      </c>
      <c r="D22" s="67">
        <f>'Output 2 Financial Analysis'!D22</f>
        <v>74.97</v>
      </c>
      <c r="E22" s="67"/>
      <c r="F22" s="67">
        <f t="shared" si="0"/>
        <v>0</v>
      </c>
      <c r="G22" s="67">
        <f t="shared" si="2"/>
        <v>224.91</v>
      </c>
      <c r="K22" s="36">
        <f t="shared" si="1"/>
        <v>40.452040438481241</v>
      </c>
      <c r="L22" s="47"/>
      <c r="AA22" s="35"/>
      <c r="AB22" s="35"/>
      <c r="AC22" s="35"/>
      <c r="AD22" s="35"/>
      <c r="AE22" s="35"/>
      <c r="AF22" s="35"/>
    </row>
    <row r="23" spans="2:32">
      <c r="B23" s="66">
        <v>19</v>
      </c>
      <c r="C23" s="67">
        <f t="shared" si="3"/>
        <v>149.94</v>
      </c>
      <c r="D23" s="67">
        <f>'Output 2 Financial Analysis'!D23</f>
        <v>74.97</v>
      </c>
      <c r="E23" s="67"/>
      <c r="F23" s="67">
        <f t="shared" si="0"/>
        <v>0</v>
      </c>
      <c r="G23" s="67">
        <f t="shared" si="2"/>
        <v>224.91</v>
      </c>
      <c r="K23" s="36">
        <f t="shared" si="1"/>
        <v>36.774582216801122</v>
      </c>
      <c r="L23" s="47"/>
      <c r="AA23" s="35"/>
      <c r="AB23" s="35"/>
      <c r="AC23" s="35"/>
      <c r="AD23" s="35"/>
      <c r="AE23" s="35"/>
      <c r="AF23" s="35"/>
    </row>
    <row r="24" spans="2:32">
      <c r="B24" s="66">
        <v>20</v>
      </c>
      <c r="C24" s="67">
        <f>85*0.588*5</f>
        <v>249.89999999999998</v>
      </c>
      <c r="D24" s="67">
        <f>'Output 2 Financial Analysis'!D24</f>
        <v>74.97</v>
      </c>
      <c r="E24" s="67"/>
      <c r="F24" s="67">
        <f t="shared" si="0"/>
        <v>0</v>
      </c>
      <c r="G24" s="67">
        <f t="shared" si="2"/>
        <v>324.87</v>
      </c>
      <c r="K24" s="36">
        <f t="shared" si="1"/>
        <v>48.289855436203496</v>
      </c>
      <c r="L24" s="47"/>
      <c r="AA24" s="35"/>
      <c r="AB24" s="35"/>
      <c r="AC24" s="35"/>
      <c r="AD24" s="35"/>
      <c r="AE24" s="35"/>
      <c r="AF24" s="35"/>
    </row>
    <row r="25" spans="2:32">
      <c r="J25" s="35"/>
      <c r="K25" s="150">
        <f>SUM(K5:K24)</f>
        <v>-339.65268657668179</v>
      </c>
      <c r="L25" s="618" t="s">
        <v>683</v>
      </c>
    </row>
    <row r="26" spans="2:32">
      <c r="B26" s="179" t="s">
        <v>328</v>
      </c>
      <c r="C26" s="180"/>
      <c r="D26" s="180"/>
      <c r="E26" s="180"/>
      <c r="F26" s="44"/>
      <c r="G26" s="203">
        <v>0.1</v>
      </c>
      <c r="AD26" s="35"/>
      <c r="AE26" s="35"/>
      <c r="AF26" s="35"/>
    </row>
    <row r="27" spans="2:32">
      <c r="B27" s="181" t="s">
        <v>332</v>
      </c>
      <c r="C27" s="178"/>
      <c r="D27" s="178"/>
      <c r="E27" s="178"/>
      <c r="F27" s="47"/>
      <c r="G27" s="182">
        <f>NPV(G26,G5:G24)</f>
        <v>-339.65268657668184</v>
      </c>
      <c r="AD27" s="35"/>
      <c r="AE27" s="35"/>
      <c r="AF27" s="35"/>
    </row>
    <row r="28" spans="2:32">
      <c r="B28" s="184" t="s">
        <v>326</v>
      </c>
      <c r="C28" s="178"/>
      <c r="D28" s="178"/>
      <c r="E28" s="178"/>
      <c r="F28" s="47"/>
      <c r="G28" s="624">
        <f>IRR(G5:G24,0.1)</f>
        <v>6.6201705936957289E-2</v>
      </c>
      <c r="AD28" s="35"/>
      <c r="AE28" s="35"/>
      <c r="AF28" s="35"/>
    </row>
    <row r="29" spans="2:32">
      <c r="B29" s="181" t="s">
        <v>689</v>
      </c>
      <c r="C29" s="178"/>
      <c r="D29" s="178"/>
      <c r="E29" s="178"/>
      <c r="F29" s="47"/>
      <c r="G29" s="185">
        <f>NPV(G26,C9:C24)</f>
        <v>464.87036468495546</v>
      </c>
      <c r="AD29" s="35"/>
      <c r="AE29" s="35"/>
      <c r="AF29" s="35"/>
    </row>
    <row r="30" spans="2:32">
      <c r="B30" s="181" t="s">
        <v>690</v>
      </c>
      <c r="C30" s="178"/>
      <c r="D30" s="178"/>
      <c r="E30" s="178"/>
      <c r="F30" s="47"/>
      <c r="G30" s="185">
        <f>NPV(G26,E5:E24)</f>
        <v>1227.2727272727273</v>
      </c>
      <c r="AD30" s="35"/>
      <c r="AE30" s="35"/>
      <c r="AF30" s="35"/>
    </row>
    <row r="31" spans="2:32">
      <c r="B31" s="181" t="s">
        <v>329</v>
      </c>
      <c r="C31" s="178"/>
      <c r="D31" s="178"/>
      <c r="E31" s="178"/>
      <c r="F31" s="47"/>
      <c r="G31" s="186">
        <f>G29/G30</f>
        <v>0.37878326011366742</v>
      </c>
      <c r="AD31" s="35"/>
      <c r="AE31" s="35"/>
      <c r="AF31" s="35"/>
    </row>
    <row r="32" spans="2:32">
      <c r="B32" s="181" t="s">
        <v>330</v>
      </c>
      <c r="C32" s="178"/>
      <c r="D32" s="178"/>
      <c r="E32" s="178"/>
      <c r="F32" s="47"/>
      <c r="G32" s="183">
        <f>+(G30-G29)/G29</f>
        <v>1.6400321907042945</v>
      </c>
      <c r="AD32" s="35"/>
      <c r="AE32" s="35"/>
      <c r="AF32" s="35"/>
    </row>
    <row r="33" spans="2:32">
      <c r="B33" s="187" t="s">
        <v>331</v>
      </c>
      <c r="C33" s="188"/>
      <c r="D33" s="188"/>
      <c r="E33" s="188"/>
      <c r="F33" s="51"/>
      <c r="G33" s="189">
        <f>(G29-G30)/G30</f>
        <v>-0.62121673988633253</v>
      </c>
      <c r="AD33" s="35"/>
      <c r="AE33" s="35"/>
      <c r="AF33" s="35"/>
    </row>
    <row r="34" spans="2:32" ht="18.75">
      <c r="B34" s="593" t="s">
        <v>643</v>
      </c>
      <c r="C34" s="210"/>
      <c r="D34" s="210"/>
      <c r="I34" s="210"/>
      <c r="AC34" s="35"/>
      <c r="AD34" s="35"/>
      <c r="AE34" s="35"/>
      <c r="AF34" s="35"/>
    </row>
    <row r="35" spans="2:32" s="543" customFormat="1" ht="12">
      <c r="B35" s="595" t="s">
        <v>656</v>
      </c>
      <c r="C35" s="596"/>
      <c r="D35" s="596"/>
      <c r="F35" s="596"/>
      <c r="G35" s="596"/>
      <c r="H35" s="596"/>
      <c r="I35" s="597"/>
      <c r="J35" s="596"/>
      <c r="K35" s="596"/>
      <c r="L35" s="596"/>
      <c r="M35" s="596"/>
      <c r="N35" s="596"/>
      <c r="O35" s="596"/>
      <c r="P35" s="596"/>
      <c r="Q35" s="596"/>
      <c r="R35" s="596"/>
      <c r="S35" s="596"/>
      <c r="T35" s="596"/>
      <c r="U35" s="596"/>
      <c r="V35" s="596"/>
      <c r="W35" s="596"/>
      <c r="X35" s="596"/>
      <c r="Y35" s="596"/>
      <c r="Z35" s="596"/>
      <c r="AA35" s="596"/>
      <c r="AB35" s="596"/>
    </row>
    <row r="36" spans="2:32" s="543" customFormat="1" ht="12">
      <c r="B36" s="595" t="s">
        <v>644</v>
      </c>
      <c r="C36" s="596"/>
      <c r="D36" s="596"/>
      <c r="F36" s="596"/>
      <c r="G36" s="596"/>
      <c r="H36" s="596"/>
      <c r="I36" s="597"/>
      <c r="J36" s="596"/>
      <c r="K36" s="596"/>
      <c r="L36" s="596"/>
      <c r="M36" s="596"/>
      <c r="N36" s="596"/>
      <c r="O36" s="596"/>
      <c r="P36" s="596"/>
      <c r="Q36" s="596"/>
      <c r="R36" s="596"/>
      <c r="S36" s="596"/>
      <c r="T36" s="596"/>
      <c r="U36" s="596"/>
      <c r="V36" s="596"/>
      <c r="W36" s="596"/>
      <c r="X36" s="596"/>
      <c r="Y36" s="596"/>
      <c r="Z36" s="596"/>
      <c r="AA36" s="596"/>
      <c r="AB36" s="596"/>
    </row>
    <row r="37" spans="2:32" s="543" customFormat="1" ht="12">
      <c r="B37" s="595" t="s">
        <v>645</v>
      </c>
      <c r="C37" s="596"/>
      <c r="D37" s="596"/>
      <c r="F37" s="596"/>
      <c r="G37" s="596"/>
      <c r="H37" s="596"/>
      <c r="I37" s="597"/>
      <c r="J37" s="596"/>
      <c r="K37" s="596"/>
      <c r="L37" s="596"/>
      <c r="M37" s="596"/>
      <c r="N37" s="596"/>
      <c r="O37" s="596"/>
      <c r="P37" s="596"/>
      <c r="Q37" s="596"/>
      <c r="R37" s="596"/>
      <c r="S37" s="596"/>
      <c r="T37" s="596"/>
      <c r="U37" s="596"/>
      <c r="V37" s="596"/>
      <c r="W37" s="596"/>
      <c r="X37" s="596"/>
      <c r="Y37" s="596"/>
      <c r="Z37" s="596"/>
      <c r="AA37" s="596"/>
      <c r="AB37" s="596"/>
    </row>
    <row r="38" spans="2:32" s="543" customFormat="1" ht="12">
      <c r="B38" s="595" t="s">
        <v>646</v>
      </c>
      <c r="C38" s="596"/>
      <c r="D38" s="596"/>
      <c r="F38" s="596"/>
      <c r="G38" s="596"/>
      <c r="H38" s="596"/>
      <c r="I38" s="597"/>
      <c r="J38" s="596"/>
      <c r="K38" s="596"/>
      <c r="L38" s="596"/>
      <c r="M38" s="596"/>
      <c r="N38" s="596"/>
      <c r="O38" s="596"/>
      <c r="P38" s="596"/>
      <c r="Q38" s="596"/>
      <c r="R38" s="596"/>
      <c r="S38" s="596"/>
      <c r="T38" s="596"/>
      <c r="U38" s="596"/>
      <c r="V38" s="596"/>
      <c r="W38" s="596"/>
      <c r="X38" s="596"/>
      <c r="Y38" s="596"/>
      <c r="Z38" s="596"/>
      <c r="AA38" s="596"/>
      <c r="AB38" s="596"/>
    </row>
    <row r="39" spans="2:32" s="543" customFormat="1" ht="26.25" customHeight="1">
      <c r="B39" s="771" t="s">
        <v>647</v>
      </c>
      <c r="C39" s="771"/>
      <c r="D39" s="771"/>
      <c r="E39" s="771"/>
      <c r="F39" s="771"/>
      <c r="G39" s="771"/>
      <c r="H39" s="771"/>
      <c r="I39" s="771"/>
      <c r="J39" s="771"/>
      <c r="K39" s="771"/>
      <c r="L39" s="771"/>
      <c r="M39" s="771"/>
      <c r="N39" s="596"/>
      <c r="O39" s="596"/>
      <c r="P39" s="596"/>
      <c r="Q39" s="596"/>
      <c r="R39" s="596"/>
      <c r="S39" s="596"/>
      <c r="T39" s="596"/>
      <c r="U39" s="596"/>
      <c r="V39" s="596"/>
      <c r="W39" s="596"/>
      <c r="X39" s="596"/>
      <c r="Y39" s="596"/>
      <c r="Z39" s="596"/>
      <c r="AA39" s="596"/>
      <c r="AB39" s="596"/>
    </row>
    <row r="40" spans="2:32" s="543" customFormat="1" ht="32.25" customHeight="1">
      <c r="B40" s="771" t="s">
        <v>648</v>
      </c>
      <c r="C40" s="771"/>
      <c r="D40" s="771"/>
      <c r="E40" s="771"/>
      <c r="F40" s="771"/>
      <c r="G40" s="771"/>
      <c r="H40" s="771"/>
      <c r="I40" s="771"/>
      <c r="J40" s="771"/>
      <c r="K40" s="771"/>
      <c r="L40" s="596"/>
      <c r="M40" s="596"/>
      <c r="N40" s="596"/>
      <c r="O40" s="596"/>
      <c r="P40" s="596"/>
      <c r="Q40" s="596"/>
      <c r="R40" s="596"/>
      <c r="S40" s="596"/>
      <c r="T40" s="596"/>
      <c r="U40" s="596"/>
      <c r="V40" s="596"/>
      <c r="W40" s="596"/>
      <c r="X40" s="596"/>
      <c r="Y40" s="596"/>
      <c r="Z40" s="596"/>
      <c r="AA40" s="596"/>
      <c r="AB40" s="596"/>
    </row>
    <row r="41" spans="2:32" s="543" customFormat="1" ht="12">
      <c r="B41" s="598" t="s">
        <v>649</v>
      </c>
      <c r="C41" s="596"/>
      <c r="D41" s="596"/>
      <c r="F41" s="596"/>
      <c r="G41" s="596"/>
      <c r="H41" s="596"/>
      <c r="I41" s="597"/>
      <c r="J41" s="596"/>
      <c r="K41" s="596"/>
      <c r="L41" s="596"/>
      <c r="M41" s="596"/>
      <c r="N41" s="596"/>
      <c r="O41" s="596"/>
      <c r="P41" s="596"/>
      <c r="Q41" s="596"/>
      <c r="R41" s="596"/>
      <c r="S41" s="596"/>
      <c r="T41" s="596"/>
      <c r="U41" s="596"/>
      <c r="V41" s="596"/>
      <c r="W41" s="596"/>
      <c r="X41" s="596"/>
      <c r="Y41" s="596"/>
      <c r="Z41" s="596"/>
      <c r="AA41" s="596"/>
      <c r="AB41" s="596"/>
    </row>
    <row r="42" spans="2:32">
      <c r="B42" s="594" t="s">
        <v>661</v>
      </c>
      <c r="I42" s="210"/>
      <c r="AC42" s="35"/>
      <c r="AD42" s="35"/>
      <c r="AE42" s="35"/>
      <c r="AF42" s="35"/>
    </row>
    <row r="43" spans="2:32">
      <c r="M43" s="36">
        <v>1000</v>
      </c>
    </row>
    <row r="44" spans="2:32" ht="11.25" customHeight="1">
      <c r="C44" s="76" t="s">
        <v>442</v>
      </c>
      <c r="D44" s="76"/>
    </row>
    <row r="45" spans="2:32">
      <c r="C45" s="66" t="s">
        <v>631</v>
      </c>
      <c r="D45" s="66"/>
      <c r="E45" s="66"/>
      <c r="F45" s="518" t="s">
        <v>383</v>
      </c>
      <c r="G45" s="518" t="s">
        <v>384</v>
      </c>
      <c r="H45" s="518" t="s">
        <v>385</v>
      </c>
      <c r="I45" s="518" t="s">
        <v>386</v>
      </c>
      <c r="J45" s="518" t="s">
        <v>387</v>
      </c>
      <c r="K45" s="519"/>
      <c r="M45" s="614"/>
    </row>
    <row r="46" spans="2:32" s="211" customFormat="1" ht="76.5">
      <c r="C46" s="292" t="s">
        <v>313</v>
      </c>
      <c r="D46" s="292"/>
      <c r="E46" s="293" t="s">
        <v>632</v>
      </c>
      <c r="F46" s="294">
        <v>750</v>
      </c>
      <c r="G46" s="294">
        <v>5000</v>
      </c>
      <c r="H46" s="294">
        <v>12500</v>
      </c>
      <c r="I46" s="294">
        <v>17500</v>
      </c>
      <c r="J46" s="294">
        <v>14250</v>
      </c>
      <c r="K46" s="603" t="s">
        <v>633</v>
      </c>
      <c r="L46" s="210"/>
      <c r="M46" s="613"/>
      <c r="N46" s="210"/>
      <c r="O46" s="210"/>
      <c r="P46" s="210"/>
      <c r="Q46" s="210"/>
      <c r="R46" s="210"/>
      <c r="S46" s="210"/>
      <c r="T46" s="210"/>
      <c r="U46" s="210"/>
      <c r="V46" s="210"/>
      <c r="W46" s="210"/>
      <c r="X46" s="210"/>
      <c r="Y46" s="210"/>
      <c r="Z46" s="210"/>
      <c r="AA46" s="210"/>
      <c r="AB46" s="210"/>
      <c r="AC46" s="210"/>
      <c r="AD46" s="210"/>
      <c r="AE46" s="210"/>
      <c r="AF46" s="210"/>
    </row>
    <row r="47" spans="2:32">
      <c r="C47" s="66">
        <v>1</v>
      </c>
      <c r="D47" s="66"/>
      <c r="E47" s="70">
        <f>G5</f>
        <v>-1350</v>
      </c>
      <c r="F47" s="67">
        <f t="shared" ref="F47:F66" si="4">($F$46*E47)/1000</f>
        <v>-1012.5</v>
      </c>
      <c r="G47" s="67">
        <v>0</v>
      </c>
      <c r="H47" s="67">
        <v>0</v>
      </c>
      <c r="I47" s="67">
        <v>0</v>
      </c>
      <c r="J47" s="67">
        <v>0</v>
      </c>
      <c r="K47" s="139">
        <f>F47+G47+H47+I47+J47</f>
        <v>-1012.5</v>
      </c>
      <c r="L47" s="36">
        <f>K47/(1+0.1)^C47</f>
        <v>-920.45454545454538</v>
      </c>
    </row>
    <row r="48" spans="2:32">
      <c r="C48" s="66">
        <v>2</v>
      </c>
      <c r="D48" s="66"/>
      <c r="E48" s="70">
        <f>G6</f>
        <v>74.97</v>
      </c>
      <c r="F48" s="67">
        <f t="shared" si="4"/>
        <v>56.227499999999999</v>
      </c>
      <c r="G48" s="67">
        <f t="shared" ref="G48:G66" si="5">($G$46*E47)/1000</f>
        <v>-6750</v>
      </c>
      <c r="H48" s="67">
        <v>0</v>
      </c>
      <c r="I48" s="67">
        <v>0</v>
      </c>
      <c r="J48" s="67">
        <v>0</v>
      </c>
      <c r="K48" s="139">
        <f>F48+G48+H48+I48+J48</f>
        <v>-6693.7725</v>
      </c>
      <c r="L48" s="36">
        <f t="shared" ref="L48:L66" si="6">K48/(1+0.1)^C48</f>
        <v>-5532.0433884297508</v>
      </c>
    </row>
    <row r="49" spans="3:12">
      <c r="C49" s="66">
        <v>3</v>
      </c>
      <c r="D49" s="66"/>
      <c r="E49" s="70">
        <f t="shared" ref="E49:E66" si="7">G7</f>
        <v>74.97</v>
      </c>
      <c r="F49" s="67">
        <f t="shared" si="4"/>
        <v>56.227499999999999</v>
      </c>
      <c r="G49" s="67">
        <f t="shared" si="5"/>
        <v>374.85</v>
      </c>
      <c r="H49" s="67">
        <f t="shared" ref="H49:H66" si="8">($H$46*E47)/1000</f>
        <v>-16875</v>
      </c>
      <c r="I49" s="67">
        <v>0</v>
      </c>
      <c r="J49" s="67">
        <v>0</v>
      </c>
      <c r="K49" s="139">
        <f t="shared" ref="K49:K66" si="9">F49+G49+H49+I49+J49</f>
        <v>-16443.922500000001</v>
      </c>
      <c r="L49" s="36">
        <f t="shared" si="6"/>
        <v>-12354.562359128471</v>
      </c>
    </row>
    <row r="50" spans="3:12">
      <c r="C50" s="66">
        <v>4</v>
      </c>
      <c r="D50" s="66"/>
      <c r="E50" s="70">
        <f t="shared" si="7"/>
        <v>74.97</v>
      </c>
      <c r="F50" s="67">
        <f t="shared" si="4"/>
        <v>56.227499999999999</v>
      </c>
      <c r="G50" s="67">
        <f t="shared" si="5"/>
        <v>374.85</v>
      </c>
      <c r="H50" s="67">
        <f t="shared" si="8"/>
        <v>937.125</v>
      </c>
      <c r="I50" s="67">
        <f t="shared" ref="I50:I66" si="10">($I$46*E47)/1000</f>
        <v>-23625</v>
      </c>
      <c r="J50" s="67">
        <v>0</v>
      </c>
      <c r="K50" s="139">
        <f t="shared" si="9"/>
        <v>-22256.797500000001</v>
      </c>
      <c r="L50" s="36">
        <f t="shared" si="6"/>
        <v>-15201.692165835662</v>
      </c>
    </row>
    <row r="51" spans="3:12">
      <c r="C51" s="66">
        <v>5</v>
      </c>
      <c r="D51" s="66"/>
      <c r="E51" s="70">
        <f t="shared" si="7"/>
        <v>74.97</v>
      </c>
      <c r="F51" s="67">
        <f t="shared" si="4"/>
        <v>56.227499999999999</v>
      </c>
      <c r="G51" s="67">
        <f t="shared" si="5"/>
        <v>374.85</v>
      </c>
      <c r="H51" s="67">
        <f t="shared" si="8"/>
        <v>937.125</v>
      </c>
      <c r="I51" s="67">
        <f t="shared" si="10"/>
        <v>1311.9749999999999</v>
      </c>
      <c r="J51" s="67">
        <f t="shared" ref="J51:J66" si="11">($J$46*E47)/1000</f>
        <v>-19237.5</v>
      </c>
      <c r="K51" s="139">
        <f t="shared" si="9"/>
        <v>-16557.322500000002</v>
      </c>
      <c r="L51" s="36">
        <f t="shared" si="6"/>
        <v>-10280.794593017117</v>
      </c>
    </row>
    <row r="52" spans="3:12">
      <c r="C52" s="66">
        <v>6</v>
      </c>
      <c r="D52" s="66"/>
      <c r="E52" s="70">
        <f t="shared" si="7"/>
        <v>74.97</v>
      </c>
      <c r="F52" s="67">
        <f t="shared" si="4"/>
        <v>56.227499999999999</v>
      </c>
      <c r="G52" s="67">
        <f t="shared" si="5"/>
        <v>374.85</v>
      </c>
      <c r="H52" s="67">
        <f t="shared" si="8"/>
        <v>937.125</v>
      </c>
      <c r="I52" s="67">
        <f t="shared" si="10"/>
        <v>1311.9749999999999</v>
      </c>
      <c r="J52" s="67">
        <f t="shared" si="11"/>
        <v>1068.3225</v>
      </c>
      <c r="K52" s="139">
        <f t="shared" si="9"/>
        <v>3748.5</v>
      </c>
      <c r="L52" s="36">
        <f t="shared" si="6"/>
        <v>2115.9305268065837</v>
      </c>
    </row>
    <row r="53" spans="3:12">
      <c r="C53" s="66">
        <v>7</v>
      </c>
      <c r="D53" s="66"/>
      <c r="E53" s="70">
        <f t="shared" si="7"/>
        <v>74.97</v>
      </c>
      <c r="F53" s="67">
        <f t="shared" si="4"/>
        <v>56.227499999999999</v>
      </c>
      <c r="G53" s="67">
        <f t="shared" si="5"/>
        <v>374.85</v>
      </c>
      <c r="H53" s="67">
        <f t="shared" si="8"/>
        <v>937.125</v>
      </c>
      <c r="I53" s="67">
        <f t="shared" si="10"/>
        <v>1311.9749999999999</v>
      </c>
      <c r="J53" s="67">
        <f t="shared" si="11"/>
        <v>1068.3225</v>
      </c>
      <c r="K53" s="139">
        <f t="shared" si="9"/>
        <v>3748.5</v>
      </c>
      <c r="L53" s="36">
        <f t="shared" si="6"/>
        <v>1923.5732061878032</v>
      </c>
    </row>
    <row r="54" spans="3:12">
      <c r="C54" s="66">
        <v>8</v>
      </c>
      <c r="D54" s="66"/>
      <c r="E54" s="70">
        <f t="shared" si="7"/>
        <v>74.97</v>
      </c>
      <c r="F54" s="67">
        <f t="shared" si="4"/>
        <v>56.227499999999999</v>
      </c>
      <c r="G54" s="67">
        <f t="shared" si="5"/>
        <v>374.85</v>
      </c>
      <c r="H54" s="67">
        <f t="shared" si="8"/>
        <v>937.125</v>
      </c>
      <c r="I54" s="67">
        <f t="shared" si="10"/>
        <v>1311.9749999999999</v>
      </c>
      <c r="J54" s="67">
        <f t="shared" si="11"/>
        <v>1068.3225</v>
      </c>
      <c r="K54" s="139">
        <f t="shared" si="9"/>
        <v>3748.5</v>
      </c>
      <c r="L54" s="36">
        <f t="shared" si="6"/>
        <v>1748.7029147161848</v>
      </c>
    </row>
    <row r="55" spans="3:12">
      <c r="C55" s="66">
        <v>9</v>
      </c>
      <c r="D55" s="66"/>
      <c r="E55" s="70">
        <f t="shared" si="7"/>
        <v>74.97</v>
      </c>
      <c r="F55" s="67">
        <f t="shared" si="4"/>
        <v>56.227499999999999</v>
      </c>
      <c r="G55" s="67">
        <f t="shared" si="5"/>
        <v>374.85</v>
      </c>
      <c r="H55" s="67">
        <f t="shared" si="8"/>
        <v>937.125</v>
      </c>
      <c r="I55" s="67">
        <f t="shared" si="10"/>
        <v>1311.9749999999999</v>
      </c>
      <c r="J55" s="67">
        <f t="shared" si="11"/>
        <v>1068.3225</v>
      </c>
      <c r="K55" s="139">
        <f t="shared" si="9"/>
        <v>3748.5</v>
      </c>
      <c r="L55" s="36">
        <f t="shared" si="6"/>
        <v>1589.7299224692588</v>
      </c>
    </row>
    <row r="56" spans="3:12">
      <c r="C56" s="66">
        <v>10</v>
      </c>
      <c r="D56" s="66"/>
      <c r="E56" s="70">
        <f t="shared" si="7"/>
        <v>74.97</v>
      </c>
      <c r="F56" s="67">
        <f t="shared" si="4"/>
        <v>56.227499999999999</v>
      </c>
      <c r="G56" s="67">
        <f t="shared" si="5"/>
        <v>374.85</v>
      </c>
      <c r="H56" s="67">
        <f t="shared" si="8"/>
        <v>937.125</v>
      </c>
      <c r="I56" s="67">
        <f t="shared" si="10"/>
        <v>1311.9749999999999</v>
      </c>
      <c r="J56" s="67">
        <f t="shared" si="11"/>
        <v>1068.3225</v>
      </c>
      <c r="K56" s="139">
        <f t="shared" si="9"/>
        <v>3748.5</v>
      </c>
      <c r="L56" s="36">
        <f t="shared" si="6"/>
        <v>1445.2090204265987</v>
      </c>
    </row>
    <row r="57" spans="3:12">
      <c r="C57" s="66">
        <v>11</v>
      </c>
      <c r="D57" s="66"/>
      <c r="E57" s="70">
        <f t="shared" si="7"/>
        <v>74.97</v>
      </c>
      <c r="F57" s="67">
        <f t="shared" si="4"/>
        <v>56.227499999999999</v>
      </c>
      <c r="G57" s="67">
        <f t="shared" si="5"/>
        <v>374.85</v>
      </c>
      <c r="H57" s="67">
        <f t="shared" si="8"/>
        <v>937.125</v>
      </c>
      <c r="I57" s="67">
        <f t="shared" si="10"/>
        <v>1311.9749999999999</v>
      </c>
      <c r="J57" s="67">
        <f t="shared" si="11"/>
        <v>1068.3225</v>
      </c>
      <c r="K57" s="139">
        <f t="shared" si="9"/>
        <v>3748.5</v>
      </c>
      <c r="L57" s="36">
        <f t="shared" si="6"/>
        <v>1313.8263822059987</v>
      </c>
    </row>
    <row r="58" spans="3:12">
      <c r="C58" s="66">
        <v>12</v>
      </c>
      <c r="D58" s="66"/>
      <c r="E58" s="70">
        <f t="shared" si="7"/>
        <v>224.91</v>
      </c>
      <c r="F58" s="67">
        <f t="shared" si="4"/>
        <v>168.6825</v>
      </c>
      <c r="G58" s="67">
        <f t="shared" si="5"/>
        <v>374.85</v>
      </c>
      <c r="H58" s="67">
        <f t="shared" si="8"/>
        <v>937.125</v>
      </c>
      <c r="I58" s="67">
        <f t="shared" si="10"/>
        <v>1311.9749999999999</v>
      </c>
      <c r="J58" s="67">
        <f t="shared" si="11"/>
        <v>1068.3225</v>
      </c>
      <c r="K58" s="139">
        <f t="shared" si="9"/>
        <v>3860.9549999999999</v>
      </c>
      <c r="L58" s="36">
        <f t="shared" si="6"/>
        <v>1230.2192487928896</v>
      </c>
    </row>
    <row r="59" spans="3:12">
      <c r="C59" s="66">
        <v>13</v>
      </c>
      <c r="D59" s="66"/>
      <c r="E59" s="70">
        <f t="shared" si="7"/>
        <v>224.91</v>
      </c>
      <c r="F59" s="67">
        <f t="shared" si="4"/>
        <v>168.6825</v>
      </c>
      <c r="G59" s="67">
        <f t="shared" si="5"/>
        <v>1124.55</v>
      </c>
      <c r="H59" s="67">
        <f t="shared" si="8"/>
        <v>937.125</v>
      </c>
      <c r="I59" s="67">
        <f t="shared" si="10"/>
        <v>1311.9749999999999</v>
      </c>
      <c r="J59" s="67">
        <f t="shared" si="11"/>
        <v>1068.3225</v>
      </c>
      <c r="K59" s="139">
        <f t="shared" si="9"/>
        <v>4610.6549999999997</v>
      </c>
      <c r="L59" s="36">
        <f t="shared" si="6"/>
        <v>1335.5425207548581</v>
      </c>
    </row>
    <row r="60" spans="3:12">
      <c r="C60" s="66">
        <v>14</v>
      </c>
      <c r="D60" s="66"/>
      <c r="E60" s="70">
        <f t="shared" si="7"/>
        <v>224.91</v>
      </c>
      <c r="F60" s="67">
        <f t="shared" si="4"/>
        <v>168.6825</v>
      </c>
      <c r="G60" s="67">
        <f t="shared" si="5"/>
        <v>1124.55</v>
      </c>
      <c r="H60" s="67">
        <f t="shared" si="8"/>
        <v>2811.375</v>
      </c>
      <c r="I60" s="67">
        <f t="shared" si="10"/>
        <v>1311.9749999999999</v>
      </c>
      <c r="J60" s="67">
        <f t="shared" si="11"/>
        <v>1068.3225</v>
      </c>
      <c r="K60" s="139">
        <f t="shared" si="9"/>
        <v>6484.9050000000007</v>
      </c>
      <c r="L60" s="36">
        <f t="shared" si="6"/>
        <v>1707.6781677057681</v>
      </c>
    </row>
    <row r="61" spans="3:12">
      <c r="C61" s="66">
        <v>15</v>
      </c>
      <c r="D61" s="66"/>
      <c r="E61" s="70">
        <f t="shared" si="7"/>
        <v>224.91</v>
      </c>
      <c r="F61" s="67">
        <f t="shared" si="4"/>
        <v>168.6825</v>
      </c>
      <c r="G61" s="67">
        <f t="shared" si="5"/>
        <v>1124.55</v>
      </c>
      <c r="H61" s="67">
        <f t="shared" si="8"/>
        <v>2811.375</v>
      </c>
      <c r="I61" s="67">
        <f t="shared" si="10"/>
        <v>3935.9250000000002</v>
      </c>
      <c r="J61" s="67">
        <f t="shared" si="11"/>
        <v>1068.3225</v>
      </c>
      <c r="K61" s="139">
        <f t="shared" si="9"/>
        <v>9108.8549999999996</v>
      </c>
      <c r="L61" s="36">
        <f t="shared" si="6"/>
        <v>2180.5874658565508</v>
      </c>
    </row>
    <row r="62" spans="3:12">
      <c r="C62" s="66">
        <v>16</v>
      </c>
      <c r="D62" s="66"/>
      <c r="E62" s="70">
        <f t="shared" si="7"/>
        <v>224.91</v>
      </c>
      <c r="F62" s="67">
        <f t="shared" si="4"/>
        <v>168.6825</v>
      </c>
      <c r="G62" s="67">
        <f t="shared" si="5"/>
        <v>1124.55</v>
      </c>
      <c r="H62" s="67">
        <f t="shared" si="8"/>
        <v>2811.375</v>
      </c>
      <c r="I62" s="67">
        <f t="shared" si="10"/>
        <v>3935.9250000000002</v>
      </c>
      <c r="J62" s="67">
        <f t="shared" si="11"/>
        <v>3204.9675000000002</v>
      </c>
      <c r="K62" s="139">
        <f t="shared" si="9"/>
        <v>11245.5</v>
      </c>
      <c r="L62" s="36">
        <f t="shared" si="6"/>
        <v>2447.3484465281153</v>
      </c>
    </row>
    <row r="63" spans="3:12">
      <c r="C63" s="66">
        <v>17</v>
      </c>
      <c r="D63" s="66"/>
      <c r="E63" s="70">
        <f t="shared" si="7"/>
        <v>224.91</v>
      </c>
      <c r="F63" s="67">
        <f t="shared" si="4"/>
        <v>168.6825</v>
      </c>
      <c r="G63" s="67">
        <f t="shared" si="5"/>
        <v>1124.55</v>
      </c>
      <c r="H63" s="67">
        <f t="shared" si="8"/>
        <v>2811.375</v>
      </c>
      <c r="I63" s="67">
        <f t="shared" si="10"/>
        <v>3935.9250000000002</v>
      </c>
      <c r="J63" s="67">
        <f t="shared" si="11"/>
        <v>3204.9675000000002</v>
      </c>
      <c r="K63" s="139">
        <f t="shared" si="9"/>
        <v>11245.5</v>
      </c>
      <c r="L63" s="36">
        <f t="shared" si="6"/>
        <v>2224.8622241164685</v>
      </c>
    </row>
    <row r="64" spans="3:12">
      <c r="C64" s="66">
        <v>18</v>
      </c>
      <c r="D64" s="66"/>
      <c r="E64" s="70">
        <f t="shared" si="7"/>
        <v>224.91</v>
      </c>
      <c r="F64" s="67">
        <f t="shared" si="4"/>
        <v>168.6825</v>
      </c>
      <c r="G64" s="67">
        <f t="shared" si="5"/>
        <v>1124.55</v>
      </c>
      <c r="H64" s="67">
        <f t="shared" si="8"/>
        <v>2811.375</v>
      </c>
      <c r="I64" s="67">
        <f t="shared" si="10"/>
        <v>3935.9250000000002</v>
      </c>
      <c r="J64" s="67">
        <f t="shared" si="11"/>
        <v>3204.9675000000002</v>
      </c>
      <c r="K64" s="139">
        <f t="shared" si="9"/>
        <v>11245.5</v>
      </c>
      <c r="L64" s="36">
        <f t="shared" si="6"/>
        <v>2022.6020219240622</v>
      </c>
    </row>
    <row r="65" spans="3:12">
      <c r="C65" s="66">
        <v>19</v>
      </c>
      <c r="D65" s="66"/>
      <c r="E65" s="70">
        <f t="shared" si="7"/>
        <v>224.91</v>
      </c>
      <c r="F65" s="67">
        <f t="shared" si="4"/>
        <v>168.6825</v>
      </c>
      <c r="G65" s="67">
        <f t="shared" si="5"/>
        <v>1124.55</v>
      </c>
      <c r="H65" s="67">
        <f t="shared" si="8"/>
        <v>2811.375</v>
      </c>
      <c r="I65" s="67">
        <f t="shared" si="10"/>
        <v>3935.9250000000002</v>
      </c>
      <c r="J65" s="67">
        <f t="shared" si="11"/>
        <v>3204.9675000000002</v>
      </c>
      <c r="K65" s="139">
        <f t="shared" si="9"/>
        <v>11245.5</v>
      </c>
      <c r="L65" s="36">
        <f t="shared" si="6"/>
        <v>1838.7291108400559</v>
      </c>
    </row>
    <row r="66" spans="3:12">
      <c r="C66" s="66">
        <v>20</v>
      </c>
      <c r="D66" s="66"/>
      <c r="E66" s="70">
        <f t="shared" si="7"/>
        <v>324.87</v>
      </c>
      <c r="F66" s="67">
        <f t="shared" si="4"/>
        <v>243.6525</v>
      </c>
      <c r="G66" s="67">
        <f t="shared" si="5"/>
        <v>1124.55</v>
      </c>
      <c r="H66" s="67">
        <f t="shared" si="8"/>
        <v>2811.375</v>
      </c>
      <c r="I66" s="67">
        <f t="shared" si="10"/>
        <v>3935.9250000000002</v>
      </c>
      <c r="J66" s="67">
        <f t="shared" si="11"/>
        <v>3204.9675000000002</v>
      </c>
      <c r="K66" s="139">
        <f t="shared" si="9"/>
        <v>11320.47</v>
      </c>
      <c r="L66" s="36">
        <f t="shared" si="6"/>
        <v>1682.7157317384756</v>
      </c>
    </row>
    <row r="67" spans="3:12">
      <c r="L67" s="36">
        <f>SUM(L47:L66)</f>
        <v>-17482.290140795871</v>
      </c>
    </row>
  </sheetData>
  <mergeCells count="2">
    <mergeCell ref="B39:M39"/>
    <mergeCell ref="B40:K40"/>
  </mergeCell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7030A0"/>
  </sheetPr>
  <dimension ref="B2:AE68"/>
  <sheetViews>
    <sheetView showGridLines="0" topLeftCell="A41" zoomScale="90" zoomScaleNormal="90" zoomScalePageLayoutView="90" workbookViewId="0">
      <selection activeCell="K62" sqref="K62"/>
    </sheetView>
  </sheetViews>
  <sheetFormatPr defaultColWidth="9.140625" defaultRowHeight="12.75"/>
  <cols>
    <col min="1" max="1" width="9.140625" style="35"/>
    <col min="2" max="2" width="9.140625" style="35" customWidth="1"/>
    <col min="3" max="3" width="12.85546875" style="35" bestFit="1" customWidth="1"/>
    <col min="4" max="4" width="12.5703125" style="35" bestFit="1" customWidth="1"/>
    <col min="5" max="5" width="12.85546875" style="36" bestFit="1" customWidth="1"/>
    <col min="6" max="6" width="13.140625" style="36" bestFit="1" customWidth="1"/>
    <col min="7" max="7" width="10.5703125" style="36" bestFit="1" customWidth="1"/>
    <col min="8" max="8" width="11" style="36" bestFit="1" customWidth="1"/>
    <col min="9" max="9" width="11.42578125" style="36" customWidth="1"/>
    <col min="10" max="10" width="1.140625" style="36" customWidth="1"/>
    <col min="11" max="11" width="11.42578125" style="36" bestFit="1" customWidth="1"/>
    <col min="12" max="12" width="8.42578125" style="36" bestFit="1" customWidth="1"/>
    <col min="13" max="13" width="10.42578125" style="36" bestFit="1" customWidth="1"/>
    <col min="14" max="14" width="8.42578125" style="36" bestFit="1" customWidth="1"/>
    <col min="15" max="15" width="7.5703125" style="36" customWidth="1"/>
    <col min="16" max="16" width="10.5703125" style="36" customWidth="1"/>
    <col min="17" max="27" width="7.5703125" style="36" customWidth="1"/>
    <col min="28" max="28" width="9.140625" style="36"/>
    <col min="29" max="16384" width="9.140625" style="35"/>
  </cols>
  <sheetData>
    <row r="2" spans="2:28">
      <c r="B2" s="171" t="s">
        <v>706</v>
      </c>
    </row>
    <row r="3" spans="2:28" ht="63.75">
      <c r="B3" s="556" t="s">
        <v>313</v>
      </c>
      <c r="C3" s="550" t="s">
        <v>640</v>
      </c>
      <c r="D3" s="550" t="s">
        <v>641</v>
      </c>
      <c r="E3" s="550" t="s">
        <v>636</v>
      </c>
      <c r="F3" s="550" t="s">
        <v>637</v>
      </c>
      <c r="G3" s="551" t="s">
        <v>638</v>
      </c>
      <c r="H3" s="551" t="s">
        <v>639</v>
      </c>
      <c r="N3" s="552" t="s">
        <v>680</v>
      </c>
      <c r="Y3" s="35"/>
      <c r="Z3" s="35"/>
      <c r="AA3" s="35"/>
      <c r="AB3" s="35"/>
    </row>
    <row r="4" spans="2:28">
      <c r="B4" s="66">
        <v>1</v>
      </c>
      <c r="C4" s="67">
        <f>'Gmelina Arborea'!R18</f>
        <v>0</v>
      </c>
      <c r="D4" s="67">
        <f>'Gmelina Arborea'!N18*'Prices of dried wood'!$D$8*4</f>
        <v>0</v>
      </c>
      <c r="E4" s="67">
        <f>'Output 3 Financial Analysis'!E5</f>
        <v>376</v>
      </c>
      <c r="F4" s="67">
        <f>300*4.5</f>
        <v>1350</v>
      </c>
      <c r="G4" s="67">
        <f t="shared" ref="G4:G23" si="0">SUM(F4:F4)</f>
        <v>1350</v>
      </c>
      <c r="H4" s="67">
        <f>C4+D4+E4-F4</f>
        <v>-974</v>
      </c>
      <c r="N4" s="36">
        <f t="shared" ref="N4:N23" si="1">H4/(1+0.1)^B4</f>
        <v>-885.45454545454538</v>
      </c>
      <c r="O4" s="35"/>
      <c r="AB4" s="35"/>
    </row>
    <row r="5" spans="2:28">
      <c r="B5" s="66">
        <v>2</v>
      </c>
      <c r="C5" s="67">
        <f>'Gmelina Arborea'!R19</f>
        <v>0</v>
      </c>
      <c r="D5" s="67">
        <f>'Gmelina Arborea'!N19*'Prices of dried wood'!$D$8*4</f>
        <v>0</v>
      </c>
      <c r="E5" s="67">
        <f>'Output 3 Financial Analysis'!E6</f>
        <v>300.8</v>
      </c>
      <c r="F5" s="67"/>
      <c r="G5" s="67">
        <f t="shared" si="0"/>
        <v>0</v>
      </c>
      <c r="H5" s="67">
        <f t="shared" ref="H5:H23" si="2">C5+D5+E5-F5</f>
        <v>300.8</v>
      </c>
      <c r="N5" s="36">
        <f t="shared" si="1"/>
        <v>248.59504132231402</v>
      </c>
      <c r="O5" s="35"/>
      <c r="AB5" s="35"/>
    </row>
    <row r="6" spans="2:28">
      <c r="B6" s="66">
        <v>3</v>
      </c>
      <c r="C6" s="67">
        <f>'Gmelina Arborea'!R20</f>
        <v>0</v>
      </c>
      <c r="D6" s="67">
        <f>'Gmelina Arborea'!N20*'Prices of dried wood'!$D$8*4</f>
        <v>0</v>
      </c>
      <c r="E6" s="67">
        <f>'Output 3 Financial Analysis'!E7</f>
        <v>240.64000000000001</v>
      </c>
      <c r="F6" s="67"/>
      <c r="G6" s="67">
        <f t="shared" si="0"/>
        <v>0</v>
      </c>
      <c r="H6" s="67">
        <f t="shared" si="2"/>
        <v>240.64000000000001</v>
      </c>
      <c r="N6" s="36">
        <f t="shared" si="1"/>
        <v>180.79639368895562</v>
      </c>
      <c r="O6" s="35"/>
      <c r="AB6" s="35"/>
    </row>
    <row r="7" spans="2:28">
      <c r="B7" s="66">
        <v>4</v>
      </c>
      <c r="C7" s="67">
        <f>'Gmelina Arborea'!R21</f>
        <v>1207.1612903225805</v>
      </c>
      <c r="D7" s="67">
        <f>'Gmelina Arborea'!N21*'Prices of dried wood'!$D$8*4</f>
        <v>0</v>
      </c>
      <c r="E7" s="67"/>
      <c r="F7" s="67"/>
      <c r="G7" s="67">
        <f t="shared" si="0"/>
        <v>0</v>
      </c>
      <c r="H7" s="67">
        <f t="shared" si="2"/>
        <v>1207.1612903225805</v>
      </c>
      <c r="N7" s="36">
        <f t="shared" si="1"/>
        <v>824.50740408618276</v>
      </c>
      <c r="O7" s="35"/>
      <c r="AB7" s="35"/>
    </row>
    <row r="8" spans="2:28">
      <c r="B8" s="66">
        <v>5</v>
      </c>
      <c r="C8" s="67">
        <f>'Gmelina Arborea'!R22</f>
        <v>0</v>
      </c>
      <c r="D8" s="67">
        <f>'Gmelina Arborea'!N22*'Prices of dried wood'!$D$8*4</f>
        <v>0</v>
      </c>
      <c r="E8" s="67"/>
      <c r="F8" s="67"/>
      <c r="G8" s="67">
        <f t="shared" si="0"/>
        <v>0</v>
      </c>
      <c r="H8" s="67">
        <f t="shared" si="2"/>
        <v>0</v>
      </c>
      <c r="N8" s="36">
        <f t="shared" si="1"/>
        <v>0</v>
      </c>
      <c r="O8" s="35"/>
      <c r="AB8" s="35"/>
    </row>
    <row r="9" spans="2:28">
      <c r="B9" s="66">
        <v>6</v>
      </c>
      <c r="C9" s="67">
        <f>'Gmelina Arborea'!R23</f>
        <v>0</v>
      </c>
      <c r="D9" s="67">
        <f>'Gmelina Arborea'!N23*'Prices of dried wood'!$D$8*4</f>
        <v>0</v>
      </c>
      <c r="E9" s="67"/>
      <c r="F9" s="67"/>
      <c r="G9" s="67">
        <f t="shared" si="0"/>
        <v>0</v>
      </c>
      <c r="H9" s="67">
        <f t="shared" si="2"/>
        <v>0</v>
      </c>
      <c r="N9" s="36">
        <f t="shared" si="1"/>
        <v>0</v>
      </c>
      <c r="O9" s="35"/>
      <c r="AB9" s="35"/>
    </row>
    <row r="10" spans="2:28">
      <c r="B10" s="66">
        <v>7</v>
      </c>
      <c r="C10" s="67">
        <f>'Gmelina Arborea'!R24</f>
        <v>0</v>
      </c>
      <c r="D10" s="67">
        <f>'Gmelina Arborea'!N24*'Prices of dried wood'!$D$8*4</f>
        <v>0</v>
      </c>
      <c r="E10" s="67"/>
      <c r="F10" s="67"/>
      <c r="G10" s="67">
        <f t="shared" si="0"/>
        <v>0</v>
      </c>
      <c r="H10" s="67">
        <f t="shared" si="2"/>
        <v>0</v>
      </c>
      <c r="N10" s="36">
        <f t="shared" si="1"/>
        <v>0</v>
      </c>
      <c r="O10" s="35"/>
      <c r="AB10" s="35"/>
    </row>
    <row r="11" spans="2:28">
      <c r="B11" s="66">
        <v>8</v>
      </c>
      <c r="C11" s="67">
        <f>'Gmelina Arborea'!R25</f>
        <v>1170.9677419354837</v>
      </c>
      <c r="D11" s="67">
        <f>'Gmelina Arborea'!N25*'Prices of dried wood'!$D$8*4</f>
        <v>7065.0624000000007</v>
      </c>
      <c r="E11" s="67"/>
      <c r="F11" s="67"/>
      <c r="G11" s="67">
        <f t="shared" si="0"/>
        <v>0</v>
      </c>
      <c r="H11" s="67">
        <f t="shared" si="2"/>
        <v>8236.0301419354837</v>
      </c>
      <c r="N11" s="36">
        <f t="shared" si="1"/>
        <v>3842.1688448427194</v>
      </c>
      <c r="O11" s="35"/>
      <c r="AB11" s="35"/>
    </row>
    <row r="12" spans="2:28">
      <c r="B12" s="66">
        <v>9</v>
      </c>
      <c r="C12" s="67">
        <f>'Gmelina Arborea'!R26</f>
        <v>0</v>
      </c>
      <c r="D12" s="67">
        <f>'Gmelina Arborea'!N26*'Prices of dried wood'!$D$8*4</f>
        <v>0</v>
      </c>
      <c r="E12" s="67"/>
      <c r="F12" s="67"/>
      <c r="G12" s="67">
        <f t="shared" si="0"/>
        <v>0</v>
      </c>
      <c r="H12" s="67">
        <f t="shared" si="2"/>
        <v>0</v>
      </c>
      <c r="N12" s="36">
        <f t="shared" si="1"/>
        <v>0</v>
      </c>
      <c r="O12" s="35"/>
      <c r="AB12" s="35"/>
    </row>
    <row r="13" spans="2:28">
      <c r="B13" s="66">
        <v>10</v>
      </c>
      <c r="C13" s="67">
        <f>'Gmelina Arborea'!R27</f>
        <v>0</v>
      </c>
      <c r="D13" s="67">
        <f>'Gmelina Arborea'!N27*'Prices of dried wood'!$D$8*4</f>
        <v>0</v>
      </c>
      <c r="E13" s="67"/>
      <c r="F13" s="67"/>
      <c r="G13" s="67">
        <f t="shared" si="0"/>
        <v>0</v>
      </c>
      <c r="H13" s="67">
        <f t="shared" si="2"/>
        <v>0</v>
      </c>
      <c r="N13" s="36">
        <f t="shared" si="1"/>
        <v>0</v>
      </c>
      <c r="O13" s="35"/>
      <c r="AB13" s="35"/>
    </row>
    <row r="14" spans="2:28">
      <c r="B14" s="66">
        <v>11</v>
      </c>
      <c r="C14" s="67">
        <f>'Gmelina Arborea'!R28</f>
        <v>0</v>
      </c>
      <c r="D14" s="67">
        <f>'Gmelina Arborea'!N28*'Prices of dried wood'!$D$8*4</f>
        <v>0</v>
      </c>
      <c r="E14" s="67"/>
      <c r="F14" s="67"/>
      <c r="G14" s="67">
        <f t="shared" si="0"/>
        <v>0</v>
      </c>
      <c r="H14" s="67">
        <f t="shared" si="2"/>
        <v>0</v>
      </c>
      <c r="N14" s="36">
        <f t="shared" si="1"/>
        <v>0</v>
      </c>
      <c r="O14" s="35"/>
      <c r="AB14" s="35"/>
    </row>
    <row r="15" spans="2:28">
      <c r="B15" s="66">
        <v>12</v>
      </c>
      <c r="C15" s="67">
        <f>'Gmelina Arborea'!R29</f>
        <v>0</v>
      </c>
      <c r="D15" s="67">
        <f>'Gmelina Arborea'!N29*'Prices of dried wood'!$D$8*4</f>
        <v>0</v>
      </c>
      <c r="E15" s="67"/>
      <c r="F15" s="67"/>
      <c r="G15" s="67">
        <f t="shared" si="0"/>
        <v>0</v>
      </c>
      <c r="H15" s="67">
        <f t="shared" si="2"/>
        <v>0</v>
      </c>
      <c r="N15" s="36">
        <f t="shared" si="1"/>
        <v>0</v>
      </c>
      <c r="O15" s="35"/>
      <c r="AB15" s="35"/>
    </row>
    <row r="16" spans="2:28">
      <c r="B16" s="66">
        <v>13</v>
      </c>
      <c r="C16" s="67">
        <f>'Gmelina Arborea'!R30</f>
        <v>0</v>
      </c>
      <c r="D16" s="67">
        <f>'Gmelina Arborea'!N30*'Prices of dried wood'!$D$8*4</f>
        <v>0</v>
      </c>
      <c r="E16" s="67"/>
      <c r="F16" s="67"/>
      <c r="G16" s="67">
        <f t="shared" si="0"/>
        <v>0</v>
      </c>
      <c r="H16" s="67">
        <f t="shared" si="2"/>
        <v>0</v>
      </c>
      <c r="N16" s="36">
        <f t="shared" si="1"/>
        <v>0</v>
      </c>
      <c r="O16" s="35"/>
      <c r="AB16" s="35"/>
    </row>
    <row r="17" spans="2:30">
      <c r="B17" s="66">
        <v>14</v>
      </c>
      <c r="C17" s="67">
        <f>'Gmelina Arborea'!R31</f>
        <v>0</v>
      </c>
      <c r="D17" s="67">
        <f>'Gmelina Arborea'!N31*'Prices of dried wood'!$D$8*4</f>
        <v>0</v>
      </c>
      <c r="E17" s="67"/>
      <c r="F17" s="67"/>
      <c r="G17" s="67">
        <f t="shared" si="0"/>
        <v>0</v>
      </c>
      <c r="H17" s="67">
        <f t="shared" si="2"/>
        <v>0</v>
      </c>
      <c r="N17" s="36">
        <f t="shared" si="1"/>
        <v>0</v>
      </c>
      <c r="O17" s="35"/>
      <c r="AB17" s="35"/>
    </row>
    <row r="18" spans="2:30">
      <c r="B18" s="66">
        <v>15</v>
      </c>
      <c r="C18" s="67">
        <f>'Gmelina Arborea'!R32</f>
        <v>0</v>
      </c>
      <c r="D18" s="67">
        <f>'Gmelina Arborea'!N32*'Prices of dried wood'!$D$8*4</f>
        <v>0</v>
      </c>
      <c r="E18" s="67"/>
      <c r="F18" s="67"/>
      <c r="G18" s="67">
        <f t="shared" si="0"/>
        <v>0</v>
      </c>
      <c r="H18" s="67">
        <f t="shared" si="2"/>
        <v>0</v>
      </c>
      <c r="M18" s="171"/>
      <c r="N18" s="36">
        <f t="shared" si="1"/>
        <v>0</v>
      </c>
      <c r="O18" s="35"/>
      <c r="AB18" s="35"/>
    </row>
    <row r="19" spans="2:30">
      <c r="B19" s="66">
        <v>16</v>
      </c>
      <c r="C19" s="67">
        <f>'Gmelina Arborea'!R33</f>
        <v>1542</v>
      </c>
      <c r="D19" s="67">
        <f>'Gmelina Arborea'!N33*'Prices of dried wood'!$D$8*4</f>
        <v>0</v>
      </c>
      <c r="E19" s="67"/>
      <c r="F19" s="67"/>
      <c r="G19" s="67">
        <f t="shared" si="0"/>
        <v>0</v>
      </c>
      <c r="H19" s="67">
        <f t="shared" si="2"/>
        <v>1542</v>
      </c>
      <c r="N19" s="36">
        <f t="shared" si="1"/>
        <v>335.58412738840906</v>
      </c>
      <c r="O19" s="35"/>
      <c r="AB19" s="35"/>
    </row>
    <row r="20" spans="2:30">
      <c r="B20" s="66">
        <v>17</v>
      </c>
      <c r="C20" s="67">
        <f>'Gmelina Arborea'!R34</f>
        <v>0</v>
      </c>
      <c r="D20" s="67">
        <f>'Gmelina Arborea'!N34*'Prices of dried wood'!$D$8*4</f>
        <v>0</v>
      </c>
      <c r="E20" s="67"/>
      <c r="F20" s="67"/>
      <c r="G20" s="67">
        <f t="shared" si="0"/>
        <v>0</v>
      </c>
      <c r="H20" s="67">
        <f t="shared" si="2"/>
        <v>0</v>
      </c>
      <c r="N20" s="36">
        <f t="shared" si="1"/>
        <v>0</v>
      </c>
      <c r="O20" s="35"/>
      <c r="AB20" s="35"/>
    </row>
    <row r="21" spans="2:30">
      <c r="B21" s="66">
        <v>18</v>
      </c>
      <c r="C21" s="67">
        <f>'Gmelina Arborea'!R35</f>
        <v>0</v>
      </c>
      <c r="D21" s="67">
        <f>'Gmelina Arborea'!N35*'Prices of dried wood'!$D$8*4</f>
        <v>0</v>
      </c>
      <c r="E21" s="67"/>
      <c r="F21" s="67"/>
      <c r="G21" s="67">
        <f t="shared" si="0"/>
        <v>0</v>
      </c>
      <c r="H21" s="67">
        <f t="shared" si="2"/>
        <v>0</v>
      </c>
      <c r="N21" s="36">
        <f t="shared" si="1"/>
        <v>0</v>
      </c>
      <c r="O21" s="35"/>
      <c r="AB21" s="35"/>
    </row>
    <row r="22" spans="2:30">
      <c r="B22" s="66">
        <v>19</v>
      </c>
      <c r="C22" s="67">
        <f>'Gmelina Arborea'!R36</f>
        <v>0</v>
      </c>
      <c r="D22" s="67">
        <f>'Gmelina Arborea'!N36*'Prices of dried wood'!$D$8*4</f>
        <v>0</v>
      </c>
      <c r="E22" s="67"/>
      <c r="F22" s="67"/>
      <c r="G22" s="67">
        <f t="shared" si="0"/>
        <v>0</v>
      </c>
      <c r="H22" s="67">
        <f t="shared" si="2"/>
        <v>0</v>
      </c>
      <c r="N22" s="36">
        <f t="shared" si="1"/>
        <v>0</v>
      </c>
      <c r="O22" s="35"/>
      <c r="AB22" s="35"/>
    </row>
    <row r="23" spans="2:30">
      <c r="B23" s="66">
        <v>20</v>
      </c>
      <c r="C23" s="67">
        <f>'Gmelina Arborea'!R37</f>
        <v>1542</v>
      </c>
      <c r="D23" s="67">
        <f>'Gmelina Arborea'!N37*'Prices of dried wood'!$D$8*4</f>
        <v>0</v>
      </c>
      <c r="E23" s="67"/>
      <c r="F23" s="67"/>
      <c r="G23" s="67">
        <f t="shared" si="0"/>
        <v>0</v>
      </c>
      <c r="H23" s="67">
        <f t="shared" si="2"/>
        <v>1542</v>
      </c>
      <c r="N23" s="36">
        <f t="shared" si="1"/>
        <v>229.20847441322925</v>
      </c>
      <c r="O23" s="35"/>
      <c r="AB23" s="35"/>
    </row>
    <row r="24" spans="2:30">
      <c r="E24" s="35"/>
      <c r="L24" s="35"/>
      <c r="M24" s="35"/>
      <c r="N24" s="150">
        <f>SUM(N4:N23)</f>
        <v>4775.4057402872641</v>
      </c>
      <c r="P24" s="618" t="s">
        <v>683</v>
      </c>
      <c r="AC24" s="36"/>
      <c r="AD24" s="36"/>
    </row>
    <row r="25" spans="2:30">
      <c r="B25" s="179" t="s">
        <v>328</v>
      </c>
      <c r="C25" s="180"/>
      <c r="D25" s="180"/>
      <c r="E25" s="180"/>
      <c r="F25" s="44"/>
      <c r="G25" s="44"/>
      <c r="H25" s="203">
        <v>0.1</v>
      </c>
      <c r="L25" s="35"/>
      <c r="M25" s="35"/>
      <c r="AC25" s="36"/>
      <c r="AD25" s="36"/>
    </row>
    <row r="26" spans="2:30">
      <c r="B26" s="181" t="s">
        <v>338</v>
      </c>
      <c r="C26" s="178"/>
      <c r="D26" s="178"/>
      <c r="E26" s="178"/>
      <c r="F26" s="47"/>
      <c r="G26" s="47"/>
      <c r="H26" s="182">
        <f>NPV(H25,H4:H23)</f>
        <v>4775.4057402872631</v>
      </c>
      <c r="L26" s="35"/>
      <c r="M26" s="35"/>
      <c r="N26" s="618" t="s">
        <v>683</v>
      </c>
      <c r="AC26" s="36"/>
      <c r="AD26" s="36"/>
    </row>
    <row r="27" spans="2:30">
      <c r="B27" s="184" t="s">
        <v>326</v>
      </c>
      <c r="C27" s="178"/>
      <c r="D27" s="178"/>
      <c r="E27" s="178"/>
      <c r="F27" s="47"/>
      <c r="G27" s="47"/>
      <c r="H27" s="183">
        <f>IRR(H4:H23,0.1)</f>
        <v>0.56169472303265588</v>
      </c>
      <c r="L27" s="35"/>
      <c r="M27" s="35"/>
      <c r="AC27" s="36"/>
      <c r="AD27" s="36"/>
    </row>
    <row r="28" spans="2:30">
      <c r="B28" s="181" t="s">
        <v>689</v>
      </c>
      <c r="C28" s="178"/>
      <c r="D28" s="178"/>
      <c r="E28" s="178"/>
      <c r="F28" s="47"/>
      <c r="G28" s="47"/>
      <c r="H28" s="185">
        <f>NPV(H25,C8:C23)</f>
        <v>1626.6995718381675</v>
      </c>
      <c r="L28" s="35"/>
      <c r="M28" s="35"/>
      <c r="AC28" s="36"/>
      <c r="AD28" s="36"/>
    </row>
    <row r="29" spans="2:30">
      <c r="B29" s="181" t="s">
        <v>690</v>
      </c>
      <c r="C29" s="178"/>
      <c r="D29" s="178"/>
      <c r="E29" s="178"/>
      <c r="F29" s="47"/>
      <c r="G29" s="47"/>
      <c r="H29" s="185">
        <f>NPV(H25,F4:F23)</f>
        <v>1227.2727272727273</v>
      </c>
      <c r="L29" s="35"/>
      <c r="M29" s="35"/>
      <c r="AC29" s="36"/>
      <c r="AD29" s="36"/>
    </row>
    <row r="30" spans="2:30">
      <c r="B30" s="181" t="s">
        <v>329</v>
      </c>
      <c r="C30" s="178"/>
      <c r="D30" s="178"/>
      <c r="E30" s="178"/>
      <c r="F30" s="47"/>
      <c r="G30" s="47"/>
      <c r="H30" s="186">
        <f>H28/H29</f>
        <v>1.325458910386655</v>
      </c>
      <c r="L30" s="35"/>
      <c r="M30" s="35"/>
      <c r="AC30" s="36"/>
      <c r="AD30" s="36"/>
    </row>
    <row r="31" spans="2:30">
      <c r="B31" s="181" t="s">
        <v>330</v>
      </c>
      <c r="C31" s="178"/>
      <c r="D31" s="178"/>
      <c r="E31" s="178"/>
      <c r="F31" s="47"/>
      <c r="G31" s="47"/>
      <c r="H31" s="183">
        <f>+(H29-H28)/H28</f>
        <v>-0.24554432267667509</v>
      </c>
      <c r="L31" s="35"/>
      <c r="M31" s="35"/>
      <c r="AC31" s="36"/>
      <c r="AD31" s="36"/>
    </row>
    <row r="32" spans="2:30">
      <c r="B32" s="187" t="s">
        <v>331</v>
      </c>
      <c r="C32" s="188"/>
      <c r="D32" s="188"/>
      <c r="E32" s="188"/>
      <c r="F32" s="51"/>
      <c r="G32" s="51"/>
      <c r="H32" s="189">
        <f>(H28-H29)/H29</f>
        <v>0.32545891038665498</v>
      </c>
      <c r="L32" s="35"/>
      <c r="AC32" s="36"/>
      <c r="AD32" s="36"/>
    </row>
    <row r="33" spans="2:31">
      <c r="E33" s="35"/>
      <c r="F33" s="35"/>
      <c r="G33" s="35"/>
      <c r="H33" s="35"/>
      <c r="I33" s="35"/>
      <c r="J33" s="35"/>
      <c r="K33" s="35"/>
      <c r="L33" s="35"/>
      <c r="M33" s="35"/>
      <c r="N33" s="35"/>
      <c r="AC33" s="36"/>
      <c r="AD33" s="36"/>
      <c r="AE33" s="36"/>
    </row>
    <row r="34" spans="2:31" ht="18.75">
      <c r="B34" s="593" t="s">
        <v>643</v>
      </c>
      <c r="C34" s="178"/>
      <c r="D34" s="178"/>
      <c r="E34" s="290"/>
      <c r="F34" s="47"/>
      <c r="G34" s="47"/>
      <c r="H34" s="47"/>
      <c r="I34" s="602"/>
      <c r="AC34" s="36"/>
    </row>
    <row r="35" spans="2:31" s="604" customFormat="1" ht="12">
      <c r="B35" s="604" t="s">
        <v>674</v>
      </c>
      <c r="E35" s="605"/>
      <c r="F35" s="605"/>
      <c r="G35" s="605"/>
      <c r="H35" s="605"/>
      <c r="I35" s="605"/>
      <c r="J35" s="605"/>
      <c r="K35" s="605"/>
      <c r="L35" s="605"/>
      <c r="M35" s="605"/>
      <c r="N35" s="605"/>
      <c r="O35" s="605"/>
      <c r="P35" s="605"/>
      <c r="Q35" s="605"/>
      <c r="R35" s="605"/>
      <c r="S35" s="605"/>
      <c r="T35" s="605"/>
      <c r="U35" s="605"/>
      <c r="V35" s="605"/>
      <c r="W35" s="605"/>
      <c r="X35" s="605"/>
      <c r="Y35" s="605"/>
      <c r="Z35" s="605"/>
      <c r="AA35" s="605"/>
      <c r="AB35" s="605"/>
      <c r="AC35" s="605"/>
    </row>
    <row r="36" spans="2:31" s="604" customFormat="1" ht="12">
      <c r="B36" s="604" t="s">
        <v>675</v>
      </c>
      <c r="E36" s="605"/>
      <c r="F36" s="605" t="s">
        <v>591</v>
      </c>
      <c r="G36" s="605"/>
      <c r="H36" s="605"/>
      <c r="I36" s="605"/>
      <c r="J36" s="605"/>
      <c r="K36" s="605"/>
      <c r="L36" s="605"/>
      <c r="M36" s="605"/>
      <c r="N36" s="605"/>
      <c r="O36" s="605"/>
      <c r="P36" s="605"/>
      <c r="Q36" s="605"/>
      <c r="R36" s="605"/>
      <c r="S36" s="605"/>
      <c r="T36" s="605"/>
      <c r="U36" s="605"/>
      <c r="V36" s="605"/>
      <c r="W36" s="605"/>
      <c r="X36" s="605"/>
      <c r="Y36" s="605"/>
      <c r="Z36" s="605"/>
      <c r="AA36" s="605"/>
      <c r="AB36" s="605"/>
      <c r="AC36" s="605"/>
    </row>
    <row r="37" spans="2:31" s="604" customFormat="1" ht="12">
      <c r="B37" s="604" t="s">
        <v>676</v>
      </c>
      <c r="E37" s="605"/>
      <c r="F37" s="605"/>
      <c r="G37" s="605"/>
      <c r="H37" s="605"/>
      <c r="I37" s="605"/>
      <c r="J37" s="605"/>
      <c r="K37" s="605"/>
      <c r="L37" s="605"/>
      <c r="M37" s="605"/>
      <c r="N37" s="605"/>
      <c r="O37" s="605"/>
      <c r="P37" s="605"/>
      <c r="Q37" s="605"/>
      <c r="R37" s="605"/>
      <c r="S37" s="605"/>
      <c r="T37" s="605"/>
      <c r="U37" s="605"/>
      <c r="V37" s="605"/>
      <c r="W37" s="605"/>
      <c r="X37" s="605"/>
      <c r="Y37" s="605"/>
      <c r="Z37" s="605"/>
      <c r="AA37" s="605"/>
      <c r="AB37" s="605"/>
      <c r="AC37" s="605"/>
    </row>
    <row r="38" spans="2:31" s="604" customFormat="1" ht="12">
      <c r="B38" s="604" t="s">
        <v>677</v>
      </c>
      <c r="E38" s="605"/>
      <c r="F38" s="605"/>
      <c r="G38" s="605"/>
      <c r="H38" s="605"/>
      <c r="I38" s="605"/>
      <c r="J38" s="605"/>
      <c r="K38" s="605"/>
      <c r="L38" s="605"/>
      <c r="M38" s="605"/>
      <c r="N38" s="605"/>
      <c r="O38" s="605"/>
      <c r="P38" s="605"/>
      <c r="Q38" s="605"/>
      <c r="R38" s="605"/>
      <c r="S38" s="605"/>
      <c r="T38" s="605"/>
      <c r="U38" s="605"/>
      <c r="V38" s="605"/>
      <c r="W38" s="605"/>
      <c r="X38" s="605"/>
      <c r="Y38" s="605"/>
      <c r="Z38" s="605"/>
      <c r="AA38" s="605"/>
      <c r="AB38" s="605"/>
      <c r="AC38" s="605"/>
    </row>
    <row r="39" spans="2:31" s="604" customFormat="1" ht="12">
      <c r="B39" s="606" t="s">
        <v>678</v>
      </c>
      <c r="E39" s="605"/>
      <c r="F39" s="605"/>
      <c r="G39" s="605"/>
      <c r="H39" s="605"/>
      <c r="I39" s="605"/>
      <c r="J39" s="605"/>
      <c r="K39" s="605"/>
      <c r="L39" s="605"/>
      <c r="M39" s="605"/>
      <c r="N39" s="605"/>
      <c r="O39" s="605"/>
      <c r="P39" s="605"/>
      <c r="Q39" s="605"/>
      <c r="R39" s="605"/>
      <c r="S39" s="605"/>
      <c r="T39" s="605"/>
      <c r="U39" s="605"/>
      <c r="V39" s="605"/>
      <c r="W39" s="605"/>
      <c r="X39" s="605"/>
      <c r="Y39" s="605"/>
      <c r="Z39" s="605"/>
      <c r="AA39" s="605"/>
      <c r="AB39" s="605"/>
      <c r="AC39" s="605"/>
    </row>
    <row r="40" spans="2:31" s="604" customFormat="1" ht="12">
      <c r="B40" s="606" t="s">
        <v>679</v>
      </c>
      <c r="E40" s="605"/>
      <c r="F40" s="605"/>
      <c r="G40" s="605"/>
      <c r="H40" s="605"/>
      <c r="I40" s="605"/>
      <c r="J40" s="605"/>
      <c r="K40" s="605"/>
      <c r="L40" s="605"/>
      <c r="M40" s="605"/>
      <c r="N40" s="605"/>
      <c r="O40" s="605"/>
      <c r="P40" s="605"/>
      <c r="Q40" s="605"/>
      <c r="R40" s="605"/>
      <c r="S40" s="605"/>
      <c r="T40" s="605"/>
      <c r="U40" s="605"/>
      <c r="V40" s="605"/>
      <c r="W40" s="605"/>
      <c r="X40" s="605"/>
      <c r="Y40" s="605"/>
      <c r="Z40" s="605"/>
      <c r="AA40" s="605"/>
      <c r="AB40" s="605"/>
      <c r="AC40" s="605"/>
    </row>
    <row r="41" spans="2:31" s="604" customFormat="1" ht="12">
      <c r="B41" s="606"/>
      <c r="E41" s="605"/>
      <c r="F41" s="605"/>
      <c r="G41" s="605"/>
      <c r="H41" s="605"/>
      <c r="I41" s="605"/>
      <c r="J41" s="605"/>
      <c r="K41" s="605"/>
      <c r="L41" s="605"/>
      <c r="M41" s="605"/>
      <c r="N41" s="605"/>
      <c r="O41" s="605"/>
      <c r="P41" s="605"/>
      <c r="Q41" s="605"/>
      <c r="R41" s="605"/>
      <c r="S41" s="605"/>
      <c r="T41" s="605"/>
      <c r="U41" s="605"/>
      <c r="V41" s="605"/>
      <c r="W41" s="605"/>
      <c r="X41" s="605"/>
      <c r="Y41" s="605"/>
      <c r="Z41" s="605"/>
      <c r="AA41" s="605"/>
      <c r="AB41" s="605"/>
      <c r="AC41" s="605"/>
    </row>
    <row r="42" spans="2:31">
      <c r="B42" s="76" t="s">
        <v>442</v>
      </c>
      <c r="D42" s="36"/>
      <c r="I42" s="614"/>
    </row>
    <row r="43" spans="2:31">
      <c r="B43" s="589"/>
      <c r="C43" s="590"/>
      <c r="D43" s="139" t="s">
        <v>383</v>
      </c>
      <c r="E43" s="139" t="s">
        <v>384</v>
      </c>
      <c r="F43" s="139" t="s">
        <v>385</v>
      </c>
      <c r="G43" s="139" t="s">
        <v>386</v>
      </c>
      <c r="H43" s="794"/>
      <c r="I43" s="614"/>
    </row>
    <row r="44" spans="2:31">
      <c r="B44" s="591"/>
      <c r="C44" s="592"/>
      <c r="D44" s="586" t="s">
        <v>552</v>
      </c>
      <c r="E44" s="587"/>
      <c r="F44" s="587"/>
      <c r="G44" s="588"/>
      <c r="H44" s="795"/>
    </row>
    <row r="45" spans="2:31" ht="11.25" customHeight="1">
      <c r="B45" s="292" t="s">
        <v>313</v>
      </c>
      <c r="C45" s="293" t="s">
        <v>634</v>
      </c>
      <c r="D45" s="294">
        <v>8000</v>
      </c>
      <c r="E45" s="294">
        <v>8000</v>
      </c>
      <c r="F45" s="294">
        <v>10000</v>
      </c>
      <c r="G45" s="294">
        <v>7000</v>
      </c>
      <c r="H45" s="296" t="s">
        <v>635</v>
      </c>
      <c r="AC45" s="36"/>
      <c r="AD45" s="36"/>
    </row>
    <row r="46" spans="2:31">
      <c r="B46" s="66">
        <v>1</v>
      </c>
      <c r="C46" s="70">
        <f t="shared" ref="C46:C65" si="3">H4</f>
        <v>-974</v>
      </c>
      <c r="D46" s="67">
        <f t="shared" ref="D46:D65" si="4">($D$45*C46)/1000</f>
        <v>-7792</v>
      </c>
      <c r="E46" s="67">
        <v>0</v>
      </c>
      <c r="F46" s="67">
        <v>0</v>
      </c>
      <c r="G46" s="67">
        <v>0</v>
      </c>
      <c r="H46" s="139">
        <f>D46+E46+F46+G46</f>
        <v>-7792</v>
      </c>
      <c r="P46" s="36">
        <f t="shared" ref="P46:P65" si="5">H46/(1+0.1)^B46</f>
        <v>-7083.6363636363631</v>
      </c>
      <c r="AC46" s="36"/>
      <c r="AD46" s="36"/>
    </row>
    <row r="47" spans="2:31">
      <c r="B47" s="66">
        <v>2</v>
      </c>
      <c r="C47" s="70">
        <f t="shared" si="3"/>
        <v>300.8</v>
      </c>
      <c r="D47" s="67">
        <f t="shared" si="4"/>
        <v>2406.4</v>
      </c>
      <c r="E47" s="67">
        <f t="shared" ref="E47:E65" si="6">($E$45*C46)/1000</f>
        <v>-7792</v>
      </c>
      <c r="F47" s="67">
        <v>0</v>
      </c>
      <c r="G47" s="67">
        <v>0</v>
      </c>
      <c r="H47" s="139">
        <f t="shared" ref="H47:H65" si="7">D47+E47+F47+G47</f>
        <v>-5385.6</v>
      </c>
      <c r="P47" s="36">
        <f t="shared" si="5"/>
        <v>-4450.9090909090901</v>
      </c>
      <c r="AC47" s="36"/>
      <c r="AD47" s="36"/>
    </row>
    <row r="48" spans="2:31" s="211" customFormat="1">
      <c r="B48" s="66">
        <v>3</v>
      </c>
      <c r="C48" s="70">
        <f t="shared" si="3"/>
        <v>240.64000000000001</v>
      </c>
      <c r="D48" s="67">
        <f t="shared" si="4"/>
        <v>1925.1200000000003</v>
      </c>
      <c r="E48" s="67">
        <f t="shared" si="6"/>
        <v>2406.4</v>
      </c>
      <c r="F48" s="67">
        <f t="shared" ref="F48:F65" si="8">($F$45*C46)/1000</f>
        <v>-9740</v>
      </c>
      <c r="G48" s="67">
        <v>0</v>
      </c>
      <c r="H48" s="139">
        <f t="shared" si="7"/>
        <v>-5408.48</v>
      </c>
      <c r="J48" s="210"/>
      <c r="K48" s="210"/>
      <c r="L48" s="210"/>
      <c r="M48" s="210"/>
      <c r="N48" s="210"/>
      <c r="O48" s="210"/>
      <c r="P48" s="36">
        <f t="shared" si="5"/>
        <v>-4063.4710743801638</v>
      </c>
      <c r="Q48" s="210"/>
      <c r="R48" s="210"/>
      <c r="S48" s="210"/>
      <c r="T48" s="210"/>
      <c r="U48" s="210"/>
      <c r="V48" s="210"/>
      <c r="W48" s="210"/>
      <c r="X48" s="210"/>
      <c r="Y48" s="210"/>
      <c r="Z48" s="210"/>
      <c r="AA48" s="210"/>
      <c r="AB48" s="210"/>
      <c r="AC48" s="210"/>
      <c r="AD48" s="210"/>
    </row>
    <row r="49" spans="2:30">
      <c r="B49" s="66">
        <v>4</v>
      </c>
      <c r="C49" s="70">
        <f t="shared" si="3"/>
        <v>1207.1612903225805</v>
      </c>
      <c r="D49" s="67">
        <f t="shared" si="4"/>
        <v>9657.290322580644</v>
      </c>
      <c r="E49" s="67">
        <f t="shared" si="6"/>
        <v>1925.1200000000003</v>
      </c>
      <c r="F49" s="67">
        <f t="shared" si="8"/>
        <v>3008</v>
      </c>
      <c r="G49" s="67">
        <f t="shared" ref="G49:G65" si="9">($G$45*C46)/1000</f>
        <v>-6818</v>
      </c>
      <c r="H49" s="139">
        <f t="shared" si="7"/>
        <v>7772.4103225806448</v>
      </c>
      <c r="P49" s="36">
        <f t="shared" si="5"/>
        <v>5308.6608309409485</v>
      </c>
      <c r="AC49" s="36"/>
      <c r="AD49" s="36"/>
    </row>
    <row r="50" spans="2:30">
      <c r="B50" s="66">
        <v>5</v>
      </c>
      <c r="C50" s="70">
        <f t="shared" si="3"/>
        <v>0</v>
      </c>
      <c r="D50" s="67">
        <f t="shared" si="4"/>
        <v>0</v>
      </c>
      <c r="E50" s="67">
        <f t="shared" si="6"/>
        <v>9657.290322580644</v>
      </c>
      <c r="F50" s="67">
        <f t="shared" si="8"/>
        <v>2406.4</v>
      </c>
      <c r="G50" s="67">
        <f t="shared" si="9"/>
        <v>2105.6</v>
      </c>
      <c r="H50" s="139">
        <f>D50+E50+F50+G50</f>
        <v>14169.290322580644</v>
      </c>
      <c r="P50" s="36">
        <f t="shared" si="5"/>
        <v>8798.0144939060538</v>
      </c>
      <c r="AC50" s="36"/>
      <c r="AD50" s="36"/>
    </row>
    <row r="51" spans="2:30">
      <c r="B51" s="66">
        <v>6</v>
      </c>
      <c r="C51" s="70">
        <f t="shared" si="3"/>
        <v>0</v>
      </c>
      <c r="D51" s="67">
        <f t="shared" si="4"/>
        <v>0</v>
      </c>
      <c r="E51" s="67">
        <f t="shared" si="6"/>
        <v>0</v>
      </c>
      <c r="F51" s="67">
        <f t="shared" si="8"/>
        <v>12071.612903225805</v>
      </c>
      <c r="G51" s="67">
        <f t="shared" si="9"/>
        <v>1684.48</v>
      </c>
      <c r="H51" s="139">
        <f t="shared" si="7"/>
        <v>13756.092903225805</v>
      </c>
      <c r="P51" s="36">
        <f t="shared" si="5"/>
        <v>7764.9558232687432</v>
      </c>
      <c r="AC51" s="36"/>
      <c r="AD51" s="36"/>
    </row>
    <row r="52" spans="2:30">
      <c r="B52" s="66">
        <v>7</v>
      </c>
      <c r="C52" s="70">
        <f t="shared" si="3"/>
        <v>0</v>
      </c>
      <c r="D52" s="67">
        <f t="shared" si="4"/>
        <v>0</v>
      </c>
      <c r="E52" s="67">
        <f t="shared" si="6"/>
        <v>0</v>
      </c>
      <c r="F52" s="67">
        <f t="shared" si="8"/>
        <v>0</v>
      </c>
      <c r="G52" s="67">
        <f t="shared" si="9"/>
        <v>8450.1290322580644</v>
      </c>
      <c r="H52" s="139">
        <f t="shared" si="7"/>
        <v>8450.1290322580644</v>
      </c>
      <c r="P52" s="36">
        <f t="shared" si="5"/>
        <v>4336.2523130002091</v>
      </c>
      <c r="AC52" s="36"/>
      <c r="AD52" s="36"/>
    </row>
    <row r="53" spans="2:30">
      <c r="B53" s="66">
        <v>8</v>
      </c>
      <c r="C53" s="70">
        <f t="shared" si="3"/>
        <v>8236.0301419354837</v>
      </c>
      <c r="D53" s="67">
        <f t="shared" si="4"/>
        <v>65888.24113548387</v>
      </c>
      <c r="E53" s="67">
        <f t="shared" si="6"/>
        <v>0</v>
      </c>
      <c r="F53" s="67">
        <f t="shared" si="8"/>
        <v>0</v>
      </c>
      <c r="G53" s="67">
        <f t="shared" si="9"/>
        <v>0</v>
      </c>
      <c r="H53" s="139">
        <f t="shared" si="7"/>
        <v>65888.24113548387</v>
      </c>
      <c r="P53" s="36">
        <f t="shared" si="5"/>
        <v>30737.350758741755</v>
      </c>
      <c r="AC53" s="36"/>
      <c r="AD53" s="36"/>
    </row>
    <row r="54" spans="2:30">
      <c r="B54" s="66">
        <v>9</v>
      </c>
      <c r="C54" s="70">
        <f t="shared" si="3"/>
        <v>0</v>
      </c>
      <c r="D54" s="67">
        <f t="shared" si="4"/>
        <v>0</v>
      </c>
      <c r="E54" s="67">
        <f t="shared" si="6"/>
        <v>65888.24113548387</v>
      </c>
      <c r="F54" s="67">
        <f t="shared" si="8"/>
        <v>0</v>
      </c>
      <c r="G54" s="67">
        <f t="shared" si="9"/>
        <v>0</v>
      </c>
      <c r="H54" s="139">
        <f t="shared" si="7"/>
        <v>65888.24113548387</v>
      </c>
      <c r="P54" s="36">
        <f t="shared" si="5"/>
        <v>27943.046144310683</v>
      </c>
      <c r="AC54" s="36"/>
      <c r="AD54" s="36"/>
    </row>
    <row r="55" spans="2:30">
      <c r="B55" s="66">
        <v>10</v>
      </c>
      <c r="C55" s="70">
        <f t="shared" si="3"/>
        <v>0</v>
      </c>
      <c r="D55" s="67">
        <f t="shared" si="4"/>
        <v>0</v>
      </c>
      <c r="E55" s="67">
        <f t="shared" si="6"/>
        <v>0</v>
      </c>
      <c r="F55" s="67">
        <f t="shared" si="8"/>
        <v>82360.301419354844</v>
      </c>
      <c r="G55" s="67">
        <f t="shared" si="9"/>
        <v>0</v>
      </c>
      <c r="H55" s="139">
        <f t="shared" si="7"/>
        <v>82360.301419354844</v>
      </c>
      <c r="P55" s="36">
        <f t="shared" si="5"/>
        <v>31753.461527625775</v>
      </c>
      <c r="AC55" s="36"/>
      <c r="AD55" s="36"/>
    </row>
    <row r="56" spans="2:30">
      <c r="B56" s="66">
        <v>11</v>
      </c>
      <c r="C56" s="70">
        <f t="shared" si="3"/>
        <v>0</v>
      </c>
      <c r="D56" s="67">
        <f t="shared" si="4"/>
        <v>0</v>
      </c>
      <c r="E56" s="67">
        <f t="shared" si="6"/>
        <v>0</v>
      </c>
      <c r="F56" s="67">
        <f t="shared" si="8"/>
        <v>0</v>
      </c>
      <c r="G56" s="67">
        <f t="shared" si="9"/>
        <v>57652.210993548382</v>
      </c>
      <c r="H56" s="139">
        <f t="shared" si="7"/>
        <v>57652.210993548382</v>
      </c>
      <c r="P56" s="36">
        <f t="shared" si="5"/>
        <v>20206.748244852763</v>
      </c>
      <c r="AC56" s="36"/>
      <c r="AD56" s="36"/>
    </row>
    <row r="57" spans="2:30">
      <c r="B57" s="66">
        <v>12</v>
      </c>
      <c r="C57" s="70">
        <f t="shared" si="3"/>
        <v>0</v>
      </c>
      <c r="D57" s="67">
        <f t="shared" si="4"/>
        <v>0</v>
      </c>
      <c r="E57" s="67">
        <f t="shared" si="6"/>
        <v>0</v>
      </c>
      <c r="F57" s="67">
        <f t="shared" si="8"/>
        <v>0</v>
      </c>
      <c r="G57" s="67">
        <f t="shared" si="9"/>
        <v>0</v>
      </c>
      <c r="H57" s="139">
        <f t="shared" si="7"/>
        <v>0</v>
      </c>
      <c r="P57" s="36">
        <f t="shared" si="5"/>
        <v>0</v>
      </c>
      <c r="AC57" s="36"/>
      <c r="AD57" s="36"/>
    </row>
    <row r="58" spans="2:30">
      <c r="B58" s="66">
        <v>13</v>
      </c>
      <c r="C58" s="70">
        <f t="shared" si="3"/>
        <v>0</v>
      </c>
      <c r="D58" s="67">
        <f t="shared" si="4"/>
        <v>0</v>
      </c>
      <c r="E58" s="67">
        <f t="shared" si="6"/>
        <v>0</v>
      </c>
      <c r="F58" s="67">
        <f t="shared" si="8"/>
        <v>0</v>
      </c>
      <c r="G58" s="67">
        <f t="shared" si="9"/>
        <v>0</v>
      </c>
      <c r="H58" s="139">
        <f t="shared" si="7"/>
        <v>0</v>
      </c>
      <c r="P58" s="36">
        <f t="shared" si="5"/>
        <v>0</v>
      </c>
      <c r="AC58" s="36"/>
      <c r="AD58" s="36"/>
    </row>
    <row r="59" spans="2:30">
      <c r="B59" s="66">
        <v>14</v>
      </c>
      <c r="C59" s="70">
        <f t="shared" si="3"/>
        <v>0</v>
      </c>
      <c r="D59" s="67">
        <f t="shared" si="4"/>
        <v>0</v>
      </c>
      <c r="E59" s="67">
        <f t="shared" si="6"/>
        <v>0</v>
      </c>
      <c r="F59" s="67">
        <f t="shared" si="8"/>
        <v>0</v>
      </c>
      <c r="G59" s="67">
        <f t="shared" si="9"/>
        <v>0</v>
      </c>
      <c r="H59" s="139">
        <f t="shared" si="7"/>
        <v>0</v>
      </c>
      <c r="P59" s="36">
        <f t="shared" si="5"/>
        <v>0</v>
      </c>
      <c r="AC59" s="36"/>
      <c r="AD59" s="36"/>
    </row>
    <row r="60" spans="2:30">
      <c r="B60" s="66">
        <v>15</v>
      </c>
      <c r="C60" s="70">
        <f t="shared" si="3"/>
        <v>0</v>
      </c>
      <c r="D60" s="67">
        <f t="shared" si="4"/>
        <v>0</v>
      </c>
      <c r="E60" s="67">
        <f t="shared" si="6"/>
        <v>0</v>
      </c>
      <c r="F60" s="67">
        <f t="shared" si="8"/>
        <v>0</v>
      </c>
      <c r="G60" s="67">
        <f t="shared" si="9"/>
        <v>0</v>
      </c>
      <c r="H60" s="139">
        <f t="shared" si="7"/>
        <v>0</v>
      </c>
      <c r="P60" s="36">
        <f t="shared" si="5"/>
        <v>0</v>
      </c>
      <c r="AC60" s="36"/>
      <c r="AD60" s="36"/>
    </row>
    <row r="61" spans="2:30">
      <c r="B61" s="66">
        <v>16</v>
      </c>
      <c r="C61" s="70">
        <f t="shared" si="3"/>
        <v>1542</v>
      </c>
      <c r="D61" s="67">
        <f t="shared" si="4"/>
        <v>12336</v>
      </c>
      <c r="E61" s="67">
        <f t="shared" si="6"/>
        <v>0</v>
      </c>
      <c r="F61" s="67">
        <f t="shared" si="8"/>
        <v>0</v>
      </c>
      <c r="G61" s="67">
        <f t="shared" si="9"/>
        <v>0</v>
      </c>
      <c r="H61" s="139">
        <f t="shared" si="7"/>
        <v>12336</v>
      </c>
      <c r="P61" s="36">
        <f t="shared" si="5"/>
        <v>2684.6730191072725</v>
      </c>
      <c r="AC61" s="36"/>
      <c r="AD61" s="36"/>
    </row>
    <row r="62" spans="2:30">
      <c r="B62" s="66">
        <v>17</v>
      </c>
      <c r="C62" s="70">
        <f t="shared" si="3"/>
        <v>0</v>
      </c>
      <c r="D62" s="67">
        <f t="shared" si="4"/>
        <v>0</v>
      </c>
      <c r="E62" s="67">
        <f t="shared" si="6"/>
        <v>12336</v>
      </c>
      <c r="F62" s="67">
        <f t="shared" si="8"/>
        <v>0</v>
      </c>
      <c r="G62" s="67">
        <f t="shared" si="9"/>
        <v>0</v>
      </c>
      <c r="H62" s="139">
        <f t="shared" si="7"/>
        <v>12336</v>
      </c>
      <c r="P62" s="36">
        <f t="shared" si="5"/>
        <v>2440.6118355520657</v>
      </c>
      <c r="AC62" s="36"/>
      <c r="AD62" s="36"/>
    </row>
    <row r="63" spans="2:30">
      <c r="B63" s="66">
        <v>18</v>
      </c>
      <c r="C63" s="70">
        <f t="shared" si="3"/>
        <v>0</v>
      </c>
      <c r="D63" s="67">
        <f t="shared" si="4"/>
        <v>0</v>
      </c>
      <c r="E63" s="67">
        <f t="shared" si="6"/>
        <v>0</v>
      </c>
      <c r="F63" s="67">
        <f t="shared" si="8"/>
        <v>15420</v>
      </c>
      <c r="G63" s="67">
        <f t="shared" si="9"/>
        <v>0</v>
      </c>
      <c r="H63" s="139">
        <f t="shared" si="7"/>
        <v>15420</v>
      </c>
      <c r="P63" s="36">
        <f t="shared" si="5"/>
        <v>2773.4225404000745</v>
      </c>
      <c r="AC63" s="36"/>
      <c r="AD63" s="36"/>
    </row>
    <row r="64" spans="2:30">
      <c r="B64" s="66">
        <v>19</v>
      </c>
      <c r="C64" s="70">
        <f t="shared" si="3"/>
        <v>0</v>
      </c>
      <c r="D64" s="67">
        <f t="shared" si="4"/>
        <v>0</v>
      </c>
      <c r="E64" s="67">
        <f t="shared" si="6"/>
        <v>0</v>
      </c>
      <c r="F64" s="67">
        <f t="shared" si="8"/>
        <v>0</v>
      </c>
      <c r="G64" s="67">
        <f t="shared" si="9"/>
        <v>10794</v>
      </c>
      <c r="H64" s="139">
        <f t="shared" si="7"/>
        <v>10794</v>
      </c>
      <c r="P64" s="36">
        <f t="shared" si="5"/>
        <v>1764.9052529818653</v>
      </c>
      <c r="AC64" s="36"/>
      <c r="AD64" s="36"/>
    </row>
    <row r="65" spans="2:30">
      <c r="B65" s="66">
        <v>20</v>
      </c>
      <c r="C65" s="70">
        <f t="shared" si="3"/>
        <v>1542</v>
      </c>
      <c r="D65" s="67">
        <f t="shared" si="4"/>
        <v>12336</v>
      </c>
      <c r="E65" s="67">
        <f t="shared" si="6"/>
        <v>0</v>
      </c>
      <c r="F65" s="67">
        <f t="shared" si="8"/>
        <v>0</v>
      </c>
      <c r="G65" s="67">
        <f t="shared" si="9"/>
        <v>0</v>
      </c>
      <c r="H65" s="139">
        <f t="shared" si="7"/>
        <v>12336</v>
      </c>
      <c r="P65" s="36">
        <f t="shared" si="5"/>
        <v>1833.667795305834</v>
      </c>
      <c r="AC65" s="36"/>
      <c r="AD65" s="36"/>
    </row>
    <row r="66" spans="2:30">
      <c r="P66" s="36">
        <f>SUM(P46:P65)</f>
        <v>132747.75405106839</v>
      </c>
      <c r="AC66" s="36"/>
      <c r="AD66" s="36"/>
    </row>
    <row r="67" spans="2:30">
      <c r="AC67" s="36"/>
      <c r="AD67" s="36"/>
    </row>
    <row r="68" spans="2:30">
      <c r="AC68" s="36"/>
      <c r="AD68" s="36"/>
    </row>
  </sheetData>
  <mergeCells count="1">
    <mergeCell ref="H43:H44"/>
  </mergeCell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F8EDC-8F7A-44BE-AE08-5E828FA2088A}">
  <sheetPr>
    <tabColor rgb="FFFFFF00"/>
  </sheetPr>
  <dimension ref="A1:W110"/>
  <sheetViews>
    <sheetView workbookViewId="0">
      <selection activeCell="B3" sqref="B3"/>
    </sheetView>
  </sheetViews>
  <sheetFormatPr defaultColWidth="11.42578125" defaultRowHeight="15"/>
  <cols>
    <col min="1" max="1" width="34.42578125" customWidth="1"/>
    <col min="2" max="2" width="33.28515625" bestFit="1" customWidth="1"/>
    <col min="3" max="3" width="27.140625" bestFit="1" customWidth="1"/>
    <col min="4" max="4" width="32.140625" bestFit="1" customWidth="1"/>
    <col min="5" max="5" width="27" bestFit="1" customWidth="1"/>
    <col min="8" max="8" width="11.85546875" customWidth="1"/>
    <col min="10" max="10" width="13.7109375" customWidth="1"/>
  </cols>
  <sheetData>
    <row r="1" spans="1:23">
      <c r="B1" t="s">
        <v>851</v>
      </c>
    </row>
    <row r="2" spans="1:23">
      <c r="A2" s="648" t="s">
        <v>850</v>
      </c>
      <c r="B2" s="216">
        <v>0.15</v>
      </c>
    </row>
    <row r="3" spans="1:23">
      <c r="A3" s="648" t="s">
        <v>849</v>
      </c>
      <c r="B3" s="31">
        <f>G71</f>
        <v>680280.84000000008</v>
      </c>
    </row>
    <row r="4" spans="1:23">
      <c r="A4" s="648" t="s">
        <v>848</v>
      </c>
      <c r="B4" s="31">
        <f>G72</f>
        <v>2040842.52</v>
      </c>
    </row>
    <row r="5" spans="1:23">
      <c r="A5" s="648" t="s">
        <v>847</v>
      </c>
      <c r="B5" s="31">
        <f>G73</f>
        <v>8673580.7100000009</v>
      </c>
    </row>
    <row r="6" spans="1:23">
      <c r="A6" s="648" t="s">
        <v>846</v>
      </c>
      <c r="B6" s="31">
        <f>B75</f>
        <v>113885.35714285714</v>
      </c>
    </row>
    <row r="7" spans="1:23">
      <c r="A7" s="648" t="s">
        <v>845</v>
      </c>
      <c r="B7" s="1">
        <f>$C75</f>
        <v>341656.07142857142</v>
      </c>
    </row>
    <row r="8" spans="1:23">
      <c r="A8" s="648" t="s">
        <v>844</v>
      </c>
      <c r="B8" s="1">
        <f>D75</f>
        <v>1452038.3035714286</v>
      </c>
    </row>
    <row r="9" spans="1:23">
      <c r="A9" s="648" t="s">
        <v>767</v>
      </c>
      <c r="B9" s="333">
        <f>SUM(B3,B6)</f>
        <v>794166.19714285724</v>
      </c>
    </row>
    <row r="10" spans="1:23">
      <c r="A10" s="648" t="s">
        <v>843</v>
      </c>
      <c r="B10" s="333">
        <f>SUM(B4,B7)</f>
        <v>2382498.5914285714</v>
      </c>
    </row>
    <row r="11" spans="1:23">
      <c r="A11" s="648" t="s">
        <v>833</v>
      </c>
      <c r="B11" s="333">
        <f>SUM(B5,B8)</f>
        <v>10125619.01357143</v>
      </c>
    </row>
    <row r="12" spans="1:23">
      <c r="A12" s="648" t="s">
        <v>842</v>
      </c>
      <c r="B12" s="882">
        <f>B10/7</f>
        <v>340356.94163265306</v>
      </c>
    </row>
    <row r="13" spans="1:23">
      <c r="A13" s="648"/>
    </row>
    <row r="14" spans="1:23" s="648" customFormat="1">
      <c r="F14" s="797"/>
      <c r="N14" s="797"/>
      <c r="O14" s="797"/>
      <c r="V14" s="797"/>
      <c r="W14" s="797"/>
    </row>
    <row r="15" spans="1:23" s="881" customFormat="1">
      <c r="A15" s="846" t="s">
        <v>841</v>
      </c>
      <c r="B15" s="846"/>
    </row>
    <row r="16" spans="1:23">
      <c r="A16" s="648"/>
    </row>
    <row r="17" spans="2:7">
      <c r="B17" t="s">
        <v>840</v>
      </c>
    </row>
    <row r="19" spans="2:7">
      <c r="B19" s="648" t="s">
        <v>698</v>
      </c>
    </row>
    <row r="20" spans="2:7">
      <c r="B20" s="880" t="s">
        <v>195</v>
      </c>
      <c r="C20" s="880" t="s">
        <v>839</v>
      </c>
      <c r="D20" s="880" t="s">
        <v>838</v>
      </c>
      <c r="E20" s="880" t="s">
        <v>837</v>
      </c>
      <c r="F20" s="880" t="s">
        <v>836</v>
      </c>
      <c r="G20" s="880" t="s">
        <v>835</v>
      </c>
    </row>
    <row r="21" spans="2:7">
      <c r="B21" s="33">
        <v>1</v>
      </c>
      <c r="C21" s="879">
        <v>12333</v>
      </c>
      <c r="D21" s="877">
        <v>0</v>
      </c>
      <c r="E21" s="34">
        <f>D21*C21</f>
        <v>0</v>
      </c>
      <c r="F21" s="33">
        <v>156.9</v>
      </c>
      <c r="G21" s="34">
        <f>F21*E21</f>
        <v>0</v>
      </c>
    </row>
    <row r="22" spans="2:7">
      <c r="B22" s="33">
        <v>2</v>
      </c>
      <c r="C22" s="879">
        <v>12333</v>
      </c>
      <c r="D22" s="877">
        <v>0.05</v>
      </c>
      <c r="E22" s="34">
        <f>D22*C22</f>
        <v>616.65000000000009</v>
      </c>
      <c r="F22" s="33">
        <v>156.9</v>
      </c>
      <c r="G22" s="34">
        <f>F22*E22</f>
        <v>96752.385000000024</v>
      </c>
    </row>
    <row r="23" spans="2:7">
      <c r="B23" s="33">
        <v>3</v>
      </c>
      <c r="C23" s="879">
        <v>12333</v>
      </c>
      <c r="D23" s="877">
        <v>0.05</v>
      </c>
      <c r="E23" s="34">
        <f>D23*C23</f>
        <v>616.65000000000009</v>
      </c>
      <c r="F23" s="33">
        <v>156.9</v>
      </c>
      <c r="G23" s="34">
        <f>F23*E23</f>
        <v>96752.385000000024</v>
      </c>
    </row>
    <row r="24" spans="2:7">
      <c r="B24" s="33">
        <v>4</v>
      </c>
      <c r="C24" s="879">
        <v>12333</v>
      </c>
      <c r="D24" s="877">
        <v>0.1</v>
      </c>
      <c r="E24" s="34">
        <f>D24*C24</f>
        <v>1233.3000000000002</v>
      </c>
      <c r="F24" s="33">
        <v>156.9</v>
      </c>
      <c r="G24" s="34">
        <f>F24*E24</f>
        <v>193504.77000000005</v>
      </c>
    </row>
    <row r="25" spans="2:7">
      <c r="B25" s="33">
        <v>5</v>
      </c>
      <c r="C25" s="879">
        <v>12333</v>
      </c>
      <c r="D25" s="877">
        <v>0.1</v>
      </c>
      <c r="E25" s="34">
        <f>D25*C25</f>
        <v>1233.3000000000002</v>
      </c>
      <c r="F25" s="33">
        <v>156.9</v>
      </c>
      <c r="G25" s="34">
        <f>F25*E25</f>
        <v>193504.77000000005</v>
      </c>
    </row>
    <row r="26" spans="2:7">
      <c r="B26" s="33">
        <v>6</v>
      </c>
      <c r="C26" s="879">
        <v>12333</v>
      </c>
      <c r="D26" s="877">
        <v>0.15</v>
      </c>
      <c r="E26" s="34">
        <f>D26*C26</f>
        <v>1849.9499999999998</v>
      </c>
      <c r="F26" s="33">
        <v>156.9</v>
      </c>
      <c r="G26" s="34">
        <f>F26*E26</f>
        <v>290257.15499999997</v>
      </c>
    </row>
    <row r="27" spans="2:7">
      <c r="B27" s="33">
        <v>7</v>
      </c>
      <c r="C27" s="879">
        <v>12333</v>
      </c>
      <c r="D27" s="877">
        <v>0.15</v>
      </c>
      <c r="E27" s="34">
        <f>D27*C27</f>
        <v>1849.9499999999998</v>
      </c>
      <c r="F27" s="33">
        <v>156.9</v>
      </c>
      <c r="G27" s="34">
        <f>F27*E27</f>
        <v>290257.15499999997</v>
      </c>
    </row>
    <row r="28" spans="2:7">
      <c r="B28" s="33">
        <v>8</v>
      </c>
      <c r="C28" s="879">
        <v>12333</v>
      </c>
      <c r="D28" s="877">
        <v>0.15</v>
      </c>
      <c r="E28" s="34">
        <f>D28*C28</f>
        <v>1849.9499999999998</v>
      </c>
      <c r="F28" s="33">
        <v>156.9</v>
      </c>
      <c r="G28" s="34">
        <f>F28*E28</f>
        <v>290257.15499999997</v>
      </c>
    </row>
    <row r="29" spans="2:7">
      <c r="B29" s="33">
        <v>9</v>
      </c>
      <c r="C29" s="879">
        <v>12333</v>
      </c>
      <c r="D29" s="877">
        <v>0.15</v>
      </c>
      <c r="E29" s="34">
        <f>D29*C29</f>
        <v>1849.9499999999998</v>
      </c>
      <c r="F29" s="33">
        <v>156.9</v>
      </c>
      <c r="G29" s="34">
        <f>F29*E29</f>
        <v>290257.15499999997</v>
      </c>
    </row>
    <row r="30" spans="2:7">
      <c r="B30" s="33">
        <v>10</v>
      </c>
      <c r="C30" s="879">
        <v>12333</v>
      </c>
      <c r="D30" s="877">
        <v>0.15</v>
      </c>
      <c r="E30" s="34">
        <f>D30*C30</f>
        <v>1849.9499999999998</v>
      </c>
      <c r="F30" s="33">
        <v>156.9</v>
      </c>
      <c r="G30" s="34">
        <f>F30*E30</f>
        <v>290257.15499999997</v>
      </c>
    </row>
    <row r="31" spans="2:7">
      <c r="B31" s="33">
        <v>11</v>
      </c>
      <c r="C31" s="879">
        <v>12333</v>
      </c>
      <c r="D31" s="877">
        <v>0.15</v>
      </c>
      <c r="E31" s="34">
        <f>D31*C31</f>
        <v>1849.9499999999998</v>
      </c>
      <c r="F31" s="33">
        <v>156.9</v>
      </c>
      <c r="G31" s="34">
        <f>F31*E31</f>
        <v>290257.15499999997</v>
      </c>
    </row>
    <row r="32" spans="2:7">
      <c r="B32" s="33">
        <v>12</v>
      </c>
      <c r="C32" s="879">
        <v>12333</v>
      </c>
      <c r="D32" s="877">
        <v>0.15</v>
      </c>
      <c r="E32" s="34">
        <f>D32*C32</f>
        <v>1849.9499999999998</v>
      </c>
      <c r="F32" s="33">
        <v>156.9</v>
      </c>
      <c r="G32" s="34">
        <f>F32*E32</f>
        <v>290257.15499999997</v>
      </c>
    </row>
    <row r="33" spans="2:8">
      <c r="B33" s="33">
        <v>13</v>
      </c>
      <c r="C33" s="879">
        <v>12333</v>
      </c>
      <c r="D33" s="877">
        <v>0.15</v>
      </c>
      <c r="E33" s="34">
        <f>D33*C33</f>
        <v>1849.9499999999998</v>
      </c>
      <c r="F33" s="33">
        <v>156.9</v>
      </c>
      <c r="G33" s="34">
        <f>F33*E33</f>
        <v>290257.15499999997</v>
      </c>
    </row>
    <row r="34" spans="2:8">
      <c r="B34" s="33">
        <v>14</v>
      </c>
      <c r="C34" s="879">
        <v>12333</v>
      </c>
      <c r="D34" s="877">
        <v>0.15</v>
      </c>
      <c r="E34" s="34">
        <f>D34*C34</f>
        <v>1849.9499999999998</v>
      </c>
      <c r="F34" s="33">
        <v>156.9</v>
      </c>
      <c r="G34" s="34">
        <f>F34*E34</f>
        <v>290257.15499999997</v>
      </c>
    </row>
    <row r="35" spans="2:8">
      <c r="B35" s="33">
        <v>15</v>
      </c>
      <c r="C35" s="879">
        <v>12333</v>
      </c>
      <c r="D35" s="877">
        <v>0.15</v>
      </c>
      <c r="E35" s="34">
        <f>D35*C35</f>
        <v>1849.9499999999998</v>
      </c>
      <c r="F35" s="33">
        <v>156.9</v>
      </c>
      <c r="G35" s="34">
        <f>F35*E35</f>
        <v>290257.15499999997</v>
      </c>
    </row>
    <row r="36" spans="2:8">
      <c r="B36" s="33">
        <v>16</v>
      </c>
      <c r="C36" s="879">
        <v>12333</v>
      </c>
      <c r="D36" s="877">
        <v>0.15</v>
      </c>
      <c r="E36" s="34">
        <f>D36*C36</f>
        <v>1849.9499999999998</v>
      </c>
      <c r="F36" s="33">
        <v>156.9</v>
      </c>
      <c r="G36" s="34">
        <f>F36*E36</f>
        <v>290257.15499999997</v>
      </c>
    </row>
    <row r="37" spans="2:8">
      <c r="B37" s="33">
        <v>17</v>
      </c>
      <c r="C37" s="879">
        <v>12333</v>
      </c>
      <c r="D37" s="877">
        <v>0.15</v>
      </c>
      <c r="E37" s="34">
        <f>D37*C37</f>
        <v>1849.9499999999998</v>
      </c>
      <c r="F37" s="33">
        <v>156.9</v>
      </c>
      <c r="G37" s="34">
        <f>F37*E37</f>
        <v>290257.15499999997</v>
      </c>
    </row>
    <row r="38" spans="2:8">
      <c r="B38" s="33">
        <v>18</v>
      </c>
      <c r="C38" s="879">
        <v>12333</v>
      </c>
      <c r="D38" s="877">
        <v>0.15</v>
      </c>
      <c r="E38" s="34">
        <f>D38*C38</f>
        <v>1849.9499999999998</v>
      </c>
      <c r="F38" s="33">
        <v>156.9</v>
      </c>
      <c r="G38" s="34">
        <f>F38*E38</f>
        <v>290257.15499999997</v>
      </c>
    </row>
    <row r="39" spans="2:8">
      <c r="B39" s="33">
        <v>19</v>
      </c>
      <c r="C39" s="879">
        <v>12333</v>
      </c>
      <c r="D39" s="877">
        <v>0.15</v>
      </c>
      <c r="E39" s="34">
        <f>D39*C39</f>
        <v>1849.9499999999998</v>
      </c>
      <c r="F39" s="33">
        <v>156.9</v>
      </c>
      <c r="G39" s="34">
        <f>F39*E39</f>
        <v>290257.15499999997</v>
      </c>
    </row>
    <row r="40" spans="2:8">
      <c r="B40" s="33">
        <v>20</v>
      </c>
      <c r="C40" s="879">
        <v>12333</v>
      </c>
      <c r="D40" s="877">
        <v>0.15</v>
      </c>
      <c r="E40" s="34">
        <f>D40*C40</f>
        <v>1849.9499999999998</v>
      </c>
      <c r="F40" s="33">
        <v>156.9</v>
      </c>
      <c r="G40" s="34">
        <f>F40*E40</f>
        <v>290257.15499999997</v>
      </c>
    </row>
    <row r="41" spans="2:8">
      <c r="B41" s="33"/>
      <c r="C41" s="878"/>
      <c r="D41" s="877"/>
      <c r="E41" s="34"/>
      <c r="F41" s="33" t="s">
        <v>767</v>
      </c>
      <c r="G41" s="34">
        <f>SUM(G21:G24)</f>
        <v>387009.5400000001</v>
      </c>
      <c r="H41" s="31"/>
    </row>
    <row r="42" spans="2:8">
      <c r="B42" s="33"/>
      <c r="C42" s="878"/>
      <c r="D42" s="877"/>
      <c r="E42" s="34"/>
      <c r="F42" s="33" t="s">
        <v>834</v>
      </c>
      <c r="G42" s="34">
        <f>SUM(G22:G27)</f>
        <v>1161028.6200000001</v>
      </c>
    </row>
    <row r="43" spans="2:8">
      <c r="B43" s="33"/>
      <c r="C43" s="33"/>
      <c r="D43" s="33"/>
      <c r="E43" s="33"/>
      <c r="F43" s="33" t="s">
        <v>833</v>
      </c>
      <c r="G43" s="34">
        <f>SUM(G21:G40)</f>
        <v>4934371.6349999998</v>
      </c>
    </row>
    <row r="45" spans="2:8">
      <c r="B45" s="648" t="s">
        <v>699</v>
      </c>
    </row>
    <row r="46" spans="2:8">
      <c r="B46" s="880" t="s">
        <v>195</v>
      </c>
      <c r="C46" s="880" t="s">
        <v>839</v>
      </c>
      <c r="D46" s="880" t="s">
        <v>838</v>
      </c>
      <c r="E46" s="880" t="s">
        <v>837</v>
      </c>
      <c r="F46" s="880" t="s">
        <v>836</v>
      </c>
      <c r="G46" s="880" t="s">
        <v>835</v>
      </c>
    </row>
    <row r="47" spans="2:8">
      <c r="B47" s="33">
        <v>1</v>
      </c>
      <c r="C47" s="879">
        <v>55755</v>
      </c>
      <c r="D47" s="877">
        <v>0</v>
      </c>
      <c r="E47" s="34">
        <f>D47*C47</f>
        <v>0</v>
      </c>
      <c r="F47" s="33">
        <v>26.3</v>
      </c>
      <c r="G47" s="34">
        <f>F47*E47</f>
        <v>0</v>
      </c>
    </row>
    <row r="48" spans="2:8">
      <c r="B48" s="33">
        <v>2</v>
      </c>
      <c r="C48" s="879">
        <v>55755</v>
      </c>
      <c r="D48" s="877">
        <v>0.05</v>
      </c>
      <c r="E48" s="34">
        <f>D48*C48</f>
        <v>2787.75</v>
      </c>
      <c r="F48" s="33">
        <v>26.3</v>
      </c>
      <c r="G48" s="34">
        <f>F48*E48</f>
        <v>73317.824999999997</v>
      </c>
    </row>
    <row r="49" spans="2:7">
      <c r="B49" s="33">
        <v>3</v>
      </c>
      <c r="C49" s="879">
        <v>55755</v>
      </c>
      <c r="D49" s="877">
        <v>0.05</v>
      </c>
      <c r="E49" s="34">
        <f>D49*C49</f>
        <v>2787.75</v>
      </c>
      <c r="F49" s="33">
        <v>26.3</v>
      </c>
      <c r="G49" s="34">
        <f>F49*E49</f>
        <v>73317.824999999997</v>
      </c>
    </row>
    <row r="50" spans="2:7">
      <c r="B50" s="33">
        <v>4</v>
      </c>
      <c r="C50" s="879">
        <v>55755</v>
      </c>
      <c r="D50" s="877">
        <v>0.1</v>
      </c>
      <c r="E50" s="34">
        <f>D50*C50</f>
        <v>5575.5</v>
      </c>
      <c r="F50" s="33">
        <v>26.3</v>
      </c>
      <c r="G50" s="34">
        <f>F50*E50</f>
        <v>146635.65</v>
      </c>
    </row>
    <row r="51" spans="2:7">
      <c r="B51" s="33">
        <v>5</v>
      </c>
      <c r="C51" s="879">
        <v>55755</v>
      </c>
      <c r="D51" s="877">
        <v>0.1</v>
      </c>
      <c r="E51" s="34">
        <f>D51*C51</f>
        <v>5575.5</v>
      </c>
      <c r="F51" s="33">
        <v>26.3</v>
      </c>
      <c r="G51" s="34">
        <f>F51*E51</f>
        <v>146635.65</v>
      </c>
    </row>
    <row r="52" spans="2:7">
      <c r="B52" s="33">
        <v>6</v>
      </c>
      <c r="C52" s="879">
        <v>55755</v>
      </c>
      <c r="D52" s="877">
        <v>0.15</v>
      </c>
      <c r="E52" s="34">
        <f>D52*C52</f>
        <v>8363.25</v>
      </c>
      <c r="F52" s="33">
        <v>26.3</v>
      </c>
      <c r="G52" s="34">
        <f>F52*E52</f>
        <v>219953.47500000001</v>
      </c>
    </row>
    <row r="53" spans="2:7">
      <c r="B53" s="33">
        <v>7</v>
      </c>
      <c r="C53" s="879">
        <v>55755</v>
      </c>
      <c r="D53" s="877">
        <v>0.15</v>
      </c>
      <c r="E53" s="34">
        <f>D53*C53</f>
        <v>8363.25</v>
      </c>
      <c r="F53" s="33">
        <v>26.3</v>
      </c>
      <c r="G53" s="34">
        <f>F53*E53</f>
        <v>219953.47500000001</v>
      </c>
    </row>
    <row r="54" spans="2:7">
      <c r="B54" s="33">
        <v>8</v>
      </c>
      <c r="C54" s="879">
        <v>55755</v>
      </c>
      <c r="D54" s="877">
        <v>0.15</v>
      </c>
      <c r="E54" s="34">
        <f>D54*C54</f>
        <v>8363.25</v>
      </c>
      <c r="F54" s="33">
        <v>26.3</v>
      </c>
      <c r="G54" s="34">
        <f>F54*E54</f>
        <v>219953.47500000001</v>
      </c>
    </row>
    <row r="55" spans="2:7">
      <c r="B55" s="33">
        <v>9</v>
      </c>
      <c r="C55" s="879">
        <v>55755</v>
      </c>
      <c r="D55" s="877">
        <v>0.15</v>
      </c>
      <c r="E55" s="34">
        <f>D55*C55</f>
        <v>8363.25</v>
      </c>
      <c r="F55" s="33">
        <v>26.3</v>
      </c>
      <c r="G55" s="34">
        <f>F55*E55</f>
        <v>219953.47500000001</v>
      </c>
    </row>
    <row r="56" spans="2:7">
      <c r="B56" s="33">
        <v>10</v>
      </c>
      <c r="C56" s="879">
        <v>55755</v>
      </c>
      <c r="D56" s="877">
        <v>0.15</v>
      </c>
      <c r="E56" s="34">
        <f>D56*C56</f>
        <v>8363.25</v>
      </c>
      <c r="F56" s="33">
        <v>26.3</v>
      </c>
      <c r="G56" s="34">
        <f>F56*E56</f>
        <v>219953.47500000001</v>
      </c>
    </row>
    <row r="57" spans="2:7">
      <c r="B57" s="33">
        <v>11</v>
      </c>
      <c r="C57" s="879">
        <v>55755</v>
      </c>
      <c r="D57" s="877">
        <v>0.15</v>
      </c>
      <c r="E57" s="34">
        <f>D57*C57</f>
        <v>8363.25</v>
      </c>
      <c r="F57" s="33">
        <v>26.3</v>
      </c>
      <c r="G57" s="34">
        <f>F57*E57</f>
        <v>219953.47500000001</v>
      </c>
    </row>
    <row r="58" spans="2:7">
      <c r="B58" s="33">
        <v>12</v>
      </c>
      <c r="C58" s="879">
        <v>55755</v>
      </c>
      <c r="D58" s="877">
        <v>0.15</v>
      </c>
      <c r="E58" s="34">
        <f>D58*C58</f>
        <v>8363.25</v>
      </c>
      <c r="F58" s="33">
        <v>26.3</v>
      </c>
      <c r="G58" s="34">
        <f>F58*E58</f>
        <v>219953.47500000001</v>
      </c>
    </row>
    <row r="59" spans="2:7">
      <c r="B59" s="33">
        <v>13</v>
      </c>
      <c r="C59" s="879">
        <v>55755</v>
      </c>
      <c r="D59" s="877">
        <v>0.15</v>
      </c>
      <c r="E59" s="34">
        <f>D59*C59</f>
        <v>8363.25</v>
      </c>
      <c r="F59" s="33">
        <v>26.3</v>
      </c>
      <c r="G59" s="34">
        <f>F59*E59</f>
        <v>219953.47500000001</v>
      </c>
    </row>
    <row r="60" spans="2:7">
      <c r="B60" s="33">
        <v>14</v>
      </c>
      <c r="C60" s="879">
        <v>55755</v>
      </c>
      <c r="D60" s="877">
        <v>0.15</v>
      </c>
      <c r="E60" s="34">
        <f>D60*C60</f>
        <v>8363.25</v>
      </c>
      <c r="F60" s="33">
        <v>26.3</v>
      </c>
      <c r="G60" s="34">
        <f>F60*E60</f>
        <v>219953.47500000001</v>
      </c>
    </row>
    <row r="61" spans="2:7">
      <c r="B61" s="33">
        <v>15</v>
      </c>
      <c r="C61" s="879">
        <v>55755</v>
      </c>
      <c r="D61" s="877">
        <v>0.15</v>
      </c>
      <c r="E61" s="34">
        <f>D61*C61</f>
        <v>8363.25</v>
      </c>
      <c r="F61" s="33">
        <v>26.3</v>
      </c>
      <c r="G61" s="34">
        <f>F61*E61</f>
        <v>219953.47500000001</v>
      </c>
    </row>
    <row r="62" spans="2:7">
      <c r="B62" s="33">
        <v>16</v>
      </c>
      <c r="C62" s="879">
        <v>55755</v>
      </c>
      <c r="D62" s="877">
        <v>0.15</v>
      </c>
      <c r="E62" s="34">
        <f>D62*C62</f>
        <v>8363.25</v>
      </c>
      <c r="F62" s="33">
        <v>26.3</v>
      </c>
      <c r="G62" s="34">
        <f>F62*E62</f>
        <v>219953.47500000001</v>
      </c>
    </row>
    <row r="63" spans="2:7">
      <c r="B63" s="33">
        <v>17</v>
      </c>
      <c r="C63" s="879">
        <v>55755</v>
      </c>
      <c r="D63" s="877">
        <v>0.15</v>
      </c>
      <c r="E63" s="34">
        <f>D63*C63</f>
        <v>8363.25</v>
      </c>
      <c r="F63" s="33">
        <v>26.3</v>
      </c>
      <c r="G63" s="34">
        <f>F63*E63</f>
        <v>219953.47500000001</v>
      </c>
    </row>
    <row r="64" spans="2:7">
      <c r="B64" s="33">
        <v>18</v>
      </c>
      <c r="C64" s="879">
        <v>55755</v>
      </c>
      <c r="D64" s="877">
        <v>0.15</v>
      </c>
      <c r="E64" s="34">
        <f>D64*C64</f>
        <v>8363.25</v>
      </c>
      <c r="F64" s="33">
        <v>26.3</v>
      </c>
      <c r="G64" s="34">
        <f>F64*E64</f>
        <v>219953.47500000001</v>
      </c>
    </row>
    <row r="65" spans="1:23">
      <c r="B65" s="33">
        <v>19</v>
      </c>
      <c r="C65" s="879">
        <v>55755</v>
      </c>
      <c r="D65" s="877">
        <v>0.15</v>
      </c>
      <c r="E65" s="34">
        <f>D65*C65</f>
        <v>8363.25</v>
      </c>
      <c r="F65" s="33">
        <v>26.3</v>
      </c>
      <c r="G65" s="34">
        <f>F65*E65</f>
        <v>219953.47500000001</v>
      </c>
    </row>
    <row r="66" spans="1:23">
      <c r="B66" s="33">
        <v>20</v>
      </c>
      <c r="C66" s="879">
        <v>55755</v>
      </c>
      <c r="D66" s="877">
        <v>0.15</v>
      </c>
      <c r="E66" s="34">
        <f>D66*C66</f>
        <v>8363.25</v>
      </c>
      <c r="F66" s="33">
        <v>26.3</v>
      </c>
      <c r="G66" s="34">
        <f>F66*E66</f>
        <v>219953.47500000001</v>
      </c>
    </row>
    <row r="67" spans="1:23">
      <c r="B67" s="33"/>
      <c r="C67" s="878"/>
      <c r="D67" s="877"/>
      <c r="E67" s="34"/>
      <c r="F67" s="33" t="s">
        <v>767</v>
      </c>
      <c r="G67" s="34">
        <f>SUM(G47:G50)</f>
        <v>293271.3</v>
      </c>
    </row>
    <row r="68" spans="1:23">
      <c r="B68" s="33"/>
      <c r="C68" s="878"/>
      <c r="D68" s="877"/>
      <c r="E68" s="34"/>
      <c r="F68" s="33" t="s">
        <v>834</v>
      </c>
      <c r="G68" s="34">
        <f>SUM(G48:G53)</f>
        <v>879813.89999999991</v>
      </c>
    </row>
    <row r="69" spans="1:23">
      <c r="B69" s="33"/>
      <c r="C69" s="33"/>
      <c r="D69" s="33"/>
      <c r="E69" s="33"/>
      <c r="F69" s="33" t="s">
        <v>833</v>
      </c>
      <c r="G69" s="34">
        <f>SUM(G48:G66)</f>
        <v>3739209.0750000011</v>
      </c>
    </row>
    <row r="71" spans="1:23" s="875" customFormat="1">
      <c r="A71" s="875" t="s">
        <v>781</v>
      </c>
      <c r="G71" s="876">
        <f>SUM(G41,G67)</f>
        <v>680280.84000000008</v>
      </c>
      <c r="H71" s="876"/>
    </row>
    <row r="72" spans="1:23" s="875" customFormat="1">
      <c r="A72" s="875" t="s">
        <v>764</v>
      </c>
      <c r="G72" s="876">
        <f>SUM(G42,G68)</f>
        <v>2040842.52</v>
      </c>
      <c r="H72" s="876"/>
    </row>
    <row r="73" spans="1:23" s="875" customFormat="1">
      <c r="A73" s="875" t="s">
        <v>763</v>
      </c>
      <c r="G73" s="876">
        <f>SUM(G43,G69)</f>
        <v>8673580.7100000009</v>
      </c>
      <c r="H73" s="876"/>
    </row>
    <row r="74" spans="1:23" s="648" customFormat="1">
      <c r="F74" s="797"/>
      <c r="N74" s="797"/>
      <c r="O74" s="797"/>
      <c r="V74" s="797"/>
      <c r="W74" s="797"/>
    </row>
    <row r="75" spans="1:23" s="846" customFormat="1">
      <c r="A75" s="846" t="s">
        <v>832</v>
      </c>
      <c r="B75" s="874">
        <f>SUM(E98,A108)</f>
        <v>113885.35714285714</v>
      </c>
      <c r="C75" s="873">
        <f>SUM(E99,A109)</f>
        <v>341656.07142857142</v>
      </c>
      <c r="D75" s="873">
        <f>SUM(E100,A110)</f>
        <v>1452038.3035714286</v>
      </c>
      <c r="F75" s="872"/>
      <c r="N75" s="872"/>
      <c r="O75" s="872"/>
      <c r="V75" s="872"/>
      <c r="W75" s="872"/>
    </row>
    <row r="76" spans="1:23" s="648" customFormat="1">
      <c r="B76" s="648" t="s">
        <v>781</v>
      </c>
      <c r="C76" s="648" t="s">
        <v>764</v>
      </c>
      <c r="D76" s="648" t="s">
        <v>763</v>
      </c>
      <c r="F76" s="797"/>
      <c r="N76" s="797"/>
      <c r="O76" s="797"/>
      <c r="V76" s="797"/>
      <c r="W76" s="797"/>
    </row>
    <row r="78" spans="1:23" ht="15.75" thickBot="1">
      <c r="A78" s="648" t="s">
        <v>700</v>
      </c>
    </row>
    <row r="79" spans="1:23" ht="15.75" thickBot="1">
      <c r="A79" s="871" t="s">
        <v>195</v>
      </c>
      <c r="B79" s="870" t="s">
        <v>831</v>
      </c>
      <c r="C79" s="226" t="s">
        <v>830</v>
      </c>
      <c r="D79" s="226" t="s">
        <v>829</v>
      </c>
      <c r="E79" s="226" t="s">
        <v>828</v>
      </c>
    </row>
    <row r="80" spans="1:23" ht="15.75" thickBot="1">
      <c r="A80" s="869">
        <v>2004</v>
      </c>
      <c r="B80" s="868">
        <v>18</v>
      </c>
      <c r="C80" s="867">
        <v>6458</v>
      </c>
      <c r="D80" s="868">
        <v>358.78</v>
      </c>
      <c r="E80" s="868">
        <v>67.5</v>
      </c>
    </row>
    <row r="81" spans="1:5" ht="15.75" thickBot="1">
      <c r="A81" s="869">
        <v>2005</v>
      </c>
      <c r="B81" s="868">
        <v>125</v>
      </c>
      <c r="C81" s="867">
        <v>35032.33</v>
      </c>
      <c r="D81" s="868">
        <v>280.26</v>
      </c>
      <c r="E81" s="868">
        <v>468.75</v>
      </c>
    </row>
    <row r="82" spans="1:5" ht="15.75" thickBot="1">
      <c r="A82" s="869">
        <v>2006</v>
      </c>
      <c r="B82" s="868">
        <v>118</v>
      </c>
      <c r="C82" s="867">
        <v>139115.76</v>
      </c>
      <c r="D82" s="867">
        <v>1178.95</v>
      </c>
      <c r="E82" s="868">
        <v>442.5</v>
      </c>
    </row>
    <row r="83" spans="1:5" ht="15.75" thickBot="1">
      <c r="A83" s="869">
        <v>2007</v>
      </c>
      <c r="B83" s="868">
        <v>315</v>
      </c>
      <c r="C83" s="867">
        <v>76238</v>
      </c>
      <c r="D83" s="868">
        <v>242.03</v>
      </c>
      <c r="E83" s="867">
        <v>1181.25</v>
      </c>
    </row>
    <row r="84" spans="1:5" ht="15.75" thickBot="1">
      <c r="A84" s="869">
        <v>2008</v>
      </c>
      <c r="B84" s="868">
        <v>331</v>
      </c>
      <c r="C84" s="867">
        <v>76842</v>
      </c>
      <c r="D84" s="868">
        <v>232.15</v>
      </c>
      <c r="E84" s="867">
        <v>1241.25</v>
      </c>
    </row>
    <row r="85" spans="1:5" ht="15.75" thickBot="1">
      <c r="A85" s="869">
        <v>2009</v>
      </c>
      <c r="B85" s="867">
        <v>1032</v>
      </c>
      <c r="C85" s="867">
        <v>286062.53000000003</v>
      </c>
      <c r="D85" s="868">
        <v>277.19</v>
      </c>
      <c r="E85" s="867">
        <v>3870</v>
      </c>
    </row>
    <row r="86" spans="1:5" ht="15.75" thickBot="1">
      <c r="A86" s="869">
        <v>2010</v>
      </c>
      <c r="B86" s="867">
        <v>1569</v>
      </c>
      <c r="C86" s="867">
        <v>533021</v>
      </c>
      <c r="D86" s="868">
        <v>339.72</v>
      </c>
      <c r="E86" s="867">
        <v>5883.75</v>
      </c>
    </row>
    <row r="87" spans="1:5" ht="15.75" thickBot="1">
      <c r="A87" s="869">
        <v>2011</v>
      </c>
      <c r="B87" s="867">
        <v>3753</v>
      </c>
      <c r="C87" s="867">
        <v>1180695</v>
      </c>
      <c r="D87" s="868">
        <v>314.60000000000002</v>
      </c>
      <c r="E87" s="867">
        <v>14073.75</v>
      </c>
    </row>
    <row r="88" spans="1:5" ht="15.75" thickBot="1">
      <c r="A88" s="869">
        <v>2012</v>
      </c>
      <c r="B88" s="867">
        <v>8570</v>
      </c>
      <c r="C88" s="867">
        <v>3575714</v>
      </c>
      <c r="D88" s="868">
        <v>417.24</v>
      </c>
      <c r="E88" s="867">
        <v>32137.5</v>
      </c>
    </row>
    <row r="89" spans="1:5" ht="15.75" thickBot="1">
      <c r="A89" s="869">
        <v>2013</v>
      </c>
      <c r="B89" s="867">
        <v>40984</v>
      </c>
      <c r="C89" s="867">
        <v>19862066</v>
      </c>
      <c r="D89" s="868">
        <v>484.63</v>
      </c>
      <c r="E89" s="867">
        <v>153690</v>
      </c>
    </row>
    <row r="90" spans="1:5" ht="15.75" thickBot="1">
      <c r="A90" s="869">
        <v>2014</v>
      </c>
      <c r="B90" s="867">
        <v>20804</v>
      </c>
      <c r="C90" s="867">
        <v>9371462</v>
      </c>
      <c r="D90" s="868">
        <v>450.46</v>
      </c>
      <c r="E90" s="867">
        <v>78015</v>
      </c>
    </row>
    <row r="91" spans="1:5" ht="15.75" thickBot="1">
      <c r="A91" s="869">
        <v>2015</v>
      </c>
      <c r="B91" s="867">
        <v>37659</v>
      </c>
      <c r="C91" s="867">
        <v>2795314.67</v>
      </c>
      <c r="D91" s="868">
        <v>74.23</v>
      </c>
      <c r="E91" s="867">
        <v>141221.25</v>
      </c>
    </row>
    <row r="92" spans="1:5" ht="15.75" thickBot="1">
      <c r="A92" s="869">
        <v>2016</v>
      </c>
      <c r="B92" s="867">
        <v>96357</v>
      </c>
      <c r="C92" s="867">
        <v>63594584</v>
      </c>
      <c r="D92" s="868">
        <v>659.99</v>
      </c>
      <c r="E92" s="867">
        <v>361338.75</v>
      </c>
    </row>
    <row r="93" spans="1:5" ht="15.75" thickBot="1">
      <c r="A93" s="869">
        <v>2017</v>
      </c>
      <c r="B93" s="867">
        <v>43251</v>
      </c>
      <c r="C93" s="867">
        <v>27509145</v>
      </c>
      <c r="D93" s="868">
        <v>636.03</v>
      </c>
      <c r="E93" s="867">
        <v>162191.25</v>
      </c>
    </row>
    <row r="94" spans="1:5">
      <c r="B94" s="866" t="s">
        <v>827</v>
      </c>
      <c r="C94" s="866"/>
      <c r="D94" s="866"/>
      <c r="E94" s="1">
        <f>SUM(E87:E93)/7</f>
        <v>134666.78571428571</v>
      </c>
    </row>
    <row r="95" spans="1:5">
      <c r="B95" s="865" t="s">
        <v>826</v>
      </c>
      <c r="C95" s="865"/>
      <c r="D95" s="865"/>
      <c r="E95" s="820">
        <f>E94*0.05</f>
        <v>6733.3392857142862</v>
      </c>
    </row>
    <row r="96" spans="1:5">
      <c r="B96" s="865" t="s">
        <v>825</v>
      </c>
      <c r="C96" s="865"/>
      <c r="D96" s="865"/>
      <c r="E96" s="820">
        <f>E94*0.1</f>
        <v>13466.678571428572</v>
      </c>
    </row>
    <row r="97" spans="1:5">
      <c r="B97" s="865" t="s">
        <v>824</v>
      </c>
      <c r="C97" s="865"/>
      <c r="D97" s="865"/>
      <c r="E97" s="820">
        <f>E94*0.15</f>
        <v>20200.017857142855</v>
      </c>
    </row>
    <row r="98" spans="1:5">
      <c r="B98" s="865" t="s">
        <v>767</v>
      </c>
      <c r="C98" s="865"/>
      <c r="D98" s="865"/>
      <c r="E98" s="829">
        <f>E95*2+E96</f>
        <v>26933.357142857145</v>
      </c>
    </row>
    <row r="99" spans="1:5">
      <c r="B99" s="865" t="s">
        <v>823</v>
      </c>
      <c r="C99" s="865"/>
      <c r="D99" s="865"/>
      <c r="E99" s="829">
        <f>E95*2+E96*2+E97*2</f>
        <v>80800.07142857142</v>
      </c>
    </row>
    <row r="100" spans="1:5">
      <c r="B100" s="865" t="s">
        <v>822</v>
      </c>
      <c r="C100" s="865"/>
      <c r="D100" s="865"/>
      <c r="E100" s="829">
        <f>E99+(E97*13)</f>
        <v>343400.30357142852</v>
      </c>
    </row>
    <row r="101" spans="1:5">
      <c r="A101" s="864"/>
    </row>
    <row r="103" spans="1:5">
      <c r="A103" s="863" t="s">
        <v>701</v>
      </c>
    </row>
    <row r="104" spans="1:5">
      <c r="A104" s="34">
        <v>434760</v>
      </c>
      <c r="B104" s="33" t="s">
        <v>821</v>
      </c>
    </row>
    <row r="105" spans="1:5">
      <c r="A105" s="34">
        <f>A104*0.05</f>
        <v>21738</v>
      </c>
      <c r="B105" s="33" t="s">
        <v>820</v>
      </c>
    </row>
    <row r="106" spans="1:5">
      <c r="A106" s="34">
        <f>A104*0.1</f>
        <v>43476</v>
      </c>
      <c r="B106" s="33" t="s">
        <v>819</v>
      </c>
    </row>
    <row r="107" spans="1:5">
      <c r="A107" s="34">
        <f>A104*0.15</f>
        <v>65214</v>
      </c>
      <c r="B107" s="33" t="s">
        <v>818</v>
      </c>
    </row>
    <row r="108" spans="1:5">
      <c r="A108" s="34">
        <f>A105*2+A106</f>
        <v>86952</v>
      </c>
      <c r="B108" s="33" t="s">
        <v>781</v>
      </c>
    </row>
    <row r="109" spans="1:5">
      <c r="A109" s="34">
        <f>SUM(A105:A107)*2</f>
        <v>260856</v>
      </c>
      <c r="B109" s="33" t="s">
        <v>817</v>
      </c>
    </row>
    <row r="110" spans="1:5">
      <c r="A110" s="832">
        <f>A109+(A107*13)</f>
        <v>1108638</v>
      </c>
      <c r="B110" s="33" t="s">
        <v>763</v>
      </c>
    </row>
  </sheetData>
  <mergeCells count="7">
    <mergeCell ref="B100:D100"/>
    <mergeCell ref="B94:D94"/>
    <mergeCell ref="B95:D95"/>
    <mergeCell ref="B96:D96"/>
    <mergeCell ref="B97:D97"/>
    <mergeCell ref="B98:D98"/>
    <mergeCell ref="B99:D99"/>
  </mergeCells>
  <hyperlinks>
    <hyperlink ref="B79" location="_ftn1" display="M3 Exported[1]" xr:uid="{621BEBF6-1A0A-4C46-909D-6202F2646AD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B2:AB60"/>
  <sheetViews>
    <sheetView showGridLines="0" topLeftCell="A41" workbookViewId="0">
      <selection activeCell="B51" sqref="B51"/>
    </sheetView>
  </sheetViews>
  <sheetFormatPr defaultColWidth="9.140625" defaultRowHeight="12.75"/>
  <cols>
    <col min="1" max="1" width="9.140625" style="35"/>
    <col min="2" max="2" width="9.140625" style="35" customWidth="1"/>
    <col min="3" max="5" width="13.140625" style="35" customWidth="1"/>
    <col min="6" max="6" width="13.85546875" style="36" customWidth="1"/>
    <col min="7" max="8" width="11.42578125" style="36" customWidth="1"/>
    <col min="9" max="9" width="9.5703125" style="210" bestFit="1" customWidth="1"/>
    <col min="10" max="10" width="9.5703125" style="36" customWidth="1"/>
    <col min="11" max="11" width="11.42578125" style="36" bestFit="1" customWidth="1"/>
    <col min="12" max="12" width="7.5703125" style="36" bestFit="1" customWidth="1"/>
    <col min="13" max="13" width="10.42578125" style="36" bestFit="1" customWidth="1"/>
    <col min="14" max="27" width="7.5703125" style="36" customWidth="1"/>
    <col min="28" max="28" width="9.140625" style="36"/>
    <col min="29" max="16384" width="9.140625" style="35"/>
  </cols>
  <sheetData>
    <row r="2" spans="2:28">
      <c r="B2" s="171" t="s">
        <v>377</v>
      </c>
    </row>
    <row r="3" spans="2:28" ht="13.5" thickBot="1">
      <c r="C3" s="171"/>
      <c r="D3" s="171"/>
      <c r="E3" s="171"/>
      <c r="F3" s="288"/>
    </row>
    <row r="4" spans="2:28" s="211" customFormat="1" ht="51.75" customHeight="1">
      <c r="B4" s="204" t="s">
        <v>313</v>
      </c>
      <c r="C4" s="205" t="s">
        <v>663</v>
      </c>
      <c r="D4" s="759" t="s">
        <v>749</v>
      </c>
      <c r="E4" s="205" t="s">
        <v>664</v>
      </c>
      <c r="F4" s="208" t="s">
        <v>616</v>
      </c>
      <c r="G4" s="209" t="s">
        <v>665</v>
      </c>
      <c r="H4" s="210" t="s">
        <v>680</v>
      </c>
      <c r="J4" s="210"/>
      <c r="K4" s="210"/>
      <c r="L4" s="210"/>
      <c r="M4" s="210"/>
      <c r="N4" s="210"/>
      <c r="O4" s="210"/>
      <c r="P4" s="210"/>
      <c r="Q4" s="210"/>
      <c r="R4" s="210"/>
      <c r="S4" s="210"/>
      <c r="T4" s="210"/>
      <c r="U4" s="210"/>
      <c r="V4" s="210"/>
    </row>
    <row r="5" spans="2:28">
      <c r="B5" s="192">
        <v>1</v>
      </c>
      <c r="C5" s="69">
        <v>0</v>
      </c>
      <c r="D5" s="760">
        <v>0</v>
      </c>
      <c r="E5" s="69">
        <f>300*4.5</f>
        <v>1350</v>
      </c>
      <c r="F5" s="68">
        <f t="shared" ref="F5:F24" si="0">SUM(E5:E5)</f>
        <v>1350</v>
      </c>
      <c r="G5" s="69">
        <f>C5-F5+D5</f>
        <v>-1350</v>
      </c>
      <c r="H5" s="36">
        <f>G5/(1+0.1)^B5</f>
        <v>-1227.2727272727273</v>
      </c>
      <c r="W5" s="35"/>
      <c r="X5" s="35"/>
      <c r="Y5" s="35"/>
      <c r="Z5" s="35"/>
      <c r="AA5" s="35"/>
      <c r="AB5" s="35"/>
    </row>
    <row r="6" spans="2:28">
      <c r="B6" s="192">
        <v>2</v>
      </c>
      <c r="C6" s="69">
        <v>0</v>
      </c>
      <c r="D6" s="761">
        <f>'Organis for Shea nut collectors'!E7</f>
        <v>74.97</v>
      </c>
      <c r="E6" s="69"/>
      <c r="F6" s="68">
        <f t="shared" si="0"/>
        <v>0</v>
      </c>
      <c r="G6" s="69">
        <f t="shared" ref="G6:G24" si="1">C6-F6+D6</f>
        <v>74.97</v>
      </c>
      <c r="H6" s="36">
        <f t="shared" ref="H6:H24" si="2">G6/(1+0.1)^B6</f>
        <v>61.958677685950406</v>
      </c>
      <c r="W6" s="35"/>
      <c r="X6" s="35"/>
      <c r="Y6" s="35"/>
      <c r="Z6" s="35"/>
      <c r="AA6" s="35"/>
      <c r="AB6" s="35"/>
    </row>
    <row r="7" spans="2:28">
      <c r="B7" s="192">
        <v>3</v>
      </c>
      <c r="C7" s="69">
        <v>0</v>
      </c>
      <c r="D7" s="761">
        <f>'Organis for Shea nut collectors'!E8</f>
        <v>74.97</v>
      </c>
      <c r="E7" s="69"/>
      <c r="F7" s="68">
        <f t="shared" si="0"/>
        <v>0</v>
      </c>
      <c r="G7" s="69">
        <f t="shared" si="1"/>
        <v>74.97</v>
      </c>
      <c r="H7" s="36">
        <f t="shared" si="2"/>
        <v>56.326070623591264</v>
      </c>
      <c r="W7" s="35"/>
      <c r="X7" s="35"/>
      <c r="Y7" s="35"/>
      <c r="Z7" s="35"/>
      <c r="AA7" s="35"/>
      <c r="AB7" s="35"/>
    </row>
    <row r="8" spans="2:28">
      <c r="B8" s="192">
        <v>4</v>
      </c>
      <c r="C8" s="69">
        <v>0</v>
      </c>
      <c r="D8" s="761">
        <f>'Organis for Shea nut collectors'!E9</f>
        <v>74.97</v>
      </c>
      <c r="E8" s="69"/>
      <c r="F8" s="68">
        <f t="shared" si="0"/>
        <v>0</v>
      </c>
      <c r="G8" s="69">
        <f t="shared" si="1"/>
        <v>74.97</v>
      </c>
      <c r="H8" s="36">
        <f t="shared" si="2"/>
        <v>51.205518748719335</v>
      </c>
      <c r="W8" s="35"/>
      <c r="X8" s="35"/>
      <c r="Y8" s="35"/>
      <c r="Z8" s="35"/>
      <c r="AA8" s="35"/>
      <c r="AB8" s="35"/>
    </row>
    <row r="9" spans="2:28">
      <c r="B9" s="192">
        <v>5</v>
      </c>
      <c r="C9" s="69">
        <v>0</v>
      </c>
      <c r="D9" s="761">
        <f>'Organis for Shea nut collectors'!E10</f>
        <v>74.97</v>
      </c>
      <c r="E9" s="69"/>
      <c r="F9" s="68">
        <f t="shared" si="0"/>
        <v>0</v>
      </c>
      <c r="G9" s="69">
        <f t="shared" si="1"/>
        <v>74.97</v>
      </c>
      <c r="H9" s="36">
        <f t="shared" si="2"/>
        <v>46.550471589744845</v>
      </c>
      <c r="W9" s="35"/>
      <c r="X9" s="35"/>
      <c r="Y9" s="35"/>
      <c r="Z9" s="35"/>
      <c r="AA9" s="35"/>
      <c r="AB9" s="35"/>
    </row>
    <row r="10" spans="2:28">
      <c r="B10" s="192">
        <v>6</v>
      </c>
      <c r="C10" s="69">
        <v>0</v>
      </c>
      <c r="D10" s="761">
        <f>'Organis for Shea nut collectors'!E11</f>
        <v>74.97</v>
      </c>
      <c r="E10" s="69"/>
      <c r="F10" s="68">
        <f t="shared" si="0"/>
        <v>0</v>
      </c>
      <c r="G10" s="69">
        <f t="shared" si="1"/>
        <v>74.97</v>
      </c>
      <c r="H10" s="36">
        <f t="shared" si="2"/>
        <v>42.318610536131672</v>
      </c>
      <c r="W10" s="35"/>
      <c r="X10" s="35"/>
      <c r="Y10" s="35"/>
      <c r="Z10" s="35"/>
      <c r="AA10" s="35"/>
      <c r="AB10" s="35"/>
    </row>
    <row r="11" spans="2:28">
      <c r="B11" s="192">
        <v>7</v>
      </c>
      <c r="C11" s="762">
        <v>37.5</v>
      </c>
      <c r="D11" s="761">
        <f>'Organis for Shea nut collectors'!E12</f>
        <v>74.97</v>
      </c>
      <c r="E11" s="69"/>
      <c r="F11" s="68">
        <f t="shared" si="0"/>
        <v>0</v>
      </c>
      <c r="G11" s="69">
        <f t="shared" si="1"/>
        <v>112.47</v>
      </c>
      <c r="H11" s="36">
        <f t="shared" si="2"/>
        <v>57.714893557407549</v>
      </c>
      <c r="W11" s="35"/>
      <c r="X11" s="35"/>
      <c r="Y11" s="35"/>
      <c r="Z11" s="35"/>
      <c r="AA11" s="35"/>
      <c r="AB11" s="35"/>
    </row>
    <row r="12" spans="2:28">
      <c r="B12" s="192">
        <v>8</v>
      </c>
      <c r="C12" s="762">
        <v>37.5</v>
      </c>
      <c r="D12" s="69">
        <f>'Organis for Shea nut collectors'!E13</f>
        <v>74.97</v>
      </c>
      <c r="E12" s="69"/>
      <c r="F12" s="68">
        <f t="shared" si="0"/>
        <v>0</v>
      </c>
      <c r="G12" s="69">
        <f t="shared" si="1"/>
        <v>112.47</v>
      </c>
      <c r="H12" s="36">
        <f t="shared" si="2"/>
        <v>52.468085052188691</v>
      </c>
      <c r="J12" s="35"/>
      <c r="W12" s="35"/>
      <c r="X12" s="35"/>
      <c r="Y12" s="35"/>
      <c r="Z12" s="35"/>
      <c r="AA12" s="35"/>
      <c r="AB12" s="35"/>
    </row>
    <row r="13" spans="2:28">
      <c r="B13" s="192">
        <v>9</v>
      </c>
      <c r="C13" s="762">
        <v>75</v>
      </c>
      <c r="D13" s="69">
        <f>'Organis for Shea nut collectors'!E14</f>
        <v>74.97</v>
      </c>
      <c r="E13" s="69"/>
      <c r="F13" s="68">
        <f t="shared" si="0"/>
        <v>0</v>
      </c>
      <c r="G13" s="69">
        <f t="shared" si="1"/>
        <v>149.97</v>
      </c>
      <c r="H13" s="36">
        <f t="shared" si="2"/>
        <v>63.601919827321524</v>
      </c>
      <c r="W13" s="35"/>
      <c r="X13" s="35"/>
      <c r="Y13" s="35"/>
      <c r="Z13" s="35"/>
      <c r="AA13" s="35"/>
      <c r="AB13" s="35"/>
    </row>
    <row r="14" spans="2:28">
      <c r="B14" s="192">
        <v>10</v>
      </c>
      <c r="C14" s="762">
        <v>75</v>
      </c>
      <c r="D14" s="69">
        <f>'Organis for Shea nut collectors'!E15</f>
        <v>74.97</v>
      </c>
      <c r="E14" s="69"/>
      <c r="F14" s="68">
        <f t="shared" si="0"/>
        <v>0</v>
      </c>
      <c r="G14" s="69">
        <f t="shared" si="1"/>
        <v>149.97</v>
      </c>
      <c r="H14" s="36">
        <f t="shared" si="2"/>
        <v>57.819927115746836</v>
      </c>
      <c r="W14" s="35"/>
      <c r="X14" s="35"/>
      <c r="Y14" s="35"/>
      <c r="Z14" s="35"/>
      <c r="AA14" s="35"/>
      <c r="AB14" s="35"/>
    </row>
    <row r="15" spans="2:28">
      <c r="B15" s="192">
        <v>11</v>
      </c>
      <c r="C15" s="762">
        <v>112.5</v>
      </c>
      <c r="D15" s="69">
        <f>'Organis for Shea nut collectors'!E16</f>
        <v>74.97</v>
      </c>
      <c r="E15" s="69"/>
      <c r="F15" s="68">
        <f t="shared" si="0"/>
        <v>0</v>
      </c>
      <c r="G15" s="69">
        <f t="shared" si="1"/>
        <v>187.47</v>
      </c>
      <c r="H15" s="36">
        <f t="shared" si="2"/>
        <v>65.707091335776596</v>
      </c>
      <c r="W15" s="35"/>
      <c r="X15" s="35"/>
      <c r="Y15" s="35"/>
      <c r="Z15" s="35"/>
      <c r="AA15" s="35"/>
      <c r="AB15" s="35"/>
    </row>
    <row r="16" spans="2:28">
      <c r="B16" s="192">
        <v>12</v>
      </c>
      <c r="C16" s="69">
        <f t="shared" ref="C16:C23" si="3">85*0.588*3</f>
        <v>149.94</v>
      </c>
      <c r="D16" s="69">
        <f>'Organis for Shea nut collectors'!E17</f>
        <v>74.97</v>
      </c>
      <c r="E16" s="69"/>
      <c r="F16" s="68">
        <f t="shared" si="0"/>
        <v>0</v>
      </c>
      <c r="G16" s="69">
        <f t="shared" si="1"/>
        <v>224.91</v>
      </c>
      <c r="H16" s="36">
        <f t="shared" si="2"/>
        <v>71.663257211236285</v>
      </c>
      <c r="W16" s="35"/>
      <c r="X16" s="35"/>
      <c r="Y16" s="35"/>
      <c r="Z16" s="35"/>
      <c r="AA16" s="35"/>
      <c r="AB16" s="35"/>
    </row>
    <row r="17" spans="2:28">
      <c r="B17" s="192">
        <v>13</v>
      </c>
      <c r="C17" s="69">
        <f t="shared" si="3"/>
        <v>149.94</v>
      </c>
      <c r="D17" s="69">
        <f>'Organis for Shea nut collectors'!E18</f>
        <v>74.97</v>
      </c>
      <c r="E17" s="69"/>
      <c r="F17" s="68">
        <f t="shared" si="0"/>
        <v>0</v>
      </c>
      <c r="G17" s="69">
        <f t="shared" si="1"/>
        <v>224.91</v>
      </c>
      <c r="H17" s="36">
        <f t="shared" si="2"/>
        <v>65.148415646578442</v>
      </c>
      <c r="W17" s="35"/>
      <c r="X17" s="35"/>
      <c r="Y17" s="35"/>
      <c r="Z17" s="35"/>
      <c r="AA17" s="35"/>
      <c r="AB17" s="35"/>
    </row>
    <row r="18" spans="2:28">
      <c r="B18" s="192">
        <v>14</v>
      </c>
      <c r="C18" s="69">
        <f t="shared" si="3"/>
        <v>149.94</v>
      </c>
      <c r="D18" s="69">
        <f>'Organis for Shea nut collectors'!E19</f>
        <v>74.97</v>
      </c>
      <c r="E18" s="69"/>
      <c r="F18" s="68">
        <f t="shared" si="0"/>
        <v>0</v>
      </c>
      <c r="G18" s="69">
        <f t="shared" si="1"/>
        <v>224.91</v>
      </c>
      <c r="H18" s="36">
        <f t="shared" si="2"/>
        <v>59.225832405980391</v>
      </c>
      <c r="W18" s="35"/>
      <c r="X18" s="35"/>
      <c r="Y18" s="35"/>
      <c r="Z18" s="35"/>
      <c r="AA18" s="35"/>
      <c r="AB18" s="35"/>
    </row>
    <row r="19" spans="2:28">
      <c r="B19" s="192">
        <v>15</v>
      </c>
      <c r="C19" s="69">
        <f t="shared" si="3"/>
        <v>149.94</v>
      </c>
      <c r="D19" s="69">
        <f>'Organis for Shea nut collectors'!E20</f>
        <v>74.97</v>
      </c>
      <c r="E19" s="69"/>
      <c r="F19" s="68">
        <f t="shared" si="0"/>
        <v>0</v>
      </c>
      <c r="G19" s="69">
        <f t="shared" si="1"/>
        <v>224.91</v>
      </c>
      <c r="H19" s="36">
        <f t="shared" si="2"/>
        <v>53.841665823618541</v>
      </c>
      <c r="W19" s="35"/>
      <c r="X19" s="35"/>
      <c r="Y19" s="35"/>
      <c r="Z19" s="35"/>
      <c r="AA19" s="35"/>
      <c r="AB19" s="35"/>
    </row>
    <row r="20" spans="2:28">
      <c r="B20" s="192">
        <v>16</v>
      </c>
      <c r="C20" s="69">
        <f t="shared" si="3"/>
        <v>149.94</v>
      </c>
      <c r="D20" s="69">
        <f>'Organis for Shea nut collectors'!E21</f>
        <v>74.97</v>
      </c>
      <c r="E20" s="69"/>
      <c r="F20" s="68">
        <f t="shared" si="0"/>
        <v>0</v>
      </c>
      <c r="G20" s="69">
        <f t="shared" si="1"/>
        <v>224.91</v>
      </c>
      <c r="H20" s="36">
        <f t="shared" si="2"/>
        <v>48.946968930562306</v>
      </c>
      <c r="W20" s="35"/>
      <c r="X20" s="35"/>
      <c r="Y20" s="35"/>
      <c r="Z20" s="35"/>
      <c r="AA20" s="35"/>
      <c r="AB20" s="35"/>
    </row>
    <row r="21" spans="2:28">
      <c r="B21" s="192">
        <v>17</v>
      </c>
      <c r="C21" s="69">
        <f t="shared" si="3"/>
        <v>149.94</v>
      </c>
      <c r="D21" s="69">
        <f>'Organis for Shea nut collectors'!E22</f>
        <v>74.97</v>
      </c>
      <c r="E21" s="69"/>
      <c r="F21" s="68">
        <f t="shared" si="0"/>
        <v>0</v>
      </c>
      <c r="G21" s="69">
        <f t="shared" si="1"/>
        <v>224.91</v>
      </c>
      <c r="H21" s="36">
        <f t="shared" si="2"/>
        <v>44.497244482329371</v>
      </c>
      <c r="W21" s="35"/>
      <c r="X21" s="35"/>
      <c r="Y21" s="35"/>
      <c r="Z21" s="35"/>
      <c r="AA21" s="35"/>
      <c r="AB21" s="35"/>
    </row>
    <row r="22" spans="2:28">
      <c r="B22" s="192">
        <v>18</v>
      </c>
      <c r="C22" s="69">
        <f t="shared" si="3"/>
        <v>149.94</v>
      </c>
      <c r="D22" s="69">
        <f>'Organis for Shea nut collectors'!E23</f>
        <v>74.97</v>
      </c>
      <c r="E22" s="69"/>
      <c r="F22" s="68">
        <f t="shared" si="0"/>
        <v>0</v>
      </c>
      <c r="G22" s="69">
        <f t="shared" si="1"/>
        <v>224.91</v>
      </c>
      <c r="H22" s="36">
        <f t="shared" si="2"/>
        <v>40.452040438481241</v>
      </c>
      <c r="W22" s="35"/>
      <c r="X22" s="35"/>
      <c r="Y22" s="35"/>
      <c r="Z22" s="35"/>
      <c r="AA22" s="35"/>
      <c r="AB22" s="35"/>
    </row>
    <row r="23" spans="2:28">
      <c r="B23" s="192">
        <v>19</v>
      </c>
      <c r="C23" s="69">
        <f t="shared" si="3"/>
        <v>149.94</v>
      </c>
      <c r="D23" s="69">
        <f>'Organis for Shea nut collectors'!E24</f>
        <v>74.97</v>
      </c>
      <c r="E23" s="69"/>
      <c r="F23" s="68">
        <f t="shared" si="0"/>
        <v>0</v>
      </c>
      <c r="G23" s="69">
        <f t="shared" si="1"/>
        <v>224.91</v>
      </c>
      <c r="H23" s="36">
        <f t="shared" si="2"/>
        <v>36.774582216801122</v>
      </c>
      <c r="M23" s="136">
        <v>0.9</v>
      </c>
      <c r="W23" s="35"/>
      <c r="X23" s="35"/>
      <c r="Y23" s="35"/>
      <c r="Z23" s="35"/>
      <c r="AA23" s="35"/>
      <c r="AB23" s="35"/>
    </row>
    <row r="24" spans="2:28" ht="13.5" thickBot="1">
      <c r="B24" s="193">
        <v>20</v>
      </c>
      <c r="C24" s="190">
        <f>85*0.588*5</f>
        <v>249.89999999999998</v>
      </c>
      <c r="D24" s="69">
        <f>'Organis for Shea nut collectors'!E25</f>
        <v>74.97</v>
      </c>
      <c r="E24" s="190"/>
      <c r="F24" s="154">
        <f t="shared" si="0"/>
        <v>0</v>
      </c>
      <c r="G24" s="69">
        <f t="shared" si="1"/>
        <v>324.87</v>
      </c>
      <c r="H24" s="36">
        <f t="shared" si="2"/>
        <v>48.289855436203496</v>
      </c>
      <c r="W24" s="35"/>
      <c r="X24" s="35"/>
      <c r="Y24" s="35"/>
      <c r="Z24" s="35"/>
      <c r="AA24" s="35"/>
      <c r="AB24" s="35"/>
    </row>
    <row r="25" spans="2:28">
      <c r="H25" s="150">
        <f>SUM(H5:H24)</f>
        <v>-202.76159860835736</v>
      </c>
    </row>
    <row r="26" spans="2:28">
      <c r="B26" s="179" t="s">
        <v>328</v>
      </c>
      <c r="C26" s="180"/>
      <c r="D26" s="180"/>
      <c r="E26" s="180"/>
      <c r="G26" s="203">
        <v>0.12</v>
      </c>
      <c r="H26" s="203">
        <v>0.16500000000000001</v>
      </c>
      <c r="I26" s="203">
        <v>0.2</v>
      </c>
      <c r="Y26" s="35"/>
      <c r="Z26" s="35"/>
      <c r="AA26" s="35"/>
      <c r="AB26" s="35"/>
    </row>
    <row r="27" spans="2:28">
      <c r="B27" s="181" t="s">
        <v>711</v>
      </c>
      <c r="C27" s="178"/>
      <c r="D27" s="178"/>
      <c r="E27" s="178"/>
      <c r="G27" s="182">
        <f>NPV(G26,G5:G24)</f>
        <v>-356.63463244726341</v>
      </c>
      <c r="H27" s="182">
        <v>-1014</v>
      </c>
      <c r="I27" s="182">
        <v>-1041</v>
      </c>
      <c r="Y27" s="35"/>
      <c r="Z27" s="35"/>
      <c r="AA27" s="35"/>
      <c r="AB27" s="35"/>
    </row>
    <row r="28" spans="2:28">
      <c r="B28" s="184" t="s">
        <v>326</v>
      </c>
      <c r="C28" s="178"/>
      <c r="D28" s="178"/>
      <c r="E28" s="178"/>
      <c r="G28" s="183">
        <f>IRR(G5:G24,0.1)</f>
        <v>8.0208326284193054E-2</v>
      </c>
      <c r="H28" s="183">
        <v>0</v>
      </c>
      <c r="I28" s="183">
        <v>0</v>
      </c>
      <c r="Y28" s="35"/>
      <c r="Z28" s="35"/>
      <c r="AA28" s="35"/>
      <c r="AB28" s="35"/>
    </row>
    <row r="29" spans="2:28">
      <c r="B29" s="181" t="s">
        <v>689</v>
      </c>
      <c r="C29" s="178"/>
      <c r="D29" s="178"/>
      <c r="E29" s="178"/>
      <c r="G29" s="185">
        <f>NPV(G26,C9:C24)</f>
        <v>559.66279163418403</v>
      </c>
      <c r="H29" s="185">
        <v>280</v>
      </c>
      <c r="I29" s="185">
        <v>174</v>
      </c>
      <c r="Y29" s="35"/>
      <c r="Z29" s="35"/>
      <c r="AA29" s="35"/>
      <c r="AB29" s="35"/>
    </row>
    <row r="30" spans="2:28">
      <c r="B30" s="181" t="s">
        <v>690</v>
      </c>
      <c r="C30" s="178"/>
      <c r="D30" s="178"/>
      <c r="E30" s="178"/>
      <c r="G30" s="185">
        <f>NPV(G26,E5:E24)</f>
        <v>1205.3571428571427</v>
      </c>
      <c r="H30" s="185">
        <v>1174</v>
      </c>
      <c r="I30" s="185">
        <v>1125</v>
      </c>
      <c r="Y30" s="35"/>
      <c r="Z30" s="35"/>
      <c r="AA30" s="35"/>
      <c r="AB30" s="35"/>
    </row>
    <row r="31" spans="2:28">
      <c r="B31" s="181" t="s">
        <v>329</v>
      </c>
      <c r="C31" s="178"/>
      <c r="D31" s="178"/>
      <c r="E31" s="178"/>
      <c r="G31" s="186">
        <f>G29/G30</f>
        <v>0.46431283454095273</v>
      </c>
      <c r="H31" s="186">
        <v>0.24</v>
      </c>
      <c r="I31" s="186">
        <v>0.15</v>
      </c>
      <c r="Y31" s="35"/>
      <c r="Z31" s="35"/>
      <c r="AA31" s="35"/>
      <c r="AB31" s="35"/>
    </row>
    <row r="32" spans="2:28">
      <c r="B32" s="181" t="s">
        <v>330</v>
      </c>
      <c r="C32" s="178"/>
      <c r="D32" s="178"/>
      <c r="E32" s="178"/>
      <c r="G32" s="183">
        <f>+(G30-G29)/G29</f>
        <v>1.1537203488864558</v>
      </c>
      <c r="H32" s="183">
        <v>3.2</v>
      </c>
      <c r="I32" s="183">
        <v>5.46</v>
      </c>
      <c r="Y32" s="35"/>
      <c r="Z32" s="35"/>
      <c r="AA32" s="35"/>
      <c r="AB32" s="35"/>
    </row>
    <row r="33" spans="2:28">
      <c r="B33" s="187" t="s">
        <v>331</v>
      </c>
      <c r="C33" s="188"/>
      <c r="D33" s="188"/>
      <c r="E33" s="188"/>
      <c r="G33" s="189">
        <f>(G29-G30)/G30</f>
        <v>-0.53568716545904727</v>
      </c>
      <c r="H33" s="189">
        <v>-0.76</v>
      </c>
      <c r="I33" s="189">
        <v>-0.85</v>
      </c>
      <c r="Y33" s="35"/>
      <c r="Z33" s="35"/>
      <c r="AA33" s="35"/>
      <c r="AB33" s="35"/>
    </row>
    <row r="34" spans="2:28">
      <c r="B34" s="644"/>
      <c r="C34" s="178"/>
      <c r="D34" s="178"/>
      <c r="E34" s="178"/>
      <c r="G34" s="602"/>
      <c r="H34" s="602"/>
      <c r="I34" s="602"/>
      <c r="Y34" s="35"/>
      <c r="Z34" s="35"/>
      <c r="AA34" s="35"/>
      <c r="AB34" s="35"/>
    </row>
    <row r="35" spans="2:28" ht="13.5" thickBot="1">
      <c r="B35" s="76" t="s">
        <v>693</v>
      </c>
    </row>
    <row r="36" spans="2:28" ht="15">
      <c r="B36" s="763"/>
      <c r="C36" s="764"/>
      <c r="D36" s="764"/>
      <c r="E36" s="764"/>
      <c r="F36" s="625"/>
      <c r="G36" s="558" t="s">
        <v>624</v>
      </c>
      <c r="H36" s="559" t="s">
        <v>234</v>
      </c>
      <c r="I36" s="559" t="s">
        <v>329</v>
      </c>
    </row>
    <row r="37" spans="2:28" ht="15">
      <c r="B37" s="626"/>
      <c r="C37" s="629"/>
      <c r="D37" s="629"/>
      <c r="E37" s="629"/>
      <c r="F37" s="629"/>
      <c r="G37" s="560" t="s">
        <v>625</v>
      </c>
      <c r="H37" s="561"/>
      <c r="I37" s="561"/>
    </row>
    <row r="38" spans="2:28" ht="15">
      <c r="B38" s="765" t="s">
        <v>626</v>
      </c>
      <c r="C38" s="766"/>
      <c r="D38" s="757"/>
      <c r="E38" s="629"/>
      <c r="F38" s="629"/>
      <c r="G38" s="562">
        <f>G27</f>
        <v>-356.63463244726341</v>
      </c>
      <c r="H38" s="563">
        <f>G28</f>
        <v>8.0208326284193054E-2</v>
      </c>
      <c r="I38" s="569">
        <f>G31</f>
        <v>0.46431283454095273</v>
      </c>
    </row>
    <row r="39" spans="2:28" ht="15">
      <c r="B39" s="767" t="s">
        <v>687</v>
      </c>
      <c r="C39" s="768"/>
      <c r="D39" s="768"/>
      <c r="E39" s="768"/>
      <c r="F39" s="629"/>
      <c r="G39" s="562">
        <v>-942</v>
      </c>
      <c r="H39" s="563">
        <v>0</v>
      </c>
      <c r="I39" s="569">
        <v>0.34</v>
      </c>
    </row>
    <row r="40" spans="2:28" ht="15.75" thickBot="1">
      <c r="B40" s="769" t="s">
        <v>629</v>
      </c>
      <c r="C40" s="770"/>
      <c r="D40" s="770"/>
      <c r="E40" s="770"/>
      <c r="F40" s="566"/>
      <c r="G40" s="630">
        <v>-1032</v>
      </c>
      <c r="H40" s="631">
        <v>0</v>
      </c>
      <c r="I40" s="632">
        <v>0.34</v>
      </c>
    </row>
    <row r="43" spans="2:28" ht="18.75">
      <c r="B43" s="593" t="s">
        <v>643</v>
      </c>
      <c r="C43" s="210"/>
      <c r="D43" s="210"/>
    </row>
    <row r="44" spans="2:28" s="543" customFormat="1" ht="12">
      <c r="B44" s="595" t="s">
        <v>754</v>
      </c>
      <c r="C44" s="596"/>
      <c r="D44" s="596"/>
      <c r="F44" s="596"/>
      <c r="G44" s="596"/>
      <c r="H44" s="596"/>
      <c r="I44" s="597"/>
      <c r="J44" s="596"/>
      <c r="K44" s="596"/>
      <c r="L44" s="596"/>
      <c r="M44" s="596"/>
      <c r="N44" s="596"/>
      <c r="O44" s="596"/>
      <c r="P44" s="596"/>
      <c r="Q44" s="596"/>
      <c r="R44" s="596"/>
      <c r="S44" s="596"/>
      <c r="T44" s="596"/>
      <c r="U44" s="596"/>
      <c r="V44" s="596"/>
      <c r="W44" s="596"/>
      <c r="X44" s="596"/>
      <c r="Y44" s="596"/>
      <c r="Z44" s="596"/>
      <c r="AA44" s="596"/>
      <c r="AB44" s="596"/>
    </row>
    <row r="45" spans="2:28" s="543" customFormat="1" ht="12">
      <c r="B45" s="595" t="s">
        <v>644</v>
      </c>
      <c r="C45" s="596"/>
      <c r="D45" s="596"/>
      <c r="F45" s="596"/>
      <c r="G45" s="596"/>
      <c r="H45" s="596"/>
      <c r="I45" s="597"/>
      <c r="J45" s="596"/>
      <c r="K45" s="596"/>
      <c r="L45" s="596"/>
      <c r="M45" s="596"/>
      <c r="N45" s="596"/>
      <c r="O45" s="596"/>
      <c r="P45" s="596"/>
      <c r="Q45" s="596"/>
      <c r="R45" s="596"/>
      <c r="S45" s="596"/>
      <c r="T45" s="596"/>
      <c r="U45" s="596"/>
      <c r="V45" s="596"/>
      <c r="W45" s="596"/>
      <c r="X45" s="596"/>
      <c r="Y45" s="596"/>
      <c r="Z45" s="596"/>
      <c r="AA45" s="596"/>
      <c r="AB45" s="596"/>
    </row>
    <row r="46" spans="2:28" s="543" customFormat="1" ht="12">
      <c r="B46" s="595" t="s">
        <v>748</v>
      </c>
      <c r="C46" s="596"/>
      <c r="D46" s="596"/>
      <c r="F46" s="596"/>
      <c r="G46" s="596"/>
      <c r="H46" s="596"/>
      <c r="I46" s="597"/>
      <c r="J46" s="596"/>
      <c r="K46" s="596"/>
      <c r="L46" s="596"/>
      <c r="M46" s="596"/>
      <c r="N46" s="596"/>
      <c r="O46" s="596"/>
      <c r="P46" s="596"/>
      <c r="Q46" s="596"/>
      <c r="R46" s="596"/>
      <c r="S46" s="596"/>
      <c r="T46" s="596"/>
      <c r="U46" s="596"/>
      <c r="V46" s="596"/>
      <c r="W46" s="596"/>
      <c r="X46" s="596"/>
      <c r="Y46" s="596"/>
      <c r="Z46" s="596"/>
      <c r="AA46" s="596"/>
      <c r="AB46" s="596"/>
    </row>
    <row r="47" spans="2:28" s="543" customFormat="1" ht="12">
      <c r="B47" s="595" t="s">
        <v>756</v>
      </c>
      <c r="C47" s="596"/>
      <c r="D47" s="596"/>
      <c r="F47" s="596"/>
      <c r="G47" s="596"/>
      <c r="H47" s="596"/>
      <c r="I47" s="597"/>
      <c r="J47" s="596"/>
      <c r="K47" s="596"/>
      <c r="L47" s="596"/>
      <c r="M47" s="596"/>
      <c r="N47" s="596"/>
      <c r="O47" s="596"/>
      <c r="P47" s="596"/>
      <c r="Q47" s="596"/>
      <c r="R47" s="596"/>
      <c r="S47" s="596"/>
      <c r="T47" s="596"/>
      <c r="U47" s="596"/>
      <c r="V47" s="596"/>
      <c r="W47" s="596"/>
      <c r="X47" s="596"/>
      <c r="Y47" s="596"/>
      <c r="Z47" s="596"/>
      <c r="AA47" s="596"/>
      <c r="AB47" s="596"/>
    </row>
    <row r="48" spans="2:28" s="543" customFormat="1" ht="26.25" customHeight="1">
      <c r="B48" s="771" t="s">
        <v>750</v>
      </c>
      <c r="C48" s="771"/>
      <c r="D48" s="771"/>
      <c r="E48" s="771"/>
      <c r="F48" s="771"/>
      <c r="G48" s="771"/>
      <c r="H48" s="771"/>
      <c r="I48" s="771"/>
      <c r="J48" s="771"/>
      <c r="K48" s="771"/>
      <c r="L48" s="771"/>
      <c r="M48" s="771"/>
      <c r="N48" s="596"/>
      <c r="O48" s="596"/>
      <c r="P48" s="596"/>
      <c r="Q48" s="596"/>
      <c r="R48" s="596"/>
      <c r="S48" s="596"/>
      <c r="T48" s="596"/>
      <c r="U48" s="596"/>
      <c r="V48" s="596"/>
      <c r="W48" s="596"/>
      <c r="X48" s="596"/>
      <c r="Y48" s="596"/>
      <c r="Z48" s="596"/>
      <c r="AA48" s="596"/>
      <c r="AB48" s="596"/>
    </row>
    <row r="49" spans="2:28" s="543" customFormat="1" ht="12">
      <c r="B49" s="595" t="s">
        <v>751</v>
      </c>
      <c r="C49" s="596"/>
      <c r="D49" s="596"/>
      <c r="F49" s="596"/>
      <c r="G49" s="596"/>
      <c r="H49" s="596"/>
      <c r="I49" s="597"/>
      <c r="J49" s="596"/>
      <c r="K49" s="596"/>
      <c r="L49" s="596"/>
      <c r="M49" s="596"/>
      <c r="N49" s="596"/>
      <c r="O49" s="596"/>
      <c r="P49" s="596"/>
      <c r="Q49" s="596"/>
      <c r="R49" s="596"/>
      <c r="S49" s="596"/>
      <c r="T49" s="596"/>
      <c r="U49" s="596"/>
      <c r="V49" s="596"/>
      <c r="W49" s="596"/>
      <c r="X49" s="596"/>
      <c r="Y49" s="596"/>
      <c r="Z49" s="596"/>
      <c r="AA49" s="596"/>
      <c r="AB49" s="596"/>
    </row>
    <row r="50" spans="2:28" s="543" customFormat="1" ht="12">
      <c r="B50" s="595" t="s">
        <v>752</v>
      </c>
      <c r="C50" s="596"/>
      <c r="D50" s="596"/>
      <c r="F50" s="596"/>
      <c r="G50" s="596"/>
      <c r="H50" s="596"/>
      <c r="I50" s="597"/>
      <c r="J50" s="596"/>
      <c r="K50" s="596"/>
      <c r="L50" s="596"/>
      <c r="M50" s="596"/>
      <c r="N50" s="596"/>
      <c r="O50" s="596"/>
      <c r="P50" s="596"/>
      <c r="Q50" s="596"/>
      <c r="R50" s="596"/>
      <c r="S50" s="596"/>
      <c r="T50" s="596"/>
      <c r="U50" s="596"/>
      <c r="V50" s="596"/>
      <c r="W50" s="596"/>
      <c r="X50" s="596"/>
      <c r="Y50" s="596"/>
      <c r="Z50" s="596"/>
      <c r="AA50" s="596"/>
      <c r="AB50" s="596"/>
    </row>
    <row r="51" spans="2:28">
      <c r="B51" s="543" t="s">
        <v>661</v>
      </c>
      <c r="C51" s="543"/>
      <c r="D51" s="543"/>
      <c r="E51" s="543"/>
      <c r="F51" s="596"/>
      <c r="G51" s="596"/>
      <c r="H51" s="596"/>
      <c r="I51" s="597"/>
      <c r="J51" s="596"/>
      <c r="K51" s="596"/>
      <c r="L51" s="596"/>
      <c r="M51" s="596"/>
    </row>
    <row r="52" spans="2:28">
      <c r="B52" s="543" t="s">
        <v>753</v>
      </c>
      <c r="C52" s="543"/>
      <c r="D52" s="543"/>
      <c r="E52" s="543"/>
      <c r="F52" s="596"/>
      <c r="G52" s="596"/>
      <c r="H52" s="596"/>
      <c r="I52" s="597"/>
      <c r="J52" s="596"/>
      <c r="K52" s="596"/>
      <c r="L52" s="596"/>
      <c r="M52" s="596"/>
    </row>
    <row r="53" spans="2:28">
      <c r="B53" s="76" t="s">
        <v>719</v>
      </c>
      <c r="E53" s="36"/>
    </row>
    <row r="54" spans="2:28">
      <c r="B54" s="35" t="s">
        <v>713</v>
      </c>
      <c r="E54" s="36"/>
    </row>
    <row r="55" spans="2:28">
      <c r="B55" s="35" t="s">
        <v>720</v>
      </c>
      <c r="E55" s="36"/>
    </row>
    <row r="56" spans="2:28">
      <c r="B56" s="35" t="s">
        <v>714</v>
      </c>
      <c r="E56" s="36"/>
    </row>
    <row r="57" spans="2:28">
      <c r="B57" s="35" t="s">
        <v>715</v>
      </c>
      <c r="E57" s="36"/>
    </row>
    <row r="58" spans="2:28">
      <c r="B58" s="35" t="s">
        <v>716</v>
      </c>
      <c r="E58" s="36"/>
    </row>
    <row r="59" spans="2:28">
      <c r="B59" s="35" t="s">
        <v>717</v>
      </c>
      <c r="E59" s="36"/>
    </row>
    <row r="60" spans="2:28">
      <c r="B60" s="35" t="s">
        <v>718</v>
      </c>
      <c r="E60" s="36"/>
    </row>
  </sheetData>
  <mergeCells count="5">
    <mergeCell ref="B48:M48"/>
    <mergeCell ref="B36:E36"/>
    <mergeCell ref="B38:C38"/>
    <mergeCell ref="B39:E39"/>
    <mergeCell ref="B40:E40"/>
  </mergeCell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F32EC-554E-41D6-B034-695770FE2EB8}">
  <sheetPr>
    <tabColor rgb="FFFFFF00"/>
  </sheetPr>
  <dimension ref="A1:AB59"/>
  <sheetViews>
    <sheetView workbookViewId="0">
      <selection activeCell="E7" sqref="E7"/>
    </sheetView>
  </sheetViews>
  <sheetFormatPr defaultColWidth="8.85546875" defaultRowHeight="12.75"/>
  <cols>
    <col min="1" max="1" width="4.85546875" style="223" customWidth="1"/>
    <col min="2" max="2" width="10.42578125" style="223" customWidth="1"/>
    <col min="3" max="3" width="10.140625" style="223" customWidth="1"/>
    <col min="4" max="4" width="10.85546875" style="223" customWidth="1"/>
    <col min="5" max="5" width="10.7109375" style="223" customWidth="1"/>
    <col min="6" max="6" width="14" style="223" customWidth="1"/>
    <col min="7" max="7" width="11.140625" style="223" customWidth="1"/>
    <col min="8" max="8" width="11.85546875" style="223" customWidth="1"/>
    <col min="9" max="9" width="11.140625" style="223" customWidth="1"/>
    <col min="10" max="11" width="10.140625" style="223" customWidth="1"/>
    <col min="12" max="12" width="15.140625" style="223" customWidth="1"/>
    <col min="13" max="13" width="18.5703125" style="223" customWidth="1"/>
    <col min="14" max="14" width="15" style="223" customWidth="1"/>
    <col min="15" max="15" width="12.7109375" style="223" customWidth="1"/>
    <col min="16" max="16" width="14.140625" style="223" customWidth="1"/>
    <col min="17" max="17" width="11" style="223" customWidth="1"/>
    <col min="18" max="18" width="13.140625" style="223" customWidth="1"/>
    <col min="19" max="19" width="8.85546875" style="223"/>
    <col min="20" max="21" width="10" style="223" bestFit="1" customWidth="1"/>
    <col min="22" max="25" width="8.85546875" style="223"/>
    <col min="26" max="26" width="12.7109375" style="223" customWidth="1"/>
    <col min="27" max="27" width="16.28515625" style="223" customWidth="1"/>
    <col min="28" max="16384" width="8.85546875" style="223"/>
  </cols>
  <sheetData>
    <row r="1" spans="1:28" s="828" customFormat="1">
      <c r="A1" s="828" t="s">
        <v>305</v>
      </c>
    </row>
    <row r="2" spans="1:28">
      <c r="A2" s="811" t="s">
        <v>306</v>
      </c>
    </row>
    <row r="3" spans="1:28">
      <c r="A3" s="811"/>
      <c r="B3" s="811" t="s">
        <v>307</v>
      </c>
      <c r="C3" s="223" t="s">
        <v>765</v>
      </c>
      <c r="D3" s="811" t="s">
        <v>764</v>
      </c>
      <c r="E3" s="223" t="s">
        <v>763</v>
      </c>
    </row>
    <row r="4" spans="1:28">
      <c r="B4" s="223" t="s">
        <v>309</v>
      </c>
      <c r="C4" s="809">
        <f>P14</f>
        <v>378370.5750000003</v>
      </c>
      <c r="D4" s="246">
        <f>P17</f>
        <v>1271898.996740625</v>
      </c>
      <c r="E4" s="809">
        <f>O31</f>
        <v>4019034.7590802633</v>
      </c>
    </row>
    <row r="5" spans="1:28">
      <c r="B5" s="223" t="s">
        <v>310</v>
      </c>
      <c r="C5" s="809">
        <f>R41</f>
        <v>237606.98609686553</v>
      </c>
      <c r="D5" s="246">
        <f>R44</f>
        <v>905951.79017445515</v>
      </c>
      <c r="E5" s="809">
        <f>Q58</f>
        <v>3067915.3054277836</v>
      </c>
    </row>
    <row r="6" spans="1:28">
      <c r="B6" s="811" t="s">
        <v>311</v>
      </c>
      <c r="D6" s="827">
        <f>SUM(D4:D5)</f>
        <v>2177850.7869150802</v>
      </c>
      <c r="I6" s="246">
        <f>I12*44/12</f>
        <v>103400</v>
      </c>
    </row>
    <row r="8" spans="1:28">
      <c r="A8" s="816" t="s">
        <v>312</v>
      </c>
      <c r="B8" s="815"/>
      <c r="C8" s="815"/>
      <c r="D8" s="815"/>
      <c r="E8" s="815"/>
      <c r="F8" s="815"/>
      <c r="G8" s="815"/>
      <c r="H8" s="815"/>
      <c r="I8" s="815"/>
      <c r="J8" s="815"/>
      <c r="K8" s="815"/>
      <c r="L8" s="815"/>
      <c r="M8" s="815"/>
      <c r="N8" s="814"/>
    </row>
    <row r="9" spans="1:28">
      <c r="A9" s="244"/>
      <c r="B9" s="244"/>
      <c r="C9" s="244"/>
      <c r="D9" s="244"/>
      <c r="E9" s="244"/>
      <c r="F9" s="244"/>
      <c r="G9" s="244"/>
      <c r="H9" s="244"/>
      <c r="I9" s="244"/>
      <c r="J9" s="244"/>
      <c r="K9" s="244"/>
      <c r="L9" s="244"/>
      <c r="M9" s="244"/>
      <c r="N9" s="244"/>
    </row>
    <row r="10" spans="1:28" ht="89.1" customHeight="1">
      <c r="A10" s="173" t="s">
        <v>313</v>
      </c>
      <c r="B10" s="173" t="s">
        <v>314</v>
      </c>
      <c r="C10" s="174" t="s">
        <v>315</v>
      </c>
      <c r="D10" s="174" t="s">
        <v>316</v>
      </c>
      <c r="E10" s="174" t="s">
        <v>317</v>
      </c>
      <c r="F10" s="174" t="s">
        <v>318</v>
      </c>
      <c r="G10" s="174" t="s">
        <v>319</v>
      </c>
      <c r="H10" s="174" t="s">
        <v>575</v>
      </c>
      <c r="I10" s="174" t="s">
        <v>320</v>
      </c>
      <c r="J10" s="174" t="s">
        <v>321</v>
      </c>
      <c r="K10" s="174" t="s">
        <v>576</v>
      </c>
      <c r="L10" s="174" t="s">
        <v>578</v>
      </c>
      <c r="M10" s="174" t="s">
        <v>579</v>
      </c>
      <c r="N10" s="174" t="s">
        <v>580</v>
      </c>
      <c r="O10" s="826" t="s">
        <v>581</v>
      </c>
      <c r="S10" s="811" t="s">
        <v>785</v>
      </c>
    </row>
    <row r="11" spans="1:28">
      <c r="A11" s="244">
        <v>1</v>
      </c>
      <c r="B11" s="241">
        <v>0</v>
      </c>
      <c r="C11" s="241"/>
      <c r="D11" s="241"/>
      <c r="E11" s="241"/>
      <c r="F11" s="241"/>
      <c r="G11" s="244">
        <v>2.4</v>
      </c>
      <c r="H11" s="244">
        <v>0.47</v>
      </c>
      <c r="I11" s="244">
        <f>B11*G11*H11</f>
        <v>0</v>
      </c>
      <c r="J11" s="244"/>
      <c r="K11" s="244"/>
      <c r="L11" s="244">
        <v>0</v>
      </c>
      <c r="M11" s="244"/>
      <c r="N11" s="245">
        <v>0</v>
      </c>
    </row>
    <row r="12" spans="1:28" ht="15">
      <c r="A12" s="244">
        <v>2</v>
      </c>
      <c r="B12" s="241">
        <v>25000</v>
      </c>
      <c r="C12" s="241">
        <v>12</v>
      </c>
      <c r="D12" s="241">
        <f>C12*B12</f>
        <v>300000</v>
      </c>
      <c r="E12" s="241">
        <v>0</v>
      </c>
      <c r="F12" s="241">
        <f>E12+D12</f>
        <v>300000</v>
      </c>
      <c r="G12" s="244">
        <v>2.4</v>
      </c>
      <c r="H12" s="244">
        <v>0.47</v>
      </c>
      <c r="I12" s="245">
        <f>B12*G12*H12</f>
        <v>28200</v>
      </c>
      <c r="J12" s="245">
        <f>SUM(I12+F12)</f>
        <v>328200</v>
      </c>
      <c r="K12" s="245"/>
      <c r="L12" s="245">
        <f>(J12-K12)*0.05</f>
        <v>16410</v>
      </c>
      <c r="M12" s="245">
        <f>J12-L12-K12</f>
        <v>311790</v>
      </c>
      <c r="N12" s="810">
        <f>M12-F12</f>
        <v>11790</v>
      </c>
      <c r="O12" s="809">
        <f>N12*$B$32</f>
        <v>43230</v>
      </c>
      <c r="Q12" s="805">
        <f>J12/B12</f>
        <v>13.128</v>
      </c>
      <c r="S12"/>
      <c r="T12"/>
      <c r="U12" s="33"/>
      <c r="V12" s="33" t="s">
        <v>307</v>
      </c>
      <c r="W12" s="33" t="s">
        <v>784</v>
      </c>
      <c r="X12" s="33" t="s">
        <v>783</v>
      </c>
      <c r="Y12" s="33"/>
      <c r="Z12" s="33"/>
      <c r="AA12" s="33" t="s">
        <v>782</v>
      </c>
    </row>
    <row r="13" spans="1:28" ht="15">
      <c r="A13" s="244">
        <v>3</v>
      </c>
      <c r="B13" s="241">
        <v>75000</v>
      </c>
      <c r="C13" s="241">
        <v>12</v>
      </c>
      <c r="D13" s="241">
        <v>600000</v>
      </c>
      <c r="E13" s="241">
        <f>M12</f>
        <v>311790</v>
      </c>
      <c r="F13" s="241">
        <f>E13+D13</f>
        <v>911790</v>
      </c>
      <c r="G13" s="244">
        <v>2.4</v>
      </c>
      <c r="H13" s="244">
        <v>0.47</v>
      </c>
      <c r="I13" s="245">
        <f>B13*G13*H13</f>
        <v>84600</v>
      </c>
      <c r="J13" s="245">
        <f>SUM(I13+F13)</f>
        <v>996390</v>
      </c>
      <c r="K13" s="245"/>
      <c r="L13" s="245">
        <f>(J13-K13)*0.05</f>
        <v>49819.5</v>
      </c>
      <c r="M13" s="245">
        <f>J13-L13-K13</f>
        <v>946570.5</v>
      </c>
      <c r="N13" s="810">
        <f>M13-F13</f>
        <v>34780.5</v>
      </c>
      <c r="O13" s="809">
        <f>N13*$B$32</f>
        <v>127528.5</v>
      </c>
      <c r="P13" s="811" t="s">
        <v>781</v>
      </c>
      <c r="Q13" s="805">
        <f>J13/B13</f>
        <v>13.2852</v>
      </c>
      <c r="S13"/>
      <c r="T13"/>
      <c r="U13" s="33" t="s">
        <v>780</v>
      </c>
      <c r="V13" s="33">
        <f>50000*0.2</f>
        <v>10000</v>
      </c>
      <c r="W13" s="33">
        <f>T15</f>
        <v>41.39</v>
      </c>
      <c r="X13" s="33">
        <f>T18</f>
        <v>0.22</v>
      </c>
      <c r="Y13" s="33">
        <f>T21</f>
        <v>1580</v>
      </c>
      <c r="Z13" s="825">
        <f>POWER(10,-3)</f>
        <v>1E-3</v>
      </c>
      <c r="AA13" s="821">
        <f>V13*W13*X13*Y13*Z13</f>
        <v>143871.64000000001</v>
      </c>
    </row>
    <row r="14" spans="1:28" ht="15">
      <c r="A14" s="244">
        <v>4</v>
      </c>
      <c r="B14" s="241">
        <v>125000</v>
      </c>
      <c r="C14" s="241">
        <v>12</v>
      </c>
      <c r="D14" s="241">
        <v>600000</v>
      </c>
      <c r="E14" s="241">
        <f>M13</f>
        <v>946570.5</v>
      </c>
      <c r="F14" s="241">
        <f>E14+D14</f>
        <v>1546570.5</v>
      </c>
      <c r="G14" s="244">
        <v>2.4</v>
      </c>
      <c r="H14" s="244">
        <v>0.47</v>
      </c>
      <c r="I14" s="245">
        <f>B14*G14*H14</f>
        <v>141000</v>
      </c>
      <c r="J14" s="245">
        <f>SUM(I14+F14)</f>
        <v>1687570.5</v>
      </c>
      <c r="K14" s="245"/>
      <c r="L14" s="245">
        <f>(J14-K14)*0.05</f>
        <v>84378.525000000009</v>
      </c>
      <c r="M14" s="245">
        <f>J14-L14-K14</f>
        <v>1603191.9750000001</v>
      </c>
      <c r="N14" s="810">
        <f>M14-F14</f>
        <v>56621.475000000093</v>
      </c>
      <c r="O14" s="809">
        <f>N14*$B$32</f>
        <v>207612.07500000033</v>
      </c>
      <c r="P14" s="809">
        <f>SUM(O12:O14)</f>
        <v>378370.5750000003</v>
      </c>
      <c r="Q14" s="805">
        <f>J14/B14</f>
        <v>13.500564000000001</v>
      </c>
      <c r="S14"/>
      <c r="T14" t="s">
        <v>779</v>
      </c>
      <c r="U14" s="33" t="s">
        <v>778</v>
      </c>
      <c r="V14" s="33">
        <f>50000*0.2</f>
        <v>10000</v>
      </c>
      <c r="W14" s="33">
        <f>W13</f>
        <v>41.39</v>
      </c>
      <c r="X14" s="33">
        <f>T19</f>
        <v>0.72</v>
      </c>
      <c r="Y14" s="33">
        <v>1580</v>
      </c>
      <c r="Z14" s="825">
        <f>POWER(10,-3)</f>
        <v>1E-3</v>
      </c>
      <c r="AA14" s="821">
        <f>V14*W14*X14*Y14*Z14</f>
        <v>470852.64</v>
      </c>
      <c r="AB14" s="809">
        <f>AA14-AA13</f>
        <v>326981</v>
      </c>
    </row>
    <row r="15" spans="1:28" ht="15">
      <c r="A15" s="244">
        <v>5</v>
      </c>
      <c r="B15" s="245">
        <v>175000</v>
      </c>
      <c r="C15" s="241">
        <v>12</v>
      </c>
      <c r="D15" s="241">
        <v>600000</v>
      </c>
      <c r="E15" s="241">
        <f>M14</f>
        <v>1603191.9750000001</v>
      </c>
      <c r="F15" s="241">
        <f>E15+D15</f>
        <v>2203191.9750000001</v>
      </c>
      <c r="G15" s="244">
        <v>2.4</v>
      </c>
      <c r="H15" s="244">
        <v>0.47</v>
      </c>
      <c r="I15" s="245">
        <f>B15*G15*H15</f>
        <v>197400</v>
      </c>
      <c r="J15" s="245">
        <f>SUM(I15+F15)</f>
        <v>2400591.9750000001</v>
      </c>
      <c r="K15" s="245"/>
      <c r="L15" s="245">
        <f>(J15-K15)*0.05</f>
        <v>120029.59875</v>
      </c>
      <c r="M15" s="245">
        <f>J15-L15-K15</f>
        <v>2280562.3762500002</v>
      </c>
      <c r="N15" s="810">
        <f>M15-F15</f>
        <v>77370.401250000112</v>
      </c>
      <c r="O15" s="809">
        <f>N15*$B$32</f>
        <v>283691.47125000041</v>
      </c>
      <c r="P15" s="824"/>
      <c r="Q15" s="805">
        <f>J15/B15</f>
        <v>13.717668428571429</v>
      </c>
      <c r="S15"/>
      <c r="T15">
        <v>41.39</v>
      </c>
      <c r="U15" s="33"/>
      <c r="V15" s="33"/>
      <c r="W15" s="823"/>
      <c r="X15" s="33" t="s">
        <v>777</v>
      </c>
      <c r="Y15" s="33"/>
      <c r="Z15" s="822">
        <v>5743</v>
      </c>
      <c r="AA15" s="821">
        <f>Z15*44/12</f>
        <v>21057.666666666668</v>
      </c>
    </row>
    <row r="16" spans="1:28" ht="15">
      <c r="A16" s="244">
        <v>6</v>
      </c>
      <c r="B16" s="245">
        <v>200000</v>
      </c>
      <c r="C16" s="241">
        <v>12</v>
      </c>
      <c r="D16" s="241">
        <v>300000</v>
      </c>
      <c r="E16" s="241">
        <f>M15</f>
        <v>2280562.3762500002</v>
      </c>
      <c r="F16" s="241">
        <f>E16+D16</f>
        <v>2580562.3762500002</v>
      </c>
      <c r="G16" s="244">
        <v>2.4</v>
      </c>
      <c r="H16" s="244">
        <v>0.47</v>
      </c>
      <c r="I16" s="245">
        <f>B16*G16*H16</f>
        <v>225600</v>
      </c>
      <c r="J16" s="245">
        <f>I16+F16</f>
        <v>2806162.3762500002</v>
      </c>
      <c r="K16" s="245"/>
      <c r="L16" s="245">
        <f>(J16-K16)*0.05</f>
        <v>140308.1188125</v>
      </c>
      <c r="M16" s="245">
        <f>J16-L16-K16</f>
        <v>2665854.2574375002</v>
      </c>
      <c r="N16" s="810">
        <f>M16-F16</f>
        <v>85291.881187499966</v>
      </c>
      <c r="O16" s="809">
        <f>N16*$B$32</f>
        <v>312736.89768749988</v>
      </c>
      <c r="P16" s="811" t="s">
        <v>776</v>
      </c>
      <c r="Q16" s="805">
        <f>J16/B16</f>
        <v>14.030811881250001</v>
      </c>
      <c r="S16"/>
      <c r="T16"/>
      <c r="U16"/>
      <c r="V16"/>
      <c r="W16"/>
      <c r="X16"/>
      <c r="Y16"/>
      <c r="Z16"/>
      <c r="AA16"/>
    </row>
    <row r="17" spans="1:27" ht="15">
      <c r="A17" s="244">
        <v>7</v>
      </c>
      <c r="B17" s="245">
        <v>200000</v>
      </c>
      <c r="C17" s="241"/>
      <c r="D17" s="241"/>
      <c r="E17" s="241"/>
      <c r="F17" s="241">
        <f>J16-L16</f>
        <v>2665854.2574375002</v>
      </c>
      <c r="G17" s="244">
        <v>2.4</v>
      </c>
      <c r="H17" s="244">
        <v>0.47</v>
      </c>
      <c r="I17" s="245">
        <f>B17*G17*H17</f>
        <v>225600</v>
      </c>
      <c r="J17" s="245">
        <f>I17+F17</f>
        <v>2891454.2574375002</v>
      </c>
      <c r="K17" s="245"/>
      <c r="L17" s="245">
        <f>(J17-K17)*0.05</f>
        <v>144572.712871875</v>
      </c>
      <c r="M17" s="245">
        <f>J17-L17-K17</f>
        <v>2746881.544565625</v>
      </c>
      <c r="N17" s="810">
        <f>M17-F17</f>
        <v>81027.287128124852</v>
      </c>
      <c r="O17" s="809">
        <f>N17*$B$32</f>
        <v>297100.05280312442</v>
      </c>
      <c r="P17" s="809">
        <f>SUM(O12:O17)</f>
        <v>1271898.996740625</v>
      </c>
      <c r="Q17" s="805">
        <f>J17/B17</f>
        <v>14.457271287187501</v>
      </c>
      <c r="S17"/>
      <c r="T17" t="s">
        <v>775</v>
      </c>
      <c r="U17"/>
      <c r="V17"/>
      <c r="W17"/>
      <c r="X17"/>
      <c r="Y17"/>
      <c r="Z17"/>
      <c r="AA17" s="820"/>
    </row>
    <row r="18" spans="1:27" ht="15">
      <c r="A18" s="244">
        <v>8</v>
      </c>
      <c r="B18" s="245">
        <v>200000</v>
      </c>
      <c r="C18" s="241"/>
      <c r="D18" s="241"/>
      <c r="E18" s="241"/>
      <c r="F18" s="241">
        <f>J17-L17</f>
        <v>2746881.544565625</v>
      </c>
      <c r="G18" s="244">
        <v>2.4</v>
      </c>
      <c r="H18" s="244">
        <v>0.47</v>
      </c>
      <c r="I18" s="245">
        <f>B18*G18*H18</f>
        <v>225600</v>
      </c>
      <c r="J18" s="245">
        <f>I18+F18</f>
        <v>2972481.544565625</v>
      </c>
      <c r="K18" s="245"/>
      <c r="L18" s="245">
        <f>(J18-K18)*0.05</f>
        <v>148624.07722828127</v>
      </c>
      <c r="M18" s="245">
        <f>J18-L18-K18</f>
        <v>2823857.4673373438</v>
      </c>
      <c r="N18" s="810">
        <f>M18-F18</f>
        <v>76975.922771718819</v>
      </c>
      <c r="O18" s="809">
        <f>N18*$B$32</f>
        <v>282245.05016296898</v>
      </c>
      <c r="Q18" s="805">
        <f>J18/B18</f>
        <v>14.862407722828126</v>
      </c>
      <c r="S18" t="s">
        <v>774</v>
      </c>
      <c r="T18">
        <v>0.22</v>
      </c>
      <c r="U18"/>
      <c r="V18"/>
      <c r="W18"/>
      <c r="X18"/>
      <c r="Y18"/>
      <c r="Z18"/>
      <c r="AA18"/>
    </row>
    <row r="19" spans="1:27" ht="15">
      <c r="A19" s="244">
        <v>9</v>
      </c>
      <c r="B19" s="245">
        <v>200000</v>
      </c>
      <c r="C19" s="241"/>
      <c r="D19" s="241"/>
      <c r="E19" s="241"/>
      <c r="F19" s="241">
        <f>J18-L18</f>
        <v>2823857.4673373438</v>
      </c>
      <c r="G19" s="244">
        <v>2.4</v>
      </c>
      <c r="H19" s="244">
        <v>0.47</v>
      </c>
      <c r="I19" s="245">
        <f>B19*G19*H19</f>
        <v>225600</v>
      </c>
      <c r="J19" s="245">
        <f>I19+F19</f>
        <v>3049457.4673373438</v>
      </c>
      <c r="K19" s="245"/>
      <c r="L19" s="245">
        <f>(J19-K19)*0.05</f>
        <v>152472.87336686719</v>
      </c>
      <c r="M19" s="245">
        <f>J19-L19-K19</f>
        <v>2896984.5939704766</v>
      </c>
      <c r="N19" s="810">
        <f>M19-F19</f>
        <v>73127.126633132808</v>
      </c>
      <c r="O19" s="809">
        <f>N19*$B$32</f>
        <v>268132.79765482026</v>
      </c>
      <c r="Q19" s="805">
        <f>J19/B19</f>
        <v>15.247287336686719</v>
      </c>
      <c r="S19" t="s">
        <v>773</v>
      </c>
      <c r="T19">
        <v>0.72</v>
      </c>
      <c r="U19"/>
      <c r="V19"/>
      <c r="W19"/>
      <c r="X19"/>
      <c r="Y19"/>
      <c r="Z19"/>
      <c r="AA19"/>
    </row>
    <row r="20" spans="1:27" ht="15">
      <c r="A20" s="244">
        <v>10</v>
      </c>
      <c r="B20" s="245">
        <v>200000</v>
      </c>
      <c r="C20" s="241"/>
      <c r="D20" s="241"/>
      <c r="E20" s="241"/>
      <c r="F20" s="241">
        <f>J19-L19</f>
        <v>2896984.5939704766</v>
      </c>
      <c r="G20" s="244">
        <v>2.4</v>
      </c>
      <c r="H20" s="244">
        <v>0.47</v>
      </c>
      <c r="I20" s="245">
        <f>B20*G20*H20</f>
        <v>225600</v>
      </c>
      <c r="J20" s="245">
        <f>I20+F20</f>
        <v>3122584.5939704766</v>
      </c>
      <c r="K20" s="245"/>
      <c r="L20" s="245">
        <f>(J20-K20)*0.05</f>
        <v>156129.22969852385</v>
      </c>
      <c r="M20" s="245">
        <f>J20-L20-K20</f>
        <v>2966455.3642719528</v>
      </c>
      <c r="N20" s="810">
        <f>M20-F20</f>
        <v>69470.770301476121</v>
      </c>
      <c r="O20" s="809">
        <f>N20*$B$32</f>
        <v>254726.15777207911</v>
      </c>
      <c r="Q20" s="805">
        <f>J20/B20</f>
        <v>15.612922969852383</v>
      </c>
      <c r="S20"/>
      <c r="T20"/>
      <c r="U20"/>
      <c r="V20"/>
      <c r="W20"/>
      <c r="X20"/>
      <c r="Y20"/>
      <c r="Z20"/>
      <c r="AA20"/>
    </row>
    <row r="21" spans="1:27" ht="15">
      <c r="A21" s="244">
        <v>11</v>
      </c>
      <c r="B21" s="245">
        <v>200000</v>
      </c>
      <c r="C21" s="241"/>
      <c r="D21" s="241"/>
      <c r="E21" s="241"/>
      <c r="F21" s="241">
        <f>J20-L20</f>
        <v>2966455.3642719528</v>
      </c>
      <c r="G21" s="244">
        <v>2.4</v>
      </c>
      <c r="H21" s="244">
        <v>0.47</v>
      </c>
      <c r="I21" s="245">
        <f>B21*G21*H21</f>
        <v>225600</v>
      </c>
      <c r="J21" s="245">
        <f>I21+F21</f>
        <v>3192055.3642719528</v>
      </c>
      <c r="K21" s="245"/>
      <c r="L21" s="245">
        <f>(J21-K21)*0.05</f>
        <v>159602.76821359765</v>
      </c>
      <c r="M21" s="245">
        <f>J21-L21-K21</f>
        <v>3032452.5960583552</v>
      </c>
      <c r="N21" s="810">
        <f>M21-F21</f>
        <v>65997.231786402408</v>
      </c>
      <c r="O21" s="809">
        <f>N21*$B$32</f>
        <v>241989.84988347549</v>
      </c>
      <c r="Q21" s="805">
        <f>J21/B21</f>
        <v>15.960276821359765</v>
      </c>
      <c r="S21"/>
      <c r="T21">
        <v>1580</v>
      </c>
      <c r="U21"/>
      <c r="V21"/>
      <c r="W21"/>
      <c r="X21"/>
      <c r="Y21"/>
      <c r="Z21"/>
      <c r="AA21"/>
    </row>
    <row r="22" spans="1:27">
      <c r="A22" s="244">
        <v>12</v>
      </c>
      <c r="B22" s="245">
        <v>200000</v>
      </c>
      <c r="C22" s="241"/>
      <c r="D22" s="241"/>
      <c r="E22" s="241"/>
      <c r="F22" s="241">
        <f>J21-L21</f>
        <v>3032452.5960583552</v>
      </c>
      <c r="G22" s="244">
        <v>2.4</v>
      </c>
      <c r="H22" s="244">
        <v>0.47</v>
      </c>
      <c r="I22" s="245">
        <f>B22*G22*H22</f>
        <v>225600</v>
      </c>
      <c r="J22" s="245">
        <f>I22+F22</f>
        <v>3258052.5960583552</v>
      </c>
      <c r="K22" s="245"/>
      <c r="L22" s="245">
        <f>(J22-K22)*0.05</f>
        <v>162902.62980291777</v>
      </c>
      <c r="M22" s="245">
        <f>J22-L22-K22</f>
        <v>3095149.9662554376</v>
      </c>
      <c r="N22" s="810">
        <f>M22-F22</f>
        <v>62697.370197082404</v>
      </c>
      <c r="O22" s="809">
        <f>N22*$B$32</f>
        <v>229890.35738930214</v>
      </c>
      <c r="Q22" s="805">
        <f>J22/B22</f>
        <v>16.290262980291775</v>
      </c>
    </row>
    <row r="23" spans="1:27">
      <c r="A23" s="244">
        <v>13</v>
      </c>
      <c r="B23" s="245">
        <v>200000</v>
      </c>
      <c r="C23" s="241"/>
      <c r="D23" s="241"/>
      <c r="E23" s="241"/>
      <c r="F23" s="241">
        <f>J22-L22</f>
        <v>3095149.9662554376</v>
      </c>
      <c r="G23" s="244">
        <v>2.4</v>
      </c>
      <c r="H23" s="244">
        <v>0.47</v>
      </c>
      <c r="I23" s="245">
        <f>B23*G23*H23</f>
        <v>225600</v>
      </c>
      <c r="J23" s="245">
        <f>I23+F23</f>
        <v>3320749.9662554376</v>
      </c>
      <c r="K23" s="245"/>
      <c r="L23" s="245">
        <f>(J23-K23)*0.05</f>
        <v>166037.4983127719</v>
      </c>
      <c r="M23" s="245">
        <f>J23-L23-K23</f>
        <v>3154712.4679426658</v>
      </c>
      <c r="N23" s="810">
        <f>M23-F23</f>
        <v>59562.501687228214</v>
      </c>
      <c r="O23" s="809">
        <f>N23*$B$32</f>
        <v>218395.83951983677</v>
      </c>
      <c r="Q23" s="805">
        <f>J23/B23</f>
        <v>16.603749831277188</v>
      </c>
      <c r="R23" s="245"/>
    </row>
    <row r="24" spans="1:27">
      <c r="A24" s="244">
        <v>14</v>
      </c>
      <c r="B24" s="245">
        <v>200000</v>
      </c>
      <c r="C24" s="241"/>
      <c r="D24" s="241"/>
      <c r="E24" s="241"/>
      <c r="F24" s="241">
        <f>J23-L23</f>
        <v>3154712.4679426658</v>
      </c>
      <c r="G24" s="244">
        <v>2.4</v>
      </c>
      <c r="H24" s="244">
        <v>0.47</v>
      </c>
      <c r="I24" s="245">
        <f>B24*G24*H24</f>
        <v>225600</v>
      </c>
      <c r="J24" s="245">
        <f>I24+F24</f>
        <v>3380312.4679426658</v>
      </c>
      <c r="K24" s="245"/>
      <c r="L24" s="245">
        <f>(J24-K24)*0.05</f>
        <v>169015.62339713331</v>
      </c>
      <c r="M24" s="245">
        <f>J24-L24-K24</f>
        <v>3211296.8445455325</v>
      </c>
      <c r="N24" s="810">
        <f>M24-F24</f>
        <v>56584.376602866687</v>
      </c>
      <c r="O24" s="809">
        <f>N24*$B$32</f>
        <v>207476.0475438445</v>
      </c>
      <c r="Q24" s="805">
        <f>J24/B24</f>
        <v>16.90156233971333</v>
      </c>
    </row>
    <row r="25" spans="1:27">
      <c r="A25" s="244">
        <v>15</v>
      </c>
      <c r="B25" s="245">
        <v>200000</v>
      </c>
      <c r="C25" s="241"/>
      <c r="D25" s="241"/>
      <c r="E25" s="241"/>
      <c r="F25" s="241">
        <f>J24-L24</f>
        <v>3211296.8445455325</v>
      </c>
      <c r="G25" s="244">
        <v>2.4</v>
      </c>
      <c r="H25" s="244">
        <v>0.47</v>
      </c>
      <c r="I25" s="245">
        <f>B25*G25*H25</f>
        <v>225600</v>
      </c>
      <c r="J25" s="245">
        <f>I25+F25</f>
        <v>3436896.8445455325</v>
      </c>
      <c r="K25" s="245"/>
      <c r="L25" s="245">
        <f>(J25-K25)*0.05</f>
        <v>171844.84222727665</v>
      </c>
      <c r="M25" s="245">
        <f>J25-L25-K25</f>
        <v>3265052.0023182556</v>
      </c>
      <c r="N25" s="810">
        <f>M25-F25</f>
        <v>53755.15777272312</v>
      </c>
      <c r="O25" s="809">
        <f>N25*$B$32</f>
        <v>197102.24516665144</v>
      </c>
      <c r="Q25" s="805">
        <f>J25/B25</f>
        <v>17.184484222727662</v>
      </c>
    </row>
    <row r="26" spans="1:27">
      <c r="A26" s="244">
        <v>16</v>
      </c>
      <c r="B26" s="245">
        <v>200000</v>
      </c>
      <c r="C26" s="241"/>
      <c r="D26" s="241"/>
      <c r="E26" s="241"/>
      <c r="F26" s="241">
        <f>J25-L25</f>
        <v>3265052.0023182556</v>
      </c>
      <c r="G26" s="244">
        <v>2.4</v>
      </c>
      <c r="H26" s="244">
        <v>0.47</v>
      </c>
      <c r="I26" s="245">
        <f>B26*G26*H26</f>
        <v>225600</v>
      </c>
      <c r="J26" s="245">
        <f>I26+F26</f>
        <v>3490652.0023182556</v>
      </c>
      <c r="K26" s="245"/>
      <c r="L26" s="245">
        <f>(J26-K26)*0.05</f>
        <v>174532.60011591279</v>
      </c>
      <c r="M26" s="245">
        <f>J26-L26-K26</f>
        <v>3316119.4022023426</v>
      </c>
      <c r="N26" s="810">
        <f>M26-F26</f>
        <v>51067.399884087034</v>
      </c>
      <c r="O26" s="809">
        <f>N26*$B$32</f>
        <v>187247.13290831912</v>
      </c>
      <c r="Q26" s="805">
        <f>J26/B26</f>
        <v>17.453260011591279</v>
      </c>
    </row>
    <row r="27" spans="1:27">
      <c r="A27" s="244">
        <v>17</v>
      </c>
      <c r="B27" s="245">
        <v>200000</v>
      </c>
      <c r="C27" s="241"/>
      <c r="D27" s="241"/>
      <c r="E27" s="241"/>
      <c r="F27" s="241">
        <f>J26-L26</f>
        <v>3316119.4022023426</v>
      </c>
      <c r="G27" s="244">
        <v>2.4</v>
      </c>
      <c r="H27" s="244">
        <v>0.47</v>
      </c>
      <c r="I27" s="245">
        <f>B27*G27*H27</f>
        <v>225600</v>
      </c>
      <c r="J27" s="245">
        <f>I27+F27</f>
        <v>3541719.4022023426</v>
      </c>
      <c r="K27" s="245"/>
      <c r="L27" s="245">
        <f>(J27-K27)*0.05</f>
        <v>177085.97011011714</v>
      </c>
      <c r="M27" s="245">
        <f>J27-L27-K27</f>
        <v>3364633.4320922256</v>
      </c>
      <c r="N27" s="810">
        <f>M27-F27</f>
        <v>48514.029889883008</v>
      </c>
      <c r="O27" s="809">
        <f>N27*$B$32</f>
        <v>177884.77626290434</v>
      </c>
      <c r="Q27" s="805">
        <f>J27/B27</f>
        <v>17.708597011011712</v>
      </c>
    </row>
    <row r="28" spans="1:27">
      <c r="A28" s="244">
        <v>18</v>
      </c>
      <c r="B28" s="245">
        <v>200000</v>
      </c>
      <c r="C28" s="241"/>
      <c r="D28" s="241"/>
      <c r="E28" s="241"/>
      <c r="F28" s="241">
        <f>J27-L27</f>
        <v>3364633.4320922256</v>
      </c>
      <c r="G28" s="244">
        <v>2.4</v>
      </c>
      <c r="H28" s="244">
        <v>0.47</v>
      </c>
      <c r="I28" s="245">
        <f>B28*G28*H28</f>
        <v>225600</v>
      </c>
      <c r="J28" s="245">
        <f>I28+F28</f>
        <v>3590233.4320922256</v>
      </c>
      <c r="K28" s="245"/>
      <c r="L28" s="245">
        <f>(J28-K28)*0.05</f>
        <v>179511.6716046113</v>
      </c>
      <c r="M28" s="245">
        <f>J28-L28-K28</f>
        <v>3410721.7604876142</v>
      </c>
      <c r="N28" s="810">
        <f>M28-F28</f>
        <v>46088.328395388555</v>
      </c>
      <c r="O28" s="809">
        <f>N28*$B$32</f>
        <v>168990.53744975803</v>
      </c>
      <c r="Q28" s="805">
        <f>J28/B28</f>
        <v>17.951167160461129</v>
      </c>
    </row>
    <row r="29" spans="1:27">
      <c r="A29" s="244">
        <v>19</v>
      </c>
      <c r="B29" s="245">
        <v>200000</v>
      </c>
      <c r="C29" s="241"/>
      <c r="D29" s="241"/>
      <c r="E29" s="241"/>
      <c r="F29" s="241">
        <f>J28-L28</f>
        <v>3410721.7604876142</v>
      </c>
      <c r="G29" s="244">
        <v>2.4</v>
      </c>
      <c r="H29" s="244">
        <v>0.47</v>
      </c>
      <c r="I29" s="245">
        <f>B29*G29*H29</f>
        <v>225600</v>
      </c>
      <c r="J29" s="245">
        <f>I29+F29</f>
        <v>3636321.7604876142</v>
      </c>
      <c r="K29" s="245"/>
      <c r="L29" s="245">
        <f>(J29-K29)*0.05</f>
        <v>181816.08802438073</v>
      </c>
      <c r="M29" s="245">
        <f>J29-L29-K29</f>
        <v>3454505.6724632336</v>
      </c>
      <c r="N29" s="810">
        <f>M29-F29</f>
        <v>43783.911975619383</v>
      </c>
      <c r="O29" s="809">
        <f>N29*$B$32</f>
        <v>160541.01057727105</v>
      </c>
      <c r="Q29" s="805">
        <f>J29/B29</f>
        <v>18.18160880243807</v>
      </c>
    </row>
    <row r="30" spans="1:27">
      <c r="A30" s="244">
        <v>20</v>
      </c>
      <c r="B30" s="245">
        <v>200000</v>
      </c>
      <c r="C30" s="241"/>
      <c r="D30" s="241"/>
      <c r="E30" s="241"/>
      <c r="F30" s="241">
        <f>J29-L29</f>
        <v>3454505.6724632336</v>
      </c>
      <c r="G30" s="244">
        <v>2.4</v>
      </c>
      <c r="H30" s="244">
        <v>0.47</v>
      </c>
      <c r="I30" s="245">
        <f>B30*G30*H30</f>
        <v>225600</v>
      </c>
      <c r="J30" s="245">
        <f>I30+F30</f>
        <v>3680105.6724632336</v>
      </c>
      <c r="K30" s="245"/>
      <c r="L30" s="245">
        <f>(J30-K30)*0.05</f>
        <v>184005.2836231617</v>
      </c>
      <c r="M30" s="245">
        <f>J30-L30-K30</f>
        <v>3496100.3888400719</v>
      </c>
      <c r="N30" s="810">
        <f>M30-F30</f>
        <v>41594.716376838274</v>
      </c>
      <c r="O30" s="809">
        <f>N30*$B$32</f>
        <v>152513.960048407</v>
      </c>
      <c r="Q30" s="805">
        <f>J30/B30</f>
        <v>18.40052836231617</v>
      </c>
    </row>
    <row r="31" spans="1:27">
      <c r="A31" s="173" t="s">
        <v>324</v>
      </c>
      <c r="B31" s="241"/>
      <c r="C31" s="241"/>
      <c r="D31" s="241"/>
      <c r="E31" s="241"/>
      <c r="F31" s="241"/>
      <c r="G31" s="244"/>
      <c r="H31" s="244"/>
      <c r="I31" s="244"/>
      <c r="J31" s="173"/>
      <c r="K31" s="173"/>
      <c r="L31" s="245">
        <f>(J31-K31)*0.05</f>
        <v>0</v>
      </c>
      <c r="M31" s="245">
        <f>J31-L31-K31</f>
        <v>0</v>
      </c>
      <c r="N31" s="807">
        <f>M31-F31</f>
        <v>0</v>
      </c>
      <c r="O31" s="805">
        <f>SUM(O12:O30)</f>
        <v>4019034.7590802633</v>
      </c>
    </row>
    <row r="32" spans="1:27" ht="30.6" customHeight="1">
      <c r="A32" s="176" t="s">
        <v>325</v>
      </c>
      <c r="B32" s="177">
        <f>44/12</f>
        <v>3.6666666666666665</v>
      </c>
      <c r="C32" s="177"/>
      <c r="D32" s="177"/>
      <c r="E32" s="177"/>
      <c r="F32" s="177"/>
      <c r="G32" s="244"/>
      <c r="H32" s="244"/>
      <c r="I32" s="244"/>
      <c r="J32" s="244"/>
      <c r="K32" s="244"/>
      <c r="L32" s="244"/>
      <c r="M32" s="244"/>
      <c r="N32" s="244"/>
      <c r="O32" s="244"/>
    </row>
    <row r="33" spans="1:21">
      <c r="B33" s="819"/>
      <c r="C33" s="818"/>
      <c r="D33" s="818"/>
      <c r="E33" s="818"/>
      <c r="F33" s="818"/>
      <c r="L33" s="818"/>
      <c r="M33" s="818"/>
      <c r="O33" s="819"/>
    </row>
    <row r="34" spans="1:21">
      <c r="A34" s="811"/>
      <c r="B34" s="818"/>
      <c r="C34" s="818"/>
      <c r="D34" s="818"/>
      <c r="E34" s="818"/>
      <c r="F34" s="818"/>
      <c r="J34" s="811"/>
      <c r="K34" s="811"/>
      <c r="L34" s="811"/>
      <c r="M34" s="811"/>
      <c r="N34" s="811"/>
      <c r="O34" s="817"/>
    </row>
    <row r="35" spans="1:21">
      <c r="A35" s="816" t="s">
        <v>772</v>
      </c>
      <c r="B35" s="815"/>
      <c r="C35" s="815"/>
      <c r="D35" s="815"/>
      <c r="E35" s="815"/>
      <c r="F35" s="815"/>
      <c r="G35" s="815"/>
      <c r="H35" s="815"/>
      <c r="I35" s="815"/>
      <c r="J35" s="815"/>
      <c r="K35" s="815"/>
      <c r="L35" s="815"/>
      <c r="M35" s="815"/>
      <c r="N35" s="814"/>
    </row>
    <row r="36" spans="1:21">
      <c r="A36" s="813"/>
      <c r="B36" s="813"/>
      <c r="C36" s="813"/>
      <c r="D36" s="813"/>
      <c r="E36" s="813"/>
      <c r="F36" s="813"/>
      <c r="G36" s="813"/>
      <c r="H36" s="813"/>
      <c r="I36" s="813"/>
      <c r="J36" s="813"/>
      <c r="K36" s="813"/>
      <c r="M36" s="813"/>
      <c r="N36" s="813"/>
      <c r="O36" s="813"/>
    </row>
    <row r="37" spans="1:21" ht="114.75">
      <c r="A37" s="173" t="s">
        <v>313</v>
      </c>
      <c r="B37" s="173" t="s">
        <v>314</v>
      </c>
      <c r="C37" s="174" t="s">
        <v>771</v>
      </c>
      <c r="D37" s="174" t="s">
        <v>315</v>
      </c>
      <c r="E37" s="174" t="s">
        <v>316</v>
      </c>
      <c r="F37" s="174" t="s">
        <v>317</v>
      </c>
      <c r="G37" s="174" t="s">
        <v>318</v>
      </c>
      <c r="H37" s="174" t="s">
        <v>319</v>
      </c>
      <c r="I37" s="174" t="s">
        <v>575</v>
      </c>
      <c r="J37" s="174" t="s">
        <v>320</v>
      </c>
      <c r="K37" s="174" t="s">
        <v>321</v>
      </c>
      <c r="L37" s="174" t="s">
        <v>576</v>
      </c>
      <c r="M37" s="812" t="s">
        <v>577</v>
      </c>
      <c r="N37" s="174" t="s">
        <v>578</v>
      </c>
      <c r="O37" s="174" t="s">
        <v>579</v>
      </c>
      <c r="P37" s="174" t="s">
        <v>580</v>
      </c>
      <c r="Q37" s="174" t="s">
        <v>581</v>
      </c>
      <c r="S37" s="223" t="s">
        <v>770</v>
      </c>
    </row>
    <row r="38" spans="1:21">
      <c r="A38" s="244">
        <v>1</v>
      </c>
      <c r="B38" s="241">
        <v>0</v>
      </c>
      <c r="C38" s="245"/>
      <c r="D38" s="241"/>
      <c r="E38" s="241"/>
      <c r="F38" s="241"/>
      <c r="G38" s="241"/>
      <c r="H38" s="244">
        <v>2.4</v>
      </c>
      <c r="I38" s="244">
        <v>0.47</v>
      </c>
      <c r="J38" s="244">
        <f>B38*H38*I38</f>
        <v>0</v>
      </c>
      <c r="K38" s="244"/>
      <c r="L38" s="244"/>
      <c r="M38" s="244"/>
      <c r="N38" s="244">
        <v>0</v>
      </c>
      <c r="O38" s="244"/>
      <c r="P38" s="245">
        <v>0</v>
      </c>
      <c r="Q38" s="244"/>
    </row>
    <row r="39" spans="1:21">
      <c r="A39" s="244">
        <v>2</v>
      </c>
      <c r="B39" s="241">
        <v>20000</v>
      </c>
      <c r="C39" s="245">
        <f>B39*0.987</f>
        <v>19740</v>
      </c>
      <c r="D39" s="241">
        <v>12</v>
      </c>
      <c r="E39" s="241">
        <f>D39*C$39</f>
        <v>236880</v>
      </c>
      <c r="F39" s="241">
        <v>0</v>
      </c>
      <c r="G39" s="241">
        <f>F39+E39</f>
        <v>236880</v>
      </c>
      <c r="H39" s="244">
        <v>2.4</v>
      </c>
      <c r="I39" s="244">
        <v>0.47</v>
      </c>
      <c r="J39" s="245">
        <f>C39*H39*I39</f>
        <v>22266.719999999998</v>
      </c>
      <c r="K39" s="245">
        <f>SUM(J39+G39)</f>
        <v>259146.72</v>
      </c>
      <c r="L39" s="245"/>
      <c r="M39" s="245">
        <f>(C39*0.1*(4.6*0.47))*0.47</f>
        <v>2005.8603599999997</v>
      </c>
      <c r="N39" s="245">
        <f>(K39-L39-M39)*0.05</f>
        <v>12857.042982000001</v>
      </c>
      <c r="O39" s="245">
        <f>K39-N39-M39-L39</f>
        <v>244283.816658</v>
      </c>
      <c r="P39" s="810">
        <f>O39-G39</f>
        <v>7403.8166579999961</v>
      </c>
      <c r="Q39" s="806">
        <f>P39*$B$32</f>
        <v>27147.327745999984</v>
      </c>
      <c r="S39" s="805">
        <f>K39/B39</f>
        <v>12.957336</v>
      </c>
      <c r="T39" s="223" t="s">
        <v>769</v>
      </c>
      <c r="U39" s="223" t="s">
        <v>768</v>
      </c>
    </row>
    <row r="40" spans="1:21">
      <c r="A40" s="244">
        <v>3</v>
      </c>
      <c r="B40" s="241">
        <v>60000</v>
      </c>
      <c r="C40" s="245">
        <f>B40*0.987</f>
        <v>59220</v>
      </c>
      <c r="D40" s="241">
        <v>12</v>
      </c>
      <c r="E40" s="241">
        <f>D40*($C$40-C$39)</f>
        <v>473760</v>
      </c>
      <c r="F40" s="241">
        <f>O39</f>
        <v>244283.816658</v>
      </c>
      <c r="G40" s="241">
        <f>F40+E40</f>
        <v>718043.816658</v>
      </c>
      <c r="H40" s="244">
        <v>2.4</v>
      </c>
      <c r="I40" s="244">
        <v>0.47</v>
      </c>
      <c r="J40" s="245">
        <f>C40*H40*I40</f>
        <v>66800.160000000003</v>
      </c>
      <c r="K40" s="245">
        <f>SUM(J40+G40)</f>
        <v>784843.97665800003</v>
      </c>
      <c r="L40" s="245"/>
      <c r="M40" s="245">
        <f>(C40*0.1*(4.6*0.47))*0.47</f>
        <v>6017.581079999999</v>
      </c>
      <c r="N40" s="245">
        <f>(K40-L40-M40)*0.05</f>
        <v>38941.319778900004</v>
      </c>
      <c r="O40" s="245">
        <f>K40-N40-M40-L40</f>
        <v>739885.07579909998</v>
      </c>
      <c r="P40" s="810">
        <f>O40-G40</f>
        <v>21841.259141099988</v>
      </c>
      <c r="Q40" s="806">
        <f>P40*$B$32</f>
        <v>80084.616850699953</v>
      </c>
      <c r="R40" s="811" t="s">
        <v>767</v>
      </c>
      <c r="S40" s="805">
        <f>K40/B40</f>
        <v>13.080732944300001</v>
      </c>
      <c r="T40" s="811" t="s">
        <v>767</v>
      </c>
    </row>
    <row r="41" spans="1:21">
      <c r="A41" s="244">
        <v>4</v>
      </c>
      <c r="B41" s="241">
        <v>100000</v>
      </c>
      <c r="C41" s="245">
        <f>B41*0.987</f>
        <v>98700</v>
      </c>
      <c r="D41" s="241">
        <v>12</v>
      </c>
      <c r="E41" s="241">
        <f>D41*($C$40-C$39)</f>
        <v>473760</v>
      </c>
      <c r="F41" s="241">
        <f>O40</f>
        <v>739885.07579909998</v>
      </c>
      <c r="G41" s="241">
        <f>F41+E41</f>
        <v>1213645.0757991001</v>
      </c>
      <c r="H41" s="244">
        <v>2.4</v>
      </c>
      <c r="I41" s="244">
        <v>0.47</v>
      </c>
      <c r="J41" s="245">
        <f>C41*H41*I41</f>
        <v>111333.59999999999</v>
      </c>
      <c r="K41" s="245">
        <f>SUM(J41+G41)</f>
        <v>1324978.6757991002</v>
      </c>
      <c r="L41" s="245"/>
      <c r="M41" s="245">
        <f>(C41*0.1*(4.6*0.47))*0.47</f>
        <v>10029.301799999999</v>
      </c>
      <c r="N41" s="245">
        <f>(K41-L41-M41)*0.05</f>
        <v>65747.468699955018</v>
      </c>
      <c r="O41" s="245">
        <f>K41-N41-M41-L41</f>
        <v>1249201.9052991453</v>
      </c>
      <c r="P41" s="810">
        <f>O41-G41</f>
        <v>35556.829500045162</v>
      </c>
      <c r="Q41" s="806">
        <f>P41*$B$32</f>
        <v>130375.04150016559</v>
      </c>
      <c r="R41" s="809">
        <f>SUM(Q39:Q41)</f>
        <v>237606.98609686553</v>
      </c>
      <c r="S41" s="805">
        <f>K41/B41</f>
        <v>13.249786757991002</v>
      </c>
      <c r="T41" s="808">
        <v>115298.14625059524</v>
      </c>
      <c r="U41" s="805">
        <f>R41-T41</f>
        <v>122308.83984627029</v>
      </c>
    </row>
    <row r="42" spans="1:21">
      <c r="A42" s="244">
        <v>5</v>
      </c>
      <c r="B42" s="245">
        <v>140000</v>
      </c>
      <c r="C42" s="245">
        <f>B42*0.987</f>
        <v>138180</v>
      </c>
      <c r="D42" s="241">
        <v>12</v>
      </c>
      <c r="E42" s="241">
        <f>D42*($C$40-C$39)</f>
        <v>473760</v>
      </c>
      <c r="F42" s="241">
        <f>O41</f>
        <v>1249201.9052991453</v>
      </c>
      <c r="G42" s="241">
        <f>F42+E42</f>
        <v>1722961.9052991453</v>
      </c>
      <c r="H42" s="244">
        <v>2.4</v>
      </c>
      <c r="I42" s="244">
        <v>0.47</v>
      </c>
      <c r="J42" s="245">
        <f>C42*H42*I42</f>
        <v>155867.03999999998</v>
      </c>
      <c r="K42" s="245">
        <f>SUM(J42+G42)</f>
        <v>1878828.9452991453</v>
      </c>
      <c r="L42" s="245"/>
      <c r="M42" s="245">
        <f>(C42*0.1*(4.6*0.47))*0.47</f>
        <v>14041.022519999999</v>
      </c>
      <c r="N42" s="245">
        <f>(K42-L42-M42)*0.05</f>
        <v>93239.396138957265</v>
      </c>
      <c r="O42" s="245">
        <f>K42-N42-M42-L42</f>
        <v>1771548.5266401879</v>
      </c>
      <c r="P42" s="810">
        <f>O42-G42</f>
        <v>48586.621341042686</v>
      </c>
      <c r="Q42" s="806">
        <f>P42*$B$32</f>
        <v>178150.94491715651</v>
      </c>
      <c r="R42" s="805"/>
      <c r="S42" s="805">
        <f>K42/B42</f>
        <v>13.420206752136751</v>
      </c>
    </row>
    <row r="43" spans="1:21">
      <c r="A43" s="244">
        <v>6</v>
      </c>
      <c r="B43" s="245">
        <v>180000</v>
      </c>
      <c r="C43" s="245">
        <f>B43*0.987</f>
        <v>177660</v>
      </c>
      <c r="D43" s="241">
        <v>12</v>
      </c>
      <c r="E43" s="241">
        <f>D43*($C$40-C$39)</f>
        <v>473760</v>
      </c>
      <c r="F43" s="241">
        <f>O42</f>
        <v>1771548.5266401879</v>
      </c>
      <c r="G43" s="241">
        <f>F43+E43</f>
        <v>2245308.5266401879</v>
      </c>
      <c r="H43" s="244">
        <v>2.4</v>
      </c>
      <c r="I43" s="244">
        <v>0.47</v>
      </c>
      <c r="J43" s="245">
        <f>C43*H43*I43</f>
        <v>200400.47999999998</v>
      </c>
      <c r="K43" s="245">
        <f>J43+G43</f>
        <v>2445709.0066401879</v>
      </c>
      <c r="L43" s="245"/>
      <c r="M43" s="245">
        <f>(C43*0.1*(4.6*0.47))*0.47</f>
        <v>18052.743239999996</v>
      </c>
      <c r="N43" s="245">
        <f>(K43-L43-M43)*0.05</f>
        <v>121382.81317000939</v>
      </c>
      <c r="O43" s="245">
        <f>K43-N43-M43-L43</f>
        <v>2306273.4502301784</v>
      </c>
      <c r="P43" s="810">
        <f>O43-G43</f>
        <v>60964.923589990474</v>
      </c>
      <c r="Q43" s="806">
        <f>P43*$B$32</f>
        <v>223538.05316329841</v>
      </c>
      <c r="R43" s="811" t="s">
        <v>766</v>
      </c>
      <c r="S43" s="805">
        <f>K43/B43</f>
        <v>13.587272259112154</v>
      </c>
      <c r="T43" s="811" t="s">
        <v>766</v>
      </c>
    </row>
    <row r="44" spans="1:21">
      <c r="A44" s="244">
        <v>7</v>
      </c>
      <c r="B44" s="245">
        <v>220000</v>
      </c>
      <c r="C44" s="245">
        <f>B44*0.987</f>
        <v>217140</v>
      </c>
      <c r="D44" s="241">
        <v>12</v>
      </c>
      <c r="E44" s="241">
        <f>D44*($C$40-C$39)</f>
        <v>473760</v>
      </c>
      <c r="F44" s="241">
        <f>O43</f>
        <v>2306273.4502301784</v>
      </c>
      <c r="G44" s="241">
        <f>F44+E44</f>
        <v>2780033.4502301784</v>
      </c>
      <c r="H44" s="244">
        <v>2.4</v>
      </c>
      <c r="I44" s="244">
        <v>0.47</v>
      </c>
      <c r="J44" s="245">
        <f>C44*H44*I44</f>
        <v>244933.91999999998</v>
      </c>
      <c r="K44" s="245">
        <f>J44+G44</f>
        <v>3024967.3702301783</v>
      </c>
      <c r="L44" s="245"/>
      <c r="M44" s="245">
        <f>(C44*0.1*(4.6*0.47))*0.47</f>
        <v>22064.463959999997</v>
      </c>
      <c r="N44" s="245">
        <f>(K44-L44-M44)*0.05</f>
        <v>150145.14531350893</v>
      </c>
      <c r="O44" s="245">
        <f>K44-N44-M44-L44</f>
        <v>2852757.7609566697</v>
      </c>
      <c r="P44" s="810">
        <f>O44-G44</f>
        <v>72724.310726491269</v>
      </c>
      <c r="Q44" s="806">
        <f>P44*$B$32</f>
        <v>266655.80599713465</v>
      </c>
      <c r="R44" s="809">
        <f>SUM(Q39:Q44)</f>
        <v>905951.79017445515</v>
      </c>
      <c r="S44" s="805">
        <f>K44/B44</f>
        <v>13.749851682864447</v>
      </c>
      <c r="T44" s="808">
        <v>439610.65167056955</v>
      </c>
      <c r="U44" s="805">
        <f>R44-T44</f>
        <v>466341.1385038856</v>
      </c>
    </row>
    <row r="45" spans="1:21">
      <c r="A45" s="244">
        <v>8</v>
      </c>
      <c r="B45" s="245">
        <v>220000</v>
      </c>
      <c r="C45" s="245">
        <f>B45*0.987</f>
        <v>217140</v>
      </c>
      <c r="D45" s="241"/>
      <c r="E45" s="241"/>
      <c r="F45" s="241"/>
      <c r="G45" s="241">
        <f>K44-N44</f>
        <v>2874822.2249166695</v>
      </c>
      <c r="H45" s="244">
        <v>2.4</v>
      </c>
      <c r="I45" s="244">
        <v>0.47</v>
      </c>
      <c r="J45" s="245">
        <f>C45*H45*I45</f>
        <v>244933.91999999998</v>
      </c>
      <c r="K45" s="245">
        <f>J45+G45</f>
        <v>3119756.1449166695</v>
      </c>
      <c r="L45" s="245"/>
      <c r="M45" s="245">
        <f>(C45*0.1*(4.6*0.47))*0.47</f>
        <v>22064.463959999997</v>
      </c>
      <c r="N45" s="245">
        <f>(K45-L45-M45)*0.05</f>
        <v>154884.58404783349</v>
      </c>
      <c r="O45" s="245">
        <f>K45-N45-M45-L45</f>
        <v>2942807.0969088362</v>
      </c>
      <c r="P45" s="807">
        <f>O45-G45</f>
        <v>67984.87199216662</v>
      </c>
      <c r="Q45" s="806">
        <f>P45*$B$32</f>
        <v>249277.86397127761</v>
      </c>
      <c r="S45" s="805">
        <f>K45/B45</f>
        <v>14.180709749621224</v>
      </c>
    </row>
    <row r="46" spans="1:21">
      <c r="A46" s="244">
        <v>9</v>
      </c>
      <c r="B46" s="245">
        <v>220000</v>
      </c>
      <c r="C46" s="245">
        <f>B46*0.987</f>
        <v>217140</v>
      </c>
      <c r="D46" s="241"/>
      <c r="E46" s="241"/>
      <c r="F46" s="241"/>
      <c r="G46" s="241">
        <f>K45-N45</f>
        <v>2964871.560868836</v>
      </c>
      <c r="H46" s="244">
        <v>2.4</v>
      </c>
      <c r="I46" s="244">
        <v>0.47</v>
      </c>
      <c r="J46" s="245">
        <f>C46*H46*I46</f>
        <v>244933.91999999998</v>
      </c>
      <c r="K46" s="245">
        <f>J46+G46</f>
        <v>3209805.4808688359</v>
      </c>
      <c r="L46" s="245"/>
      <c r="M46" s="245">
        <f>(C46*0.1*(4.6*0.47))*0.47</f>
        <v>22064.463959999997</v>
      </c>
      <c r="N46" s="245">
        <f>(K46-L46-M46)*0.05</f>
        <v>159387.05084544182</v>
      </c>
      <c r="O46" s="245">
        <f>K46-N46-M46-L46</f>
        <v>3028353.9660633942</v>
      </c>
      <c r="P46" s="807">
        <f>O46-G46</f>
        <v>63482.405194558203</v>
      </c>
      <c r="Q46" s="806">
        <f>P46*$B$32</f>
        <v>232768.81904671341</v>
      </c>
      <c r="S46" s="805">
        <f>K46/B46</f>
        <v>14.590024913040164</v>
      </c>
    </row>
    <row r="47" spans="1:21">
      <c r="A47" s="244">
        <v>10</v>
      </c>
      <c r="B47" s="245">
        <v>220000</v>
      </c>
      <c r="C47" s="245">
        <f>B47*0.987</f>
        <v>217140</v>
      </c>
      <c r="D47" s="241"/>
      <c r="E47" s="241"/>
      <c r="F47" s="241"/>
      <c r="G47" s="241">
        <f>K46-N46</f>
        <v>3050418.4300233941</v>
      </c>
      <c r="H47" s="244">
        <v>2.4</v>
      </c>
      <c r="I47" s="244">
        <v>0.47</v>
      </c>
      <c r="J47" s="245">
        <f>C47*H47*I47</f>
        <v>244933.91999999998</v>
      </c>
      <c r="K47" s="245">
        <f>J47+G47</f>
        <v>3295352.350023394</v>
      </c>
      <c r="L47" s="245"/>
      <c r="M47" s="245">
        <f>(C47*0.1*(4.6*0.47))*0.47</f>
        <v>22064.463959999997</v>
      </c>
      <c r="N47" s="245">
        <f>(K47-L47-M47)*0.05</f>
        <v>163664.39430316971</v>
      </c>
      <c r="O47" s="245">
        <f>K47-N47-M47-L47</f>
        <v>3109623.4917602246</v>
      </c>
      <c r="P47" s="807">
        <f>O47-G47</f>
        <v>59205.06173683051</v>
      </c>
      <c r="Q47" s="806">
        <f>P47*$B$32</f>
        <v>217085.22636837853</v>
      </c>
      <c r="S47" s="805">
        <f>K47/B47</f>
        <v>14.978874318288154</v>
      </c>
    </row>
    <row r="48" spans="1:21">
      <c r="A48" s="244">
        <v>11</v>
      </c>
      <c r="B48" s="245">
        <v>220000</v>
      </c>
      <c r="C48" s="245">
        <f>B48*0.987</f>
        <v>217140</v>
      </c>
      <c r="D48" s="241"/>
      <c r="E48" s="241"/>
      <c r="F48" s="241"/>
      <c r="G48" s="241">
        <f>K47-N47</f>
        <v>3131687.9557202244</v>
      </c>
      <c r="H48" s="244">
        <v>2.4</v>
      </c>
      <c r="I48" s="244">
        <v>0.47</v>
      </c>
      <c r="J48" s="245">
        <f>C48*H48*I48</f>
        <v>244933.91999999998</v>
      </c>
      <c r="K48" s="245">
        <f>J48+G48</f>
        <v>3376621.8757202243</v>
      </c>
      <c r="L48" s="245"/>
      <c r="M48" s="245">
        <f>(C48*0.1*(4.6*0.47))*0.47</f>
        <v>22064.463959999997</v>
      </c>
      <c r="N48" s="245">
        <f>(K48-L48-M48)*0.05</f>
        <v>167727.87058801122</v>
      </c>
      <c r="O48" s="245">
        <f>K48-N48-M48-L48</f>
        <v>3186829.5411722134</v>
      </c>
      <c r="P48" s="807">
        <f>O48-G48</f>
        <v>55141.585451988969</v>
      </c>
      <c r="Q48" s="806">
        <f>P48*$B$32</f>
        <v>202185.81332395953</v>
      </c>
      <c r="S48" s="805">
        <f>K48/B48</f>
        <v>15.348281253273747</v>
      </c>
    </row>
    <row r="49" spans="1:19">
      <c r="A49" s="244">
        <v>12</v>
      </c>
      <c r="B49" s="245">
        <v>220000</v>
      </c>
      <c r="C49" s="245">
        <f>B49*0.987</f>
        <v>217140</v>
      </c>
      <c r="D49" s="241"/>
      <c r="E49" s="241"/>
      <c r="F49" s="241"/>
      <c r="G49" s="241">
        <f>K48-N48</f>
        <v>3208894.0051322132</v>
      </c>
      <c r="H49" s="244">
        <v>2.4</v>
      </c>
      <c r="I49" s="244">
        <v>0.47</v>
      </c>
      <c r="J49" s="245">
        <f>C49*H49*I49</f>
        <v>244933.91999999998</v>
      </c>
      <c r="K49" s="245">
        <f>J49+G49</f>
        <v>3453827.9251322132</v>
      </c>
      <c r="L49" s="245"/>
      <c r="M49" s="245">
        <f>(C49*0.1*(4.6*0.47))*0.47</f>
        <v>22064.463959999997</v>
      </c>
      <c r="N49" s="245">
        <f>(K49-L49-M49)*0.05</f>
        <v>171588.17305861067</v>
      </c>
      <c r="O49" s="245">
        <f>K49-N49-M49-L49</f>
        <v>3260175.2881136024</v>
      </c>
      <c r="P49" s="807">
        <f>O49-G49</f>
        <v>51281.282981389202</v>
      </c>
      <c r="Q49" s="806">
        <f>P49*$B$32</f>
        <v>188031.37093176041</v>
      </c>
      <c r="S49" s="805">
        <f>K49/B49</f>
        <v>15.699217841510059</v>
      </c>
    </row>
    <row r="50" spans="1:19">
      <c r="A50" s="244">
        <v>13</v>
      </c>
      <c r="B50" s="245">
        <v>220000</v>
      </c>
      <c r="C50" s="245">
        <f>B50*0.987</f>
        <v>217140</v>
      </c>
      <c r="D50" s="241"/>
      <c r="E50" s="241"/>
      <c r="F50" s="241"/>
      <c r="G50" s="241">
        <f>K49-N49</f>
        <v>3282239.7520736023</v>
      </c>
      <c r="H50" s="244">
        <v>2.4</v>
      </c>
      <c r="I50" s="244">
        <v>0.47</v>
      </c>
      <c r="J50" s="245">
        <f>C50*H50*I50</f>
        <v>244933.91999999998</v>
      </c>
      <c r="K50" s="245">
        <f>J50+G50</f>
        <v>3527173.6720736022</v>
      </c>
      <c r="L50" s="245"/>
      <c r="M50" s="245">
        <f>(C50*0.1*(4.6*0.47))*0.47</f>
        <v>22064.463959999997</v>
      </c>
      <c r="N50" s="245">
        <f>(K50-L50-M50)*0.05</f>
        <v>175255.46040568012</v>
      </c>
      <c r="O50" s="245">
        <f>K50-N50-M50-L50</f>
        <v>3329853.7477079225</v>
      </c>
      <c r="P50" s="807">
        <f>O50-G50</f>
        <v>47613.995634320192</v>
      </c>
      <c r="Q50" s="806">
        <f>P50*$B$32</f>
        <v>174584.65065917402</v>
      </c>
      <c r="S50" s="805">
        <f>K50/B50</f>
        <v>16.032607600334554</v>
      </c>
    </row>
    <row r="51" spans="1:19">
      <c r="A51" s="244">
        <v>14</v>
      </c>
      <c r="B51" s="245">
        <v>220000</v>
      </c>
      <c r="C51" s="245">
        <f>B51*0.987</f>
        <v>217140</v>
      </c>
      <c r="D51" s="241"/>
      <c r="E51" s="241"/>
      <c r="F51" s="241"/>
      <c r="G51" s="241">
        <f>K50-N50</f>
        <v>3351918.2116679223</v>
      </c>
      <c r="H51" s="244">
        <v>2.4</v>
      </c>
      <c r="I51" s="244">
        <v>0.47</v>
      </c>
      <c r="J51" s="245">
        <f>C51*H51*I51</f>
        <v>244933.91999999998</v>
      </c>
      <c r="K51" s="245">
        <f>J51+G51</f>
        <v>3596852.1316679223</v>
      </c>
      <c r="L51" s="245"/>
      <c r="M51" s="245">
        <f>(C51*0.1*(4.6*0.47))*0.47</f>
        <v>22064.463959999997</v>
      </c>
      <c r="N51" s="245">
        <f>(K51-L51-M51)*0.05</f>
        <v>178739.38338539613</v>
      </c>
      <c r="O51" s="245">
        <f>K51-N51-M51-L51</f>
        <v>3396048.2843225263</v>
      </c>
      <c r="P51" s="807">
        <f>O51-G51</f>
        <v>44130.07265460398</v>
      </c>
      <c r="Q51" s="806">
        <f>P51*$B$32</f>
        <v>161810.26640021458</v>
      </c>
      <c r="S51" s="805">
        <f>K51/B51</f>
        <v>16.349327871217827</v>
      </c>
    </row>
    <row r="52" spans="1:19">
      <c r="A52" s="244">
        <v>15</v>
      </c>
      <c r="B52" s="245">
        <v>220000</v>
      </c>
      <c r="C52" s="245">
        <f>B52*0.987</f>
        <v>217140</v>
      </c>
      <c r="D52" s="241"/>
      <c r="E52" s="241"/>
      <c r="F52" s="241"/>
      <c r="G52" s="241">
        <f>K51-N51</f>
        <v>3418112.7482825262</v>
      </c>
      <c r="H52" s="244">
        <v>2.4</v>
      </c>
      <c r="I52" s="244">
        <v>0.47</v>
      </c>
      <c r="J52" s="245">
        <f>C52*H52*I52</f>
        <v>244933.91999999998</v>
      </c>
      <c r="K52" s="245">
        <f>J52+G52</f>
        <v>3663046.6682825261</v>
      </c>
      <c r="L52" s="245"/>
      <c r="M52" s="245">
        <f>(C52*0.1*(4.6*0.47))*0.47</f>
        <v>22064.463959999997</v>
      </c>
      <c r="N52" s="245">
        <f>(K52-L52-M52)*0.05</f>
        <v>182049.11021612631</v>
      </c>
      <c r="O52" s="245">
        <f>K52-N52-M52-L52</f>
        <v>3458933.0941063999</v>
      </c>
      <c r="P52" s="807">
        <f>O52-G52</f>
        <v>40820.345823873766</v>
      </c>
      <c r="Q52" s="806">
        <f>P52*$B$32</f>
        <v>149674.6013542038</v>
      </c>
      <c r="S52" s="805">
        <f>K52/B52</f>
        <v>16.650212128556937</v>
      </c>
    </row>
    <row r="53" spans="1:19">
      <c r="A53" s="244">
        <v>16</v>
      </c>
      <c r="B53" s="245">
        <v>220000</v>
      </c>
      <c r="C53" s="245">
        <f>B53*0.987</f>
        <v>217140</v>
      </c>
      <c r="D53" s="241"/>
      <c r="E53" s="241"/>
      <c r="F53" s="241"/>
      <c r="G53" s="241">
        <f>K52-N52</f>
        <v>3480997.5580663998</v>
      </c>
      <c r="H53" s="244">
        <v>2.4</v>
      </c>
      <c r="I53" s="244">
        <v>0.47</v>
      </c>
      <c r="J53" s="245">
        <f>C53*H53*I53</f>
        <v>244933.91999999998</v>
      </c>
      <c r="K53" s="245">
        <f>J53+G53</f>
        <v>3725931.4780663997</v>
      </c>
      <c r="L53" s="245"/>
      <c r="M53" s="245">
        <f>(C53*0.1*(4.6*0.47))*0.47</f>
        <v>22064.463959999997</v>
      </c>
      <c r="N53" s="245">
        <f>(K53-L53-M53)*0.05</f>
        <v>185193.35070532002</v>
      </c>
      <c r="O53" s="245">
        <f>K53-N53-M53-L53</f>
        <v>3518673.6634010798</v>
      </c>
      <c r="P53" s="807">
        <f>O53-G53</f>
        <v>37676.105334680062</v>
      </c>
      <c r="Q53" s="806">
        <f>P53*$B$32</f>
        <v>138145.71956049354</v>
      </c>
      <c r="S53" s="805">
        <f>K53/B53</f>
        <v>16.93605217302909</v>
      </c>
    </row>
    <row r="54" spans="1:19">
      <c r="A54" s="244">
        <v>17</v>
      </c>
      <c r="B54" s="245">
        <v>220000</v>
      </c>
      <c r="C54" s="245">
        <f>B54*0.987</f>
        <v>217140</v>
      </c>
      <c r="D54" s="241"/>
      <c r="E54" s="241"/>
      <c r="F54" s="241"/>
      <c r="G54" s="241">
        <f>K53-N53</f>
        <v>3540738.1273610797</v>
      </c>
      <c r="H54" s="244">
        <v>2.4</v>
      </c>
      <c r="I54" s="244">
        <v>0.47</v>
      </c>
      <c r="J54" s="245">
        <f>C54*H54*I54</f>
        <v>244933.91999999998</v>
      </c>
      <c r="K54" s="245">
        <f>J54+G54</f>
        <v>3785672.0473610796</v>
      </c>
      <c r="L54" s="245"/>
      <c r="M54" s="245">
        <f>(C54*0.1*(4.6*0.47))*0.47</f>
        <v>22064.463959999997</v>
      </c>
      <c r="N54" s="245">
        <f>(K54-L54-M54)*0.05</f>
        <v>188180.37917005399</v>
      </c>
      <c r="O54" s="245">
        <f>K54-N54-M54-L54</f>
        <v>3575427.2042310257</v>
      </c>
      <c r="P54" s="807">
        <f>O54-G54</f>
        <v>34689.076869945973</v>
      </c>
      <c r="Q54" s="806">
        <f>P54*$B$32</f>
        <v>127193.28185646856</v>
      </c>
      <c r="S54" s="805">
        <f>K54/B54</f>
        <v>17.207600215277633</v>
      </c>
    </row>
    <row r="55" spans="1:19">
      <c r="A55" s="244">
        <v>18</v>
      </c>
      <c r="B55" s="245">
        <v>220000</v>
      </c>
      <c r="C55" s="245">
        <f>B55*0.987</f>
        <v>217140</v>
      </c>
      <c r="D55" s="241"/>
      <c r="E55" s="241"/>
      <c r="F55" s="241"/>
      <c r="G55" s="241">
        <f>K54-N54</f>
        <v>3597491.6681910255</v>
      </c>
      <c r="H55" s="244">
        <v>2.4</v>
      </c>
      <c r="I55" s="244">
        <v>0.47</v>
      </c>
      <c r="J55" s="245">
        <f>C55*H55*I55</f>
        <v>244933.91999999998</v>
      </c>
      <c r="K55" s="245">
        <f>J55+G55</f>
        <v>3842425.5881910254</v>
      </c>
      <c r="L55" s="245"/>
      <c r="M55" s="245">
        <f>(C55*0.1*(4.6*0.47))*0.47</f>
        <v>22064.463959999997</v>
      </c>
      <c r="N55" s="245">
        <f>(K55-L55-M55)*0.05</f>
        <v>191018.0562115513</v>
      </c>
      <c r="O55" s="245">
        <f>K55-N55-M55-L55</f>
        <v>3629343.0680194744</v>
      </c>
      <c r="P55" s="807">
        <f>O55-G55</f>
        <v>31851.399828448892</v>
      </c>
      <c r="Q55" s="806">
        <f>P55*$B$32</f>
        <v>116788.46603764594</v>
      </c>
      <c r="S55" s="805">
        <f>K55/B55</f>
        <v>17.465570855413752</v>
      </c>
    </row>
    <row r="56" spans="1:19">
      <c r="A56" s="244">
        <v>19</v>
      </c>
      <c r="B56" s="245">
        <v>220000</v>
      </c>
      <c r="C56" s="245">
        <f>B56*0.987</f>
        <v>217140</v>
      </c>
      <c r="D56" s="241"/>
      <c r="E56" s="241"/>
      <c r="F56" s="241"/>
      <c r="G56" s="241">
        <f>K55-N55</f>
        <v>3651407.5319794742</v>
      </c>
      <c r="H56" s="244">
        <v>2.4</v>
      </c>
      <c r="I56" s="244">
        <v>0.47</v>
      </c>
      <c r="J56" s="245">
        <f>C56*H56*I56</f>
        <v>244933.91999999998</v>
      </c>
      <c r="K56" s="245">
        <f>J56+G56</f>
        <v>3896341.4519794742</v>
      </c>
      <c r="L56" s="245"/>
      <c r="M56" s="245">
        <f>(C56*0.1*(4.6*0.47))*0.47</f>
        <v>22064.463959999997</v>
      </c>
      <c r="N56" s="245">
        <f>(K56-L56-M56)*0.05</f>
        <v>193713.84940097373</v>
      </c>
      <c r="O56" s="245">
        <f>K56-N56-M56-L56</f>
        <v>3680563.1386185004</v>
      </c>
      <c r="P56" s="807">
        <f>O56-G56</f>
        <v>29155.606639026199</v>
      </c>
      <c r="Q56" s="806">
        <f>P56*$B$32</f>
        <v>106903.89100976272</v>
      </c>
      <c r="S56" s="805">
        <f>K56/B56</f>
        <v>17.710642963543066</v>
      </c>
    </row>
    <row r="57" spans="1:19">
      <c r="A57" s="244">
        <v>20</v>
      </c>
      <c r="B57" s="245">
        <v>220000</v>
      </c>
      <c r="C57" s="245">
        <f>B57*0.987</f>
        <v>217140</v>
      </c>
      <c r="D57" s="241"/>
      <c r="E57" s="241"/>
      <c r="F57" s="241"/>
      <c r="G57" s="241">
        <f>K56-N56</f>
        <v>3702627.6025785003</v>
      </c>
      <c r="H57" s="244">
        <v>2.4</v>
      </c>
      <c r="I57" s="244">
        <v>0.47</v>
      </c>
      <c r="J57" s="245">
        <f>C57*H57*I57</f>
        <v>244933.91999999998</v>
      </c>
      <c r="K57" s="245">
        <f>J57+G57</f>
        <v>3947561.5225785002</v>
      </c>
      <c r="L57" s="245"/>
      <c r="M57" s="245">
        <f>(C57*0.1*(4.6*0.47))*0.47</f>
        <v>22064.463959999997</v>
      </c>
      <c r="N57" s="245">
        <f>(K57-L57-M57)*0.05</f>
        <v>196274.85293092503</v>
      </c>
      <c r="O57" s="245">
        <f>K57-N57-M57-L57</f>
        <v>3729222.2056875755</v>
      </c>
      <c r="P57" s="807">
        <f>O57-G57</f>
        <v>26594.603109075222</v>
      </c>
      <c r="Q57" s="806">
        <f>P57*$B$32</f>
        <v>97513.544733275805</v>
      </c>
      <c r="S57" s="805">
        <f>K57/B57</f>
        <v>17.943461466265909</v>
      </c>
    </row>
    <row r="58" spans="1:19">
      <c r="A58" s="173" t="s">
        <v>324</v>
      </c>
      <c r="B58" s="245">
        <v>220000</v>
      </c>
      <c r="C58" s="245">
        <f>B58*0.987</f>
        <v>217140</v>
      </c>
      <c r="D58" s="241"/>
      <c r="E58" s="241"/>
      <c r="F58" s="241"/>
      <c r="G58" s="241"/>
      <c r="H58" s="244"/>
      <c r="I58" s="244"/>
      <c r="J58" s="244"/>
      <c r="K58" s="173"/>
      <c r="L58" s="173"/>
      <c r="M58" s="244"/>
      <c r="N58" s="245">
        <f>(K58-L58-M58)*0.05</f>
        <v>0</v>
      </c>
      <c r="O58" s="245">
        <f>K58-N58-M58-L58</f>
        <v>0</v>
      </c>
      <c r="P58" s="807">
        <f>O58-G58</f>
        <v>0</v>
      </c>
      <c r="Q58" s="806">
        <f>SUM(Q39:Q57)</f>
        <v>3067915.3054277836</v>
      </c>
      <c r="S58" s="805">
        <f>K58/B58</f>
        <v>0</v>
      </c>
    </row>
    <row r="59" spans="1:19" ht="76.5">
      <c r="A59" s="804" t="s">
        <v>325</v>
      </c>
      <c r="B59" s="803">
        <v>220000</v>
      </c>
      <c r="C59" s="223">
        <f>B59*0.987</f>
        <v>217140</v>
      </c>
      <c r="D59" s="802"/>
      <c r="E59" s="802"/>
      <c r="F59" s="802"/>
      <c r="G59" s="801"/>
      <c r="H59" s="801"/>
      <c r="I59" s="801"/>
      <c r="J59" s="801"/>
      <c r="K59" s="801"/>
      <c r="M59" s="801"/>
      <c r="N59" s="801"/>
      <c r="O59" s="801"/>
      <c r="P59" s="801"/>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5DD86-E52A-41D0-97D6-3739231EF58F}">
  <sheetPr>
    <tabColor rgb="FFFFFF00"/>
  </sheetPr>
  <dimension ref="A1:J48"/>
  <sheetViews>
    <sheetView tabSelected="1" workbookViewId="0">
      <selection activeCell="G13" sqref="G13"/>
    </sheetView>
  </sheetViews>
  <sheetFormatPr defaultColWidth="8.85546875" defaultRowHeight="15"/>
  <cols>
    <col min="1" max="1" width="15.28515625" customWidth="1"/>
    <col min="2" max="2" width="10.85546875" bestFit="1" customWidth="1"/>
    <col min="3" max="3" width="17.28515625" customWidth="1"/>
    <col min="4" max="4" width="18.140625" customWidth="1"/>
    <col min="5" max="5" width="17.28515625" customWidth="1"/>
    <col min="6" max="6" width="18.7109375" customWidth="1"/>
    <col min="7" max="7" width="16.85546875" customWidth="1"/>
    <col min="8" max="9" width="15.7109375" customWidth="1"/>
    <col min="10" max="10" width="12.42578125" customWidth="1"/>
  </cols>
  <sheetData>
    <row r="1" spans="1:6">
      <c r="B1" t="s">
        <v>765</v>
      </c>
      <c r="C1" t="s">
        <v>809</v>
      </c>
      <c r="D1" t="s">
        <v>763</v>
      </c>
    </row>
    <row r="2" spans="1:6" ht="30" customHeight="1">
      <c r="A2" t="s">
        <v>730</v>
      </c>
      <c r="B2" s="31">
        <f>E30</f>
        <v>6269.9999999999991</v>
      </c>
      <c r="C2" s="32">
        <f>E31</f>
        <v>58520</v>
      </c>
      <c r="D2" s="31">
        <f>E32</f>
        <v>375503.33333333331</v>
      </c>
    </row>
    <row r="3" spans="1:6" ht="39" customHeight="1">
      <c r="A3" t="s">
        <v>695</v>
      </c>
      <c r="B3" s="829">
        <f>J43</f>
        <v>82567.484999999986</v>
      </c>
      <c r="C3" s="820">
        <f>J44</f>
        <v>165134.96999999997</v>
      </c>
      <c r="D3" s="820">
        <f>J45</f>
        <v>522927.40499999991</v>
      </c>
    </row>
    <row r="7" spans="1:6">
      <c r="A7" s="841" t="s">
        <v>808</v>
      </c>
      <c r="B7" s="840"/>
      <c r="C7" s="840"/>
      <c r="D7" s="840"/>
      <c r="E7" s="840"/>
      <c r="F7" s="840"/>
    </row>
    <row r="8" spans="1:6">
      <c r="A8" s="33"/>
      <c r="B8" s="33"/>
      <c r="C8" s="33"/>
      <c r="D8" s="33"/>
      <c r="E8" s="33"/>
    </row>
    <row r="9" spans="1:6" ht="45">
      <c r="A9" s="833" t="s">
        <v>195</v>
      </c>
      <c r="B9" s="833" t="s">
        <v>807</v>
      </c>
      <c r="C9" s="839" t="s">
        <v>806</v>
      </c>
      <c r="D9" s="839" t="s">
        <v>805</v>
      </c>
      <c r="E9" s="839" t="s">
        <v>804</v>
      </c>
    </row>
    <row r="10" spans="1:6">
      <c r="A10" s="33">
        <v>1</v>
      </c>
      <c r="B10" s="837"/>
      <c r="C10" s="33">
        <v>3.8E-3</v>
      </c>
      <c r="D10" s="34">
        <v>0</v>
      </c>
      <c r="E10" s="838">
        <f>D10*$C$33</f>
        <v>0</v>
      </c>
    </row>
    <row r="11" spans="1:6">
      <c r="A11" s="33">
        <v>2</v>
      </c>
      <c r="B11" s="837">
        <v>20000</v>
      </c>
      <c r="C11" s="33">
        <v>3.8E-3</v>
      </c>
      <c r="D11" s="34">
        <f>C11*B11</f>
        <v>76</v>
      </c>
      <c r="E11" s="34">
        <f>D11*$C$33</f>
        <v>278.66666666666663</v>
      </c>
    </row>
    <row r="12" spans="1:6">
      <c r="A12" s="33">
        <v>3</v>
      </c>
      <c r="B12" s="837">
        <v>80000</v>
      </c>
      <c r="C12" s="33">
        <v>3.8E-3</v>
      </c>
      <c r="D12" s="34">
        <f>C12*B12</f>
        <v>304</v>
      </c>
      <c r="E12" s="34">
        <f>D12*$C$33</f>
        <v>1114.6666666666665</v>
      </c>
    </row>
    <row r="13" spans="1:6">
      <c r="A13" s="33">
        <v>4</v>
      </c>
      <c r="B13" s="837">
        <v>350000</v>
      </c>
      <c r="C13" s="33">
        <v>3.8E-3</v>
      </c>
      <c r="D13" s="34">
        <f>C13*B13</f>
        <v>1330</v>
      </c>
      <c r="E13" s="34">
        <f>D13*$C$33</f>
        <v>4876.6666666666661</v>
      </c>
    </row>
    <row r="14" spans="1:6">
      <c r="A14" s="33">
        <v>5</v>
      </c>
      <c r="B14" s="34">
        <v>750000</v>
      </c>
      <c r="C14" s="33">
        <v>3.8E-3</v>
      </c>
      <c r="D14" s="34">
        <f>C14*B14</f>
        <v>2850</v>
      </c>
      <c r="E14" s="34">
        <f>D14*$C$33</f>
        <v>10450</v>
      </c>
    </row>
    <row r="15" spans="1:6">
      <c r="A15" s="33">
        <v>6</v>
      </c>
      <c r="B15" s="34">
        <v>1250000</v>
      </c>
      <c r="C15" s="33">
        <v>3.8E-3</v>
      </c>
      <c r="D15" s="34">
        <f>C15*B15</f>
        <v>4750</v>
      </c>
      <c r="E15" s="34">
        <f>D15*$C$33</f>
        <v>17416.666666666664</v>
      </c>
    </row>
    <row r="16" spans="1:6">
      <c r="A16" s="33">
        <v>7</v>
      </c>
      <c r="B16" s="34">
        <v>1750000</v>
      </c>
      <c r="C16" s="33">
        <v>3.8E-3</v>
      </c>
      <c r="D16" s="34">
        <f>C16*B16</f>
        <v>6650</v>
      </c>
      <c r="E16" s="34">
        <f>D16*$C$33</f>
        <v>24383.333333333332</v>
      </c>
    </row>
    <row r="17" spans="1:7">
      <c r="A17" s="33">
        <v>8</v>
      </c>
      <c r="B17" s="34">
        <v>1750000</v>
      </c>
      <c r="C17" s="33">
        <v>3.8E-3</v>
      </c>
      <c r="D17" s="34">
        <f>C17*B17</f>
        <v>6650</v>
      </c>
      <c r="E17" s="34">
        <f>D17*$C$33</f>
        <v>24383.333333333332</v>
      </c>
    </row>
    <row r="18" spans="1:7">
      <c r="A18" s="33">
        <v>9</v>
      </c>
      <c r="B18" s="34">
        <v>1750000</v>
      </c>
      <c r="C18" s="33">
        <v>3.8E-3</v>
      </c>
      <c r="D18" s="34">
        <f>C18*B18</f>
        <v>6650</v>
      </c>
      <c r="E18" s="34">
        <f>D18*$C$33</f>
        <v>24383.333333333332</v>
      </c>
    </row>
    <row r="19" spans="1:7">
      <c r="A19" s="33">
        <v>10</v>
      </c>
      <c r="B19" s="34">
        <v>1750000</v>
      </c>
      <c r="C19" s="33">
        <v>3.8E-3</v>
      </c>
      <c r="D19" s="34">
        <f>C19*B19</f>
        <v>6650</v>
      </c>
      <c r="E19" s="34">
        <f>D19*$C$33</f>
        <v>24383.333333333332</v>
      </c>
    </row>
    <row r="20" spans="1:7">
      <c r="A20" s="33">
        <v>11</v>
      </c>
      <c r="B20" s="34">
        <v>1750000</v>
      </c>
      <c r="C20" s="33">
        <v>3.8E-3</v>
      </c>
      <c r="D20" s="34">
        <f>C20*B20</f>
        <v>6650</v>
      </c>
      <c r="E20" s="34">
        <f>D20*$C$33</f>
        <v>24383.333333333332</v>
      </c>
    </row>
    <row r="21" spans="1:7">
      <c r="A21" s="33">
        <v>12</v>
      </c>
      <c r="B21" s="34">
        <v>1750000</v>
      </c>
      <c r="C21" s="33">
        <v>3.8E-3</v>
      </c>
      <c r="D21" s="34">
        <f>C21*B21</f>
        <v>6650</v>
      </c>
      <c r="E21" s="34">
        <f>D21*$C$33</f>
        <v>24383.333333333332</v>
      </c>
    </row>
    <row r="22" spans="1:7">
      <c r="A22" s="33">
        <v>13</v>
      </c>
      <c r="B22" s="34">
        <v>1750000</v>
      </c>
      <c r="C22" s="33">
        <v>3.8E-3</v>
      </c>
      <c r="D22" s="34">
        <f>C22*B22</f>
        <v>6650</v>
      </c>
      <c r="E22" s="34">
        <f>D22*$C$33</f>
        <v>24383.333333333332</v>
      </c>
    </row>
    <row r="23" spans="1:7">
      <c r="A23" s="33">
        <v>14</v>
      </c>
      <c r="B23" s="34">
        <v>1750000</v>
      </c>
      <c r="C23" s="33">
        <v>3.8E-3</v>
      </c>
      <c r="D23" s="34">
        <f>C23*B23</f>
        <v>6650</v>
      </c>
      <c r="E23" s="34">
        <f>D23*$C$33</f>
        <v>24383.333333333332</v>
      </c>
    </row>
    <row r="24" spans="1:7">
      <c r="A24" s="33">
        <v>15</v>
      </c>
      <c r="B24" s="34">
        <v>1750000</v>
      </c>
      <c r="C24" s="33">
        <v>3.8E-3</v>
      </c>
      <c r="D24" s="34">
        <f>C24*B24</f>
        <v>6650</v>
      </c>
      <c r="E24" s="34">
        <f>D24*$C$33</f>
        <v>24383.333333333332</v>
      </c>
    </row>
    <row r="25" spans="1:7">
      <c r="A25" s="33">
        <v>16</v>
      </c>
      <c r="B25" s="34">
        <v>1750000</v>
      </c>
      <c r="C25" s="33">
        <v>3.8E-3</v>
      </c>
      <c r="D25" s="34">
        <f>C25*B25</f>
        <v>6650</v>
      </c>
      <c r="E25" s="34">
        <f>D25*$C$33</f>
        <v>24383.333333333332</v>
      </c>
    </row>
    <row r="26" spans="1:7">
      <c r="A26" s="33">
        <v>17</v>
      </c>
      <c r="B26" s="34">
        <v>1750000</v>
      </c>
      <c r="C26" s="33">
        <v>3.8E-3</v>
      </c>
      <c r="D26" s="34">
        <f>C26*B26</f>
        <v>6650</v>
      </c>
      <c r="E26" s="34">
        <f>D26*$C$33</f>
        <v>24383.333333333332</v>
      </c>
    </row>
    <row r="27" spans="1:7">
      <c r="A27" s="33">
        <v>18</v>
      </c>
      <c r="B27" s="34">
        <v>1750000</v>
      </c>
      <c r="C27" s="33">
        <v>3.8E-3</v>
      </c>
      <c r="D27" s="34">
        <f>C27*B27</f>
        <v>6650</v>
      </c>
      <c r="E27" s="34">
        <f>D27*$C$33</f>
        <v>24383.333333333332</v>
      </c>
    </row>
    <row r="28" spans="1:7">
      <c r="A28" s="33">
        <v>19</v>
      </c>
      <c r="B28" s="34">
        <v>1750000</v>
      </c>
      <c r="C28" s="33">
        <v>3.8E-3</v>
      </c>
      <c r="D28" s="34">
        <f>C28*B28</f>
        <v>6650</v>
      </c>
      <c r="E28" s="34">
        <f>D28*$C$33</f>
        <v>24383.333333333332</v>
      </c>
    </row>
    <row r="29" spans="1:7">
      <c r="A29" s="33">
        <v>20</v>
      </c>
      <c r="B29" s="34">
        <v>1750000</v>
      </c>
      <c r="C29" s="33">
        <v>3.8E-3</v>
      </c>
      <c r="D29" s="34">
        <f>C29*B29</f>
        <v>6650</v>
      </c>
      <c r="E29" s="34">
        <f>D29*$C$33</f>
        <v>24383.333333333332</v>
      </c>
      <c r="G29" s="648"/>
    </row>
    <row r="30" spans="1:7">
      <c r="A30" s="33"/>
      <c r="B30" s="34"/>
      <c r="C30" s="33"/>
      <c r="D30" s="34" t="s">
        <v>781</v>
      </c>
      <c r="E30" s="217">
        <f>SUM(E11:E13)</f>
        <v>6269.9999999999991</v>
      </c>
      <c r="G30" s="31"/>
    </row>
    <row r="31" spans="1:7">
      <c r="A31" s="833" t="s">
        <v>324</v>
      </c>
      <c r="B31" s="837"/>
      <c r="C31" s="33"/>
      <c r="D31" s="33" t="s">
        <v>803</v>
      </c>
      <c r="E31" s="217">
        <f>SUM(E11:E16)</f>
        <v>58520</v>
      </c>
      <c r="G31" s="31"/>
    </row>
    <row r="32" spans="1:7">
      <c r="A32" s="33"/>
      <c r="B32" s="33"/>
      <c r="C32" s="33"/>
      <c r="D32" s="33" t="s">
        <v>802</v>
      </c>
      <c r="E32" s="836">
        <f>SUM(E11:E29)</f>
        <v>375503.33333333331</v>
      </c>
      <c r="G32" s="31"/>
    </row>
    <row r="33" spans="1:10" ht="14.1" customHeight="1">
      <c r="A33" s="835" t="s">
        <v>788</v>
      </c>
      <c r="B33" s="834"/>
      <c r="C33" s="830">
        <f>44/12</f>
        <v>3.6666666666666665</v>
      </c>
      <c r="D33" s="33"/>
      <c r="E33" s="33"/>
    </row>
    <row r="37" spans="1:10">
      <c r="A37" t="s">
        <v>801</v>
      </c>
    </row>
    <row r="39" spans="1:10" s="648" customFormat="1">
      <c r="A39" s="833"/>
      <c r="B39" s="833" t="s">
        <v>800</v>
      </c>
      <c r="C39" s="833" t="s">
        <v>799</v>
      </c>
      <c r="D39" s="833" t="s">
        <v>798</v>
      </c>
      <c r="E39" s="833" t="s">
        <v>797</v>
      </c>
      <c r="F39" s="833" t="s">
        <v>796</v>
      </c>
      <c r="G39" s="833" t="s">
        <v>795</v>
      </c>
      <c r="H39" s="833" t="s">
        <v>794</v>
      </c>
      <c r="I39" s="833" t="s">
        <v>793</v>
      </c>
      <c r="J39" s="833" t="s">
        <v>792</v>
      </c>
    </row>
    <row r="40" spans="1:10">
      <c r="A40" s="33" t="s">
        <v>791</v>
      </c>
      <c r="B40" s="34">
        <v>50000</v>
      </c>
      <c r="C40" s="832">
        <f>B40/2</f>
        <v>25000</v>
      </c>
      <c r="D40" s="33">
        <v>0.67</v>
      </c>
      <c r="E40" s="34">
        <f>D40*C40</f>
        <v>16750</v>
      </c>
      <c r="F40" s="34">
        <f>E40*1.3</f>
        <v>21775</v>
      </c>
      <c r="G40" s="33">
        <v>0.47</v>
      </c>
      <c r="H40" s="34">
        <f>G40*F40</f>
        <v>10234.25</v>
      </c>
      <c r="I40" s="34">
        <f>H40*0.7</f>
        <v>7163.9749999999995</v>
      </c>
      <c r="J40" s="737">
        <f>I40*E44</f>
        <v>26267.908333333329</v>
      </c>
    </row>
    <row r="41" spans="1:10">
      <c r="A41" s="33" t="s">
        <v>790</v>
      </c>
      <c r="B41" s="34">
        <v>1000</v>
      </c>
      <c r="C41" s="832">
        <f>B41/2</f>
        <v>500</v>
      </c>
      <c r="D41" s="33">
        <v>1.6</v>
      </c>
      <c r="E41" s="34">
        <f>D41*C41</f>
        <v>800</v>
      </c>
      <c r="F41" s="34">
        <f>E41*1.3</f>
        <v>1040</v>
      </c>
      <c r="G41" s="33">
        <v>0.47</v>
      </c>
      <c r="H41" s="34">
        <f>G41*F41</f>
        <v>488.79999999999995</v>
      </c>
      <c r="I41" s="34">
        <f>H41*0.7</f>
        <v>342.15999999999997</v>
      </c>
      <c r="J41" s="737">
        <f>I41*E44</f>
        <v>1254.5866666666666</v>
      </c>
    </row>
    <row r="42" spans="1:10">
      <c r="A42" s="33"/>
      <c r="B42" s="33"/>
      <c r="C42" s="33"/>
      <c r="D42" s="33"/>
      <c r="E42" s="33"/>
      <c r="F42" s="33"/>
      <c r="G42" s="33"/>
      <c r="H42" s="33"/>
      <c r="I42" s="33" t="s">
        <v>789</v>
      </c>
      <c r="J42" s="832">
        <f>SUM(J40:J41)</f>
        <v>27522.494999999995</v>
      </c>
    </row>
    <row r="43" spans="1:10">
      <c r="A43" s="33"/>
      <c r="B43" s="33"/>
      <c r="C43" s="33"/>
      <c r="D43" s="33"/>
      <c r="E43" s="33"/>
      <c r="F43" s="33"/>
      <c r="G43" s="33"/>
      <c r="H43" s="33"/>
      <c r="I43" s="33" t="s">
        <v>767</v>
      </c>
      <c r="J43" s="823">
        <f>J42*3</f>
        <v>82567.484999999986</v>
      </c>
    </row>
    <row r="44" spans="1:10">
      <c r="A44" s="831" t="s">
        <v>788</v>
      </c>
      <c r="B44" s="831"/>
      <c r="C44" s="33"/>
      <c r="D44" s="33"/>
      <c r="E44" s="830">
        <f>44/12</f>
        <v>3.6666666666666665</v>
      </c>
      <c r="F44" s="33"/>
      <c r="G44" s="33"/>
      <c r="H44" s="33"/>
      <c r="I44" s="33" t="s">
        <v>787</v>
      </c>
      <c r="J44" s="821">
        <f>J42*6</f>
        <v>165134.96999999997</v>
      </c>
    </row>
    <row r="45" spans="1:10">
      <c r="A45" s="33"/>
      <c r="B45" s="33"/>
      <c r="C45" s="33"/>
      <c r="D45" s="33"/>
      <c r="E45" s="33"/>
      <c r="F45" s="33"/>
      <c r="G45" s="33"/>
      <c r="H45" s="33"/>
      <c r="I45" s="33" t="s">
        <v>786</v>
      </c>
      <c r="J45" s="821">
        <f>J42*19</f>
        <v>522927.40499999991</v>
      </c>
    </row>
    <row r="48" spans="1:10">
      <c r="G48" s="829"/>
    </row>
  </sheetData>
  <mergeCells count="2">
    <mergeCell ref="A33:B33"/>
    <mergeCell ref="A44:B4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ED2CE-7FDF-4C34-A68A-08963E5F0447}">
  <sheetPr>
    <tabColor rgb="FFFFFF00"/>
  </sheetPr>
  <dimension ref="A1:R63"/>
  <sheetViews>
    <sheetView workbookViewId="0">
      <selection sqref="A1:XFD1048576"/>
    </sheetView>
  </sheetViews>
  <sheetFormatPr defaultColWidth="8.85546875" defaultRowHeight="15"/>
  <cols>
    <col min="2" max="2" width="9.85546875" bestFit="1" customWidth="1"/>
    <col min="3" max="3" width="11.85546875" customWidth="1"/>
    <col min="4" max="4" width="10.85546875" customWidth="1"/>
    <col min="5" max="5" width="14.28515625" customWidth="1"/>
    <col min="6" max="6" width="11.85546875" customWidth="1"/>
    <col min="7" max="9" width="14.28515625" customWidth="1"/>
    <col min="10" max="10" width="12" customWidth="1"/>
    <col min="11" max="11" width="15.28515625" customWidth="1"/>
    <col min="12" max="12" width="11.42578125" customWidth="1"/>
    <col min="13" max="13" width="12.85546875" customWidth="1"/>
    <col min="14" max="14" width="14.140625" customWidth="1"/>
    <col min="16" max="16" width="11.140625" customWidth="1"/>
    <col min="17" max="17" width="13" customWidth="1"/>
    <col min="18" max="18" width="14.140625" customWidth="1"/>
    <col min="19" max="19" width="15.7109375" customWidth="1"/>
    <col min="20" max="21" width="9" bestFit="1" customWidth="1"/>
    <col min="22" max="23" width="9.140625" bestFit="1" customWidth="1"/>
    <col min="24" max="25" width="9" bestFit="1" customWidth="1"/>
    <col min="26" max="26" width="15" bestFit="1" customWidth="1"/>
    <col min="27" max="27" width="10.85546875" bestFit="1" customWidth="1"/>
    <col min="28" max="28" width="9.140625" bestFit="1" customWidth="1"/>
    <col min="29" max="29" width="9.28515625" bestFit="1" customWidth="1"/>
    <col min="30" max="30" width="10.85546875" bestFit="1" customWidth="1"/>
  </cols>
  <sheetData>
    <row r="1" spans="1:17" s="845" customFormat="1">
      <c r="A1" s="845" t="s">
        <v>243</v>
      </c>
      <c r="B1" s="861" t="s">
        <v>816</v>
      </c>
    </row>
    <row r="2" spans="1:17" s="844" customFormat="1">
      <c r="A2" s="845" t="s">
        <v>341</v>
      </c>
      <c r="B2" s="862" t="s">
        <v>815</v>
      </c>
      <c r="C2" s="844">
        <f>Q14</f>
        <v>320824.34999999998</v>
      </c>
      <c r="D2" s="862">
        <f>Q17</f>
        <v>1012958.1</v>
      </c>
      <c r="E2" s="862">
        <f>Q30</f>
        <v>5576155.2000000002</v>
      </c>
    </row>
    <row r="3" spans="1:17" s="844" customFormat="1">
      <c r="A3" s="845"/>
      <c r="B3" s="862" t="s">
        <v>559</v>
      </c>
      <c r="C3" s="861">
        <f>R42</f>
        <v>94085.38333333339</v>
      </c>
      <c r="D3" s="861">
        <f>R45</f>
        <v>338707.38000000024</v>
      </c>
      <c r="E3" s="861">
        <f>R58</f>
        <v>1561817.3633333342</v>
      </c>
    </row>
    <row r="5" spans="1:17">
      <c r="A5" s="845" t="s">
        <v>560</v>
      </c>
    </row>
    <row r="6" spans="1:17">
      <c r="A6">
        <v>17.5</v>
      </c>
      <c r="B6" t="s">
        <v>561</v>
      </c>
    </row>
    <row r="7" spans="1:17">
      <c r="A7">
        <v>0.45</v>
      </c>
      <c r="B7" t="s">
        <v>562</v>
      </c>
    </row>
    <row r="8" spans="1:17">
      <c r="A8">
        <f>A6*A7</f>
        <v>7.875</v>
      </c>
      <c r="B8" t="s">
        <v>563</v>
      </c>
    </row>
    <row r="9" spans="1:17" ht="15.75" thickBot="1"/>
    <row r="10" spans="1:17" ht="90.75" thickBot="1">
      <c r="A10" s="860" t="s">
        <v>195</v>
      </c>
      <c r="B10" s="859" t="s">
        <v>342</v>
      </c>
      <c r="C10" s="858" t="s">
        <v>343</v>
      </c>
      <c r="D10" s="858"/>
      <c r="E10" s="858" t="s">
        <v>344</v>
      </c>
      <c r="F10" s="858" t="s">
        <v>814</v>
      </c>
      <c r="G10" s="858" t="s">
        <v>564</v>
      </c>
      <c r="H10" s="858" t="s">
        <v>565</v>
      </c>
      <c r="I10" s="858" t="s">
        <v>566</v>
      </c>
      <c r="J10" s="858" t="s">
        <v>567</v>
      </c>
      <c r="K10" s="858" t="s">
        <v>348</v>
      </c>
      <c r="L10" s="858" t="s">
        <v>568</v>
      </c>
      <c r="M10" s="858" t="s">
        <v>569</v>
      </c>
      <c r="N10" s="858" t="s">
        <v>347</v>
      </c>
      <c r="O10" s="858" t="s">
        <v>570</v>
      </c>
      <c r="P10" s="858" t="s">
        <v>571</v>
      </c>
    </row>
    <row r="11" spans="1:17" ht="15.75" thickBot="1">
      <c r="A11" s="857">
        <v>1</v>
      </c>
      <c r="B11" s="241">
        <v>1000</v>
      </c>
      <c r="C11" s="852">
        <f>A8</f>
        <v>7.875</v>
      </c>
      <c r="D11" s="852">
        <v>0.47</v>
      </c>
      <c r="E11" s="843">
        <f>B11*C11</f>
        <v>7875</v>
      </c>
      <c r="F11" s="843">
        <f>E11*0.25</f>
        <v>1968.75</v>
      </c>
      <c r="G11" s="843">
        <f>E11-F11</f>
        <v>5906.25</v>
      </c>
      <c r="H11" s="843">
        <f>G11*0.28</f>
        <v>1653.7500000000002</v>
      </c>
      <c r="I11" s="843">
        <v>0</v>
      </c>
      <c r="J11" s="843"/>
      <c r="K11" s="843"/>
      <c r="L11" s="843"/>
      <c r="M11" s="843"/>
      <c r="N11" s="843">
        <f>SUM(G11:H11)</f>
        <v>7560</v>
      </c>
      <c r="O11" s="843">
        <f>N11</f>
        <v>7560</v>
      </c>
      <c r="P11" s="843">
        <f>O11*0.47*44/12</f>
        <v>13028.4</v>
      </c>
    </row>
    <row r="12" spans="1:17" ht="15.75" thickBot="1">
      <c r="A12" s="857">
        <v>2</v>
      </c>
      <c r="B12" s="843">
        <v>4000</v>
      </c>
      <c r="C12" s="852">
        <f>C11</f>
        <v>7.875</v>
      </c>
      <c r="D12" s="852">
        <v>0.47</v>
      </c>
      <c r="E12" s="843">
        <f>B12*C12</f>
        <v>31500</v>
      </c>
      <c r="F12" s="843">
        <f>E12*0.25</f>
        <v>7875</v>
      </c>
      <c r="G12" s="843">
        <f>E12-F12</f>
        <v>23625</v>
      </c>
      <c r="H12" s="843">
        <f>G12*0.28</f>
        <v>6615.0000000000009</v>
      </c>
      <c r="I12" s="843">
        <v>0</v>
      </c>
      <c r="J12" s="843"/>
      <c r="K12" s="843"/>
      <c r="L12" s="843"/>
      <c r="M12" s="843"/>
      <c r="N12" s="843">
        <f>SUM(G12,H12,N11)</f>
        <v>37800</v>
      </c>
      <c r="O12" s="843">
        <f>N12-N11</f>
        <v>30240</v>
      </c>
      <c r="P12" s="843">
        <f>((O12*0.47)*44/12)</f>
        <v>52113.599999999999</v>
      </c>
      <c r="Q12" t="s">
        <v>813</v>
      </c>
    </row>
    <row r="13" spans="1:17" ht="15.75" thickBot="1">
      <c r="A13" s="857">
        <v>3</v>
      </c>
      <c r="B13" s="843">
        <v>8000</v>
      </c>
      <c r="C13" s="852">
        <f>C12</f>
        <v>7.875</v>
      </c>
      <c r="D13" s="852">
        <v>0.47</v>
      </c>
      <c r="E13" s="843">
        <f>B13*C13</f>
        <v>63000</v>
      </c>
      <c r="F13" s="843">
        <f>E13*0.25</f>
        <v>15750</v>
      </c>
      <c r="G13" s="843">
        <f>E13-F13</f>
        <v>47250</v>
      </c>
      <c r="H13" s="843">
        <f>G13*0.28</f>
        <v>13230.000000000002</v>
      </c>
      <c r="I13" s="843"/>
      <c r="J13" s="843"/>
      <c r="K13" s="843"/>
      <c r="L13" s="843"/>
      <c r="M13" s="843"/>
      <c r="N13" s="843">
        <f>SUM(G13,H13,N12)</f>
        <v>98280</v>
      </c>
      <c r="O13" s="843">
        <f>N13-N12</f>
        <v>60480</v>
      </c>
      <c r="P13" s="843">
        <f>((O13*0.47)*44/12)</f>
        <v>104227.2</v>
      </c>
      <c r="Q13" t="s">
        <v>781</v>
      </c>
    </row>
    <row r="14" spans="1:17" ht="15.75" thickBot="1">
      <c r="A14" s="857">
        <v>4</v>
      </c>
      <c r="B14" s="843">
        <v>13000</v>
      </c>
      <c r="C14" s="852">
        <f>C13</f>
        <v>7.875</v>
      </c>
      <c r="D14" s="852">
        <v>0.47</v>
      </c>
      <c r="E14" s="843">
        <f>B14*C14</f>
        <v>102375</v>
      </c>
      <c r="F14" s="843">
        <f>E14*0.25</f>
        <v>25593.75</v>
      </c>
      <c r="G14" s="843">
        <f>E14-F14</f>
        <v>76781.25</v>
      </c>
      <c r="H14" s="843">
        <f>G14*0.28</f>
        <v>21498.750000000004</v>
      </c>
      <c r="I14" s="843">
        <f>(G11*4)*0.44</f>
        <v>10395</v>
      </c>
      <c r="J14" s="843"/>
      <c r="K14" s="843"/>
      <c r="L14" s="843"/>
      <c r="M14" s="843"/>
      <c r="N14" s="843">
        <f>SUM(G14,H14,N13)-I14</f>
        <v>186165</v>
      </c>
      <c r="O14" s="843">
        <f>N14-N13</f>
        <v>87885</v>
      </c>
      <c r="P14" s="843">
        <f>((O14*0.47)*44/12)</f>
        <v>151455.15</v>
      </c>
      <c r="Q14" s="842">
        <f>SUM(P11:P14)</f>
        <v>320824.34999999998</v>
      </c>
    </row>
    <row r="15" spans="1:17" ht="15.75" thickBot="1">
      <c r="A15" s="857">
        <v>5</v>
      </c>
      <c r="B15" s="843">
        <v>18000</v>
      </c>
      <c r="C15" s="852">
        <f>C14</f>
        <v>7.875</v>
      </c>
      <c r="D15" s="852">
        <v>0.47</v>
      </c>
      <c r="E15" s="843">
        <f>B15*C15</f>
        <v>141750</v>
      </c>
      <c r="F15" s="843">
        <f>E15*0.25</f>
        <v>35437.5</v>
      </c>
      <c r="G15" s="843">
        <f>E15-F15</f>
        <v>106312.5</v>
      </c>
      <c r="H15" s="843">
        <f>G15*0.28</f>
        <v>29767.500000000004</v>
      </c>
      <c r="I15" s="843">
        <f>I14</f>
        <v>10395</v>
      </c>
      <c r="J15" s="843"/>
      <c r="K15" s="843"/>
      <c r="L15" s="843"/>
      <c r="M15" s="843"/>
      <c r="N15" s="843">
        <f>SUM(G15,H15,N14)-I15</f>
        <v>311850</v>
      </c>
      <c r="O15" s="843">
        <f>N15-N14</f>
        <v>125685</v>
      </c>
      <c r="P15" s="843">
        <f>((O15*0.47)*44/12)</f>
        <v>216597.15</v>
      </c>
    </row>
    <row r="16" spans="1:17" ht="15.75" thickBot="1">
      <c r="A16" s="857">
        <v>6</v>
      </c>
      <c r="B16" s="843">
        <v>22000</v>
      </c>
      <c r="C16" s="852">
        <f>C15</f>
        <v>7.875</v>
      </c>
      <c r="D16" s="852">
        <v>0.47</v>
      </c>
      <c r="E16" s="843">
        <f>B16*C16</f>
        <v>173250</v>
      </c>
      <c r="F16" s="843">
        <f>E16*0.25</f>
        <v>43312.5</v>
      </c>
      <c r="G16" s="843">
        <f>E16-F16</f>
        <v>129937.5</v>
      </c>
      <c r="H16" s="843">
        <f>G16*0.28</f>
        <v>36382.5</v>
      </c>
      <c r="I16" s="843">
        <f>((G13-G12)*4)*0.44</f>
        <v>41580</v>
      </c>
      <c r="J16" s="843"/>
      <c r="K16" s="843"/>
      <c r="L16" s="843"/>
      <c r="M16" s="843"/>
      <c r="N16" s="843">
        <f>SUM(G16,H16,N15)-I16</f>
        <v>436590</v>
      </c>
      <c r="O16" s="843">
        <f>N16-N15</f>
        <v>124740</v>
      </c>
      <c r="P16" s="843">
        <f>((O16*0.47)*44/12)</f>
        <v>214968.59999999998</v>
      </c>
      <c r="Q16" t="s">
        <v>812</v>
      </c>
    </row>
    <row r="17" spans="1:17" ht="15.75" thickBot="1">
      <c r="A17" s="857">
        <v>7</v>
      </c>
      <c r="B17" s="843">
        <v>25500</v>
      </c>
      <c r="C17" s="852">
        <f>C16</f>
        <v>7.875</v>
      </c>
      <c r="D17" s="852">
        <v>0.47</v>
      </c>
      <c r="E17" s="843">
        <f>B17*C17</f>
        <v>200812.5</v>
      </c>
      <c r="F17" s="843">
        <f>E17*0.25</f>
        <v>50203.125</v>
      </c>
      <c r="G17" s="843">
        <f>E17-F17</f>
        <v>150609.375</v>
      </c>
      <c r="H17" s="843">
        <f>G17*0.28</f>
        <v>42170.625000000007</v>
      </c>
      <c r="I17" s="843">
        <f>I16</f>
        <v>41580</v>
      </c>
      <c r="J17" s="843"/>
      <c r="K17" s="843"/>
      <c r="L17" s="843"/>
      <c r="M17" s="843"/>
      <c r="N17" s="843">
        <f>SUM(G17,H17,N16)-I17</f>
        <v>587790</v>
      </c>
      <c r="O17" s="843">
        <f>N17-N16</f>
        <v>151200</v>
      </c>
      <c r="P17" s="843">
        <f>((O17*0.47)*44/12)</f>
        <v>260568</v>
      </c>
      <c r="Q17" s="842">
        <f>SUM(P11:P17)</f>
        <v>1012958.1</v>
      </c>
    </row>
    <row r="18" spans="1:17" ht="15.75" thickBot="1">
      <c r="A18" s="857">
        <v>8</v>
      </c>
      <c r="B18" s="843">
        <v>25500</v>
      </c>
      <c r="C18" s="852">
        <f>C17</f>
        <v>7.875</v>
      </c>
      <c r="D18" s="852">
        <v>0.47</v>
      </c>
      <c r="E18" s="843">
        <f>B18*C18</f>
        <v>200812.5</v>
      </c>
      <c r="F18" s="843"/>
      <c r="G18" s="843">
        <f>E18-F18</f>
        <v>200812.5</v>
      </c>
      <c r="H18" s="843">
        <f>G18*0.28</f>
        <v>56227.500000000007</v>
      </c>
      <c r="I18" s="843">
        <f>I17</f>
        <v>41580</v>
      </c>
      <c r="J18" s="843">
        <f>(G11*8-I14)*0.44</f>
        <v>16216.2</v>
      </c>
      <c r="K18" s="843"/>
      <c r="L18" s="843"/>
      <c r="M18" s="843"/>
      <c r="N18" s="843">
        <f>SUM(G18,H18,N17)-I18-J18</f>
        <v>787033.8</v>
      </c>
      <c r="O18" s="843">
        <f>N18-N17</f>
        <v>199243.80000000005</v>
      </c>
      <c r="P18" s="843">
        <f>((O18*0.47)*44/12)</f>
        <v>343363.48200000002</v>
      </c>
    </row>
    <row r="19" spans="1:17" ht="15.75" thickBot="1">
      <c r="A19" s="857">
        <v>9</v>
      </c>
      <c r="B19" s="843">
        <v>25500</v>
      </c>
      <c r="C19" s="852">
        <f>C18</f>
        <v>7.875</v>
      </c>
      <c r="D19" s="852">
        <v>0.47</v>
      </c>
      <c r="E19" s="843">
        <f>B19*C19</f>
        <v>200812.5</v>
      </c>
      <c r="F19" s="843"/>
      <c r="G19" s="843">
        <f>E19-F19</f>
        <v>200812.5</v>
      </c>
      <c r="H19" s="843">
        <f>G19*0.28</f>
        <v>56227.500000000007</v>
      </c>
      <c r="I19" s="843">
        <f>I18</f>
        <v>41580</v>
      </c>
      <c r="J19" s="843">
        <f>J18</f>
        <v>16216.2</v>
      </c>
      <c r="K19" s="843"/>
      <c r="L19" s="843"/>
      <c r="M19" s="843"/>
      <c r="N19" s="843">
        <f>SUM(G19,H19,N18)-I19-J19</f>
        <v>986277.60000000009</v>
      </c>
      <c r="O19" s="843">
        <f>N19-N18</f>
        <v>199243.80000000005</v>
      </c>
      <c r="P19" s="843">
        <f>((O19*0.47)*44/12)</f>
        <v>343363.48200000002</v>
      </c>
    </row>
    <row r="20" spans="1:17" ht="15.75" thickBot="1">
      <c r="A20" s="857">
        <v>10</v>
      </c>
      <c r="B20" s="843">
        <v>25500</v>
      </c>
      <c r="C20" s="852">
        <f>C19</f>
        <v>7.875</v>
      </c>
      <c r="D20" s="852">
        <v>0.47</v>
      </c>
      <c r="E20" s="843">
        <f>B20*C20</f>
        <v>200812.5</v>
      </c>
      <c r="F20" s="843"/>
      <c r="G20" s="843">
        <f>E20-F20</f>
        <v>200812.5</v>
      </c>
      <c r="H20" s="843">
        <f>G20*0.28</f>
        <v>56227.500000000007</v>
      </c>
      <c r="I20" s="843">
        <f>I19</f>
        <v>41580</v>
      </c>
      <c r="J20" s="843">
        <f>((G13-G12)*8)*0.4</f>
        <v>75600</v>
      </c>
      <c r="K20" s="843"/>
      <c r="L20" s="843"/>
      <c r="M20" s="843"/>
      <c r="N20" s="843">
        <f>SUM(G20,H20,N19)-I20-J20</f>
        <v>1126137.6000000001</v>
      </c>
      <c r="O20" s="843">
        <f>N20-N19</f>
        <v>139860</v>
      </c>
      <c r="P20" s="843">
        <f>((O20*0.47)*44/12)</f>
        <v>241025.4</v>
      </c>
    </row>
    <row r="21" spans="1:17" ht="15.75" thickBot="1">
      <c r="A21" s="857">
        <v>11</v>
      </c>
      <c r="B21" s="843">
        <v>25500</v>
      </c>
      <c r="C21" s="852">
        <f>C20</f>
        <v>7.875</v>
      </c>
      <c r="D21" s="852">
        <v>0.47</v>
      </c>
      <c r="E21" s="843">
        <f>B21*C21</f>
        <v>200812.5</v>
      </c>
      <c r="F21" s="843"/>
      <c r="G21" s="843">
        <f>E21-F21</f>
        <v>200812.5</v>
      </c>
      <c r="H21" s="843">
        <f>G21*0.28</f>
        <v>56227.500000000007</v>
      </c>
      <c r="I21" s="843">
        <f>I20</f>
        <v>41580</v>
      </c>
      <c r="J21" s="843">
        <f>J20</f>
        <v>75600</v>
      </c>
      <c r="K21" s="843"/>
      <c r="L21" s="843"/>
      <c r="M21" s="843"/>
      <c r="N21" s="843">
        <f>SUM(G21,H21,N20)-I21-J21</f>
        <v>1265997.6000000001</v>
      </c>
      <c r="O21" s="843">
        <f>N21-N20</f>
        <v>139860</v>
      </c>
      <c r="P21" s="843">
        <f>((O21*0.47)*44/12)</f>
        <v>241025.4</v>
      </c>
    </row>
    <row r="22" spans="1:17" ht="15.75" thickBot="1">
      <c r="A22" s="857">
        <v>12</v>
      </c>
      <c r="B22" s="843">
        <v>25500</v>
      </c>
      <c r="C22" s="852">
        <f>C21</f>
        <v>7.875</v>
      </c>
      <c r="D22" s="852">
        <v>0.47</v>
      </c>
      <c r="E22" s="843">
        <f>B22*C22</f>
        <v>200812.5</v>
      </c>
      <c r="F22" s="843"/>
      <c r="G22" s="843">
        <f>E22-F22</f>
        <v>200812.5</v>
      </c>
      <c r="H22" s="843">
        <f>G22*0.28</f>
        <v>56227.500000000007</v>
      </c>
      <c r="I22" s="843"/>
      <c r="J22" s="843">
        <f>J21</f>
        <v>75600</v>
      </c>
      <c r="K22" s="843">
        <f>(G11*12)-SUM(I14,J18)</f>
        <v>44263.8</v>
      </c>
      <c r="L22" s="843"/>
      <c r="M22" s="843"/>
      <c r="N22" s="843">
        <f>SUM(G22,H22,N21)-I22-J22-K22</f>
        <v>1403173.8</v>
      </c>
      <c r="O22" s="843">
        <f>N22-N21</f>
        <v>137176.19999999995</v>
      </c>
      <c r="P22" s="843">
        <f>((O22*0.47)*44/12)</f>
        <v>236400.31799999994</v>
      </c>
    </row>
    <row r="23" spans="1:17" ht="15.75" thickBot="1">
      <c r="A23" s="857">
        <v>13</v>
      </c>
      <c r="B23" s="843">
        <v>25500</v>
      </c>
      <c r="C23" s="852">
        <f>C22</f>
        <v>7.875</v>
      </c>
      <c r="D23" s="852">
        <v>0.47</v>
      </c>
      <c r="E23" s="843">
        <f>B23*C23</f>
        <v>200812.5</v>
      </c>
      <c r="F23" s="843"/>
      <c r="G23" s="843">
        <f>E23-F23</f>
        <v>200812.5</v>
      </c>
      <c r="H23" s="843">
        <f>G23*0.28</f>
        <v>56227.500000000007</v>
      </c>
      <c r="I23" s="843"/>
      <c r="J23" s="843">
        <f>J22</f>
        <v>75600</v>
      </c>
      <c r="K23" s="843">
        <f>K22</f>
        <v>44263.8</v>
      </c>
      <c r="L23" s="843">
        <f>SUM(G11:H11)</f>
        <v>7560</v>
      </c>
      <c r="M23" s="843"/>
      <c r="N23" s="843">
        <f>SUM(G23,H23,N22)-I23-J23-K23+L23</f>
        <v>1547910</v>
      </c>
      <c r="O23" s="843">
        <f>N23-N22</f>
        <v>144736.19999999995</v>
      </c>
      <c r="P23" s="843">
        <f>((O23*0.47)*44/12)</f>
        <v>249428.71799999991</v>
      </c>
    </row>
    <row r="24" spans="1:17" ht="15.75" thickBot="1">
      <c r="A24" s="857">
        <v>14</v>
      </c>
      <c r="B24" s="843">
        <v>25500</v>
      </c>
      <c r="C24" s="852">
        <f>C23</f>
        <v>7.875</v>
      </c>
      <c r="D24" s="852">
        <v>0.47</v>
      </c>
      <c r="E24" s="843">
        <f>B24*C24</f>
        <v>200812.5</v>
      </c>
      <c r="F24" s="843"/>
      <c r="G24" s="843">
        <f>E24-F24</f>
        <v>200812.5</v>
      </c>
      <c r="H24" s="843">
        <f>G24*0.28</f>
        <v>56227.500000000007</v>
      </c>
      <c r="I24" s="843"/>
      <c r="J24" s="843">
        <f>J23</f>
        <v>75600</v>
      </c>
      <c r="K24" s="843">
        <f>((G13-G12)*12)-SUM(I16,J20)</f>
        <v>166320</v>
      </c>
      <c r="L24" s="843">
        <f>SUM(G12:H12)</f>
        <v>30240</v>
      </c>
      <c r="M24" s="843"/>
      <c r="N24" s="843">
        <f>SUM(G24,H24,N23)-I24-J24-K24+L24</f>
        <v>1593270</v>
      </c>
      <c r="O24" s="843">
        <f>N24-N23</f>
        <v>45360</v>
      </c>
      <c r="P24" s="843">
        <f>((O24*0.47)*44/12)</f>
        <v>78170.39999999998</v>
      </c>
    </row>
    <row r="25" spans="1:17" ht="15.75" thickBot="1">
      <c r="A25" s="857">
        <v>15</v>
      </c>
      <c r="B25" s="843">
        <v>25500</v>
      </c>
      <c r="C25" s="852">
        <f>C24</f>
        <v>7.875</v>
      </c>
      <c r="D25" s="852">
        <v>0.47</v>
      </c>
      <c r="E25" s="843">
        <f>B25*C25</f>
        <v>200812.5</v>
      </c>
      <c r="F25" s="843"/>
      <c r="G25" s="843">
        <f>E25-F25</f>
        <v>200812.5</v>
      </c>
      <c r="H25" s="843">
        <f>G25*0.28</f>
        <v>56227.500000000007</v>
      </c>
      <c r="I25" s="843"/>
      <c r="J25" s="843"/>
      <c r="K25" s="843">
        <f>K24</f>
        <v>166320</v>
      </c>
      <c r="L25" s="843">
        <f>SUM(G13:H13)</f>
        <v>60480</v>
      </c>
      <c r="M25" s="843"/>
      <c r="N25" s="843">
        <f>SUM(G25,H25,N24)-I25-J25-K25+L25</f>
        <v>1744470</v>
      </c>
      <c r="O25" s="843">
        <f>N25-N24</f>
        <v>151200</v>
      </c>
      <c r="P25" s="843">
        <f>((O25*0.47)*44/12)</f>
        <v>260568</v>
      </c>
    </row>
    <row r="26" spans="1:17" ht="15.75" thickBot="1">
      <c r="A26" s="857">
        <v>16</v>
      </c>
      <c r="B26" s="843">
        <v>25500</v>
      </c>
      <c r="C26" s="852">
        <f>C25</f>
        <v>7.875</v>
      </c>
      <c r="D26" s="852">
        <v>0.47</v>
      </c>
      <c r="E26" s="843">
        <f>B26*C26</f>
        <v>200812.5</v>
      </c>
      <c r="F26" s="843"/>
      <c r="G26" s="843">
        <f>E26-F26</f>
        <v>200812.5</v>
      </c>
      <c r="H26" s="843">
        <f>G26*0.28</f>
        <v>56227.500000000007</v>
      </c>
      <c r="I26" s="843"/>
      <c r="J26" s="843"/>
      <c r="K26" s="843">
        <f>K25</f>
        <v>166320</v>
      </c>
      <c r="L26" s="843">
        <f>SUM(G14:H14)</f>
        <v>98280</v>
      </c>
      <c r="M26" s="843">
        <f>I14</f>
        <v>10395</v>
      </c>
      <c r="N26" s="843">
        <f>SUM(G26,H26,N25)-I26-J26-K26+L26-M26</f>
        <v>1923075</v>
      </c>
      <c r="O26" s="843">
        <f>N26-N25</f>
        <v>178605</v>
      </c>
      <c r="P26" s="843">
        <f>((O26*0.47)*44/12)</f>
        <v>307795.94999999995</v>
      </c>
    </row>
    <row r="27" spans="1:17" ht="15.75" thickBot="1">
      <c r="A27" s="857">
        <v>17</v>
      </c>
      <c r="B27" s="843">
        <v>25500</v>
      </c>
      <c r="C27" s="852">
        <f>C26</f>
        <v>7.875</v>
      </c>
      <c r="D27" s="852">
        <v>0.47</v>
      </c>
      <c r="E27" s="843">
        <f>B27*C27</f>
        <v>200812.5</v>
      </c>
      <c r="F27" s="843"/>
      <c r="G27" s="843">
        <f>E27-F27</f>
        <v>200812.5</v>
      </c>
      <c r="H27" s="843">
        <f>G27*0.28</f>
        <v>56227.500000000007</v>
      </c>
      <c r="I27" s="843"/>
      <c r="J27" s="843"/>
      <c r="K27" s="843">
        <f>K26</f>
        <v>166320</v>
      </c>
      <c r="L27" s="843">
        <f>SUM(G15:H15)</f>
        <v>136080</v>
      </c>
      <c r="M27" s="843">
        <f>I15</f>
        <v>10395</v>
      </c>
      <c r="N27" s="843">
        <f>SUM(G27,H27,N26)-I27-J27-K27+L27-M27</f>
        <v>2139480</v>
      </c>
      <c r="O27" s="843">
        <f>N27-N26</f>
        <v>216405</v>
      </c>
      <c r="P27" s="843">
        <f>((O27*0.47)*44/12)</f>
        <v>372937.94999999995</v>
      </c>
    </row>
    <row r="28" spans="1:17" ht="15.75" thickBot="1">
      <c r="A28" s="857">
        <v>18</v>
      </c>
      <c r="B28" s="843">
        <v>25500</v>
      </c>
      <c r="C28" s="852">
        <f>C27</f>
        <v>7.875</v>
      </c>
      <c r="D28" s="852">
        <v>0.47</v>
      </c>
      <c r="E28" s="843">
        <f>B28*C28</f>
        <v>200812.5</v>
      </c>
      <c r="F28" s="843"/>
      <c r="G28" s="843">
        <f>E28-F28</f>
        <v>200812.5</v>
      </c>
      <c r="H28" s="843">
        <f>G28*0.28</f>
        <v>56227.500000000007</v>
      </c>
      <c r="I28" s="843"/>
      <c r="J28" s="843"/>
      <c r="K28" s="843">
        <f>K27</f>
        <v>166320</v>
      </c>
      <c r="L28" s="843">
        <f>SUM(G16:H16)</f>
        <v>166320</v>
      </c>
      <c r="M28" s="843">
        <f>I16</f>
        <v>41580</v>
      </c>
      <c r="N28" s="843">
        <f>SUM(G28,H28,N27)-I28-J28-K28+L28-M28</f>
        <v>2354940</v>
      </c>
      <c r="O28" s="843">
        <f>N28-N27</f>
        <v>215460</v>
      </c>
      <c r="P28" s="843">
        <f>((O28*0.47)*44/12)</f>
        <v>371309.39999999997</v>
      </c>
    </row>
    <row r="29" spans="1:17" ht="15.75" thickBot="1">
      <c r="A29" s="857">
        <v>19</v>
      </c>
      <c r="B29" s="843">
        <v>25500</v>
      </c>
      <c r="C29" s="852">
        <f>C28</f>
        <v>7.875</v>
      </c>
      <c r="D29" s="852">
        <v>0.47</v>
      </c>
      <c r="E29" s="843">
        <f>B29*C29</f>
        <v>200812.5</v>
      </c>
      <c r="F29" s="843"/>
      <c r="G29" s="843">
        <f>E29-F29</f>
        <v>200812.5</v>
      </c>
      <c r="H29" s="843">
        <f>G29*0.28</f>
        <v>56227.500000000007</v>
      </c>
      <c r="I29" s="843"/>
      <c r="J29" s="843"/>
      <c r="K29" s="843"/>
      <c r="L29" s="843">
        <f>SUM(G17:H17)</f>
        <v>192780</v>
      </c>
      <c r="M29" s="843">
        <f>I17</f>
        <v>41580</v>
      </c>
      <c r="N29" s="843">
        <f>SUM(G29,H29,N28)-I29-J29-K29+L29-M29</f>
        <v>2763180</v>
      </c>
      <c r="O29" s="843">
        <f>N29-N28</f>
        <v>408240</v>
      </c>
      <c r="P29" s="843">
        <f>((O29*0.47)*44/12)</f>
        <v>703533.6</v>
      </c>
      <c r="Q29" t="s">
        <v>811</v>
      </c>
    </row>
    <row r="30" spans="1:17" ht="15.75" thickBot="1">
      <c r="A30" s="857">
        <v>20</v>
      </c>
      <c r="B30" s="843">
        <v>25500</v>
      </c>
      <c r="C30" s="852">
        <f>C29</f>
        <v>7.875</v>
      </c>
      <c r="D30" s="852">
        <v>0.47</v>
      </c>
      <c r="E30" s="843">
        <f>B30*C30</f>
        <v>200812.5</v>
      </c>
      <c r="F30" s="843"/>
      <c r="G30" s="843">
        <f>E30-F30</f>
        <v>200812.5</v>
      </c>
      <c r="H30" s="843">
        <f>G30*0.28</f>
        <v>56227.500000000007</v>
      </c>
      <c r="I30" s="843"/>
      <c r="J30" s="843"/>
      <c r="K30" s="843"/>
      <c r="L30" s="843">
        <f>SUM(G18:H18)</f>
        <v>257040</v>
      </c>
      <c r="M30" s="843">
        <f>I18</f>
        <v>41580</v>
      </c>
      <c r="N30" s="843">
        <f>SUM(G30,H30,N29)-I30-J30-K30+L30-M30</f>
        <v>3235680</v>
      </c>
      <c r="O30" s="843">
        <f>N30-N29</f>
        <v>472500</v>
      </c>
      <c r="P30" s="843">
        <f>((O30*0.47)*44/12)</f>
        <v>814275</v>
      </c>
      <c r="Q30" s="842">
        <f>SUM(P11:P30)</f>
        <v>5576155.2000000002</v>
      </c>
    </row>
    <row r="31" spans="1:17" ht="15.75" thickBot="1">
      <c r="A31" s="856" t="s">
        <v>324</v>
      </c>
      <c r="B31" s="843">
        <v>25500</v>
      </c>
      <c r="C31" s="852"/>
      <c r="D31" s="852"/>
      <c r="E31" s="843"/>
      <c r="F31" s="843"/>
      <c r="G31" s="855"/>
      <c r="H31" s="843"/>
      <c r="I31" s="843"/>
      <c r="J31" s="843"/>
      <c r="K31" s="843"/>
      <c r="L31" s="843"/>
      <c r="M31" s="843"/>
      <c r="N31" s="843" t="s">
        <v>572</v>
      </c>
      <c r="O31" s="843"/>
      <c r="P31" s="843">
        <f>SUM(P11:P17)</f>
        <v>1012958.1</v>
      </c>
    </row>
    <row r="32" spans="1:17" ht="15.75" thickBot="1">
      <c r="A32" s="856"/>
      <c r="B32" s="843"/>
      <c r="C32" s="852"/>
      <c r="D32" s="852"/>
      <c r="E32" s="843"/>
      <c r="F32" s="843"/>
      <c r="G32" s="855"/>
      <c r="H32" s="843"/>
      <c r="I32" s="843"/>
      <c r="J32" s="843"/>
      <c r="K32" s="843"/>
      <c r="L32" s="843"/>
      <c r="N32" s="854" t="s">
        <v>573</v>
      </c>
      <c r="O32" s="854"/>
      <c r="P32" s="854">
        <f>SUM(P11:P30)</f>
        <v>5576155.2000000002</v>
      </c>
    </row>
    <row r="33" spans="1:18" ht="57.95" customHeight="1" thickBot="1">
      <c r="A33" s="853" t="s">
        <v>810</v>
      </c>
      <c r="B33" s="843">
        <v>26000</v>
      </c>
      <c r="C33" s="852">
        <v>9.625</v>
      </c>
      <c r="D33" s="852">
        <v>0.47</v>
      </c>
      <c r="E33" s="843">
        <f>B33*C33</f>
        <v>250250</v>
      </c>
      <c r="F33" s="843">
        <f>E33*0.1</f>
        <v>25025</v>
      </c>
      <c r="G33" s="851"/>
      <c r="H33" s="851"/>
      <c r="I33" s="851"/>
      <c r="J33" s="851"/>
      <c r="K33" s="851"/>
      <c r="L33" s="851"/>
    </row>
    <row r="34" spans="1:18">
      <c r="B34" s="842"/>
      <c r="E34" s="1"/>
      <c r="F34" s="1"/>
      <c r="G34" s="1"/>
      <c r="H34" s="1"/>
      <c r="I34" s="1"/>
      <c r="J34" s="1"/>
    </row>
    <row r="36" spans="1:18" ht="41.1" customHeight="1">
      <c r="A36" s="850" t="s">
        <v>350</v>
      </c>
      <c r="B36" s="850"/>
      <c r="C36" s="850"/>
      <c r="D36" s="849"/>
      <c r="E36" s="849"/>
      <c r="F36" s="849"/>
      <c r="G36" s="849"/>
      <c r="H36" s="849"/>
      <c r="I36" s="849"/>
    </row>
    <row r="38" spans="1:18" ht="128.25">
      <c r="A38" s="173" t="s">
        <v>313</v>
      </c>
      <c r="B38" s="173" t="s">
        <v>314</v>
      </c>
      <c r="C38" s="826" t="s">
        <v>574</v>
      </c>
      <c r="D38" s="174" t="s">
        <v>315</v>
      </c>
      <c r="E38" s="174" t="s">
        <v>316</v>
      </c>
      <c r="F38" s="174" t="s">
        <v>317</v>
      </c>
      <c r="G38" s="174" t="s">
        <v>318</v>
      </c>
      <c r="H38" s="174" t="s">
        <v>319</v>
      </c>
      <c r="I38" s="174" t="s">
        <v>575</v>
      </c>
      <c r="J38" s="174" t="s">
        <v>320</v>
      </c>
      <c r="K38" s="174" t="s">
        <v>321</v>
      </c>
      <c r="L38" s="174" t="s">
        <v>576</v>
      </c>
      <c r="M38" s="811" t="s">
        <v>577</v>
      </c>
      <c r="N38" s="174" t="s">
        <v>578</v>
      </c>
      <c r="O38" s="174" t="s">
        <v>579</v>
      </c>
      <c r="P38" s="174" t="s">
        <v>580</v>
      </c>
      <c r="Q38" s="826" t="s">
        <v>581</v>
      </c>
    </row>
    <row r="39" spans="1:18">
      <c r="A39" s="244">
        <v>1</v>
      </c>
      <c r="B39" s="241">
        <v>0</v>
      </c>
      <c r="C39" s="223">
        <v>0</v>
      </c>
      <c r="D39" s="241">
        <v>12</v>
      </c>
      <c r="E39" s="241">
        <f>D39*C39</f>
        <v>0</v>
      </c>
      <c r="F39" s="241"/>
      <c r="G39" s="241">
        <f>E39</f>
        <v>0</v>
      </c>
      <c r="H39" s="244">
        <v>2.4</v>
      </c>
      <c r="I39" s="244">
        <v>0.47</v>
      </c>
      <c r="J39" s="245">
        <f>B39*H39*I39</f>
        <v>0</v>
      </c>
      <c r="K39" s="245">
        <f>SUM(J39+G39)</f>
        <v>0</v>
      </c>
      <c r="L39" s="245"/>
      <c r="M39" s="819">
        <f>(C39*0.1*(4.6*0.47))*0.47</f>
        <v>0</v>
      </c>
      <c r="N39" s="245">
        <v>0</v>
      </c>
      <c r="O39" s="245">
        <f>K39-N39-M39-L39</f>
        <v>0</v>
      </c>
      <c r="P39" s="245">
        <f>O39-G39</f>
        <v>0</v>
      </c>
      <c r="Q39" s="819">
        <f>P39*44/12</f>
        <v>0</v>
      </c>
    </row>
    <row r="40" spans="1:18" ht="15.75" thickBot="1">
      <c r="A40" s="244">
        <v>2</v>
      </c>
      <c r="B40" s="843">
        <v>4000</v>
      </c>
      <c r="C40" s="818">
        <f>B40</f>
        <v>4000</v>
      </c>
      <c r="D40" s="245">
        <v>12</v>
      </c>
      <c r="E40" s="245">
        <f>D40*C40</f>
        <v>48000</v>
      </c>
      <c r="F40" s="245">
        <f>O39</f>
        <v>0</v>
      </c>
      <c r="G40" s="245">
        <f>F40+E40</f>
        <v>48000</v>
      </c>
      <c r="H40" s="848">
        <v>2.4</v>
      </c>
      <c r="I40" s="847">
        <v>0.47</v>
      </c>
      <c r="J40" s="245">
        <f>C40*H40*I40</f>
        <v>4512</v>
      </c>
      <c r="K40" s="245">
        <f>SUM(J40+G40)</f>
        <v>52512</v>
      </c>
      <c r="L40" s="245"/>
      <c r="M40" s="819">
        <f>(C40*0.1*(4.6*0.47))*0.47</f>
        <v>406.45599999999996</v>
      </c>
      <c r="N40" s="245">
        <v>0</v>
      </c>
      <c r="O40" s="245">
        <f>K40-N40-M40-L40</f>
        <v>52105.544000000002</v>
      </c>
      <c r="P40" s="245">
        <f>O40-G40</f>
        <v>4105.5440000000017</v>
      </c>
      <c r="Q40" s="819">
        <f>P40*44/12</f>
        <v>15053.661333333339</v>
      </c>
    </row>
    <row r="41" spans="1:18" ht="15.75" thickBot="1">
      <c r="A41" s="244">
        <v>3</v>
      </c>
      <c r="B41" s="843">
        <v>8000</v>
      </c>
      <c r="C41" s="818">
        <f>B41</f>
        <v>8000</v>
      </c>
      <c r="D41" s="245">
        <v>12</v>
      </c>
      <c r="E41" s="245">
        <f>D41*C$40</f>
        <v>48000</v>
      </c>
      <c r="F41" s="245">
        <f>O40</f>
        <v>52105.544000000002</v>
      </c>
      <c r="G41" s="245">
        <f>F41+E41</f>
        <v>100105.54399999999</v>
      </c>
      <c r="H41" s="848">
        <v>2.4</v>
      </c>
      <c r="I41" s="847">
        <v>0.47</v>
      </c>
      <c r="J41" s="245">
        <f>C41*H41*I41</f>
        <v>9024</v>
      </c>
      <c r="K41" s="245">
        <f>SUM(J41+G41)</f>
        <v>109129.54399999999</v>
      </c>
      <c r="L41" s="245"/>
      <c r="M41" s="819">
        <f>(C41*0.1*(4.6*0.47))*0.47</f>
        <v>812.91199999999992</v>
      </c>
      <c r="N41" s="245">
        <v>0</v>
      </c>
      <c r="O41" s="245">
        <f>K41-N41-M41-L41</f>
        <v>108316.632</v>
      </c>
      <c r="P41" s="245">
        <f>O41-G41</f>
        <v>8211.0880000000034</v>
      </c>
      <c r="Q41" s="819">
        <f>P41*44/12</f>
        <v>30107.322666666678</v>
      </c>
      <c r="R41" t="s">
        <v>767</v>
      </c>
    </row>
    <row r="42" spans="1:18" ht="15.75" thickBot="1">
      <c r="A42" s="244">
        <v>4</v>
      </c>
      <c r="B42" s="843">
        <v>13000</v>
      </c>
      <c r="C42" s="818">
        <f>B42</f>
        <v>13000</v>
      </c>
      <c r="D42" s="245">
        <v>12</v>
      </c>
      <c r="E42" s="245">
        <f>D42*C$40</f>
        <v>48000</v>
      </c>
      <c r="F42" s="245">
        <f>O41</f>
        <v>108316.632</v>
      </c>
      <c r="G42" s="245">
        <f>F42+E42</f>
        <v>156316.63199999998</v>
      </c>
      <c r="H42" s="848">
        <v>2.4</v>
      </c>
      <c r="I42" s="847">
        <v>0.47</v>
      </c>
      <c r="J42" s="245">
        <f>C42*H42*I42</f>
        <v>14664</v>
      </c>
      <c r="K42" s="245">
        <f>SUM(J42+G42)</f>
        <v>170980.63199999998</v>
      </c>
      <c r="L42" s="245"/>
      <c r="M42" s="819">
        <f>(C42*0.1*(4.6*0.47))*0.47</f>
        <v>1320.982</v>
      </c>
      <c r="N42" s="245">
        <v>0</v>
      </c>
      <c r="O42" s="245">
        <f>K42-N42-M42-L42</f>
        <v>169659.65</v>
      </c>
      <c r="P42" s="245">
        <f>O42-G42</f>
        <v>13343.018000000011</v>
      </c>
      <c r="Q42" s="819">
        <f>P42*44/12</f>
        <v>48924.399333333371</v>
      </c>
      <c r="R42" s="31">
        <f>SUM(Q39:Q42)</f>
        <v>94085.38333333339</v>
      </c>
    </row>
    <row r="43" spans="1:18" ht="15.75" thickBot="1">
      <c r="A43" s="244">
        <v>5</v>
      </c>
      <c r="B43" s="843">
        <v>18000</v>
      </c>
      <c r="C43" s="818">
        <f>B43</f>
        <v>18000</v>
      </c>
      <c r="D43" s="245">
        <v>12</v>
      </c>
      <c r="E43" s="245">
        <f>D43*C$40</f>
        <v>48000</v>
      </c>
      <c r="F43" s="245">
        <f>O42</f>
        <v>169659.65</v>
      </c>
      <c r="G43" s="245">
        <f>F43+E43</f>
        <v>217659.65</v>
      </c>
      <c r="H43" s="848">
        <v>2.4</v>
      </c>
      <c r="I43" s="847">
        <v>0.47</v>
      </c>
      <c r="J43" s="245">
        <f>C43*H43*I43</f>
        <v>20304</v>
      </c>
      <c r="K43" s="245">
        <f>SUM(J43+G43)</f>
        <v>237963.65</v>
      </c>
      <c r="L43" s="245"/>
      <c r="M43" s="819">
        <f>(C43*0.1*(4.6*0.47))*0.47</f>
        <v>1829.0519999999999</v>
      </c>
      <c r="N43" s="245">
        <v>0</v>
      </c>
      <c r="O43" s="245">
        <f>K43-N43-M43-L43</f>
        <v>236134.598</v>
      </c>
      <c r="P43" s="245">
        <f>O43-G43</f>
        <v>18474.948000000004</v>
      </c>
      <c r="Q43" s="819">
        <f>P43*44/12</f>
        <v>67741.47600000001</v>
      </c>
      <c r="R43" s="796"/>
    </row>
    <row r="44" spans="1:18" ht="15.75" thickBot="1">
      <c r="A44" s="244">
        <v>6</v>
      </c>
      <c r="B44" s="843">
        <v>22000</v>
      </c>
      <c r="C44" s="818">
        <f>B44</f>
        <v>22000</v>
      </c>
      <c r="D44" s="245">
        <v>12</v>
      </c>
      <c r="E44" s="245">
        <f>D44*C$40</f>
        <v>48000</v>
      </c>
      <c r="F44" s="245">
        <f>O43</f>
        <v>236134.598</v>
      </c>
      <c r="G44" s="245">
        <f>F44+E44</f>
        <v>284134.598</v>
      </c>
      <c r="H44" s="244">
        <v>2.4</v>
      </c>
      <c r="I44" s="244">
        <v>0.47</v>
      </c>
      <c r="J44" s="245">
        <f>C44*H44*I44</f>
        <v>24816</v>
      </c>
      <c r="K44" s="245">
        <f>J44+G44</f>
        <v>308950.598</v>
      </c>
      <c r="L44" s="245"/>
      <c r="M44" s="819">
        <f>(C44*0.1*(4.6*0.47))*0.47</f>
        <v>2235.5079999999998</v>
      </c>
      <c r="N44" s="245">
        <v>0</v>
      </c>
      <c r="O44" s="245">
        <f>K44-N44-M44-L44</f>
        <v>306715.09000000003</v>
      </c>
      <c r="P44" s="245">
        <f>O44-G44</f>
        <v>22580.492000000027</v>
      </c>
      <c r="Q44" s="246">
        <f>P44*44/12</f>
        <v>82795.137333333434</v>
      </c>
      <c r="R44" s="648" t="s">
        <v>582</v>
      </c>
    </row>
    <row r="45" spans="1:18" ht="15.75" thickBot="1">
      <c r="A45" s="244">
        <v>7</v>
      </c>
      <c r="B45" s="843">
        <v>25000</v>
      </c>
      <c r="C45" s="818">
        <f>B45</f>
        <v>25000</v>
      </c>
      <c r="D45" s="245">
        <v>12</v>
      </c>
      <c r="E45" s="245">
        <f>D45*C$40</f>
        <v>48000</v>
      </c>
      <c r="F45" s="245">
        <f>O44</f>
        <v>306715.09000000003</v>
      </c>
      <c r="G45" s="245">
        <f>F45+E45</f>
        <v>354715.09</v>
      </c>
      <c r="H45" s="244">
        <v>2.4</v>
      </c>
      <c r="I45" s="244">
        <v>0.47</v>
      </c>
      <c r="J45" s="245">
        <f>C45*H45*I45</f>
        <v>28200</v>
      </c>
      <c r="K45" s="245">
        <f>J45+G45</f>
        <v>382915.09</v>
      </c>
      <c r="L45" s="245"/>
      <c r="M45" s="819">
        <f>(C45*0.1*(4.6*0.47))*0.47</f>
        <v>2540.35</v>
      </c>
      <c r="N45" s="245">
        <v>0</v>
      </c>
      <c r="O45" s="245">
        <f>K45-N45-M45-L45</f>
        <v>380374.74000000005</v>
      </c>
      <c r="P45" s="245">
        <f>O45-G45</f>
        <v>25659.650000000023</v>
      </c>
      <c r="Q45" s="246">
        <f>P45*44/12</f>
        <v>94085.383333333419</v>
      </c>
      <c r="R45" s="31">
        <f>SUM(Q39:Q45)</f>
        <v>338707.38000000024</v>
      </c>
    </row>
    <row r="46" spans="1:18" ht="15.75" thickBot="1">
      <c r="A46" s="244">
        <v>8</v>
      </c>
      <c r="B46" s="843">
        <v>25000</v>
      </c>
      <c r="C46" s="818">
        <f>B46</f>
        <v>25000</v>
      </c>
      <c r="D46" s="241"/>
      <c r="E46" s="241"/>
      <c r="F46" s="241"/>
      <c r="G46" s="241">
        <f>K45-N45</f>
        <v>382915.09</v>
      </c>
      <c r="H46" s="244">
        <v>2.4</v>
      </c>
      <c r="I46" s="244">
        <v>0.47</v>
      </c>
      <c r="J46" s="245">
        <f>C46*H46*I46</f>
        <v>28200</v>
      </c>
      <c r="K46" s="245">
        <f>J46+G46</f>
        <v>411115.09</v>
      </c>
      <c r="L46" s="245"/>
      <c r="M46" s="819">
        <f>(C46*0.1*(4.6*0.47))*0.47</f>
        <v>2540.35</v>
      </c>
      <c r="N46" s="245">
        <v>0</v>
      </c>
      <c r="O46" s="245">
        <f>K46-N46-M46-L46</f>
        <v>408574.74000000005</v>
      </c>
      <c r="P46" s="245">
        <f>O46-G46</f>
        <v>25659.650000000023</v>
      </c>
      <c r="Q46" s="246">
        <f>P46*44/12</f>
        <v>94085.383333333419</v>
      </c>
    </row>
    <row r="47" spans="1:18" ht="15.75" thickBot="1">
      <c r="A47" s="244">
        <v>9</v>
      </c>
      <c r="B47" s="843">
        <v>25000</v>
      </c>
      <c r="C47" s="818">
        <f>B47</f>
        <v>25000</v>
      </c>
      <c r="D47" s="241"/>
      <c r="E47" s="241"/>
      <c r="F47" s="241"/>
      <c r="G47" s="241">
        <f>K46-N46</f>
        <v>411115.09</v>
      </c>
      <c r="H47" s="244">
        <v>2.4</v>
      </c>
      <c r="I47" s="244">
        <v>0.47</v>
      </c>
      <c r="J47" s="245">
        <f>C47*H47*I47</f>
        <v>28200</v>
      </c>
      <c r="K47" s="245">
        <f>J47+G47</f>
        <v>439315.09</v>
      </c>
      <c r="L47" s="245"/>
      <c r="M47" s="819">
        <f>(C47*0.1*(4.6*0.47))*0.47</f>
        <v>2540.35</v>
      </c>
      <c r="N47" s="245">
        <v>0</v>
      </c>
      <c r="O47" s="245">
        <f>K47-N47-M47-L47</f>
        <v>436774.74000000005</v>
      </c>
      <c r="P47" s="245">
        <f>O47-G47</f>
        <v>25659.650000000023</v>
      </c>
      <c r="Q47" s="246">
        <f>P47*44/12</f>
        <v>94085.383333333419</v>
      </c>
    </row>
    <row r="48" spans="1:18" ht="15.75" thickBot="1">
      <c r="A48" s="244">
        <v>10</v>
      </c>
      <c r="B48" s="843">
        <v>25000</v>
      </c>
      <c r="C48" s="818">
        <f>B48</f>
        <v>25000</v>
      </c>
      <c r="D48" s="241"/>
      <c r="E48" s="241"/>
      <c r="F48" s="241"/>
      <c r="G48" s="241">
        <f>K47-N47</f>
        <v>439315.09</v>
      </c>
      <c r="H48" s="244">
        <v>2.4</v>
      </c>
      <c r="I48" s="244">
        <v>0.47</v>
      </c>
      <c r="J48" s="245">
        <f>C48*H48*I48</f>
        <v>28200</v>
      </c>
      <c r="K48" s="245">
        <f>J48+G48</f>
        <v>467515.09</v>
      </c>
      <c r="L48" s="245"/>
      <c r="M48" s="819">
        <f>(C48*0.1*(4.6*0.47))*0.47</f>
        <v>2540.35</v>
      </c>
      <c r="N48" s="245">
        <v>0</v>
      </c>
      <c r="O48" s="245">
        <f>K48-N48-M48-L48</f>
        <v>464974.74000000005</v>
      </c>
      <c r="P48" s="245">
        <f>O48-G48</f>
        <v>25659.650000000023</v>
      </c>
      <c r="Q48" s="246">
        <f>P48*44/12</f>
        <v>94085.383333333419</v>
      </c>
    </row>
    <row r="49" spans="1:18" s="846" customFormat="1" ht="15.75" thickBot="1">
      <c r="A49" s="244">
        <v>11</v>
      </c>
      <c r="B49" s="843">
        <v>25000</v>
      </c>
      <c r="C49" s="818">
        <f>B49</f>
        <v>25000</v>
      </c>
      <c r="D49" s="241"/>
      <c r="E49" s="241"/>
      <c r="F49" s="241"/>
      <c r="G49" s="241">
        <f>K48-N48</f>
        <v>467515.09</v>
      </c>
      <c r="H49" s="244">
        <v>2.4</v>
      </c>
      <c r="I49" s="244">
        <v>0.47</v>
      </c>
      <c r="J49" s="245">
        <f>C49*H49*I49</f>
        <v>28200</v>
      </c>
      <c r="K49" s="245">
        <f>J49+G49</f>
        <v>495715.09</v>
      </c>
      <c r="L49" s="245"/>
      <c r="M49" s="819">
        <f>(C49*0.1*(4.6*0.47))*0.47</f>
        <v>2540.35</v>
      </c>
      <c r="N49" s="245">
        <v>0</v>
      </c>
      <c r="O49" s="245">
        <f>K49-N49-M49-L49</f>
        <v>493174.74000000005</v>
      </c>
      <c r="P49" s="245">
        <f>O49-G49</f>
        <v>25659.650000000023</v>
      </c>
      <c r="Q49" s="246">
        <f>P49*44/12</f>
        <v>94085.383333333419</v>
      </c>
      <c r="R49"/>
    </row>
    <row r="50" spans="1:18" s="845" customFormat="1" ht="15.75" thickBot="1">
      <c r="A50" s="244">
        <v>12</v>
      </c>
      <c r="B50" s="843">
        <v>25000</v>
      </c>
      <c r="C50" s="818">
        <f>B50</f>
        <v>25000</v>
      </c>
      <c r="D50" s="241"/>
      <c r="E50" s="241"/>
      <c r="F50" s="241"/>
      <c r="G50" s="241">
        <f>K49-N49</f>
        <v>495715.09</v>
      </c>
      <c r="H50" s="244">
        <v>2.4</v>
      </c>
      <c r="I50" s="244">
        <v>0.47</v>
      </c>
      <c r="J50" s="245">
        <f>C50*H50*I50</f>
        <v>28200</v>
      </c>
      <c r="K50" s="245">
        <f>J50+G50</f>
        <v>523915.09</v>
      </c>
      <c r="L50" s="245"/>
      <c r="M50" s="819">
        <f>(C50*0.1*(4.6*0.47))*0.47</f>
        <v>2540.35</v>
      </c>
      <c r="N50" s="245">
        <v>0</v>
      </c>
      <c r="O50" s="245">
        <f>K50-N50-M50-L50</f>
        <v>521374.74000000005</v>
      </c>
      <c r="P50" s="245">
        <f>O50-G50</f>
        <v>25659.650000000023</v>
      </c>
      <c r="Q50" s="246">
        <f>P50*44/12</f>
        <v>94085.383333333419</v>
      </c>
      <c r="R50"/>
    </row>
    <row r="51" spans="1:18" s="844" customFormat="1" ht="15.75" thickBot="1">
      <c r="A51" s="244">
        <v>13</v>
      </c>
      <c r="B51" s="843">
        <v>25000</v>
      </c>
      <c r="C51" s="818">
        <f>B51</f>
        <v>25000</v>
      </c>
      <c r="D51" s="241"/>
      <c r="E51" s="241"/>
      <c r="F51" s="241"/>
      <c r="G51" s="241">
        <f>K50-N50</f>
        <v>523915.09</v>
      </c>
      <c r="H51" s="244">
        <v>2.4</v>
      </c>
      <c r="I51" s="244">
        <v>0.47</v>
      </c>
      <c r="J51" s="245">
        <f>C51*H51*I51</f>
        <v>28200</v>
      </c>
      <c r="K51" s="245">
        <f>J51+G51</f>
        <v>552115.09000000008</v>
      </c>
      <c r="L51" s="245"/>
      <c r="M51" s="819">
        <f>(C51*0.1*(4.6*0.47))*0.47</f>
        <v>2540.35</v>
      </c>
      <c r="N51" s="245">
        <v>0</v>
      </c>
      <c r="O51" s="245">
        <f>K51-N51-M51-L51</f>
        <v>549574.74000000011</v>
      </c>
      <c r="P51" s="245">
        <f>O51-G51</f>
        <v>25659.650000000081</v>
      </c>
      <c r="Q51" s="246">
        <f>P51*44/12</f>
        <v>94085.383333333637</v>
      </c>
      <c r="R51"/>
    </row>
    <row r="52" spans="1:18" ht="15.75" thickBot="1">
      <c r="A52" s="244">
        <v>14</v>
      </c>
      <c r="B52" s="843">
        <v>25000</v>
      </c>
      <c r="C52" s="818">
        <f>B52</f>
        <v>25000</v>
      </c>
      <c r="D52" s="241"/>
      <c r="E52" s="241"/>
      <c r="F52" s="241"/>
      <c r="G52" s="241">
        <f>K51-N51</f>
        <v>552115.09000000008</v>
      </c>
      <c r="H52" s="244">
        <v>2.4</v>
      </c>
      <c r="I52" s="244">
        <v>0.47</v>
      </c>
      <c r="J52" s="245">
        <f>C52*H52*I52</f>
        <v>28200</v>
      </c>
      <c r="K52" s="245">
        <f>J52+G52</f>
        <v>580315.09000000008</v>
      </c>
      <c r="L52" s="245"/>
      <c r="M52" s="819">
        <f>(C52*0.1*(4.6*0.47))*0.47</f>
        <v>2540.35</v>
      </c>
      <c r="N52" s="245">
        <v>0</v>
      </c>
      <c r="O52" s="245">
        <f>K52-N52-M52-L52</f>
        <v>577774.74000000011</v>
      </c>
      <c r="P52" s="245">
        <f>O52-G52</f>
        <v>25659.650000000023</v>
      </c>
      <c r="Q52" s="246">
        <f>P52*44/12</f>
        <v>94085.383333333419</v>
      </c>
    </row>
    <row r="53" spans="1:18" ht="15.75" thickBot="1">
      <c r="A53" s="244">
        <v>15</v>
      </c>
      <c r="B53" s="843">
        <v>25000</v>
      </c>
      <c r="C53" s="818">
        <f>B53</f>
        <v>25000</v>
      </c>
      <c r="D53" s="241"/>
      <c r="E53" s="241"/>
      <c r="F53" s="241"/>
      <c r="G53" s="241">
        <f>K52-N52</f>
        <v>580315.09000000008</v>
      </c>
      <c r="H53" s="244">
        <v>2.4</v>
      </c>
      <c r="I53" s="244">
        <v>0.47</v>
      </c>
      <c r="J53" s="245">
        <f>C53*H53*I53</f>
        <v>28200</v>
      </c>
      <c r="K53" s="245">
        <f>J53+G53</f>
        <v>608515.09000000008</v>
      </c>
      <c r="L53" s="245"/>
      <c r="M53" s="819">
        <f>(C53*0.1*(4.6*0.47))*0.47</f>
        <v>2540.35</v>
      </c>
      <c r="N53" s="245">
        <v>0</v>
      </c>
      <c r="O53" s="245">
        <f>K53-N53-M53-L53</f>
        <v>605974.74000000011</v>
      </c>
      <c r="P53" s="245">
        <f>O53-G53</f>
        <v>25659.650000000023</v>
      </c>
      <c r="Q53" s="246">
        <f>P53*44/12</f>
        <v>94085.383333333419</v>
      </c>
    </row>
    <row r="54" spans="1:18" ht="15.75" thickBot="1">
      <c r="A54" s="244">
        <v>16</v>
      </c>
      <c r="B54" s="843">
        <v>25000</v>
      </c>
      <c r="C54" s="818">
        <f>B54</f>
        <v>25000</v>
      </c>
      <c r="D54" s="241"/>
      <c r="E54" s="241"/>
      <c r="F54" s="241"/>
      <c r="G54" s="241">
        <f>K53-N53</f>
        <v>608515.09000000008</v>
      </c>
      <c r="H54" s="244">
        <v>2.4</v>
      </c>
      <c r="I54" s="244">
        <v>0.47</v>
      </c>
      <c r="J54" s="245">
        <f>C54*H54*I54</f>
        <v>28200</v>
      </c>
      <c r="K54" s="245">
        <f>J54+G54</f>
        <v>636715.09000000008</v>
      </c>
      <c r="L54" s="245"/>
      <c r="M54" s="819">
        <f>(C54*0.1*(4.6*0.47))*0.47</f>
        <v>2540.35</v>
      </c>
      <c r="N54" s="245">
        <v>0</v>
      </c>
      <c r="O54" s="245">
        <f>K54-N54-M54-L54</f>
        <v>634174.74000000011</v>
      </c>
      <c r="P54" s="245">
        <f>O54-G54</f>
        <v>25659.650000000023</v>
      </c>
      <c r="Q54" s="246">
        <f>P54*44/12</f>
        <v>94085.383333333419</v>
      </c>
      <c r="R54" s="846"/>
    </row>
    <row r="55" spans="1:18" ht="15.75" thickBot="1">
      <c r="A55" s="244">
        <v>17</v>
      </c>
      <c r="B55" s="843">
        <v>25000</v>
      </c>
      <c r="C55" s="818">
        <f>B55</f>
        <v>25000</v>
      </c>
      <c r="D55" s="241"/>
      <c r="E55" s="241"/>
      <c r="F55" s="241"/>
      <c r="G55" s="241">
        <f>K54-N54</f>
        <v>636715.09000000008</v>
      </c>
      <c r="H55" s="244">
        <v>2.4</v>
      </c>
      <c r="I55" s="244">
        <v>0.47</v>
      </c>
      <c r="J55" s="245">
        <f>C55*H55*I55</f>
        <v>28200</v>
      </c>
      <c r="K55" s="245">
        <f>J55+G55</f>
        <v>664915.09000000008</v>
      </c>
      <c r="L55" s="245"/>
      <c r="M55" s="819">
        <f>(C55*0.1*(4.6*0.47))*0.47</f>
        <v>2540.35</v>
      </c>
      <c r="N55" s="245">
        <v>0</v>
      </c>
      <c r="O55" s="245">
        <f>K55-N55-M55-L55</f>
        <v>662374.74000000011</v>
      </c>
      <c r="P55" s="245">
        <f>O55-G55</f>
        <v>25659.650000000023</v>
      </c>
      <c r="Q55" s="246">
        <f>P55*44/12</f>
        <v>94085.383333333419</v>
      </c>
      <c r="R55" s="845"/>
    </row>
    <row r="56" spans="1:18" ht="15.75" thickBot="1">
      <c r="A56" s="244">
        <v>18</v>
      </c>
      <c r="B56" s="843">
        <v>25000</v>
      </c>
      <c r="C56" s="818">
        <f>B56</f>
        <v>25000</v>
      </c>
      <c r="D56" s="241"/>
      <c r="E56" s="241"/>
      <c r="F56" s="241"/>
      <c r="G56" s="241">
        <f>K55-N55</f>
        <v>664915.09000000008</v>
      </c>
      <c r="H56" s="244">
        <v>2.4</v>
      </c>
      <c r="I56" s="244">
        <v>0.47</v>
      </c>
      <c r="J56" s="245">
        <f>C56*H56*I56</f>
        <v>28200</v>
      </c>
      <c r="K56" s="245">
        <f>J56+G56</f>
        <v>693115.09000000008</v>
      </c>
      <c r="L56" s="245"/>
      <c r="M56" s="819">
        <f>(C56*0.1*(4.6*0.47))*0.47</f>
        <v>2540.35</v>
      </c>
      <c r="N56" s="245">
        <v>0</v>
      </c>
      <c r="O56" s="245">
        <f>K56-N56-M56-L56</f>
        <v>690574.74000000011</v>
      </c>
      <c r="P56" s="245">
        <f>O56-G56</f>
        <v>25659.650000000023</v>
      </c>
      <c r="Q56" s="246">
        <f>P56*44/12</f>
        <v>94085.383333333419</v>
      </c>
      <c r="R56" s="844"/>
    </row>
    <row r="57" spans="1:18" ht="15.75" thickBot="1">
      <c r="A57" s="244">
        <v>19</v>
      </c>
      <c r="B57" s="843">
        <v>25000</v>
      </c>
      <c r="C57" s="818">
        <f>B57</f>
        <v>25000</v>
      </c>
      <c r="D57" s="241"/>
      <c r="E57" s="241"/>
      <c r="F57" s="241"/>
      <c r="G57" s="241">
        <f>K56-N56</f>
        <v>693115.09000000008</v>
      </c>
      <c r="H57" s="244">
        <v>2.4</v>
      </c>
      <c r="I57" s="244">
        <v>0.47</v>
      </c>
      <c r="J57" s="245">
        <f>C57*H57*I57</f>
        <v>28200</v>
      </c>
      <c r="K57" s="245">
        <f>J57+G57</f>
        <v>721315.09000000008</v>
      </c>
      <c r="L57" s="245"/>
      <c r="M57" s="819">
        <f>(C57*0.1*(4.6*0.47))*0.47</f>
        <v>2540.35</v>
      </c>
      <c r="N57" s="245">
        <v>0</v>
      </c>
      <c r="O57" s="245">
        <f>K57-N57-M57-L57</f>
        <v>718774.74000000011</v>
      </c>
      <c r="P57" s="245">
        <f>O57-G57</f>
        <v>25659.650000000023</v>
      </c>
      <c r="Q57" s="246">
        <f>P57*44/12</f>
        <v>94085.383333333419</v>
      </c>
    </row>
    <row r="58" spans="1:18" ht="15.75" thickBot="1">
      <c r="A58" s="244">
        <v>20</v>
      </c>
      <c r="B58" s="843">
        <v>25000</v>
      </c>
      <c r="C58" s="818">
        <f>B58</f>
        <v>25000</v>
      </c>
      <c r="D58" s="241"/>
      <c r="E58" s="241"/>
      <c r="F58" s="241"/>
      <c r="G58" s="241">
        <f>K57-N57</f>
        <v>721315.09000000008</v>
      </c>
      <c r="H58" s="244">
        <v>2.4</v>
      </c>
      <c r="I58" s="244">
        <v>0.47</v>
      </c>
      <c r="J58" s="245">
        <f>C58*H58*I58</f>
        <v>28200</v>
      </c>
      <c r="K58" s="245">
        <f>J58+G58</f>
        <v>749515.09000000008</v>
      </c>
      <c r="L58" s="245"/>
      <c r="M58" s="819">
        <f>(C58*0.1*(4.6*0.47))*0.47</f>
        <v>2540.35</v>
      </c>
      <c r="N58" s="245">
        <v>0</v>
      </c>
      <c r="O58" s="245">
        <f>K58-N58-M58-L58</f>
        <v>746974.74000000011</v>
      </c>
      <c r="P58" s="245">
        <f>O58-G58</f>
        <v>25659.650000000023</v>
      </c>
      <c r="Q58" s="246">
        <f>P58*44/12</f>
        <v>94085.383333333419</v>
      </c>
      <c r="R58" s="31">
        <f>SUM(Q39:Q58)</f>
        <v>1561817.3633333342</v>
      </c>
    </row>
    <row r="59" spans="1:18" ht="15.75" thickBot="1">
      <c r="A59" s="173" t="s">
        <v>324</v>
      </c>
      <c r="B59" s="843">
        <v>25000</v>
      </c>
      <c r="C59" s="818">
        <f>B59</f>
        <v>25000</v>
      </c>
      <c r="D59" s="241"/>
      <c r="E59" s="241"/>
      <c r="F59" s="241"/>
      <c r="G59" s="241"/>
      <c r="H59" s="244"/>
      <c r="I59" s="244"/>
      <c r="J59" s="244"/>
      <c r="K59" s="173"/>
      <c r="L59" s="173"/>
      <c r="M59" s="223"/>
      <c r="N59" s="245">
        <v>0</v>
      </c>
      <c r="O59" s="245">
        <f>K59-N59-M59-L59</f>
        <v>0</v>
      </c>
      <c r="P59" s="807">
        <f>O59-G59</f>
        <v>0</v>
      </c>
      <c r="Q59" s="805">
        <f>P59*44/12</f>
        <v>0</v>
      </c>
    </row>
    <row r="60" spans="1:18">
      <c r="B60" s="842"/>
      <c r="E60" s="1"/>
      <c r="F60" s="1"/>
      <c r="G60" s="1"/>
      <c r="H60" s="1"/>
      <c r="I60" s="1"/>
      <c r="J60" s="1"/>
    </row>
    <row r="63" spans="1:18" ht="12.95" customHeight="1"/>
  </sheetData>
  <mergeCells count="1">
    <mergeCell ref="A36:C36"/>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31D82-5913-4421-A01A-64D7A3CB5E68}">
  <sheetPr>
    <tabColor rgb="FFFFFF00"/>
  </sheetPr>
  <dimension ref="A1:D21"/>
  <sheetViews>
    <sheetView topLeftCell="A3" workbookViewId="0">
      <selection activeCell="E7" sqref="E7"/>
    </sheetView>
  </sheetViews>
  <sheetFormatPr defaultColWidth="11.42578125" defaultRowHeight="15"/>
  <cols>
    <col min="1" max="1" width="72.140625" customWidth="1"/>
    <col min="2" max="2" width="16.140625" customWidth="1"/>
    <col min="3" max="4" width="13.140625" bestFit="1" customWidth="1"/>
  </cols>
  <sheetData>
    <row r="1" spans="1:4">
      <c r="B1" t="s">
        <v>765</v>
      </c>
      <c r="C1" t="s">
        <v>764</v>
      </c>
      <c r="D1" t="s">
        <v>763</v>
      </c>
    </row>
    <row r="2" spans="1:4">
      <c r="A2" s="648" t="s">
        <v>553</v>
      </c>
      <c r="B2" s="333">
        <f>SUM(B3:B4)</f>
        <v>615977.5610968658</v>
      </c>
      <c r="C2" s="333">
        <f>SUM(C3:C4)</f>
        <v>2177850.7869150802</v>
      </c>
      <c r="D2" s="797">
        <f>SUM(D3:D4)</f>
        <v>7086950.064508047</v>
      </c>
    </row>
    <row r="3" spans="1:4">
      <c r="A3" t="str">
        <f>'[2]Output 1'!B4</f>
        <v>200,000 ha of forest under sustainable community management for woodfuel</v>
      </c>
      <c r="B3" s="800">
        <f>'Annex 2c Output1'!C4</f>
        <v>378370.5750000003</v>
      </c>
      <c r="C3" s="800">
        <f>'Annex 2c Output1'!D4</f>
        <v>1271898.996740625</v>
      </c>
      <c r="D3" s="800">
        <f>'Annex 2c Output1'!E4</f>
        <v>4019034.7590802633</v>
      </c>
    </row>
    <row r="4" spans="1:4">
      <c r="A4" t="str">
        <f>'[2]Output 1'!B5</f>
        <v>200,000 ha of forest having a reduced level of fire impact</v>
      </c>
      <c r="B4" s="800">
        <f>'Annex 2c Output1'!C5</f>
        <v>237606.98609686553</v>
      </c>
      <c r="C4" s="800">
        <f>'Annex 2c Output1'!D5</f>
        <v>905951.79017445515</v>
      </c>
      <c r="D4" s="800">
        <f>'Annex 2c Output1'!E5</f>
        <v>3067915.3054277836</v>
      </c>
    </row>
    <row r="5" spans="1:4">
      <c r="A5" s="799"/>
      <c r="B5" s="799"/>
      <c r="C5" s="798"/>
    </row>
    <row r="6" spans="1:4">
      <c r="A6" s="648" t="s">
        <v>762</v>
      </c>
      <c r="B6" s="333">
        <f>SUM(B7:B8)</f>
        <v>88837.484999999986</v>
      </c>
      <c r="C6" s="333">
        <f>SUM(C7:C8)</f>
        <v>223654.96999999997</v>
      </c>
      <c r="D6" s="797">
        <f>SUM(D7:D8)</f>
        <v>898430.73833333328</v>
      </c>
    </row>
    <row r="7" spans="1:4">
      <c r="A7" t="str">
        <f>'[2]Output 2'!A2</f>
        <v xml:space="preserve">Removals from planting of 1.75m shea trees </v>
      </c>
      <c r="B7" s="1">
        <f>'Annex 2c Output2'!B2</f>
        <v>6269.9999999999991</v>
      </c>
      <c r="C7" s="1">
        <f>'Annex 2c Output2'!C2</f>
        <v>58520</v>
      </c>
      <c r="D7" s="1">
        <f>'Annex 2c Output2'!D2</f>
        <v>375503.33333333331</v>
      </c>
    </row>
    <row r="8" spans="1:4">
      <c r="A8" t="str">
        <f>'[2]Output 2'!A3</f>
        <v>Reduction in fuel wood use</v>
      </c>
      <c r="B8" s="1">
        <f>'Annex 2c Output2'!B3</f>
        <v>82567.484999999986</v>
      </c>
      <c r="C8" s="1">
        <f>'Annex 2c Output2'!C3</f>
        <v>165134.96999999997</v>
      </c>
      <c r="D8" s="1">
        <f>'Annex 2c Output2'!D3</f>
        <v>522927.40499999991</v>
      </c>
    </row>
    <row r="9" spans="1:4">
      <c r="C9" s="1"/>
    </row>
    <row r="10" spans="1:4">
      <c r="A10" s="648" t="s">
        <v>761</v>
      </c>
      <c r="B10" s="333">
        <f>SUM(B11:B12)</f>
        <v>414909.7333333334</v>
      </c>
      <c r="C10" s="333">
        <f>SUM(C11:C12)</f>
        <v>1351665.4800000002</v>
      </c>
      <c r="D10" s="333">
        <f>SUM(D11:D12)</f>
        <v>7137972.5633333344</v>
      </c>
    </row>
    <row r="11" spans="1:4">
      <c r="A11" t="str">
        <f>'[2]Output 3'!B2</f>
        <v>25,500 ha of MTS/ plantations</v>
      </c>
      <c r="B11" s="1">
        <f>'Annex 2c Output3'!C2</f>
        <v>320824.34999999998</v>
      </c>
      <c r="C11" s="1">
        <f>'Annex 2c Output3'!D2</f>
        <v>1012958.1</v>
      </c>
      <c r="D11" s="1">
        <f>'Annex 2c Output3'!E2</f>
        <v>5576155.2000000002</v>
      </c>
    </row>
    <row r="12" spans="1:4">
      <c r="A12" t="str">
        <f>'[2]Output 3'!B3</f>
        <v xml:space="preserve">26,000 ha under fire management </v>
      </c>
      <c r="B12" s="1">
        <f>'Annex 2c Output3'!C3</f>
        <v>94085.38333333339</v>
      </c>
      <c r="C12" s="1">
        <f>'Annex 2c Output3'!D3</f>
        <v>338707.38000000024</v>
      </c>
      <c r="D12" s="1">
        <f>'Annex 2c Output3'!E3</f>
        <v>1561817.3633333342</v>
      </c>
    </row>
    <row r="13" spans="1:4">
      <c r="C13" s="1"/>
    </row>
    <row r="14" spans="1:4">
      <c r="A14" s="648" t="s">
        <v>702</v>
      </c>
      <c r="B14" s="797">
        <f>SUM(B15:B16)</f>
        <v>794166.19714285724</v>
      </c>
      <c r="C14" s="333">
        <f>SUM(C15:C16)</f>
        <v>2382498.5914285714</v>
      </c>
      <c r="D14" s="333">
        <f>SUM(D15:D16)</f>
        <v>10125619.01357143</v>
      </c>
    </row>
    <row r="15" spans="1:4">
      <c r="A15" t="str">
        <f>'[2]Cross cutting'!A4</f>
        <v>Reduced Deforestation at 7 years</v>
      </c>
      <c r="B15" s="1">
        <f>'CC Calculations (Annex 2c)'!B3</f>
        <v>680280.84000000008</v>
      </c>
      <c r="C15" s="1">
        <f>'CC Calculations (Annex 2c)'!B4</f>
        <v>2040842.52</v>
      </c>
      <c r="D15" s="1">
        <f>'CC Calculations (Annex 2c)'!B5</f>
        <v>8673580.7100000009</v>
      </c>
    </row>
    <row r="16" spans="1:4">
      <c r="A16" t="str">
        <f>'[2]Cross cutting'!A7</f>
        <v>Reduced degradation at 7 years</v>
      </c>
      <c r="B16" s="1">
        <f>'CC Calculations (Annex 2c)'!B6</f>
        <v>113885.35714285714</v>
      </c>
      <c r="C16" s="1">
        <f>'CC Calculations (Annex 2c)'!B7</f>
        <v>341656.07142857142</v>
      </c>
      <c r="D16" s="1">
        <f>'CC Calculations (Annex 2c)'!B8</f>
        <v>1452038.3035714286</v>
      </c>
    </row>
    <row r="18" spans="1:4">
      <c r="A18" s="648" t="s">
        <v>311</v>
      </c>
      <c r="B18" s="796">
        <f>SUM(B2:B16)/2</f>
        <v>1913890.9765730565</v>
      </c>
      <c r="C18" s="796">
        <f>SUM(C2:C16)/2</f>
        <v>6135669.8283436503</v>
      </c>
      <c r="D18" s="796">
        <f>SUM(D2:D16)/2</f>
        <v>25248972.379746139</v>
      </c>
    </row>
    <row r="19" spans="1:4">
      <c r="B19" s="796"/>
      <c r="C19" s="796"/>
      <c r="D19" s="796"/>
    </row>
    <row r="20" spans="1:4">
      <c r="A20" s="648" t="s">
        <v>760</v>
      </c>
      <c r="B20" s="31">
        <f>B14</f>
        <v>794166.19714285724</v>
      </c>
      <c r="C20" s="31">
        <f>C14</f>
        <v>2382498.5914285714</v>
      </c>
      <c r="D20" s="31">
        <f>D14</f>
        <v>10125619.01357143</v>
      </c>
    </row>
    <row r="21" spans="1:4">
      <c r="A21" s="648" t="s">
        <v>759</v>
      </c>
      <c r="B21" s="31">
        <f>SUM(B10,B6,B2)</f>
        <v>1119724.7794301992</v>
      </c>
      <c r="C21" s="31">
        <f>SUM(C10,C6,C2)</f>
        <v>3753171.2369150803</v>
      </c>
      <c r="D21" s="31">
        <f>SUM(D10,D6,D2)</f>
        <v>15123353.366174715</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C1:Q35"/>
  <sheetViews>
    <sheetView workbookViewId="0">
      <selection activeCell="D35" sqref="D35"/>
    </sheetView>
  </sheetViews>
  <sheetFormatPr defaultColWidth="9.140625" defaultRowHeight="12.75"/>
  <cols>
    <col min="1" max="2" width="9.140625" style="35"/>
    <col min="3" max="3" width="61.42578125" style="35" customWidth="1"/>
    <col min="4" max="4" width="12" style="35" bestFit="1" customWidth="1"/>
    <col min="5" max="10" width="6.5703125" style="35" bestFit="1" customWidth="1"/>
    <col min="11" max="11" width="9.42578125" style="35" bestFit="1" customWidth="1"/>
    <col min="12" max="17" width="10.42578125" style="35" bestFit="1" customWidth="1"/>
    <col min="18" max="16384" width="9.140625" style="35"/>
  </cols>
  <sheetData>
    <row r="1" spans="3:17" ht="13.5" thickBot="1"/>
    <row r="2" spans="3:17" ht="15">
      <c r="C2" s="166" t="s">
        <v>301</v>
      </c>
      <c r="D2" s="157"/>
      <c r="E2" s="157"/>
      <c r="F2" s="157"/>
      <c r="G2" s="157"/>
      <c r="H2" s="157"/>
      <c r="I2" s="157"/>
      <c r="J2" s="157"/>
      <c r="K2" s="157"/>
      <c r="L2" s="157"/>
      <c r="M2" s="157"/>
      <c r="N2" s="157"/>
      <c r="O2" s="157"/>
      <c r="P2" s="157"/>
      <c r="Q2" s="167"/>
    </row>
    <row r="3" spans="3:17" ht="13.5" thickBot="1">
      <c r="C3" s="72"/>
      <c r="D3" s="120" t="s">
        <v>152</v>
      </c>
      <c r="E3" s="783" t="s">
        <v>151</v>
      </c>
      <c r="F3" s="783"/>
      <c r="G3" s="783"/>
      <c r="H3" s="783"/>
      <c r="I3" s="783"/>
      <c r="J3" s="783"/>
      <c r="K3" s="120" t="s">
        <v>153</v>
      </c>
      <c r="L3" s="783" t="s">
        <v>154</v>
      </c>
      <c r="M3" s="783"/>
      <c r="N3" s="783"/>
      <c r="O3" s="783"/>
      <c r="P3" s="783"/>
      <c r="Q3" s="784"/>
    </row>
    <row r="4" spans="3:17">
      <c r="C4" s="105" t="s">
        <v>263</v>
      </c>
      <c r="D4" s="156"/>
      <c r="E4" s="156" t="s">
        <v>124</v>
      </c>
      <c r="F4" s="156" t="s">
        <v>125</v>
      </c>
      <c r="G4" s="156" t="s">
        <v>149</v>
      </c>
      <c r="H4" s="156" t="s">
        <v>150</v>
      </c>
      <c r="I4" s="156" t="s">
        <v>129</v>
      </c>
      <c r="J4" s="156" t="s">
        <v>157</v>
      </c>
      <c r="K4" s="156" t="s">
        <v>185</v>
      </c>
      <c r="L4" s="156" t="s">
        <v>124</v>
      </c>
      <c r="M4" s="156" t="s">
        <v>125</v>
      </c>
      <c r="N4" s="156" t="s">
        <v>149</v>
      </c>
      <c r="O4" s="156" t="s">
        <v>150</v>
      </c>
      <c r="P4" s="156" t="s">
        <v>129</v>
      </c>
      <c r="Q4" s="169" t="s">
        <v>157</v>
      </c>
    </row>
    <row r="5" spans="3:17">
      <c r="C5" s="65" t="s">
        <v>155</v>
      </c>
      <c r="D5" s="66" t="s">
        <v>156</v>
      </c>
      <c r="E5" s="67">
        <v>12</v>
      </c>
      <c r="F5" s="67">
        <v>12</v>
      </c>
      <c r="G5" s="67">
        <v>12</v>
      </c>
      <c r="H5" s="67">
        <v>12</v>
      </c>
      <c r="I5" s="67">
        <v>12</v>
      </c>
      <c r="J5" s="67">
        <f>SUM(E5:I5)</f>
        <v>60</v>
      </c>
      <c r="K5" s="67">
        <f>(1000*1.185*1.1*12)*D35</f>
        <v>12513.6</v>
      </c>
      <c r="L5" s="67">
        <f t="shared" ref="L5:Q8" si="0">E5*$K5</f>
        <v>150163.20000000001</v>
      </c>
      <c r="M5" s="67">
        <f t="shared" si="0"/>
        <v>150163.20000000001</v>
      </c>
      <c r="N5" s="67">
        <f t="shared" si="0"/>
        <v>150163.20000000001</v>
      </c>
      <c r="O5" s="67">
        <f t="shared" si="0"/>
        <v>150163.20000000001</v>
      </c>
      <c r="P5" s="67">
        <f t="shared" si="0"/>
        <v>150163.20000000001</v>
      </c>
      <c r="Q5" s="68">
        <f t="shared" si="0"/>
        <v>750816</v>
      </c>
    </row>
    <row r="6" spans="3:17">
      <c r="C6" s="65" t="s">
        <v>260</v>
      </c>
      <c r="D6" s="66" t="s">
        <v>156</v>
      </c>
      <c r="E6" s="67">
        <v>12</v>
      </c>
      <c r="F6" s="67">
        <v>12</v>
      </c>
      <c r="G6" s="67">
        <v>12</v>
      </c>
      <c r="H6" s="67">
        <v>12</v>
      </c>
      <c r="I6" s="67">
        <v>12</v>
      </c>
      <c r="J6" s="67">
        <f>SUM(E6:I6)</f>
        <v>60</v>
      </c>
      <c r="K6" s="67">
        <f>K5</f>
        <v>12513.6</v>
      </c>
      <c r="L6" s="67">
        <f t="shared" si="0"/>
        <v>150163.20000000001</v>
      </c>
      <c r="M6" s="67">
        <f t="shared" si="0"/>
        <v>150163.20000000001</v>
      </c>
      <c r="N6" s="67">
        <f t="shared" si="0"/>
        <v>150163.20000000001</v>
      </c>
      <c r="O6" s="67">
        <f t="shared" si="0"/>
        <v>150163.20000000001</v>
      </c>
      <c r="P6" s="67">
        <f t="shared" si="0"/>
        <v>150163.20000000001</v>
      </c>
      <c r="Q6" s="68">
        <f t="shared" si="0"/>
        <v>750816</v>
      </c>
    </row>
    <row r="7" spans="3:17">
      <c r="C7" s="65" t="s">
        <v>264</v>
      </c>
      <c r="D7" s="66" t="s">
        <v>156</v>
      </c>
      <c r="E7" s="67">
        <v>0</v>
      </c>
      <c r="F7" s="67">
        <v>0</v>
      </c>
      <c r="G7" s="67">
        <v>12</v>
      </c>
      <c r="H7" s="67">
        <v>12</v>
      </c>
      <c r="I7" s="67">
        <v>12</v>
      </c>
      <c r="J7" s="67">
        <f>SUM(E7:I7)</f>
        <v>36</v>
      </c>
      <c r="K7" s="67">
        <f>K6</f>
        <v>12513.6</v>
      </c>
      <c r="L7" s="67">
        <f t="shared" si="0"/>
        <v>0</v>
      </c>
      <c r="M7" s="67">
        <f t="shared" si="0"/>
        <v>0</v>
      </c>
      <c r="N7" s="67">
        <f t="shared" si="0"/>
        <v>150163.20000000001</v>
      </c>
      <c r="O7" s="67">
        <f t="shared" si="0"/>
        <v>150163.20000000001</v>
      </c>
      <c r="P7" s="67">
        <f t="shared" si="0"/>
        <v>150163.20000000001</v>
      </c>
      <c r="Q7" s="68">
        <f t="shared" si="0"/>
        <v>450489.60000000003</v>
      </c>
    </row>
    <row r="8" spans="3:17">
      <c r="C8" s="65" t="s">
        <v>267</v>
      </c>
      <c r="D8" s="66" t="s">
        <v>156</v>
      </c>
      <c r="E8" s="67">
        <v>0</v>
      </c>
      <c r="F8" s="67">
        <v>0</v>
      </c>
      <c r="G8" s="67">
        <v>12</v>
      </c>
      <c r="H8" s="67">
        <v>12</v>
      </c>
      <c r="I8" s="67">
        <v>12</v>
      </c>
      <c r="J8" s="67">
        <f>SUM(E8:I8)</f>
        <v>36</v>
      </c>
      <c r="K8" s="67">
        <f>(600*12*1.185*1.1)*D35</f>
        <v>7508.1600000000008</v>
      </c>
      <c r="L8" s="67">
        <f t="shared" si="0"/>
        <v>0</v>
      </c>
      <c r="M8" s="67">
        <f t="shared" si="0"/>
        <v>0</v>
      </c>
      <c r="N8" s="67">
        <f t="shared" si="0"/>
        <v>90097.920000000013</v>
      </c>
      <c r="O8" s="67">
        <f t="shared" si="0"/>
        <v>90097.920000000013</v>
      </c>
      <c r="P8" s="67">
        <f t="shared" si="0"/>
        <v>90097.920000000013</v>
      </c>
      <c r="Q8" s="68">
        <f t="shared" si="0"/>
        <v>270293.76000000001</v>
      </c>
    </row>
    <row r="9" spans="3:17">
      <c r="C9" s="168" t="s">
        <v>186</v>
      </c>
      <c r="D9" s="151"/>
      <c r="E9" s="151"/>
      <c r="F9" s="151"/>
      <c r="G9" s="151"/>
      <c r="H9" s="151"/>
      <c r="I9" s="151"/>
      <c r="J9" s="151"/>
      <c r="K9" s="151"/>
      <c r="L9" s="70">
        <f t="shared" ref="L9:Q9" si="1">SUM(L5:L8)</f>
        <v>300326.40000000002</v>
      </c>
      <c r="M9" s="70">
        <f t="shared" si="1"/>
        <v>300326.40000000002</v>
      </c>
      <c r="N9" s="70">
        <f t="shared" si="1"/>
        <v>540587.52000000002</v>
      </c>
      <c r="O9" s="70">
        <f t="shared" si="1"/>
        <v>540587.52000000002</v>
      </c>
      <c r="P9" s="70">
        <f t="shared" si="1"/>
        <v>540587.52000000002</v>
      </c>
      <c r="Q9" s="70">
        <f t="shared" si="1"/>
        <v>2222415.3600000003</v>
      </c>
    </row>
    <row r="10" spans="3:17">
      <c r="C10" s="65" t="s">
        <v>266</v>
      </c>
      <c r="D10" s="66" t="s">
        <v>262</v>
      </c>
      <c r="E10" s="67">
        <v>10</v>
      </c>
      <c r="F10" s="67">
        <v>15</v>
      </c>
      <c r="G10" s="67">
        <v>15</v>
      </c>
      <c r="H10" s="67">
        <v>15</v>
      </c>
      <c r="I10" s="67">
        <v>15</v>
      </c>
      <c r="J10" s="67">
        <f>SUM(E10:I10)</f>
        <v>70</v>
      </c>
      <c r="K10" s="67">
        <f>300*4.5</f>
        <v>1350</v>
      </c>
      <c r="L10" s="67">
        <f t="shared" ref="L10:Q10" si="2">E10*$K10</f>
        <v>13500</v>
      </c>
      <c r="M10" s="67">
        <f t="shared" si="2"/>
        <v>20250</v>
      </c>
      <c r="N10" s="67">
        <f t="shared" si="2"/>
        <v>20250</v>
      </c>
      <c r="O10" s="67">
        <f t="shared" si="2"/>
        <v>20250</v>
      </c>
      <c r="P10" s="67">
        <f t="shared" si="2"/>
        <v>20250</v>
      </c>
      <c r="Q10" s="68">
        <f t="shared" si="2"/>
        <v>94500</v>
      </c>
    </row>
    <row r="11" spans="3:17">
      <c r="C11" s="158" t="s">
        <v>261</v>
      </c>
      <c r="D11" s="159"/>
      <c r="E11" s="159"/>
      <c r="F11" s="159"/>
      <c r="G11" s="159"/>
      <c r="H11" s="159"/>
      <c r="I11" s="159"/>
      <c r="J11" s="159"/>
      <c r="K11" s="159"/>
      <c r="L11" s="160"/>
      <c r="M11" s="160"/>
      <c r="N11" s="160"/>
      <c r="O11" s="160"/>
      <c r="P11" s="160"/>
      <c r="Q11" s="161"/>
    </row>
    <row r="12" spans="3:17">
      <c r="C12" s="158" t="s">
        <v>270</v>
      </c>
      <c r="D12" s="159" t="s">
        <v>273</v>
      </c>
      <c r="E12" s="160">
        <v>1600</v>
      </c>
      <c r="F12" s="160">
        <f>E12</f>
        <v>1600</v>
      </c>
      <c r="G12" s="160">
        <f>F12</f>
        <v>1600</v>
      </c>
      <c r="H12" s="160">
        <f>G12</f>
        <v>1600</v>
      </c>
      <c r="I12" s="160">
        <f>H12</f>
        <v>1600</v>
      </c>
      <c r="J12" s="160">
        <f>SUM(E12:I12)</f>
        <v>8000</v>
      </c>
      <c r="K12" s="160">
        <v>20</v>
      </c>
      <c r="L12" s="67">
        <f>E12*$K12</f>
        <v>32000</v>
      </c>
      <c r="M12" s="67">
        <f t="shared" ref="M12:P16" si="3">F12*$K12</f>
        <v>32000</v>
      </c>
      <c r="N12" s="67">
        <f t="shared" si="3"/>
        <v>32000</v>
      </c>
      <c r="O12" s="67">
        <f t="shared" si="3"/>
        <v>32000</v>
      </c>
      <c r="P12" s="67">
        <f t="shared" si="3"/>
        <v>32000</v>
      </c>
      <c r="Q12" s="161">
        <f t="shared" ref="Q12:Q21" si="4">SUM(L12:P12)</f>
        <v>160000</v>
      </c>
    </row>
    <row r="13" spans="3:17">
      <c r="C13" s="158" t="s">
        <v>277</v>
      </c>
      <c r="D13" s="159" t="s">
        <v>274</v>
      </c>
      <c r="E13" s="160">
        <v>13</v>
      </c>
      <c r="F13" s="160">
        <v>13</v>
      </c>
      <c r="G13" s="160">
        <v>13</v>
      </c>
      <c r="H13" s="160">
        <v>13</v>
      </c>
      <c r="I13" s="160">
        <v>13</v>
      </c>
      <c r="J13" s="160">
        <v>13</v>
      </c>
      <c r="K13" s="160">
        <v>150</v>
      </c>
      <c r="L13" s="67">
        <f>E13*$K13</f>
        <v>1950</v>
      </c>
      <c r="M13" s="67">
        <f t="shared" si="3"/>
        <v>1950</v>
      </c>
      <c r="N13" s="67">
        <f t="shared" si="3"/>
        <v>1950</v>
      </c>
      <c r="O13" s="67">
        <f t="shared" si="3"/>
        <v>1950</v>
      </c>
      <c r="P13" s="67">
        <f t="shared" si="3"/>
        <v>1950</v>
      </c>
      <c r="Q13" s="161">
        <f t="shared" si="4"/>
        <v>9750</v>
      </c>
    </row>
    <row r="14" spans="3:17">
      <c r="C14" s="158" t="s">
        <v>279</v>
      </c>
      <c r="D14" s="159" t="s">
        <v>278</v>
      </c>
      <c r="E14" s="160">
        <v>13</v>
      </c>
      <c r="F14" s="160">
        <f>E14</f>
        <v>13</v>
      </c>
      <c r="G14" s="160">
        <f t="shared" ref="G14:J16" si="5">F14</f>
        <v>13</v>
      </c>
      <c r="H14" s="160">
        <f t="shared" si="5"/>
        <v>13</v>
      </c>
      <c r="I14" s="160">
        <f t="shared" si="5"/>
        <v>13</v>
      </c>
      <c r="J14" s="160">
        <f t="shared" si="5"/>
        <v>13</v>
      </c>
      <c r="K14" s="160">
        <v>100</v>
      </c>
      <c r="L14" s="67">
        <f>E14*$K14</f>
        <v>1300</v>
      </c>
      <c r="M14" s="67">
        <f t="shared" si="3"/>
        <v>1300</v>
      </c>
      <c r="N14" s="67">
        <f t="shared" si="3"/>
        <v>1300</v>
      </c>
      <c r="O14" s="67">
        <f t="shared" si="3"/>
        <v>1300</v>
      </c>
      <c r="P14" s="67">
        <f t="shared" si="3"/>
        <v>1300</v>
      </c>
      <c r="Q14" s="161">
        <f t="shared" si="4"/>
        <v>6500</v>
      </c>
    </row>
    <row r="15" spans="3:17">
      <c r="C15" s="158" t="s">
        <v>281</v>
      </c>
      <c r="D15" s="159" t="s">
        <v>274</v>
      </c>
      <c r="E15" s="160">
        <v>13</v>
      </c>
      <c r="F15" s="160">
        <f>E15</f>
        <v>13</v>
      </c>
      <c r="G15" s="160">
        <f t="shared" si="5"/>
        <v>13</v>
      </c>
      <c r="H15" s="160">
        <f t="shared" si="5"/>
        <v>13</v>
      </c>
      <c r="I15" s="160">
        <f t="shared" si="5"/>
        <v>13</v>
      </c>
      <c r="J15" s="160">
        <f t="shared" si="5"/>
        <v>13</v>
      </c>
      <c r="K15" s="160">
        <v>250</v>
      </c>
      <c r="L15" s="67">
        <f>E15*$K15</f>
        <v>3250</v>
      </c>
      <c r="M15" s="67">
        <f t="shared" si="3"/>
        <v>3250</v>
      </c>
      <c r="N15" s="67">
        <f t="shared" si="3"/>
        <v>3250</v>
      </c>
      <c r="O15" s="67">
        <f t="shared" si="3"/>
        <v>3250</v>
      </c>
      <c r="P15" s="67">
        <f t="shared" si="3"/>
        <v>3250</v>
      </c>
      <c r="Q15" s="161">
        <f t="shared" si="4"/>
        <v>16250</v>
      </c>
    </row>
    <row r="16" spans="3:17">
      <c r="C16" s="158" t="s">
        <v>300</v>
      </c>
      <c r="D16" s="162" t="s">
        <v>280</v>
      </c>
      <c r="E16" s="147">
        <v>12</v>
      </c>
      <c r="F16" s="147">
        <f>E16</f>
        <v>12</v>
      </c>
      <c r="G16" s="147">
        <f t="shared" si="5"/>
        <v>12</v>
      </c>
      <c r="H16" s="147">
        <f t="shared" si="5"/>
        <v>12</v>
      </c>
      <c r="I16" s="147">
        <f t="shared" si="5"/>
        <v>12</v>
      </c>
      <c r="J16" s="147">
        <f t="shared" si="5"/>
        <v>12</v>
      </c>
      <c r="K16" s="147">
        <v>1000</v>
      </c>
      <c r="L16" s="67">
        <f>E16*$K16</f>
        <v>12000</v>
      </c>
      <c r="M16" s="67">
        <f t="shared" si="3"/>
        <v>12000</v>
      </c>
      <c r="N16" s="67">
        <f t="shared" si="3"/>
        <v>12000</v>
      </c>
      <c r="O16" s="67">
        <f t="shared" si="3"/>
        <v>12000</v>
      </c>
      <c r="P16" s="67">
        <f t="shared" si="3"/>
        <v>12000</v>
      </c>
      <c r="Q16" s="161">
        <f t="shared" si="4"/>
        <v>60000</v>
      </c>
    </row>
    <row r="17" spans="3:17">
      <c r="C17" s="158" t="s">
        <v>282</v>
      </c>
      <c r="D17" s="162" t="s">
        <v>255</v>
      </c>
      <c r="E17" s="147"/>
      <c r="F17" s="147"/>
      <c r="G17" s="147"/>
      <c r="H17" s="147"/>
      <c r="I17" s="147"/>
      <c r="J17" s="147"/>
      <c r="K17" s="147"/>
      <c r="L17" s="160">
        <v>50000</v>
      </c>
      <c r="M17" s="160">
        <f>L17</f>
        <v>50000</v>
      </c>
      <c r="N17" s="160">
        <f t="shared" ref="N17:P19" si="6">M17</f>
        <v>50000</v>
      </c>
      <c r="O17" s="160">
        <f t="shared" si="6"/>
        <v>50000</v>
      </c>
      <c r="P17" s="160">
        <f t="shared" si="6"/>
        <v>50000</v>
      </c>
      <c r="Q17" s="161">
        <f t="shared" si="4"/>
        <v>250000</v>
      </c>
    </row>
    <row r="18" spans="3:17">
      <c r="C18" s="163" t="s">
        <v>283</v>
      </c>
      <c r="D18" s="66" t="s">
        <v>255</v>
      </c>
      <c r="E18" s="67"/>
      <c r="F18" s="67"/>
      <c r="G18" s="67"/>
      <c r="H18" s="67"/>
      <c r="I18" s="67"/>
      <c r="J18" s="67"/>
      <c r="K18" s="67"/>
      <c r="L18" s="70">
        <v>50000</v>
      </c>
      <c r="M18" s="70">
        <f>L18</f>
        <v>50000</v>
      </c>
      <c r="N18" s="70">
        <f t="shared" si="6"/>
        <v>50000</v>
      </c>
      <c r="O18" s="70">
        <f t="shared" si="6"/>
        <v>50000</v>
      </c>
      <c r="P18" s="70">
        <f t="shared" si="6"/>
        <v>50000</v>
      </c>
      <c r="Q18" s="161">
        <f t="shared" si="4"/>
        <v>250000</v>
      </c>
    </row>
    <row r="19" spans="3:17">
      <c r="C19" s="158" t="s">
        <v>187</v>
      </c>
      <c r="D19" s="162" t="s">
        <v>255</v>
      </c>
      <c r="E19" s="147"/>
      <c r="F19" s="147"/>
      <c r="G19" s="147"/>
      <c r="H19" s="147"/>
      <c r="I19" s="147"/>
      <c r="J19" s="147"/>
      <c r="K19" s="147"/>
      <c r="L19" s="160">
        <v>50000</v>
      </c>
      <c r="M19" s="160">
        <f>L19</f>
        <v>50000</v>
      </c>
      <c r="N19" s="160">
        <f t="shared" si="6"/>
        <v>50000</v>
      </c>
      <c r="O19" s="160">
        <f t="shared" si="6"/>
        <v>50000</v>
      </c>
      <c r="P19" s="160">
        <f t="shared" si="6"/>
        <v>50000</v>
      </c>
      <c r="Q19" s="161">
        <f t="shared" si="4"/>
        <v>250000</v>
      </c>
    </row>
    <row r="20" spans="3:17">
      <c r="C20" s="158" t="s">
        <v>188</v>
      </c>
      <c r="D20" s="162" t="s">
        <v>255</v>
      </c>
      <c r="E20" s="147"/>
      <c r="F20" s="147"/>
      <c r="G20" s="147"/>
      <c r="H20" s="147"/>
      <c r="I20" s="147"/>
      <c r="J20" s="147"/>
      <c r="K20" s="147"/>
      <c r="L20" s="160">
        <f>5000*4.5</f>
        <v>22500</v>
      </c>
      <c r="M20" s="160">
        <f>5000*4.5</f>
        <v>22500</v>
      </c>
      <c r="N20" s="160">
        <f>5000*4.5</f>
        <v>22500</v>
      </c>
      <c r="O20" s="160">
        <f>5000*4.5</f>
        <v>22500</v>
      </c>
      <c r="P20" s="160">
        <f>5000*4.5</f>
        <v>22500</v>
      </c>
      <c r="Q20" s="161">
        <f t="shared" si="4"/>
        <v>112500</v>
      </c>
    </row>
    <row r="21" spans="3:17">
      <c r="C21" s="163" t="s">
        <v>284</v>
      </c>
      <c r="D21" s="66" t="s">
        <v>255</v>
      </c>
      <c r="E21" s="67"/>
      <c r="F21" s="67"/>
      <c r="G21" s="67"/>
      <c r="H21" s="67"/>
      <c r="I21" s="67"/>
      <c r="J21" s="67"/>
      <c r="K21" s="67"/>
      <c r="L21" s="70">
        <v>30000</v>
      </c>
      <c r="M21" s="70">
        <f>L21</f>
        <v>30000</v>
      </c>
      <c r="N21" s="70">
        <f>M21</f>
        <v>30000</v>
      </c>
      <c r="O21" s="70">
        <f>N21</f>
        <v>30000</v>
      </c>
      <c r="P21" s="70">
        <f>O21</f>
        <v>30000</v>
      </c>
      <c r="Q21" s="161">
        <f t="shared" si="4"/>
        <v>150000</v>
      </c>
    </row>
    <row r="22" spans="3:17" ht="13.5" thickBot="1">
      <c r="C22" s="164" t="s">
        <v>189</v>
      </c>
      <c r="D22" s="120"/>
      <c r="E22" s="165"/>
      <c r="F22" s="165"/>
      <c r="G22" s="165"/>
      <c r="H22" s="165"/>
      <c r="I22" s="165"/>
      <c r="J22" s="165"/>
      <c r="K22" s="165"/>
      <c r="L22" s="165">
        <f t="shared" ref="L22:Q22" si="7">SUM(L9:L21)</f>
        <v>566826.4</v>
      </c>
      <c r="M22" s="165">
        <f t="shared" si="7"/>
        <v>573576.4</v>
      </c>
      <c r="N22" s="165">
        <f t="shared" si="7"/>
        <v>813837.52</v>
      </c>
      <c r="O22" s="165">
        <f t="shared" si="7"/>
        <v>813837.52</v>
      </c>
      <c r="P22" s="165">
        <f t="shared" si="7"/>
        <v>813837.52</v>
      </c>
      <c r="Q22" s="165">
        <f t="shared" si="7"/>
        <v>3581915.3600000003</v>
      </c>
    </row>
    <row r="24" spans="3:17">
      <c r="C24" s="35" t="s">
        <v>265</v>
      </c>
      <c r="L24" s="129"/>
    </row>
    <row r="25" spans="3:17">
      <c r="C25" s="35" t="s">
        <v>268</v>
      </c>
      <c r="L25" s="36"/>
    </row>
    <row r="26" spans="3:17">
      <c r="C26" s="35" t="s">
        <v>269</v>
      </c>
    </row>
    <row r="27" spans="3:17">
      <c r="C27" s="35" t="s">
        <v>272</v>
      </c>
    </row>
    <row r="28" spans="3:17">
      <c r="C28" s="35" t="s">
        <v>271</v>
      </c>
    </row>
    <row r="29" spans="3:17">
      <c r="C29" s="35" t="s">
        <v>275</v>
      </c>
    </row>
    <row r="30" spans="3:17">
      <c r="C30" s="35" t="s">
        <v>276</v>
      </c>
    </row>
    <row r="31" spans="3:17">
      <c r="C31" s="35" t="s">
        <v>304</v>
      </c>
    </row>
    <row r="34" spans="3:4">
      <c r="C34" s="286" t="s">
        <v>439</v>
      </c>
    </row>
    <row r="35" spans="3:4">
      <c r="C35" s="287" t="s">
        <v>440</v>
      </c>
      <c r="D35" s="35">
        <v>0.8</v>
      </c>
    </row>
  </sheetData>
  <mergeCells count="2">
    <mergeCell ref="E3:J3"/>
    <mergeCell ref="L3:Q3"/>
  </mergeCells>
  <pageMargins left="0.7" right="0.7" top="0.75" bottom="0.75" header="0.3" footer="0.3"/>
  <extLst>
    <ext xmlns:mx="http://schemas.microsoft.com/office/mac/excel/2008/main" uri="{64002731-A6B0-56B0-2670-7721B7C09600}">
      <mx:PLV Mode="0" OnePage="0" WScale="0"/>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7030A0"/>
  </sheetPr>
  <dimension ref="A1:Z74"/>
  <sheetViews>
    <sheetView showGridLines="0" zoomScale="90" zoomScaleNormal="90" zoomScalePageLayoutView="90" workbookViewId="0">
      <selection activeCell="D65" sqref="D65"/>
    </sheetView>
  </sheetViews>
  <sheetFormatPr defaultColWidth="9.140625" defaultRowHeight="12.75"/>
  <cols>
    <col min="1" max="1" width="9.140625" style="35"/>
    <col min="2" max="2" width="53.140625" style="35" bestFit="1" customWidth="1"/>
    <col min="3" max="3" width="9.42578125" style="485" bestFit="1" customWidth="1"/>
    <col min="4" max="4" width="9.42578125" style="35" customWidth="1"/>
    <col min="5" max="5" width="9.42578125" style="35" bestFit="1" customWidth="1"/>
    <col min="6" max="6" width="8.140625" style="35" bestFit="1" customWidth="1"/>
    <col min="7" max="7" width="8.85546875" style="42" bestFit="1" customWidth="1"/>
    <col min="8" max="8" width="7.42578125" style="35" customWidth="1"/>
    <col min="9" max="9" width="7.42578125" style="35" bestFit="1" customWidth="1"/>
    <col min="10" max="10" width="7.42578125" style="35" customWidth="1"/>
    <col min="11" max="14" width="8.42578125" style="35" bestFit="1" customWidth="1"/>
    <col min="15" max="16" width="8.5703125" style="35" bestFit="1" customWidth="1"/>
    <col min="17" max="24" width="8.42578125" style="35" bestFit="1" customWidth="1"/>
    <col min="25" max="26" width="7.42578125" style="35" customWidth="1"/>
    <col min="27" max="16384" width="9.140625" style="35"/>
  </cols>
  <sheetData>
    <row r="1" spans="2:25">
      <c r="B1" s="76" t="s">
        <v>542</v>
      </c>
      <c r="C1" s="37"/>
      <c r="E1" s="514">
        <v>1748.87</v>
      </c>
      <c r="F1" s="514"/>
      <c r="G1" s="515"/>
      <c r="H1" s="516"/>
      <c r="I1" s="516"/>
      <c r="J1" s="516"/>
      <c r="K1" s="516"/>
      <c r="L1" s="514"/>
    </row>
    <row r="2" spans="2:25">
      <c r="B2" s="76" t="s">
        <v>477</v>
      </c>
      <c r="C2" s="37"/>
      <c r="E2" s="514"/>
      <c r="F2" s="514"/>
      <c r="G2" s="515"/>
      <c r="H2" s="517" t="s">
        <v>478</v>
      </c>
      <c r="I2" s="517"/>
      <c r="J2" s="517">
        <v>7528.99</v>
      </c>
      <c r="K2" s="516" t="s">
        <v>479</v>
      </c>
      <c r="L2" s="514"/>
    </row>
    <row r="3" spans="2:25" s="121" customFormat="1">
      <c r="B3" s="334"/>
      <c r="C3" s="335" t="s">
        <v>480</v>
      </c>
      <c r="D3" s="336" t="s">
        <v>481</v>
      </c>
      <c r="E3" s="337" t="s">
        <v>482</v>
      </c>
      <c r="F3" s="338" t="s">
        <v>383</v>
      </c>
      <c r="G3" s="339" t="s">
        <v>384</v>
      </c>
      <c r="H3" s="339" t="s">
        <v>385</v>
      </c>
      <c r="I3" s="339" t="s">
        <v>386</v>
      </c>
      <c r="J3" s="339" t="s">
        <v>387</v>
      </c>
      <c r="K3" s="339" t="s">
        <v>388</v>
      </c>
      <c r="L3" s="339" t="s">
        <v>389</v>
      </c>
      <c r="M3" s="339" t="s">
        <v>390</v>
      </c>
      <c r="N3" s="339" t="s">
        <v>391</v>
      </c>
      <c r="O3" s="339" t="s">
        <v>392</v>
      </c>
      <c r="P3" s="339" t="s">
        <v>483</v>
      </c>
      <c r="Q3" s="339" t="s">
        <v>394</v>
      </c>
      <c r="R3" s="339" t="s">
        <v>395</v>
      </c>
      <c r="S3" s="339" t="s">
        <v>396</v>
      </c>
      <c r="T3" s="339" t="s">
        <v>397</v>
      </c>
      <c r="U3" s="339" t="s">
        <v>398</v>
      </c>
      <c r="V3" s="339" t="s">
        <v>399</v>
      </c>
      <c r="W3" s="339" t="s">
        <v>400</v>
      </c>
      <c r="X3" s="339" t="s">
        <v>401</v>
      </c>
      <c r="Y3" s="339" t="s">
        <v>402</v>
      </c>
    </row>
    <row r="4" spans="2:25" s="121" customFormat="1">
      <c r="B4" s="340" t="s">
        <v>484</v>
      </c>
      <c r="C4" s="341"/>
      <c r="D4" s="342"/>
      <c r="E4" s="343"/>
      <c r="F4" s="343"/>
      <c r="G4" s="344"/>
      <c r="H4" s="343"/>
      <c r="I4" s="345"/>
      <c r="J4" s="343"/>
      <c r="K4" s="346"/>
      <c r="L4" s="343"/>
      <c r="M4" s="347"/>
      <c r="N4" s="348"/>
      <c r="O4" s="344"/>
      <c r="P4" s="100"/>
      <c r="Q4" s="47"/>
      <c r="R4" s="100"/>
      <c r="S4" s="47"/>
      <c r="T4" s="100"/>
      <c r="U4" s="47"/>
      <c r="V4" s="100"/>
      <c r="W4" s="47"/>
      <c r="X4" s="349"/>
      <c r="Y4" s="100"/>
    </row>
    <row r="5" spans="2:25" s="46" customFormat="1">
      <c r="B5" s="350" t="s">
        <v>485</v>
      </c>
      <c r="C5" s="351" t="s">
        <v>486</v>
      </c>
      <c r="D5" s="503">
        <f>(58022/25)/1748.87</f>
        <v>1.3270740535317092</v>
      </c>
      <c r="E5" s="352">
        <f>563-E6</f>
        <v>450.4</v>
      </c>
      <c r="F5" s="352">
        <f>F7-F6</f>
        <v>619.29999999999995</v>
      </c>
      <c r="G5" s="353">
        <f t="shared" ref="G5:L5" si="0">G7-G6</f>
        <v>765.68</v>
      </c>
      <c r="H5" s="352">
        <f t="shared" si="0"/>
        <v>941.3359999999999</v>
      </c>
      <c r="I5" s="353">
        <f t="shared" si="0"/>
        <v>1152.1232</v>
      </c>
      <c r="J5" s="352">
        <f t="shared" si="0"/>
        <v>1405.0678399999999</v>
      </c>
      <c r="K5" s="353">
        <f t="shared" si="0"/>
        <v>1708.6014079999998</v>
      </c>
      <c r="L5" s="352">
        <f t="shared" si="0"/>
        <v>1917.4</v>
      </c>
      <c r="M5" s="354">
        <f>L5</f>
        <v>1917.4</v>
      </c>
      <c r="N5" s="354">
        <f t="shared" ref="N5:Y5" si="1">M5</f>
        <v>1917.4</v>
      </c>
      <c r="O5" s="354">
        <f t="shared" si="1"/>
        <v>1917.4</v>
      </c>
      <c r="P5" s="354">
        <f t="shared" si="1"/>
        <v>1917.4</v>
      </c>
      <c r="Q5" s="354">
        <f t="shared" si="1"/>
        <v>1917.4</v>
      </c>
      <c r="R5" s="354">
        <f t="shared" si="1"/>
        <v>1917.4</v>
      </c>
      <c r="S5" s="354">
        <f t="shared" si="1"/>
        <v>1917.4</v>
      </c>
      <c r="T5" s="354">
        <f t="shared" si="1"/>
        <v>1917.4</v>
      </c>
      <c r="U5" s="354">
        <f t="shared" si="1"/>
        <v>1917.4</v>
      </c>
      <c r="V5" s="354">
        <f t="shared" si="1"/>
        <v>1917.4</v>
      </c>
      <c r="W5" s="354">
        <f t="shared" si="1"/>
        <v>1917.4</v>
      </c>
      <c r="X5" s="354">
        <f t="shared" si="1"/>
        <v>1917.4</v>
      </c>
      <c r="Y5" s="354">
        <f t="shared" si="1"/>
        <v>1917.4</v>
      </c>
    </row>
    <row r="6" spans="2:25" s="46" customFormat="1">
      <c r="B6" s="355" t="s">
        <v>487</v>
      </c>
      <c r="C6" s="356" t="s">
        <v>486</v>
      </c>
      <c r="D6" s="504">
        <f>(D5)</f>
        <v>1.3270740535317092</v>
      </c>
      <c r="E6" s="357">
        <f>563*20%</f>
        <v>112.60000000000001</v>
      </c>
      <c r="F6" s="357">
        <f>E6</f>
        <v>112.60000000000001</v>
      </c>
      <c r="G6" s="358">
        <f t="shared" ref="G6:Y6" si="2">F6</f>
        <v>112.60000000000001</v>
      </c>
      <c r="H6" s="357">
        <f t="shared" si="2"/>
        <v>112.60000000000001</v>
      </c>
      <c r="I6" s="358">
        <f t="shared" si="2"/>
        <v>112.60000000000001</v>
      </c>
      <c r="J6" s="357">
        <f t="shared" si="2"/>
        <v>112.60000000000001</v>
      </c>
      <c r="K6" s="358">
        <f t="shared" si="2"/>
        <v>112.60000000000001</v>
      </c>
      <c r="L6" s="357">
        <f t="shared" si="2"/>
        <v>112.60000000000001</v>
      </c>
      <c r="M6" s="358">
        <f t="shared" si="2"/>
        <v>112.60000000000001</v>
      </c>
      <c r="N6" s="358">
        <f t="shared" si="2"/>
        <v>112.60000000000001</v>
      </c>
      <c r="O6" s="358">
        <f t="shared" si="2"/>
        <v>112.60000000000001</v>
      </c>
      <c r="P6" s="358">
        <f t="shared" si="2"/>
        <v>112.60000000000001</v>
      </c>
      <c r="Q6" s="358">
        <f t="shared" si="2"/>
        <v>112.60000000000001</v>
      </c>
      <c r="R6" s="358">
        <f t="shared" si="2"/>
        <v>112.60000000000001</v>
      </c>
      <c r="S6" s="358">
        <f t="shared" si="2"/>
        <v>112.60000000000001</v>
      </c>
      <c r="T6" s="358">
        <f t="shared" si="2"/>
        <v>112.60000000000001</v>
      </c>
      <c r="U6" s="358">
        <f t="shared" si="2"/>
        <v>112.60000000000001</v>
      </c>
      <c r="V6" s="358">
        <f t="shared" si="2"/>
        <v>112.60000000000001</v>
      </c>
      <c r="W6" s="358">
        <f t="shared" si="2"/>
        <v>112.60000000000001</v>
      </c>
      <c r="X6" s="358">
        <f t="shared" si="2"/>
        <v>112.60000000000001</v>
      </c>
      <c r="Y6" s="358">
        <f t="shared" si="2"/>
        <v>112.60000000000001</v>
      </c>
    </row>
    <row r="7" spans="2:25" s="46" customFormat="1">
      <c r="B7" s="359" t="s">
        <v>543</v>
      </c>
      <c r="C7" s="360"/>
      <c r="D7" s="503">
        <v>0</v>
      </c>
      <c r="E7" s="362">
        <f>SUM(E5:E6)</f>
        <v>563</v>
      </c>
      <c r="F7" s="362">
        <f>E7*130%</f>
        <v>731.9</v>
      </c>
      <c r="G7" s="362">
        <f t="shared" ref="G7:K8" si="3">F7*120%</f>
        <v>878.28</v>
      </c>
      <c r="H7" s="362">
        <f t="shared" si="3"/>
        <v>1053.9359999999999</v>
      </c>
      <c r="I7" s="362">
        <f t="shared" si="3"/>
        <v>1264.7231999999999</v>
      </c>
      <c r="J7" s="362">
        <f t="shared" si="3"/>
        <v>1517.6678399999998</v>
      </c>
      <c r="K7" s="362">
        <f t="shared" si="3"/>
        <v>1821.2014079999997</v>
      </c>
      <c r="L7" s="362">
        <v>2030</v>
      </c>
      <c r="M7" s="362">
        <f t="shared" ref="M7:Y7" si="4">SUM(M5:M6)</f>
        <v>2030</v>
      </c>
      <c r="N7" s="362">
        <f t="shared" si="4"/>
        <v>2030</v>
      </c>
      <c r="O7" s="362">
        <f t="shared" si="4"/>
        <v>2030</v>
      </c>
      <c r="P7" s="362">
        <f t="shared" si="4"/>
        <v>2030</v>
      </c>
      <c r="Q7" s="362">
        <f t="shared" si="4"/>
        <v>2030</v>
      </c>
      <c r="R7" s="362">
        <f t="shared" si="4"/>
        <v>2030</v>
      </c>
      <c r="S7" s="362">
        <f t="shared" si="4"/>
        <v>2030</v>
      </c>
      <c r="T7" s="362">
        <f t="shared" si="4"/>
        <v>2030</v>
      </c>
      <c r="U7" s="362">
        <f t="shared" si="4"/>
        <v>2030</v>
      </c>
      <c r="V7" s="362">
        <f t="shared" si="4"/>
        <v>2030</v>
      </c>
      <c r="W7" s="362">
        <f t="shared" si="4"/>
        <v>2030</v>
      </c>
      <c r="X7" s="362">
        <f t="shared" si="4"/>
        <v>2030</v>
      </c>
      <c r="Y7" s="362">
        <f t="shared" si="4"/>
        <v>2030</v>
      </c>
    </row>
    <row r="8" spans="2:25" s="46" customFormat="1">
      <c r="B8" s="350" t="s">
        <v>488</v>
      </c>
      <c r="C8" s="360" t="s">
        <v>486</v>
      </c>
      <c r="D8" s="503">
        <f>(150000/25)/1748.87</f>
        <v>3.4307867365784768</v>
      </c>
      <c r="E8" s="362">
        <v>0</v>
      </c>
      <c r="F8" s="363">
        <v>100</v>
      </c>
      <c r="G8" s="364">
        <f>F8*120%</f>
        <v>120</v>
      </c>
      <c r="H8" s="364">
        <f t="shared" si="3"/>
        <v>144</v>
      </c>
      <c r="I8" s="364">
        <f t="shared" si="3"/>
        <v>172.79999999999998</v>
      </c>
      <c r="J8" s="364">
        <f t="shared" si="3"/>
        <v>207.35999999999999</v>
      </c>
      <c r="K8" s="364">
        <f t="shared" si="3"/>
        <v>248.83199999999997</v>
      </c>
      <c r="L8" s="364">
        <v>313</v>
      </c>
      <c r="M8" s="364">
        <f>L8</f>
        <v>313</v>
      </c>
      <c r="N8" s="364">
        <f t="shared" ref="N8:Y8" si="5">M8</f>
        <v>313</v>
      </c>
      <c r="O8" s="364">
        <f t="shared" si="5"/>
        <v>313</v>
      </c>
      <c r="P8" s="364">
        <f t="shared" si="5"/>
        <v>313</v>
      </c>
      <c r="Q8" s="364">
        <f t="shared" si="5"/>
        <v>313</v>
      </c>
      <c r="R8" s="364">
        <f t="shared" si="5"/>
        <v>313</v>
      </c>
      <c r="S8" s="364">
        <f t="shared" si="5"/>
        <v>313</v>
      </c>
      <c r="T8" s="364">
        <f t="shared" si="5"/>
        <v>313</v>
      </c>
      <c r="U8" s="364">
        <f t="shared" si="5"/>
        <v>313</v>
      </c>
      <c r="V8" s="364">
        <f t="shared" si="5"/>
        <v>313</v>
      </c>
      <c r="W8" s="364">
        <f t="shared" si="5"/>
        <v>313</v>
      </c>
      <c r="X8" s="364">
        <f t="shared" si="5"/>
        <v>313</v>
      </c>
      <c r="Y8" s="364">
        <f t="shared" si="5"/>
        <v>313</v>
      </c>
    </row>
    <row r="9" spans="2:25" s="46" customFormat="1">
      <c r="B9" s="365"/>
      <c r="C9" s="366"/>
      <c r="D9" s="505">
        <v>0</v>
      </c>
      <c r="E9" s="367"/>
      <c r="F9" s="368"/>
      <c r="G9" s="369"/>
      <c r="H9" s="370"/>
      <c r="I9" s="368"/>
      <c r="J9" s="371"/>
      <c r="K9" s="370"/>
      <c r="L9" s="368"/>
      <c r="M9" s="368"/>
      <c r="N9" s="368"/>
      <c r="O9" s="368"/>
      <c r="P9" s="368"/>
      <c r="Q9" s="368"/>
      <c r="R9" s="368"/>
      <c r="S9" s="368"/>
      <c r="T9" s="368"/>
      <c r="U9" s="368"/>
      <c r="V9" s="368"/>
      <c r="W9" s="368"/>
      <c r="X9" s="368"/>
      <c r="Y9" s="368"/>
    </row>
    <row r="10" spans="2:25" s="46" customFormat="1">
      <c r="B10" s="372" t="s">
        <v>489</v>
      </c>
      <c r="C10" s="341"/>
      <c r="D10" s="506">
        <v>0</v>
      </c>
      <c r="E10" s="352"/>
      <c r="F10" s="373"/>
      <c r="G10" s="362"/>
      <c r="H10" s="374"/>
      <c r="I10" s="375"/>
      <c r="J10" s="376"/>
      <c r="K10" s="377"/>
      <c r="L10" s="378"/>
      <c r="M10" s="379"/>
      <c r="N10" s="377"/>
      <c r="O10" s="362"/>
      <c r="P10" s="380"/>
      <c r="R10" s="380"/>
      <c r="T10" s="380"/>
      <c r="V10" s="380"/>
      <c r="X10" s="194"/>
      <c r="Y10" s="380"/>
    </row>
    <row r="11" spans="2:25" s="46" customFormat="1">
      <c r="B11" s="381" t="s">
        <v>551</v>
      </c>
      <c r="C11" s="382" t="s">
        <v>255</v>
      </c>
      <c r="D11" s="507">
        <v>0</v>
      </c>
      <c r="E11" s="352"/>
      <c r="F11" s="47">
        <f>350*J2/E1</f>
        <v>1506.7709435235324</v>
      </c>
      <c r="G11" s="362"/>
      <c r="H11" s="374"/>
      <c r="I11" s="375"/>
      <c r="J11" s="376"/>
      <c r="K11" s="377"/>
      <c r="L11" s="378"/>
      <c r="M11" s="379"/>
      <c r="N11" s="377"/>
      <c r="O11" s="362"/>
      <c r="P11" s="380"/>
      <c r="R11" s="380"/>
      <c r="T11" s="380"/>
      <c r="V11" s="380"/>
      <c r="X11" s="194"/>
      <c r="Y11" s="380"/>
    </row>
    <row r="12" spans="2:25" s="46" customFormat="1">
      <c r="B12" s="383"/>
      <c r="C12" s="384"/>
      <c r="D12" s="508">
        <v>0</v>
      </c>
      <c r="E12" s="385"/>
      <c r="F12" s="386"/>
      <c r="G12" s="387"/>
      <c r="H12" s="388"/>
      <c r="I12" s="389"/>
      <c r="J12" s="390"/>
      <c r="K12" s="391"/>
      <c r="L12" s="392"/>
      <c r="M12" s="393"/>
      <c r="N12" s="391"/>
      <c r="O12" s="387"/>
      <c r="P12" s="156"/>
      <c r="Q12" s="50"/>
      <c r="R12" s="156"/>
      <c r="S12" s="50"/>
      <c r="T12" s="156"/>
      <c r="U12" s="50"/>
      <c r="V12" s="156"/>
      <c r="W12" s="50"/>
      <c r="X12" s="195"/>
      <c r="Y12" s="156"/>
    </row>
    <row r="13" spans="2:25" s="46" customFormat="1">
      <c r="B13" s="394" t="s">
        <v>490</v>
      </c>
      <c r="C13" s="395"/>
      <c r="D13" s="509">
        <v>0</v>
      </c>
      <c r="E13" s="343"/>
      <c r="F13" s="396"/>
      <c r="G13" s="397"/>
      <c r="H13" s="398"/>
      <c r="I13" s="399"/>
      <c r="J13" s="400"/>
      <c r="K13" s="401"/>
      <c r="L13" s="401"/>
      <c r="M13" s="402"/>
      <c r="N13" s="401"/>
      <c r="O13" s="397"/>
      <c r="P13" s="403"/>
      <c r="Q13" s="43"/>
      <c r="R13" s="403"/>
      <c r="S13" s="43"/>
      <c r="T13" s="403"/>
      <c r="U13" s="43"/>
      <c r="V13" s="403"/>
      <c r="W13" s="43"/>
      <c r="X13" s="404"/>
      <c r="Y13" s="403"/>
    </row>
    <row r="14" spans="2:25" s="46" customFormat="1">
      <c r="B14" s="405" t="s">
        <v>491</v>
      </c>
      <c r="C14" s="406" t="s">
        <v>486</v>
      </c>
      <c r="D14" s="510" t="e">
        <f>('[1]Prices &amp; Conversn factors'!C12)/1748.87</f>
        <v>#REF!</v>
      </c>
      <c r="E14" s="362">
        <v>80</v>
      </c>
      <c r="F14" s="362">
        <v>125</v>
      </c>
      <c r="G14" s="362">
        <v>125</v>
      </c>
      <c r="H14" s="362">
        <v>125</v>
      </c>
      <c r="I14" s="362">
        <v>125</v>
      </c>
      <c r="J14" s="362">
        <v>125</v>
      </c>
      <c r="K14" s="362">
        <v>125</v>
      </c>
      <c r="L14" s="362">
        <v>125</v>
      </c>
      <c r="M14" s="362">
        <v>125</v>
      </c>
      <c r="N14" s="362">
        <v>125</v>
      </c>
      <c r="O14" s="362">
        <v>125</v>
      </c>
      <c r="P14" s="362">
        <v>125</v>
      </c>
      <c r="Q14" s="362">
        <v>125</v>
      </c>
      <c r="R14" s="362">
        <v>125</v>
      </c>
      <c r="S14" s="362">
        <v>125</v>
      </c>
      <c r="T14" s="362">
        <v>125</v>
      </c>
      <c r="U14" s="362">
        <v>125</v>
      </c>
      <c r="V14" s="362">
        <v>125</v>
      </c>
      <c r="W14" s="362">
        <v>125</v>
      </c>
      <c r="X14" s="362">
        <v>125</v>
      </c>
      <c r="Y14" s="362">
        <v>125</v>
      </c>
    </row>
    <row r="15" spans="2:25" s="46" customFormat="1">
      <c r="B15" s="407" t="s">
        <v>492</v>
      </c>
      <c r="C15" s="408" t="s">
        <v>486</v>
      </c>
      <c r="D15" s="511">
        <v>2.0584720419470859</v>
      </c>
      <c r="E15" s="387"/>
      <c r="F15" s="387"/>
      <c r="G15" s="387">
        <f>F15</f>
        <v>0</v>
      </c>
      <c r="H15" s="387">
        <f t="shared" ref="H15:Y15" si="6">G15</f>
        <v>0</v>
      </c>
      <c r="I15" s="387">
        <f t="shared" si="6"/>
        <v>0</v>
      </c>
      <c r="J15" s="387">
        <f t="shared" si="6"/>
        <v>0</v>
      </c>
      <c r="K15" s="387">
        <f t="shared" si="6"/>
        <v>0</v>
      </c>
      <c r="L15" s="387">
        <f t="shared" si="6"/>
        <v>0</v>
      </c>
      <c r="M15" s="387">
        <f t="shared" si="6"/>
        <v>0</v>
      </c>
      <c r="N15" s="387">
        <f t="shared" si="6"/>
        <v>0</v>
      </c>
      <c r="O15" s="387">
        <f t="shared" si="6"/>
        <v>0</v>
      </c>
      <c r="P15" s="387">
        <f t="shared" si="6"/>
        <v>0</v>
      </c>
      <c r="Q15" s="387">
        <f t="shared" si="6"/>
        <v>0</v>
      </c>
      <c r="R15" s="387">
        <f t="shared" si="6"/>
        <v>0</v>
      </c>
      <c r="S15" s="387">
        <f t="shared" si="6"/>
        <v>0</v>
      </c>
      <c r="T15" s="387">
        <f t="shared" si="6"/>
        <v>0</v>
      </c>
      <c r="U15" s="387">
        <f t="shared" si="6"/>
        <v>0</v>
      </c>
      <c r="V15" s="387">
        <f t="shared" si="6"/>
        <v>0</v>
      </c>
      <c r="W15" s="387">
        <f t="shared" si="6"/>
        <v>0</v>
      </c>
      <c r="X15" s="387">
        <f t="shared" si="6"/>
        <v>0</v>
      </c>
      <c r="Y15" s="387">
        <f t="shared" si="6"/>
        <v>0</v>
      </c>
    </row>
    <row r="16" spans="2:25" s="46" customFormat="1">
      <c r="B16" s="394" t="s">
        <v>493</v>
      </c>
      <c r="C16" s="409"/>
      <c r="D16" s="512">
        <v>0</v>
      </c>
      <c r="E16" s="344"/>
      <c r="F16" s="396"/>
      <c r="G16" s="397"/>
      <c r="H16" s="399"/>
      <c r="I16" s="399"/>
      <c r="J16" s="399"/>
      <c r="K16" s="399"/>
      <c r="L16" s="399"/>
      <c r="M16" s="399"/>
      <c r="N16" s="399"/>
      <c r="O16" s="397"/>
      <c r="P16" s="397"/>
      <c r="Q16" s="399"/>
      <c r="R16" s="397"/>
      <c r="S16" s="399"/>
      <c r="T16" s="397"/>
      <c r="U16" s="399"/>
      <c r="V16" s="397"/>
      <c r="W16" s="399"/>
      <c r="X16" s="410"/>
      <c r="Y16" s="397"/>
    </row>
    <row r="17" spans="2:25" s="46" customFormat="1">
      <c r="B17" s="405" t="s">
        <v>494</v>
      </c>
      <c r="C17" s="406" t="s">
        <v>486</v>
      </c>
      <c r="D17" s="513">
        <f>(D6)</f>
        <v>1.3270740535317092</v>
      </c>
      <c r="E17" s="352">
        <f>5%*E7</f>
        <v>28.150000000000002</v>
      </c>
      <c r="F17" s="352">
        <f t="shared" ref="F17:Y17" si="7">5%*F7</f>
        <v>36.594999999999999</v>
      </c>
      <c r="G17" s="352">
        <f t="shared" si="7"/>
        <v>43.914000000000001</v>
      </c>
      <c r="H17" s="352">
        <f t="shared" si="7"/>
        <v>52.696799999999996</v>
      </c>
      <c r="I17" s="352">
        <f t="shared" si="7"/>
        <v>63.236159999999998</v>
      </c>
      <c r="J17" s="352">
        <f t="shared" si="7"/>
        <v>75.883392000000001</v>
      </c>
      <c r="K17" s="352">
        <f t="shared" si="7"/>
        <v>91.060070399999987</v>
      </c>
      <c r="L17" s="352">
        <f t="shared" si="7"/>
        <v>101.5</v>
      </c>
      <c r="M17" s="352">
        <f t="shared" si="7"/>
        <v>101.5</v>
      </c>
      <c r="N17" s="352">
        <f t="shared" si="7"/>
        <v>101.5</v>
      </c>
      <c r="O17" s="352">
        <f t="shared" si="7"/>
        <v>101.5</v>
      </c>
      <c r="P17" s="352">
        <f t="shared" si="7"/>
        <v>101.5</v>
      </c>
      <c r="Q17" s="352">
        <f t="shared" si="7"/>
        <v>101.5</v>
      </c>
      <c r="R17" s="352">
        <f t="shared" si="7"/>
        <v>101.5</v>
      </c>
      <c r="S17" s="352">
        <f t="shared" si="7"/>
        <v>101.5</v>
      </c>
      <c r="T17" s="352">
        <f t="shared" si="7"/>
        <v>101.5</v>
      </c>
      <c r="U17" s="352">
        <f t="shared" si="7"/>
        <v>101.5</v>
      </c>
      <c r="V17" s="352">
        <f t="shared" si="7"/>
        <v>101.5</v>
      </c>
      <c r="W17" s="352">
        <f t="shared" si="7"/>
        <v>101.5</v>
      </c>
      <c r="X17" s="352">
        <f t="shared" si="7"/>
        <v>101.5</v>
      </c>
      <c r="Y17" s="352">
        <f t="shared" si="7"/>
        <v>101.5</v>
      </c>
    </row>
    <row r="18" spans="2:25" s="46" customFormat="1">
      <c r="B18" s="411" t="s">
        <v>440</v>
      </c>
      <c r="C18" s="412"/>
      <c r="D18" s="413"/>
      <c r="E18" s="414"/>
      <c r="F18" s="415"/>
      <c r="G18" s="416"/>
      <c r="H18" s="417"/>
      <c r="I18" s="417"/>
      <c r="J18" s="417"/>
      <c r="K18" s="417"/>
      <c r="L18" s="417"/>
      <c r="M18" s="417"/>
      <c r="N18" s="417"/>
      <c r="O18" s="416"/>
      <c r="P18" s="416"/>
      <c r="Q18" s="417"/>
      <c r="R18" s="416"/>
      <c r="S18" s="417"/>
      <c r="T18" s="416"/>
      <c r="U18" s="417"/>
      <c r="V18" s="416"/>
      <c r="W18" s="417"/>
      <c r="X18" s="418"/>
      <c r="Y18" s="416"/>
    </row>
    <row r="19" spans="2:25" s="46" customFormat="1">
      <c r="B19" s="419" t="s">
        <v>495</v>
      </c>
      <c r="C19" s="419" t="s">
        <v>496</v>
      </c>
      <c r="D19" s="420"/>
      <c r="E19" s="420">
        <v>5</v>
      </c>
      <c r="F19" s="420" t="e">
        <f>('[1]Rice crop budget'!$E$5)*2.5</f>
        <v>#REF!</v>
      </c>
      <c r="G19" s="420">
        <v>10</v>
      </c>
      <c r="H19" s="420">
        <f t="shared" ref="H19:Y19" si="8">G19</f>
        <v>10</v>
      </c>
      <c r="I19" s="420">
        <f t="shared" si="8"/>
        <v>10</v>
      </c>
      <c r="J19" s="420">
        <f t="shared" si="8"/>
        <v>10</v>
      </c>
      <c r="K19" s="420">
        <f t="shared" si="8"/>
        <v>10</v>
      </c>
      <c r="L19" s="420">
        <f t="shared" si="8"/>
        <v>10</v>
      </c>
      <c r="M19" s="420">
        <f t="shared" si="8"/>
        <v>10</v>
      </c>
      <c r="N19" s="420">
        <f t="shared" si="8"/>
        <v>10</v>
      </c>
      <c r="O19" s="420">
        <f t="shared" si="8"/>
        <v>10</v>
      </c>
      <c r="P19" s="420">
        <f t="shared" si="8"/>
        <v>10</v>
      </c>
      <c r="Q19" s="420">
        <f t="shared" si="8"/>
        <v>10</v>
      </c>
      <c r="R19" s="420">
        <f t="shared" si="8"/>
        <v>10</v>
      </c>
      <c r="S19" s="420">
        <f t="shared" si="8"/>
        <v>10</v>
      </c>
      <c r="T19" s="420">
        <f t="shared" si="8"/>
        <v>10</v>
      </c>
      <c r="U19" s="420">
        <f t="shared" si="8"/>
        <v>10</v>
      </c>
      <c r="V19" s="420">
        <f t="shared" si="8"/>
        <v>10</v>
      </c>
      <c r="W19" s="420">
        <f t="shared" si="8"/>
        <v>10</v>
      </c>
      <c r="X19" s="420">
        <f t="shared" si="8"/>
        <v>10</v>
      </c>
      <c r="Y19" s="420">
        <f t="shared" si="8"/>
        <v>10</v>
      </c>
    </row>
    <row r="20" spans="2:25" s="46" customFormat="1">
      <c r="B20" s="419" t="s">
        <v>497</v>
      </c>
      <c r="C20" s="419" t="s">
        <v>496</v>
      </c>
      <c r="D20" s="420"/>
      <c r="E20" s="420"/>
      <c r="F20" s="420" t="e">
        <f>('[1]Rice crop budget'!$E$6)*2.5</f>
        <v>#REF!</v>
      </c>
      <c r="G20" s="420" t="e">
        <f t="shared" ref="G20:V31" si="9">F20</f>
        <v>#REF!</v>
      </c>
      <c r="H20" s="420" t="e">
        <f t="shared" si="9"/>
        <v>#REF!</v>
      </c>
      <c r="I20" s="420" t="e">
        <f t="shared" si="9"/>
        <v>#REF!</v>
      </c>
      <c r="J20" s="420" t="e">
        <f t="shared" si="9"/>
        <v>#REF!</v>
      </c>
      <c r="K20" s="420" t="e">
        <f t="shared" si="9"/>
        <v>#REF!</v>
      </c>
      <c r="L20" s="420" t="e">
        <f t="shared" si="9"/>
        <v>#REF!</v>
      </c>
      <c r="M20" s="420" t="e">
        <f t="shared" si="9"/>
        <v>#REF!</v>
      </c>
      <c r="N20" s="420" t="e">
        <f t="shared" si="9"/>
        <v>#REF!</v>
      </c>
      <c r="O20" s="420" t="e">
        <f t="shared" si="9"/>
        <v>#REF!</v>
      </c>
      <c r="P20" s="420" t="e">
        <f t="shared" si="9"/>
        <v>#REF!</v>
      </c>
      <c r="Q20" s="420" t="e">
        <f t="shared" si="9"/>
        <v>#REF!</v>
      </c>
      <c r="R20" s="420" t="e">
        <f t="shared" si="9"/>
        <v>#REF!</v>
      </c>
      <c r="S20" s="420" t="e">
        <f t="shared" si="9"/>
        <v>#REF!</v>
      </c>
      <c r="T20" s="420" t="e">
        <f t="shared" si="9"/>
        <v>#REF!</v>
      </c>
      <c r="U20" s="420" t="e">
        <f t="shared" si="9"/>
        <v>#REF!</v>
      </c>
      <c r="V20" s="420" t="e">
        <f t="shared" si="9"/>
        <v>#REF!</v>
      </c>
      <c r="W20" s="420" t="e">
        <f t="shared" ref="W20:Y31" si="10">V20</f>
        <v>#REF!</v>
      </c>
      <c r="X20" s="420" t="e">
        <f t="shared" si="10"/>
        <v>#REF!</v>
      </c>
      <c r="Y20" s="420" t="e">
        <f t="shared" si="10"/>
        <v>#REF!</v>
      </c>
    </row>
    <row r="21" spans="2:25" s="46" customFormat="1">
      <c r="B21" s="419" t="s">
        <v>498</v>
      </c>
      <c r="C21" s="419" t="s">
        <v>496</v>
      </c>
      <c r="D21" s="420"/>
      <c r="E21" s="420"/>
      <c r="F21" s="420" t="e">
        <f>('[1]Rice crop budget'!$E$7)*2.5</f>
        <v>#REF!</v>
      </c>
      <c r="G21" s="420">
        <v>0</v>
      </c>
      <c r="H21" s="420">
        <f t="shared" si="9"/>
        <v>0</v>
      </c>
      <c r="I21" s="420">
        <f t="shared" si="9"/>
        <v>0</v>
      </c>
      <c r="J21" s="420">
        <f t="shared" si="9"/>
        <v>0</v>
      </c>
      <c r="K21" s="420">
        <f t="shared" si="9"/>
        <v>0</v>
      </c>
      <c r="L21" s="420">
        <f t="shared" si="9"/>
        <v>0</v>
      </c>
      <c r="M21" s="420">
        <f t="shared" si="9"/>
        <v>0</v>
      </c>
      <c r="N21" s="420">
        <f t="shared" si="9"/>
        <v>0</v>
      </c>
      <c r="O21" s="420">
        <f t="shared" si="9"/>
        <v>0</v>
      </c>
      <c r="P21" s="420">
        <f t="shared" si="9"/>
        <v>0</v>
      </c>
      <c r="Q21" s="420">
        <f t="shared" si="9"/>
        <v>0</v>
      </c>
      <c r="R21" s="420">
        <f t="shared" si="9"/>
        <v>0</v>
      </c>
      <c r="S21" s="420">
        <f t="shared" si="9"/>
        <v>0</v>
      </c>
      <c r="T21" s="420">
        <f t="shared" si="9"/>
        <v>0</v>
      </c>
      <c r="U21" s="420">
        <f t="shared" si="9"/>
        <v>0</v>
      </c>
      <c r="V21" s="420">
        <f t="shared" si="9"/>
        <v>0</v>
      </c>
      <c r="W21" s="420">
        <f t="shared" si="10"/>
        <v>0</v>
      </c>
      <c r="X21" s="420">
        <f t="shared" si="10"/>
        <v>0</v>
      </c>
      <c r="Y21" s="420">
        <f t="shared" si="10"/>
        <v>0</v>
      </c>
    </row>
    <row r="22" spans="2:25" s="46" customFormat="1">
      <c r="B22" s="419" t="s">
        <v>499</v>
      </c>
      <c r="C22" s="419" t="s">
        <v>496</v>
      </c>
      <c r="D22" s="420"/>
      <c r="E22" s="420"/>
      <c r="F22" s="420" t="e">
        <f>('[1]Rice crop budget'!$E$8)*2.5</f>
        <v>#REF!</v>
      </c>
      <c r="G22" s="420">
        <v>10</v>
      </c>
      <c r="H22" s="420">
        <f t="shared" si="9"/>
        <v>10</v>
      </c>
      <c r="I22" s="420">
        <f t="shared" si="9"/>
        <v>10</v>
      </c>
      <c r="J22" s="420">
        <f t="shared" si="9"/>
        <v>10</v>
      </c>
      <c r="K22" s="420">
        <f t="shared" si="9"/>
        <v>10</v>
      </c>
      <c r="L22" s="420">
        <f t="shared" si="9"/>
        <v>10</v>
      </c>
      <c r="M22" s="420">
        <f t="shared" si="9"/>
        <v>10</v>
      </c>
      <c r="N22" s="420">
        <f t="shared" si="9"/>
        <v>10</v>
      </c>
      <c r="O22" s="420">
        <f t="shared" si="9"/>
        <v>10</v>
      </c>
      <c r="P22" s="420">
        <f t="shared" si="9"/>
        <v>10</v>
      </c>
      <c r="Q22" s="420">
        <f t="shared" si="9"/>
        <v>10</v>
      </c>
      <c r="R22" s="420">
        <f t="shared" si="9"/>
        <v>10</v>
      </c>
      <c r="S22" s="420">
        <f t="shared" si="9"/>
        <v>10</v>
      </c>
      <c r="T22" s="420">
        <f t="shared" si="9"/>
        <v>10</v>
      </c>
      <c r="U22" s="420">
        <f t="shared" si="9"/>
        <v>10</v>
      </c>
      <c r="V22" s="420">
        <f t="shared" si="9"/>
        <v>10</v>
      </c>
      <c r="W22" s="420">
        <f t="shared" si="10"/>
        <v>10</v>
      </c>
      <c r="X22" s="420">
        <f t="shared" si="10"/>
        <v>10</v>
      </c>
      <c r="Y22" s="420">
        <f t="shared" si="10"/>
        <v>10</v>
      </c>
    </row>
    <row r="23" spans="2:25" s="46" customFormat="1">
      <c r="B23" s="419" t="s">
        <v>500</v>
      </c>
      <c r="C23" s="419" t="s">
        <v>496</v>
      </c>
      <c r="D23" s="420"/>
      <c r="E23" s="420"/>
      <c r="F23" s="420" t="e">
        <f>('[1]Rice crop budget'!$E$9)*2.5</f>
        <v>#REF!</v>
      </c>
      <c r="G23" s="420">
        <v>10</v>
      </c>
      <c r="H23" s="420">
        <f t="shared" si="9"/>
        <v>10</v>
      </c>
      <c r="I23" s="420">
        <f t="shared" si="9"/>
        <v>10</v>
      </c>
      <c r="J23" s="420">
        <f t="shared" si="9"/>
        <v>10</v>
      </c>
      <c r="K23" s="420">
        <f t="shared" si="9"/>
        <v>10</v>
      </c>
      <c r="L23" s="420">
        <f t="shared" si="9"/>
        <v>10</v>
      </c>
      <c r="M23" s="420">
        <f t="shared" si="9"/>
        <v>10</v>
      </c>
      <c r="N23" s="420">
        <f t="shared" si="9"/>
        <v>10</v>
      </c>
      <c r="O23" s="420">
        <f t="shared" si="9"/>
        <v>10</v>
      </c>
      <c r="P23" s="420">
        <f t="shared" si="9"/>
        <v>10</v>
      </c>
      <c r="Q23" s="420">
        <f t="shared" si="9"/>
        <v>10</v>
      </c>
      <c r="R23" s="420">
        <f t="shared" si="9"/>
        <v>10</v>
      </c>
      <c r="S23" s="420">
        <f t="shared" si="9"/>
        <v>10</v>
      </c>
      <c r="T23" s="420">
        <f t="shared" si="9"/>
        <v>10</v>
      </c>
      <c r="U23" s="420">
        <f t="shared" si="9"/>
        <v>10</v>
      </c>
      <c r="V23" s="420">
        <f t="shared" si="9"/>
        <v>10</v>
      </c>
      <c r="W23" s="420">
        <f t="shared" si="10"/>
        <v>10</v>
      </c>
      <c r="X23" s="420">
        <f t="shared" si="10"/>
        <v>10</v>
      </c>
      <c r="Y23" s="420">
        <f t="shared" si="10"/>
        <v>10</v>
      </c>
    </row>
    <row r="24" spans="2:25" s="46" customFormat="1">
      <c r="B24" s="419" t="s">
        <v>516</v>
      </c>
      <c r="C24" s="419" t="s">
        <v>496</v>
      </c>
      <c r="D24" s="420"/>
      <c r="E24" s="420"/>
      <c r="F24" s="420"/>
      <c r="G24" s="420">
        <f t="shared" si="9"/>
        <v>0</v>
      </c>
      <c r="H24" s="420">
        <f t="shared" si="9"/>
        <v>0</v>
      </c>
      <c r="I24" s="420">
        <f t="shared" si="9"/>
        <v>0</v>
      </c>
      <c r="J24" s="420">
        <f t="shared" si="9"/>
        <v>0</v>
      </c>
      <c r="K24" s="420">
        <f t="shared" si="9"/>
        <v>0</v>
      </c>
      <c r="L24" s="420">
        <f t="shared" si="9"/>
        <v>0</v>
      </c>
      <c r="M24" s="420">
        <f t="shared" si="9"/>
        <v>0</v>
      </c>
      <c r="N24" s="420">
        <f t="shared" si="9"/>
        <v>0</v>
      </c>
      <c r="O24" s="420">
        <f t="shared" si="9"/>
        <v>0</v>
      </c>
      <c r="P24" s="420">
        <f t="shared" si="9"/>
        <v>0</v>
      </c>
      <c r="Q24" s="420">
        <f t="shared" si="9"/>
        <v>0</v>
      </c>
      <c r="R24" s="420">
        <f t="shared" si="9"/>
        <v>0</v>
      </c>
      <c r="S24" s="420">
        <f t="shared" si="9"/>
        <v>0</v>
      </c>
      <c r="T24" s="420">
        <f t="shared" si="9"/>
        <v>0</v>
      </c>
      <c r="U24" s="420">
        <f t="shared" si="9"/>
        <v>0</v>
      </c>
      <c r="V24" s="420">
        <f t="shared" si="9"/>
        <v>0</v>
      </c>
      <c r="W24" s="420">
        <f t="shared" si="10"/>
        <v>0</v>
      </c>
      <c r="X24" s="420">
        <f t="shared" si="10"/>
        <v>0</v>
      </c>
      <c r="Y24" s="420">
        <f t="shared" si="10"/>
        <v>0</v>
      </c>
    </row>
    <row r="25" spans="2:25" s="46" customFormat="1">
      <c r="B25" s="419" t="s">
        <v>501</v>
      </c>
      <c r="C25" s="419" t="s">
        <v>496</v>
      </c>
      <c r="D25" s="420"/>
      <c r="E25" s="420"/>
      <c r="F25" s="420" t="e">
        <f>('[1]Rice crop budget'!$E$11)*2.5</f>
        <v>#REF!</v>
      </c>
      <c r="G25" s="420" t="e">
        <f t="shared" si="9"/>
        <v>#REF!</v>
      </c>
      <c r="H25" s="420" t="e">
        <f t="shared" si="9"/>
        <v>#REF!</v>
      </c>
      <c r="I25" s="420" t="e">
        <f t="shared" si="9"/>
        <v>#REF!</v>
      </c>
      <c r="J25" s="420" t="e">
        <f t="shared" si="9"/>
        <v>#REF!</v>
      </c>
      <c r="K25" s="420" t="e">
        <f t="shared" si="9"/>
        <v>#REF!</v>
      </c>
      <c r="L25" s="420" t="e">
        <f t="shared" si="9"/>
        <v>#REF!</v>
      </c>
      <c r="M25" s="420" t="e">
        <f t="shared" si="9"/>
        <v>#REF!</v>
      </c>
      <c r="N25" s="420" t="e">
        <f t="shared" si="9"/>
        <v>#REF!</v>
      </c>
      <c r="O25" s="420" t="e">
        <f t="shared" si="9"/>
        <v>#REF!</v>
      </c>
      <c r="P25" s="420" t="e">
        <f t="shared" si="9"/>
        <v>#REF!</v>
      </c>
      <c r="Q25" s="420" t="e">
        <f t="shared" si="9"/>
        <v>#REF!</v>
      </c>
      <c r="R25" s="420" t="e">
        <f t="shared" si="9"/>
        <v>#REF!</v>
      </c>
      <c r="S25" s="420" t="e">
        <f t="shared" si="9"/>
        <v>#REF!</v>
      </c>
      <c r="T25" s="420" t="e">
        <f t="shared" si="9"/>
        <v>#REF!</v>
      </c>
      <c r="U25" s="420" t="e">
        <f t="shared" si="9"/>
        <v>#REF!</v>
      </c>
      <c r="V25" s="420" t="e">
        <f t="shared" si="9"/>
        <v>#REF!</v>
      </c>
      <c r="W25" s="420" t="e">
        <f t="shared" si="10"/>
        <v>#REF!</v>
      </c>
      <c r="X25" s="420" t="e">
        <f t="shared" si="10"/>
        <v>#REF!</v>
      </c>
      <c r="Y25" s="420" t="e">
        <f t="shared" si="10"/>
        <v>#REF!</v>
      </c>
    </row>
    <row r="26" spans="2:25" s="46" customFormat="1">
      <c r="B26" s="419" t="s">
        <v>502</v>
      </c>
      <c r="C26" s="419" t="s">
        <v>496</v>
      </c>
      <c r="D26" s="420"/>
      <c r="E26" s="420">
        <v>5</v>
      </c>
      <c r="F26" s="420" t="e">
        <f>('[1]Rice crop budget'!$E$12)*2.5</f>
        <v>#REF!</v>
      </c>
      <c r="G26" s="420">
        <v>10</v>
      </c>
      <c r="H26" s="420">
        <f t="shared" si="9"/>
        <v>10</v>
      </c>
      <c r="I26" s="420">
        <f t="shared" si="9"/>
        <v>10</v>
      </c>
      <c r="J26" s="420">
        <f t="shared" si="9"/>
        <v>10</v>
      </c>
      <c r="K26" s="420">
        <f t="shared" si="9"/>
        <v>10</v>
      </c>
      <c r="L26" s="420">
        <f t="shared" si="9"/>
        <v>10</v>
      </c>
      <c r="M26" s="420">
        <f t="shared" si="9"/>
        <v>10</v>
      </c>
      <c r="N26" s="420">
        <f t="shared" si="9"/>
        <v>10</v>
      </c>
      <c r="O26" s="420">
        <f t="shared" si="9"/>
        <v>10</v>
      </c>
      <c r="P26" s="420">
        <f t="shared" si="9"/>
        <v>10</v>
      </c>
      <c r="Q26" s="420">
        <f t="shared" si="9"/>
        <v>10</v>
      </c>
      <c r="R26" s="420">
        <f t="shared" si="9"/>
        <v>10</v>
      </c>
      <c r="S26" s="420">
        <f t="shared" si="9"/>
        <v>10</v>
      </c>
      <c r="T26" s="420">
        <f t="shared" si="9"/>
        <v>10</v>
      </c>
      <c r="U26" s="420">
        <f t="shared" si="9"/>
        <v>10</v>
      </c>
      <c r="V26" s="420">
        <f t="shared" si="9"/>
        <v>10</v>
      </c>
      <c r="W26" s="420">
        <f t="shared" si="10"/>
        <v>10</v>
      </c>
      <c r="X26" s="420">
        <f t="shared" si="10"/>
        <v>10</v>
      </c>
      <c r="Y26" s="420">
        <f t="shared" si="10"/>
        <v>10</v>
      </c>
    </row>
    <row r="27" spans="2:25" s="46" customFormat="1">
      <c r="B27" s="419" t="s">
        <v>503</v>
      </c>
      <c r="C27" s="419" t="s">
        <v>496</v>
      </c>
      <c r="D27" s="420"/>
      <c r="E27" s="420"/>
      <c r="F27" s="420" t="e">
        <f>('[1]Rice crop budget'!$E$13)*2.5</f>
        <v>#REF!</v>
      </c>
      <c r="G27" s="420" t="e">
        <f t="shared" si="9"/>
        <v>#REF!</v>
      </c>
      <c r="H27" s="420" t="e">
        <f t="shared" si="9"/>
        <v>#REF!</v>
      </c>
      <c r="I27" s="420" t="e">
        <f t="shared" si="9"/>
        <v>#REF!</v>
      </c>
      <c r="J27" s="420" t="e">
        <f t="shared" si="9"/>
        <v>#REF!</v>
      </c>
      <c r="K27" s="420" t="e">
        <f t="shared" si="9"/>
        <v>#REF!</v>
      </c>
      <c r="L27" s="420" t="e">
        <f t="shared" si="9"/>
        <v>#REF!</v>
      </c>
      <c r="M27" s="420" t="e">
        <f t="shared" si="9"/>
        <v>#REF!</v>
      </c>
      <c r="N27" s="420" t="e">
        <f t="shared" si="9"/>
        <v>#REF!</v>
      </c>
      <c r="O27" s="420" t="e">
        <f t="shared" si="9"/>
        <v>#REF!</v>
      </c>
      <c r="P27" s="420" t="e">
        <f t="shared" si="9"/>
        <v>#REF!</v>
      </c>
      <c r="Q27" s="420" t="e">
        <f t="shared" si="9"/>
        <v>#REF!</v>
      </c>
      <c r="R27" s="420" t="e">
        <f t="shared" si="9"/>
        <v>#REF!</v>
      </c>
      <c r="S27" s="420" t="e">
        <f t="shared" si="9"/>
        <v>#REF!</v>
      </c>
      <c r="T27" s="420" t="e">
        <f t="shared" si="9"/>
        <v>#REF!</v>
      </c>
      <c r="U27" s="420" t="e">
        <f t="shared" si="9"/>
        <v>#REF!</v>
      </c>
      <c r="V27" s="420" t="e">
        <f t="shared" si="9"/>
        <v>#REF!</v>
      </c>
      <c r="W27" s="420" t="e">
        <f t="shared" si="10"/>
        <v>#REF!</v>
      </c>
      <c r="X27" s="420" t="e">
        <f t="shared" si="10"/>
        <v>#REF!</v>
      </c>
      <c r="Y27" s="420" t="e">
        <f t="shared" si="10"/>
        <v>#REF!</v>
      </c>
    </row>
    <row r="28" spans="2:25" s="46" customFormat="1">
      <c r="B28" s="419" t="s">
        <v>517</v>
      </c>
      <c r="C28" s="419" t="s">
        <v>496</v>
      </c>
      <c r="D28" s="420"/>
      <c r="E28" s="420"/>
      <c r="F28" s="420"/>
      <c r="G28" s="420">
        <f t="shared" si="9"/>
        <v>0</v>
      </c>
      <c r="H28" s="420">
        <f t="shared" si="9"/>
        <v>0</v>
      </c>
      <c r="I28" s="420">
        <f t="shared" si="9"/>
        <v>0</v>
      </c>
      <c r="J28" s="420">
        <f t="shared" si="9"/>
        <v>0</v>
      </c>
      <c r="K28" s="420">
        <f t="shared" si="9"/>
        <v>0</v>
      </c>
      <c r="L28" s="420">
        <f t="shared" si="9"/>
        <v>0</v>
      </c>
      <c r="M28" s="420">
        <f t="shared" si="9"/>
        <v>0</v>
      </c>
      <c r="N28" s="420">
        <f t="shared" si="9"/>
        <v>0</v>
      </c>
      <c r="O28" s="420">
        <f t="shared" si="9"/>
        <v>0</v>
      </c>
      <c r="P28" s="420">
        <f t="shared" si="9"/>
        <v>0</v>
      </c>
      <c r="Q28" s="420">
        <f t="shared" si="9"/>
        <v>0</v>
      </c>
      <c r="R28" s="420">
        <f t="shared" si="9"/>
        <v>0</v>
      </c>
      <c r="S28" s="420">
        <f t="shared" si="9"/>
        <v>0</v>
      </c>
      <c r="T28" s="420">
        <f t="shared" si="9"/>
        <v>0</v>
      </c>
      <c r="U28" s="420">
        <f t="shared" si="9"/>
        <v>0</v>
      </c>
      <c r="V28" s="420">
        <f t="shared" si="9"/>
        <v>0</v>
      </c>
      <c r="W28" s="420">
        <f t="shared" si="10"/>
        <v>0</v>
      </c>
      <c r="X28" s="420">
        <f t="shared" si="10"/>
        <v>0</v>
      </c>
      <c r="Y28" s="420">
        <f t="shared" si="10"/>
        <v>0</v>
      </c>
    </row>
    <row r="29" spans="2:25" s="46" customFormat="1">
      <c r="B29" s="419" t="s">
        <v>504</v>
      </c>
      <c r="C29" s="419" t="s">
        <v>496</v>
      </c>
      <c r="D29" s="420"/>
      <c r="E29" s="420" t="e">
        <f>('[1]Rice crop budget'!$E$15)*2.5</f>
        <v>#REF!</v>
      </c>
      <c r="F29" s="420" t="e">
        <f>('[1]Rice crop budget'!$E$15)*2.5</f>
        <v>#REF!</v>
      </c>
      <c r="G29" s="420" t="e">
        <f t="shared" si="9"/>
        <v>#REF!</v>
      </c>
      <c r="H29" s="420" t="e">
        <f t="shared" si="9"/>
        <v>#REF!</v>
      </c>
      <c r="I29" s="420" t="e">
        <f t="shared" si="9"/>
        <v>#REF!</v>
      </c>
      <c r="J29" s="420" t="e">
        <f t="shared" si="9"/>
        <v>#REF!</v>
      </c>
      <c r="K29" s="420" t="e">
        <f t="shared" si="9"/>
        <v>#REF!</v>
      </c>
      <c r="L29" s="420" t="e">
        <f t="shared" si="9"/>
        <v>#REF!</v>
      </c>
      <c r="M29" s="420" t="e">
        <f t="shared" si="9"/>
        <v>#REF!</v>
      </c>
      <c r="N29" s="420" t="e">
        <f t="shared" si="9"/>
        <v>#REF!</v>
      </c>
      <c r="O29" s="420" t="e">
        <f t="shared" si="9"/>
        <v>#REF!</v>
      </c>
      <c r="P29" s="420" t="e">
        <f t="shared" si="9"/>
        <v>#REF!</v>
      </c>
      <c r="Q29" s="420" t="e">
        <f t="shared" si="9"/>
        <v>#REF!</v>
      </c>
      <c r="R29" s="420" t="e">
        <f t="shared" si="9"/>
        <v>#REF!</v>
      </c>
      <c r="S29" s="420" t="e">
        <f t="shared" si="9"/>
        <v>#REF!</v>
      </c>
      <c r="T29" s="420" t="e">
        <f t="shared" si="9"/>
        <v>#REF!</v>
      </c>
      <c r="U29" s="420" t="e">
        <f t="shared" si="9"/>
        <v>#REF!</v>
      </c>
      <c r="V29" s="420" t="e">
        <f t="shared" si="9"/>
        <v>#REF!</v>
      </c>
      <c r="W29" s="420" t="e">
        <f t="shared" si="10"/>
        <v>#REF!</v>
      </c>
      <c r="X29" s="420" t="e">
        <f t="shared" si="10"/>
        <v>#REF!</v>
      </c>
      <c r="Y29" s="420" t="e">
        <f t="shared" si="10"/>
        <v>#REF!</v>
      </c>
    </row>
    <row r="30" spans="2:25" s="46" customFormat="1">
      <c r="B30" s="419" t="s">
        <v>505</v>
      </c>
      <c r="C30" s="419" t="s">
        <v>496</v>
      </c>
      <c r="D30" s="420"/>
      <c r="E30" s="420">
        <v>5</v>
      </c>
      <c r="F30" s="420" t="e">
        <f>('[1]Rice crop budget'!$E$16)*2.5</f>
        <v>#REF!</v>
      </c>
      <c r="G30" s="420">
        <v>10</v>
      </c>
      <c r="H30" s="420">
        <f t="shared" si="9"/>
        <v>10</v>
      </c>
      <c r="I30" s="420">
        <f t="shared" si="9"/>
        <v>10</v>
      </c>
      <c r="J30" s="420">
        <f t="shared" si="9"/>
        <v>10</v>
      </c>
      <c r="K30" s="420">
        <f t="shared" si="9"/>
        <v>10</v>
      </c>
      <c r="L30" s="420">
        <f t="shared" si="9"/>
        <v>10</v>
      </c>
      <c r="M30" s="420">
        <f t="shared" si="9"/>
        <v>10</v>
      </c>
      <c r="N30" s="420">
        <f t="shared" si="9"/>
        <v>10</v>
      </c>
      <c r="O30" s="420">
        <f t="shared" si="9"/>
        <v>10</v>
      </c>
      <c r="P30" s="420">
        <f t="shared" si="9"/>
        <v>10</v>
      </c>
      <c r="Q30" s="420">
        <f t="shared" si="9"/>
        <v>10</v>
      </c>
      <c r="R30" s="420">
        <f t="shared" si="9"/>
        <v>10</v>
      </c>
      <c r="S30" s="420">
        <f t="shared" si="9"/>
        <v>10</v>
      </c>
      <c r="T30" s="420">
        <f t="shared" si="9"/>
        <v>10</v>
      </c>
      <c r="U30" s="420">
        <f t="shared" si="9"/>
        <v>10</v>
      </c>
      <c r="V30" s="420">
        <f t="shared" si="9"/>
        <v>10</v>
      </c>
      <c r="W30" s="420">
        <f t="shared" si="10"/>
        <v>10</v>
      </c>
      <c r="X30" s="420">
        <f t="shared" si="10"/>
        <v>10</v>
      </c>
      <c r="Y30" s="420">
        <f t="shared" si="10"/>
        <v>10</v>
      </c>
    </row>
    <row r="31" spans="2:25" s="46" customFormat="1">
      <c r="B31" s="421" t="s">
        <v>506</v>
      </c>
      <c r="C31" s="422" t="s">
        <v>496</v>
      </c>
      <c r="D31" s="423"/>
      <c r="E31" s="423"/>
      <c r="F31" s="423" t="e">
        <f>('[1]Rice crop budget'!$E$18)*2.5</f>
        <v>#REF!</v>
      </c>
      <c r="G31" s="423" t="e">
        <f>F31</f>
        <v>#REF!</v>
      </c>
      <c r="H31" s="423" t="e">
        <f t="shared" si="9"/>
        <v>#REF!</v>
      </c>
      <c r="I31" s="423" t="e">
        <f t="shared" si="9"/>
        <v>#REF!</v>
      </c>
      <c r="J31" s="423" t="e">
        <f t="shared" si="9"/>
        <v>#REF!</v>
      </c>
      <c r="K31" s="423" t="e">
        <f t="shared" si="9"/>
        <v>#REF!</v>
      </c>
      <c r="L31" s="423" t="e">
        <f t="shared" si="9"/>
        <v>#REF!</v>
      </c>
      <c r="M31" s="423" t="e">
        <f t="shared" si="9"/>
        <v>#REF!</v>
      </c>
      <c r="N31" s="423" t="e">
        <f t="shared" si="9"/>
        <v>#REF!</v>
      </c>
      <c r="O31" s="423" t="e">
        <f t="shared" si="9"/>
        <v>#REF!</v>
      </c>
      <c r="P31" s="423" t="e">
        <f t="shared" si="9"/>
        <v>#REF!</v>
      </c>
      <c r="Q31" s="423" t="e">
        <f t="shared" si="9"/>
        <v>#REF!</v>
      </c>
      <c r="R31" s="423" t="e">
        <f t="shared" si="9"/>
        <v>#REF!</v>
      </c>
      <c r="S31" s="423" t="e">
        <f t="shared" si="9"/>
        <v>#REF!</v>
      </c>
      <c r="T31" s="423" t="e">
        <f t="shared" si="9"/>
        <v>#REF!</v>
      </c>
      <c r="U31" s="423" t="e">
        <f t="shared" si="9"/>
        <v>#REF!</v>
      </c>
      <c r="V31" s="423" t="e">
        <f t="shared" si="9"/>
        <v>#REF!</v>
      </c>
      <c r="W31" s="423" t="e">
        <f t="shared" si="10"/>
        <v>#REF!</v>
      </c>
      <c r="X31" s="423" t="e">
        <f t="shared" si="10"/>
        <v>#REF!</v>
      </c>
      <c r="Y31" s="423" t="e">
        <f t="shared" si="10"/>
        <v>#REF!</v>
      </c>
    </row>
    <row r="32" spans="2:25" s="46" customFormat="1">
      <c r="B32" s="411" t="s">
        <v>507</v>
      </c>
      <c r="C32" s="424"/>
      <c r="D32" s="425"/>
      <c r="E32" s="425" t="e">
        <f>SUM(E19:E31)</f>
        <v>#REF!</v>
      </c>
      <c r="F32" s="425" t="e">
        <f>SUM(F19:F31)</f>
        <v>#REF!</v>
      </c>
      <c r="G32" s="425" t="e">
        <f t="shared" ref="G32:Y32" si="11">SUM(G19:G31)</f>
        <v>#REF!</v>
      </c>
      <c r="H32" s="425" t="e">
        <f t="shared" si="11"/>
        <v>#REF!</v>
      </c>
      <c r="I32" s="425" t="e">
        <f t="shared" si="11"/>
        <v>#REF!</v>
      </c>
      <c r="J32" s="425" t="e">
        <f t="shared" si="11"/>
        <v>#REF!</v>
      </c>
      <c r="K32" s="425" t="e">
        <f t="shared" si="11"/>
        <v>#REF!</v>
      </c>
      <c r="L32" s="425" t="e">
        <f t="shared" si="11"/>
        <v>#REF!</v>
      </c>
      <c r="M32" s="425" t="e">
        <f t="shared" si="11"/>
        <v>#REF!</v>
      </c>
      <c r="N32" s="425" t="e">
        <f t="shared" si="11"/>
        <v>#REF!</v>
      </c>
      <c r="O32" s="425" t="e">
        <f t="shared" si="11"/>
        <v>#REF!</v>
      </c>
      <c r="P32" s="425" t="e">
        <f t="shared" si="11"/>
        <v>#REF!</v>
      </c>
      <c r="Q32" s="425" t="e">
        <f t="shared" si="11"/>
        <v>#REF!</v>
      </c>
      <c r="R32" s="425" t="e">
        <f t="shared" si="11"/>
        <v>#REF!</v>
      </c>
      <c r="S32" s="425" t="e">
        <f t="shared" si="11"/>
        <v>#REF!</v>
      </c>
      <c r="T32" s="425" t="e">
        <f t="shared" si="11"/>
        <v>#REF!</v>
      </c>
      <c r="U32" s="425" t="e">
        <f t="shared" si="11"/>
        <v>#REF!</v>
      </c>
      <c r="V32" s="425" t="e">
        <f t="shared" si="11"/>
        <v>#REF!</v>
      </c>
      <c r="W32" s="425" t="e">
        <f t="shared" si="11"/>
        <v>#REF!</v>
      </c>
      <c r="X32" s="425" t="e">
        <f t="shared" si="11"/>
        <v>#REF!</v>
      </c>
      <c r="Y32" s="425" t="e">
        <f t="shared" si="11"/>
        <v>#REF!</v>
      </c>
    </row>
    <row r="33" spans="2:26" s="46" customFormat="1">
      <c r="B33" s="405" t="s">
        <v>508</v>
      </c>
      <c r="C33" s="406"/>
      <c r="D33" s="413">
        <f>17*0.8</f>
        <v>13.600000000000001</v>
      </c>
      <c r="E33" s="413" t="e">
        <f>0.5*E32</f>
        <v>#REF!</v>
      </c>
      <c r="F33" s="413" t="e">
        <f t="shared" ref="F33:Y33" si="12">0.5*F32</f>
        <v>#REF!</v>
      </c>
      <c r="G33" s="413" t="e">
        <f t="shared" si="12"/>
        <v>#REF!</v>
      </c>
      <c r="H33" s="413" t="e">
        <f t="shared" si="12"/>
        <v>#REF!</v>
      </c>
      <c r="I33" s="413" t="e">
        <f t="shared" si="12"/>
        <v>#REF!</v>
      </c>
      <c r="J33" s="413" t="e">
        <f t="shared" si="12"/>
        <v>#REF!</v>
      </c>
      <c r="K33" s="413" t="e">
        <f t="shared" si="12"/>
        <v>#REF!</v>
      </c>
      <c r="L33" s="413" t="e">
        <f t="shared" si="12"/>
        <v>#REF!</v>
      </c>
      <c r="M33" s="413" t="e">
        <f t="shared" si="12"/>
        <v>#REF!</v>
      </c>
      <c r="N33" s="413" t="e">
        <f t="shared" si="12"/>
        <v>#REF!</v>
      </c>
      <c r="O33" s="413" t="e">
        <f t="shared" si="12"/>
        <v>#REF!</v>
      </c>
      <c r="P33" s="413" t="e">
        <f t="shared" si="12"/>
        <v>#REF!</v>
      </c>
      <c r="Q33" s="413" t="e">
        <f t="shared" si="12"/>
        <v>#REF!</v>
      </c>
      <c r="R33" s="413" t="e">
        <f t="shared" si="12"/>
        <v>#REF!</v>
      </c>
      <c r="S33" s="413" t="e">
        <f t="shared" si="12"/>
        <v>#REF!</v>
      </c>
      <c r="T33" s="413" t="e">
        <f t="shared" si="12"/>
        <v>#REF!</v>
      </c>
      <c r="U33" s="413" t="e">
        <f t="shared" si="12"/>
        <v>#REF!</v>
      </c>
      <c r="V33" s="413" t="e">
        <f t="shared" si="12"/>
        <v>#REF!</v>
      </c>
      <c r="W33" s="413" t="e">
        <f t="shared" si="12"/>
        <v>#REF!</v>
      </c>
      <c r="X33" s="413" t="e">
        <f t="shared" si="12"/>
        <v>#REF!</v>
      </c>
      <c r="Y33" s="413" t="e">
        <f t="shared" si="12"/>
        <v>#REF!</v>
      </c>
    </row>
    <row r="34" spans="2:26" s="46" customFormat="1">
      <c r="B34" s="407" t="s">
        <v>509</v>
      </c>
      <c r="C34" s="426"/>
      <c r="D34" s="427">
        <f>17*0.8</f>
        <v>13.600000000000001</v>
      </c>
      <c r="E34" s="427" t="e">
        <f>E32-E33</f>
        <v>#REF!</v>
      </c>
      <c r="F34" s="427" t="e">
        <f t="shared" ref="F34:Y34" si="13">F32-F33</f>
        <v>#REF!</v>
      </c>
      <c r="G34" s="427" t="e">
        <f t="shared" si="13"/>
        <v>#REF!</v>
      </c>
      <c r="H34" s="427" t="e">
        <f t="shared" si="13"/>
        <v>#REF!</v>
      </c>
      <c r="I34" s="427" t="e">
        <f t="shared" si="13"/>
        <v>#REF!</v>
      </c>
      <c r="J34" s="427" t="e">
        <f t="shared" si="13"/>
        <v>#REF!</v>
      </c>
      <c r="K34" s="427" t="e">
        <f t="shared" si="13"/>
        <v>#REF!</v>
      </c>
      <c r="L34" s="427" t="e">
        <f t="shared" si="13"/>
        <v>#REF!</v>
      </c>
      <c r="M34" s="427" t="e">
        <f t="shared" si="13"/>
        <v>#REF!</v>
      </c>
      <c r="N34" s="427" t="e">
        <f t="shared" si="13"/>
        <v>#REF!</v>
      </c>
      <c r="O34" s="427" t="e">
        <f t="shared" si="13"/>
        <v>#REF!</v>
      </c>
      <c r="P34" s="427" t="e">
        <f t="shared" si="13"/>
        <v>#REF!</v>
      </c>
      <c r="Q34" s="427" t="e">
        <f t="shared" si="13"/>
        <v>#REF!</v>
      </c>
      <c r="R34" s="427" t="e">
        <f t="shared" si="13"/>
        <v>#REF!</v>
      </c>
      <c r="S34" s="427" t="e">
        <f t="shared" si="13"/>
        <v>#REF!</v>
      </c>
      <c r="T34" s="427" t="e">
        <f t="shared" si="13"/>
        <v>#REF!</v>
      </c>
      <c r="U34" s="427" t="e">
        <f t="shared" si="13"/>
        <v>#REF!</v>
      </c>
      <c r="V34" s="427" t="e">
        <f t="shared" si="13"/>
        <v>#REF!</v>
      </c>
      <c r="W34" s="427" t="e">
        <f t="shared" si="13"/>
        <v>#REF!</v>
      </c>
      <c r="X34" s="427" t="e">
        <f t="shared" si="13"/>
        <v>#REF!</v>
      </c>
      <c r="Y34" s="427" t="e">
        <f t="shared" si="13"/>
        <v>#REF!</v>
      </c>
    </row>
    <row r="35" spans="2:26" s="46" customFormat="1">
      <c r="B35" s="428"/>
      <c r="C35" s="502"/>
      <c r="D35" s="413"/>
      <c r="E35" s="353"/>
      <c r="F35" s="373"/>
      <c r="G35" s="415"/>
      <c r="H35" s="415"/>
      <c r="I35" s="415"/>
      <c r="J35" s="415"/>
      <c r="K35" s="415"/>
      <c r="L35" s="415"/>
      <c r="M35" s="415"/>
      <c r="N35" s="415"/>
      <c r="O35" s="415"/>
      <c r="P35" s="415"/>
      <c r="Q35" s="415"/>
      <c r="R35" s="415"/>
      <c r="S35" s="415"/>
      <c r="T35" s="415"/>
      <c r="U35" s="415"/>
      <c r="V35" s="415"/>
      <c r="W35" s="415"/>
      <c r="X35" s="415"/>
      <c r="Y35" s="415"/>
      <c r="Z35" s="415"/>
    </row>
    <row r="36" spans="2:26">
      <c r="B36" s="76" t="s">
        <v>547</v>
      </c>
      <c r="C36" s="144"/>
      <c r="D36" s="429" t="s">
        <v>482</v>
      </c>
      <c r="E36" s="772" t="s">
        <v>510</v>
      </c>
      <c r="F36" s="772"/>
      <c r="G36" s="772"/>
      <c r="H36" s="772"/>
      <c r="I36" s="772"/>
      <c r="J36" s="772"/>
      <c r="K36" s="772"/>
      <c r="L36" s="772"/>
      <c r="M36" s="772"/>
      <c r="N36" s="772"/>
      <c r="O36" s="772"/>
      <c r="P36" s="772"/>
      <c r="Q36" s="772"/>
      <c r="R36" s="772"/>
      <c r="S36" s="772"/>
      <c r="T36" s="772"/>
      <c r="U36" s="772"/>
      <c r="V36" s="772"/>
      <c r="W36" s="772"/>
      <c r="X36" s="772"/>
      <c r="Y36" s="430"/>
      <c r="Z36" s="430"/>
    </row>
    <row r="37" spans="2:26" s="121" customFormat="1">
      <c r="B37" s="334"/>
      <c r="C37" s="335"/>
      <c r="D37" s="337" t="s">
        <v>511</v>
      </c>
      <c r="E37" s="339" t="s">
        <v>383</v>
      </c>
      <c r="F37" s="339" t="s">
        <v>384</v>
      </c>
      <c r="G37" s="339" t="s">
        <v>385</v>
      </c>
      <c r="H37" s="339" t="s">
        <v>386</v>
      </c>
      <c r="I37" s="339" t="s">
        <v>387</v>
      </c>
      <c r="J37" s="339" t="s">
        <v>388</v>
      </c>
      <c r="K37" s="339" t="s">
        <v>389</v>
      </c>
      <c r="L37" s="339" t="s">
        <v>390</v>
      </c>
      <c r="M37" s="339" t="s">
        <v>391</v>
      </c>
      <c r="N37" s="339" t="s">
        <v>392</v>
      </c>
      <c r="O37" s="339" t="s">
        <v>483</v>
      </c>
      <c r="P37" s="339" t="s">
        <v>394</v>
      </c>
      <c r="Q37" s="339" t="s">
        <v>395</v>
      </c>
      <c r="R37" s="339" t="s">
        <v>396</v>
      </c>
      <c r="S37" s="339" t="s">
        <v>397</v>
      </c>
      <c r="T37" s="339" t="s">
        <v>398</v>
      </c>
      <c r="U37" s="339" t="s">
        <v>399</v>
      </c>
      <c r="V37" s="339" t="s">
        <v>400</v>
      </c>
      <c r="W37" s="339" t="s">
        <v>401</v>
      </c>
      <c r="X37" s="339" t="s">
        <v>402</v>
      </c>
    </row>
    <row r="38" spans="2:26" s="121" customFormat="1">
      <c r="B38" s="340" t="s">
        <v>512</v>
      </c>
      <c r="C38" s="341"/>
      <c r="D38" s="361"/>
      <c r="E38" s="414"/>
      <c r="F38" s="363"/>
      <c r="G38" s="364"/>
      <c r="H38" s="364"/>
      <c r="I38" s="364"/>
      <c r="J38" s="364"/>
      <c r="K38" s="364"/>
      <c r="L38" s="364"/>
      <c r="M38" s="364"/>
      <c r="N38" s="364"/>
      <c r="O38" s="364"/>
      <c r="P38" s="364"/>
      <c r="Q38" s="364"/>
      <c r="R38" s="364"/>
      <c r="S38" s="364"/>
      <c r="T38" s="364"/>
      <c r="U38" s="364"/>
      <c r="V38" s="364"/>
      <c r="W38" s="364"/>
      <c r="X38" s="364"/>
      <c r="Y38" s="364"/>
    </row>
    <row r="39" spans="2:26" s="46" customFormat="1">
      <c r="B39" s="350" t="s">
        <v>513</v>
      </c>
      <c r="C39" s="351"/>
      <c r="D39" s="361">
        <f>$D$5*E5</f>
        <v>597.71415371068179</v>
      </c>
      <c r="E39" s="361">
        <f t="shared" ref="E39:X39" si="14">$D$5*F5</f>
        <v>821.85696135218745</v>
      </c>
      <c r="F39" s="361">
        <f t="shared" si="14"/>
        <v>1016.114061308159</v>
      </c>
      <c r="G39" s="361">
        <f t="shared" si="14"/>
        <v>1249.2225812553249</v>
      </c>
      <c r="H39" s="361">
        <f t="shared" si="14"/>
        <v>1528.952805191924</v>
      </c>
      <c r="I39" s="361">
        <f t="shared" si="14"/>
        <v>1864.6290739158428</v>
      </c>
      <c r="J39" s="361">
        <f t="shared" si="14"/>
        <v>2267.4405963845452</v>
      </c>
      <c r="K39" s="361">
        <f t="shared" si="14"/>
        <v>2544.5317902416991</v>
      </c>
      <c r="L39" s="361">
        <f t="shared" si="14"/>
        <v>2544.5317902416991</v>
      </c>
      <c r="M39" s="361">
        <f t="shared" si="14"/>
        <v>2544.5317902416991</v>
      </c>
      <c r="N39" s="361">
        <f t="shared" si="14"/>
        <v>2544.5317902416991</v>
      </c>
      <c r="O39" s="361">
        <f t="shared" si="14"/>
        <v>2544.5317902416991</v>
      </c>
      <c r="P39" s="361">
        <f t="shared" si="14"/>
        <v>2544.5317902416991</v>
      </c>
      <c r="Q39" s="361">
        <f t="shared" si="14"/>
        <v>2544.5317902416991</v>
      </c>
      <c r="R39" s="361">
        <f t="shared" si="14"/>
        <v>2544.5317902416991</v>
      </c>
      <c r="S39" s="361">
        <f t="shared" si="14"/>
        <v>2544.5317902416991</v>
      </c>
      <c r="T39" s="361">
        <f t="shared" si="14"/>
        <v>2544.5317902416991</v>
      </c>
      <c r="U39" s="361">
        <f t="shared" si="14"/>
        <v>2544.5317902416991</v>
      </c>
      <c r="V39" s="361">
        <f t="shared" si="14"/>
        <v>2544.5317902416991</v>
      </c>
      <c r="W39" s="361">
        <f t="shared" si="14"/>
        <v>2544.5317902416991</v>
      </c>
      <c r="X39" s="361">
        <f t="shared" si="14"/>
        <v>2544.5317902416991</v>
      </c>
      <c r="Y39" s="364"/>
    </row>
    <row r="40" spans="2:26" s="46" customFormat="1">
      <c r="B40" s="350" t="s">
        <v>487</v>
      </c>
      <c r="C40" s="360"/>
      <c r="D40" s="414">
        <f>$D$6*E6</f>
        <v>149.42853842767047</v>
      </c>
      <c r="E40" s="414">
        <f t="shared" ref="E40:X40" si="15">$D$6*F6</f>
        <v>149.42853842767047</v>
      </c>
      <c r="F40" s="414">
        <f t="shared" si="15"/>
        <v>149.42853842767047</v>
      </c>
      <c r="G40" s="414">
        <f t="shared" si="15"/>
        <v>149.42853842767047</v>
      </c>
      <c r="H40" s="414">
        <f t="shared" si="15"/>
        <v>149.42853842767047</v>
      </c>
      <c r="I40" s="414">
        <f t="shared" si="15"/>
        <v>149.42853842767047</v>
      </c>
      <c r="J40" s="414">
        <f t="shared" si="15"/>
        <v>149.42853842767047</v>
      </c>
      <c r="K40" s="414">
        <f t="shared" si="15"/>
        <v>149.42853842767047</v>
      </c>
      <c r="L40" s="414">
        <f t="shared" si="15"/>
        <v>149.42853842767047</v>
      </c>
      <c r="M40" s="414">
        <f t="shared" si="15"/>
        <v>149.42853842767047</v>
      </c>
      <c r="N40" s="414">
        <f t="shared" si="15"/>
        <v>149.42853842767047</v>
      </c>
      <c r="O40" s="414">
        <f t="shared" si="15"/>
        <v>149.42853842767047</v>
      </c>
      <c r="P40" s="414">
        <f t="shared" si="15"/>
        <v>149.42853842767047</v>
      </c>
      <c r="Q40" s="414">
        <f t="shared" si="15"/>
        <v>149.42853842767047</v>
      </c>
      <c r="R40" s="414">
        <f t="shared" si="15"/>
        <v>149.42853842767047</v>
      </c>
      <c r="S40" s="414">
        <f t="shared" si="15"/>
        <v>149.42853842767047</v>
      </c>
      <c r="T40" s="414">
        <f t="shared" si="15"/>
        <v>149.42853842767047</v>
      </c>
      <c r="U40" s="414">
        <f t="shared" si="15"/>
        <v>149.42853842767047</v>
      </c>
      <c r="V40" s="414">
        <f t="shared" si="15"/>
        <v>149.42853842767047</v>
      </c>
      <c r="W40" s="414">
        <f t="shared" si="15"/>
        <v>149.42853842767047</v>
      </c>
      <c r="X40" s="414">
        <f t="shared" si="15"/>
        <v>149.42853842767047</v>
      </c>
    </row>
    <row r="41" spans="2:26" s="46" customFormat="1">
      <c r="B41" s="350" t="s">
        <v>514</v>
      </c>
      <c r="C41" s="360"/>
      <c r="D41" s="414">
        <f>$D$8*E8</f>
        <v>0</v>
      </c>
      <c r="E41" s="414">
        <f t="shared" ref="E41:X41" si="16">$D$8*F8</f>
        <v>343.07867365784767</v>
      </c>
      <c r="F41" s="414">
        <f t="shared" si="16"/>
        <v>411.69440838941722</v>
      </c>
      <c r="G41" s="414">
        <f t="shared" si="16"/>
        <v>494.03329006730064</v>
      </c>
      <c r="H41" s="414">
        <f t="shared" si="16"/>
        <v>592.83994808076068</v>
      </c>
      <c r="I41" s="414">
        <f t="shared" si="16"/>
        <v>711.40793769691288</v>
      </c>
      <c r="J41" s="414">
        <f t="shared" si="16"/>
        <v>853.68952523629537</v>
      </c>
      <c r="K41" s="414">
        <f t="shared" si="16"/>
        <v>1073.8362485490632</v>
      </c>
      <c r="L41" s="414">
        <f t="shared" si="16"/>
        <v>1073.8362485490632</v>
      </c>
      <c r="M41" s="414">
        <f t="shared" si="16"/>
        <v>1073.8362485490632</v>
      </c>
      <c r="N41" s="414">
        <f t="shared" si="16"/>
        <v>1073.8362485490632</v>
      </c>
      <c r="O41" s="414">
        <f t="shared" si="16"/>
        <v>1073.8362485490632</v>
      </c>
      <c r="P41" s="414">
        <f t="shared" si="16"/>
        <v>1073.8362485490632</v>
      </c>
      <c r="Q41" s="414">
        <f t="shared" si="16"/>
        <v>1073.8362485490632</v>
      </c>
      <c r="R41" s="414">
        <f t="shared" si="16"/>
        <v>1073.8362485490632</v>
      </c>
      <c r="S41" s="414">
        <f t="shared" si="16"/>
        <v>1073.8362485490632</v>
      </c>
      <c r="T41" s="414">
        <f t="shared" si="16"/>
        <v>1073.8362485490632</v>
      </c>
      <c r="U41" s="414">
        <f t="shared" si="16"/>
        <v>1073.8362485490632</v>
      </c>
      <c r="V41" s="414">
        <f t="shared" si="16"/>
        <v>1073.8362485490632</v>
      </c>
      <c r="W41" s="414">
        <f t="shared" si="16"/>
        <v>1073.8362485490632</v>
      </c>
      <c r="X41" s="414">
        <f t="shared" si="16"/>
        <v>1073.8362485490632</v>
      </c>
    </row>
    <row r="42" spans="2:26" s="46" customFormat="1">
      <c r="B42" s="431"/>
      <c r="C42" s="432"/>
      <c r="D42" s="370">
        <f>SUM(D39:D41)</f>
        <v>747.14269213835223</v>
      </c>
      <c r="E42" s="433">
        <f>SUM(E39:E41)</f>
        <v>1314.3641734377056</v>
      </c>
      <c r="F42" s="434">
        <f>SUM(F39:F41)</f>
        <v>1577.2370081252468</v>
      </c>
      <c r="G42" s="435">
        <f t="shared" ref="G42:X42" si="17">SUM(G39:G41)</f>
        <v>1892.684409750296</v>
      </c>
      <c r="H42" s="433">
        <f t="shared" si="17"/>
        <v>2271.2212917003553</v>
      </c>
      <c r="I42" s="436">
        <f>SUM(I39:I41)</f>
        <v>2725.465550040426</v>
      </c>
      <c r="J42" s="435">
        <f t="shared" si="17"/>
        <v>3270.5586600485112</v>
      </c>
      <c r="K42" s="433">
        <f t="shared" si="17"/>
        <v>3767.7965772184325</v>
      </c>
      <c r="L42" s="433">
        <f t="shared" si="17"/>
        <v>3767.7965772184325</v>
      </c>
      <c r="M42" s="433">
        <f t="shared" si="17"/>
        <v>3767.7965772184325</v>
      </c>
      <c r="N42" s="433">
        <f t="shared" si="17"/>
        <v>3767.7965772184325</v>
      </c>
      <c r="O42" s="433">
        <f t="shared" si="17"/>
        <v>3767.7965772184325</v>
      </c>
      <c r="P42" s="433">
        <f t="shared" si="17"/>
        <v>3767.7965772184325</v>
      </c>
      <c r="Q42" s="433">
        <f t="shared" si="17"/>
        <v>3767.7965772184325</v>
      </c>
      <c r="R42" s="433">
        <f t="shared" si="17"/>
        <v>3767.7965772184325</v>
      </c>
      <c r="S42" s="433">
        <f t="shared" si="17"/>
        <v>3767.7965772184325</v>
      </c>
      <c r="T42" s="433">
        <f t="shared" si="17"/>
        <v>3767.7965772184325</v>
      </c>
      <c r="U42" s="433">
        <f t="shared" si="17"/>
        <v>3767.7965772184325</v>
      </c>
      <c r="V42" s="433">
        <f t="shared" si="17"/>
        <v>3767.7965772184325</v>
      </c>
      <c r="W42" s="433">
        <f t="shared" si="17"/>
        <v>3767.7965772184325</v>
      </c>
      <c r="X42" s="433">
        <f t="shared" si="17"/>
        <v>3767.7965772184325</v>
      </c>
    </row>
    <row r="43" spans="2:26" s="46" customFormat="1">
      <c r="B43" s="437"/>
      <c r="C43" s="438"/>
      <c r="D43" s="343"/>
      <c r="E43" s="343"/>
      <c r="F43" s="343"/>
      <c r="G43" s="343"/>
      <c r="H43" s="375"/>
      <c r="I43" s="343"/>
      <c r="J43" s="343"/>
      <c r="K43" s="343"/>
      <c r="L43" s="343"/>
      <c r="M43" s="375"/>
      <c r="N43" s="343"/>
      <c r="O43" s="343"/>
      <c r="P43" s="343"/>
      <c r="Q43" s="343"/>
      <c r="R43" s="375"/>
      <c r="S43" s="343"/>
      <c r="T43" s="343"/>
      <c r="U43" s="343"/>
      <c r="V43" s="343"/>
      <c r="W43" s="375"/>
      <c r="X43" s="403"/>
    </row>
    <row r="44" spans="2:26" s="46" customFormat="1">
      <c r="B44" s="372" t="s">
        <v>489</v>
      </c>
      <c r="C44" s="341"/>
      <c r="D44" s="352"/>
      <c r="E44" s="352"/>
      <c r="F44" s="352"/>
      <c r="G44" s="352"/>
      <c r="H44" s="375"/>
      <c r="I44" s="352"/>
      <c r="J44" s="352"/>
      <c r="K44" s="352"/>
      <c r="L44" s="352"/>
      <c r="M44" s="375"/>
      <c r="N44" s="352"/>
      <c r="O44" s="352"/>
      <c r="P44" s="352"/>
      <c r="Q44" s="352"/>
      <c r="R44" s="375"/>
      <c r="S44" s="352"/>
      <c r="T44" s="352"/>
      <c r="U44" s="352"/>
      <c r="V44" s="352"/>
      <c r="W44" s="375"/>
      <c r="X44" s="380"/>
    </row>
    <row r="45" spans="2:26" s="46" customFormat="1">
      <c r="B45" s="381" t="s">
        <v>551</v>
      </c>
      <c r="C45" s="439"/>
      <c r="D45" s="352">
        <f>D11</f>
        <v>0</v>
      </c>
      <c r="E45" s="352">
        <f>F11</f>
        <v>1506.7709435235324</v>
      </c>
      <c r="F45" s="352"/>
      <c r="G45" s="352"/>
      <c r="H45" s="375"/>
      <c r="I45" s="352"/>
      <c r="J45" s="352"/>
      <c r="K45" s="352"/>
      <c r="L45" s="352"/>
      <c r="M45" s="375"/>
      <c r="N45" s="352"/>
      <c r="O45" s="352"/>
      <c r="P45" s="352"/>
      <c r="Q45" s="352"/>
      <c r="R45" s="375"/>
      <c r="S45" s="352"/>
      <c r="T45" s="352"/>
      <c r="U45" s="352"/>
      <c r="V45" s="352"/>
      <c r="W45" s="375"/>
      <c r="X45" s="380"/>
    </row>
    <row r="46" spans="2:26" s="46" customFormat="1">
      <c r="B46" s="440"/>
      <c r="C46" s="360"/>
      <c r="D46" s="352"/>
      <c r="E46" s="352"/>
      <c r="F46" s="352"/>
      <c r="G46" s="352"/>
      <c r="H46" s="375"/>
      <c r="I46" s="352"/>
      <c r="J46" s="352"/>
      <c r="K46" s="352"/>
      <c r="L46" s="352"/>
      <c r="M46" s="375"/>
      <c r="N46" s="352"/>
      <c r="O46" s="352"/>
      <c r="P46" s="352"/>
      <c r="Q46" s="352"/>
      <c r="R46" s="375"/>
      <c r="S46" s="352"/>
      <c r="T46" s="352"/>
      <c r="U46" s="352"/>
      <c r="V46" s="352"/>
      <c r="W46" s="375"/>
      <c r="X46" s="380"/>
    </row>
    <row r="47" spans="2:26" s="46" customFormat="1">
      <c r="B47" s="411" t="s">
        <v>490</v>
      </c>
      <c r="C47" s="366"/>
      <c r="D47" s="352"/>
      <c r="E47" s="352"/>
      <c r="F47" s="352"/>
      <c r="G47" s="352"/>
      <c r="H47" s="417"/>
      <c r="I47" s="352"/>
      <c r="J47" s="352"/>
      <c r="K47" s="352"/>
      <c r="L47" s="352"/>
      <c r="M47" s="417"/>
      <c r="N47" s="352"/>
      <c r="O47" s="352"/>
      <c r="P47" s="352"/>
      <c r="Q47" s="352"/>
      <c r="R47" s="417"/>
      <c r="S47" s="352"/>
      <c r="T47" s="352"/>
      <c r="U47" s="352"/>
      <c r="V47" s="352"/>
      <c r="W47" s="415"/>
      <c r="X47" s="380"/>
    </row>
    <row r="48" spans="2:26" s="46" customFormat="1">
      <c r="B48" s="405" t="s">
        <v>491</v>
      </c>
      <c r="C48" s="441"/>
      <c r="D48" s="362" t="e">
        <f>$D$14*E14</f>
        <v>#REF!</v>
      </c>
      <c r="E48" s="362" t="e">
        <f t="shared" ref="E48:X48" si="18">$D$14*F14</f>
        <v>#REF!</v>
      </c>
      <c r="F48" s="362" t="e">
        <f t="shared" si="18"/>
        <v>#REF!</v>
      </c>
      <c r="G48" s="362" t="e">
        <f t="shared" si="18"/>
        <v>#REF!</v>
      </c>
      <c r="H48" s="362" t="e">
        <f t="shared" si="18"/>
        <v>#REF!</v>
      </c>
      <c r="I48" s="362" t="e">
        <f t="shared" si="18"/>
        <v>#REF!</v>
      </c>
      <c r="J48" s="362" t="e">
        <f t="shared" si="18"/>
        <v>#REF!</v>
      </c>
      <c r="K48" s="362" t="e">
        <f t="shared" si="18"/>
        <v>#REF!</v>
      </c>
      <c r="L48" s="362" t="e">
        <f t="shared" si="18"/>
        <v>#REF!</v>
      </c>
      <c r="M48" s="362" t="e">
        <f t="shared" si="18"/>
        <v>#REF!</v>
      </c>
      <c r="N48" s="362" t="e">
        <f t="shared" si="18"/>
        <v>#REF!</v>
      </c>
      <c r="O48" s="362" t="e">
        <f t="shared" si="18"/>
        <v>#REF!</v>
      </c>
      <c r="P48" s="362" t="e">
        <f t="shared" si="18"/>
        <v>#REF!</v>
      </c>
      <c r="Q48" s="362" t="e">
        <f t="shared" si="18"/>
        <v>#REF!</v>
      </c>
      <c r="R48" s="362" t="e">
        <f t="shared" si="18"/>
        <v>#REF!</v>
      </c>
      <c r="S48" s="362" t="e">
        <f t="shared" si="18"/>
        <v>#REF!</v>
      </c>
      <c r="T48" s="362" t="e">
        <f t="shared" si="18"/>
        <v>#REF!</v>
      </c>
      <c r="U48" s="362" t="e">
        <f t="shared" si="18"/>
        <v>#REF!</v>
      </c>
      <c r="V48" s="362" t="e">
        <f t="shared" si="18"/>
        <v>#REF!</v>
      </c>
      <c r="W48" s="362" t="e">
        <f t="shared" si="18"/>
        <v>#REF!</v>
      </c>
      <c r="X48" s="362" t="e">
        <f t="shared" si="18"/>
        <v>#REF!</v>
      </c>
    </row>
    <row r="49" spans="1:26" s="46" customFormat="1">
      <c r="B49" s="405" t="s">
        <v>492</v>
      </c>
      <c r="C49" s="441"/>
      <c r="D49" s="362">
        <f>$D$15*E15</f>
        <v>0</v>
      </c>
      <c r="E49" s="362">
        <f t="shared" ref="E49:X49" si="19">$D$15*F15</f>
        <v>0</v>
      </c>
      <c r="F49" s="362">
        <f t="shared" si="19"/>
        <v>0</v>
      </c>
      <c r="G49" s="362">
        <f t="shared" si="19"/>
        <v>0</v>
      </c>
      <c r="H49" s="362">
        <f t="shared" si="19"/>
        <v>0</v>
      </c>
      <c r="I49" s="362">
        <f t="shared" si="19"/>
        <v>0</v>
      </c>
      <c r="J49" s="362">
        <f t="shared" si="19"/>
        <v>0</v>
      </c>
      <c r="K49" s="362">
        <f t="shared" si="19"/>
        <v>0</v>
      </c>
      <c r="L49" s="362">
        <f t="shared" si="19"/>
        <v>0</v>
      </c>
      <c r="M49" s="362">
        <f t="shared" si="19"/>
        <v>0</v>
      </c>
      <c r="N49" s="362">
        <f t="shared" si="19"/>
        <v>0</v>
      </c>
      <c r="O49" s="362">
        <f>$D$15*P15</f>
        <v>0</v>
      </c>
      <c r="P49" s="362">
        <f t="shared" si="19"/>
        <v>0</v>
      </c>
      <c r="Q49" s="362">
        <f t="shared" si="19"/>
        <v>0</v>
      </c>
      <c r="R49" s="362">
        <f t="shared" si="19"/>
        <v>0</v>
      </c>
      <c r="S49" s="362">
        <f t="shared" si="19"/>
        <v>0</v>
      </c>
      <c r="T49" s="362">
        <f t="shared" si="19"/>
        <v>0</v>
      </c>
      <c r="U49" s="362">
        <f t="shared" si="19"/>
        <v>0</v>
      </c>
      <c r="V49" s="362">
        <f t="shared" si="19"/>
        <v>0</v>
      </c>
      <c r="W49" s="362">
        <f t="shared" si="19"/>
        <v>0</v>
      </c>
      <c r="X49" s="362">
        <f t="shared" si="19"/>
        <v>0</v>
      </c>
    </row>
    <row r="50" spans="1:26" s="46" customFormat="1">
      <c r="B50" s="411" t="s">
        <v>493</v>
      </c>
      <c r="C50" s="366"/>
      <c r="D50" s="414"/>
      <c r="E50" s="414"/>
      <c r="F50" s="414"/>
      <c r="G50" s="414"/>
      <c r="H50" s="417"/>
      <c r="I50" s="414"/>
      <c r="J50" s="414"/>
      <c r="K50" s="414"/>
      <c r="L50" s="414"/>
      <c r="M50" s="417"/>
      <c r="N50" s="414"/>
      <c r="O50" s="414"/>
      <c r="P50" s="414"/>
      <c r="Q50" s="414"/>
      <c r="R50" s="417"/>
      <c r="S50" s="414"/>
      <c r="T50" s="414"/>
      <c r="U50" s="414"/>
      <c r="V50" s="414"/>
      <c r="W50" s="415"/>
      <c r="X50" s="416"/>
    </row>
    <row r="51" spans="1:26" s="46" customFormat="1">
      <c r="B51" s="405" t="s">
        <v>494</v>
      </c>
      <c r="C51" s="441"/>
      <c r="D51" s="416">
        <f>$D$17*E17</f>
        <v>37.357134606917619</v>
      </c>
      <c r="E51" s="416">
        <f t="shared" ref="E51:X51" si="20">$D$17*F17</f>
        <v>48.564274988992892</v>
      </c>
      <c r="F51" s="416">
        <f t="shared" si="20"/>
        <v>58.277129986791479</v>
      </c>
      <c r="G51" s="416">
        <f t="shared" si="20"/>
        <v>69.932555984149772</v>
      </c>
      <c r="H51" s="416">
        <f t="shared" si="20"/>
        <v>83.919067180979724</v>
      </c>
      <c r="I51" s="416">
        <f t="shared" si="20"/>
        <v>100.70288061717567</v>
      </c>
      <c r="J51" s="416">
        <f t="shared" si="20"/>
        <v>120.84345674061079</v>
      </c>
      <c r="K51" s="416">
        <f t="shared" si="20"/>
        <v>134.69801643346847</v>
      </c>
      <c r="L51" s="416">
        <f t="shared" si="20"/>
        <v>134.69801643346847</v>
      </c>
      <c r="M51" s="416">
        <f t="shared" si="20"/>
        <v>134.69801643346847</v>
      </c>
      <c r="N51" s="416">
        <f t="shared" si="20"/>
        <v>134.69801643346847</v>
      </c>
      <c r="O51" s="416">
        <f t="shared" si="20"/>
        <v>134.69801643346847</v>
      </c>
      <c r="P51" s="416">
        <f t="shared" si="20"/>
        <v>134.69801643346847</v>
      </c>
      <c r="Q51" s="416">
        <f t="shared" si="20"/>
        <v>134.69801643346847</v>
      </c>
      <c r="R51" s="416">
        <f t="shared" si="20"/>
        <v>134.69801643346847</v>
      </c>
      <c r="S51" s="416">
        <f t="shared" si="20"/>
        <v>134.69801643346847</v>
      </c>
      <c r="T51" s="416">
        <f t="shared" si="20"/>
        <v>134.69801643346847</v>
      </c>
      <c r="U51" s="416">
        <f t="shared" si="20"/>
        <v>134.69801643346847</v>
      </c>
      <c r="V51" s="416">
        <f t="shared" si="20"/>
        <v>134.69801643346847</v>
      </c>
      <c r="W51" s="416">
        <f t="shared" si="20"/>
        <v>134.69801643346847</v>
      </c>
      <c r="X51" s="416">
        <f t="shared" si="20"/>
        <v>134.69801643346847</v>
      </c>
    </row>
    <row r="52" spans="1:26" s="46" customFormat="1">
      <c r="B52" s="405" t="s">
        <v>515</v>
      </c>
      <c r="C52" s="366"/>
      <c r="D52" s="414"/>
      <c r="E52" s="414"/>
      <c r="F52" s="414"/>
      <c r="G52" s="414"/>
      <c r="H52" s="417"/>
      <c r="I52" s="414"/>
      <c r="J52" s="414"/>
      <c r="K52" s="414"/>
      <c r="L52" s="414"/>
      <c r="M52" s="417"/>
      <c r="N52" s="414"/>
      <c r="O52" s="414"/>
      <c r="P52" s="414"/>
      <c r="Q52" s="414"/>
      <c r="R52" s="417"/>
      <c r="S52" s="414"/>
      <c r="T52" s="414"/>
      <c r="U52" s="414"/>
      <c r="V52" s="414"/>
      <c r="W52" s="415"/>
      <c r="X52" s="416"/>
    </row>
    <row r="53" spans="1:26" s="46" customFormat="1" hidden="1">
      <c r="B53" s="419" t="s">
        <v>506</v>
      </c>
      <c r="C53" s="441"/>
      <c r="D53" s="362"/>
      <c r="E53" s="362"/>
      <c r="F53" s="362"/>
      <c r="G53" s="362"/>
      <c r="H53" s="417"/>
      <c r="I53" s="362"/>
      <c r="J53" s="362"/>
      <c r="K53" s="362"/>
      <c r="L53" s="362"/>
      <c r="M53" s="417"/>
      <c r="N53" s="362"/>
      <c r="O53" s="362"/>
      <c r="P53" s="362"/>
      <c r="Q53" s="362"/>
      <c r="R53" s="417"/>
      <c r="S53" s="362"/>
      <c r="T53" s="362"/>
      <c r="U53" s="362"/>
      <c r="V53" s="362"/>
      <c r="W53" s="415"/>
      <c r="X53" s="416"/>
    </row>
    <row r="54" spans="1:26" s="46" customFormat="1">
      <c r="B54" s="405" t="s">
        <v>518</v>
      </c>
      <c r="C54" s="441"/>
      <c r="D54" s="414" t="e">
        <f>$D$33*E33</f>
        <v>#REF!</v>
      </c>
      <c r="E54" s="414" t="e">
        <f t="shared" ref="E54:X54" si="21">$D$33*F33</f>
        <v>#REF!</v>
      </c>
      <c r="F54" s="414" t="e">
        <f t="shared" si="21"/>
        <v>#REF!</v>
      </c>
      <c r="G54" s="414" t="e">
        <f t="shared" si="21"/>
        <v>#REF!</v>
      </c>
      <c r="H54" s="414" t="e">
        <f t="shared" si="21"/>
        <v>#REF!</v>
      </c>
      <c r="I54" s="414" t="e">
        <f t="shared" si="21"/>
        <v>#REF!</v>
      </c>
      <c r="J54" s="414" t="e">
        <f t="shared" si="21"/>
        <v>#REF!</v>
      </c>
      <c r="K54" s="414" t="e">
        <f t="shared" si="21"/>
        <v>#REF!</v>
      </c>
      <c r="L54" s="414" t="e">
        <f t="shared" si="21"/>
        <v>#REF!</v>
      </c>
      <c r="M54" s="414" t="e">
        <f t="shared" si="21"/>
        <v>#REF!</v>
      </c>
      <c r="N54" s="414" t="e">
        <f t="shared" si="21"/>
        <v>#REF!</v>
      </c>
      <c r="O54" s="414" t="e">
        <f t="shared" si="21"/>
        <v>#REF!</v>
      </c>
      <c r="P54" s="414" t="e">
        <f t="shared" si="21"/>
        <v>#REF!</v>
      </c>
      <c r="Q54" s="414" t="e">
        <f t="shared" si="21"/>
        <v>#REF!</v>
      </c>
      <c r="R54" s="414" t="e">
        <f t="shared" si="21"/>
        <v>#REF!</v>
      </c>
      <c r="S54" s="414" t="e">
        <f t="shared" si="21"/>
        <v>#REF!</v>
      </c>
      <c r="T54" s="414" t="e">
        <f t="shared" si="21"/>
        <v>#REF!</v>
      </c>
      <c r="U54" s="414" t="e">
        <f t="shared" si="21"/>
        <v>#REF!</v>
      </c>
      <c r="V54" s="414" t="e">
        <f t="shared" si="21"/>
        <v>#REF!</v>
      </c>
      <c r="W54" s="414" t="e">
        <f t="shared" si="21"/>
        <v>#REF!</v>
      </c>
      <c r="X54" s="414" t="e">
        <f t="shared" si="21"/>
        <v>#REF!</v>
      </c>
    </row>
    <row r="55" spans="1:26" s="46" customFormat="1">
      <c r="B55" s="405" t="s">
        <v>519</v>
      </c>
      <c r="C55" s="442"/>
      <c r="D55" s="414" t="e">
        <f>$D$34*E34</f>
        <v>#REF!</v>
      </c>
      <c r="E55" s="414" t="e">
        <f t="shared" ref="E55:X55" si="22">$D$34*F34</f>
        <v>#REF!</v>
      </c>
      <c r="F55" s="414" t="e">
        <f t="shared" si="22"/>
        <v>#REF!</v>
      </c>
      <c r="G55" s="414" t="e">
        <f t="shared" si="22"/>
        <v>#REF!</v>
      </c>
      <c r="H55" s="414" t="e">
        <f t="shared" si="22"/>
        <v>#REF!</v>
      </c>
      <c r="I55" s="414" t="e">
        <f t="shared" si="22"/>
        <v>#REF!</v>
      </c>
      <c r="J55" s="414" t="e">
        <f t="shared" si="22"/>
        <v>#REF!</v>
      </c>
      <c r="K55" s="414" t="e">
        <f t="shared" si="22"/>
        <v>#REF!</v>
      </c>
      <c r="L55" s="414" t="e">
        <f t="shared" si="22"/>
        <v>#REF!</v>
      </c>
      <c r="M55" s="414" t="e">
        <f t="shared" si="22"/>
        <v>#REF!</v>
      </c>
      <c r="N55" s="414" t="e">
        <f t="shared" si="22"/>
        <v>#REF!</v>
      </c>
      <c r="O55" s="414" t="e">
        <f t="shared" si="22"/>
        <v>#REF!</v>
      </c>
      <c r="P55" s="414" t="e">
        <f t="shared" si="22"/>
        <v>#REF!</v>
      </c>
      <c r="Q55" s="414" t="e">
        <f t="shared" si="22"/>
        <v>#REF!</v>
      </c>
      <c r="R55" s="414" t="e">
        <f t="shared" si="22"/>
        <v>#REF!</v>
      </c>
      <c r="S55" s="414" t="e">
        <f t="shared" si="22"/>
        <v>#REF!</v>
      </c>
      <c r="T55" s="414" t="e">
        <f t="shared" si="22"/>
        <v>#REF!</v>
      </c>
      <c r="U55" s="414" t="e">
        <f t="shared" si="22"/>
        <v>#REF!</v>
      </c>
      <c r="V55" s="414" t="e">
        <f t="shared" si="22"/>
        <v>#REF!</v>
      </c>
      <c r="W55" s="414" t="e">
        <f t="shared" si="22"/>
        <v>#REF!</v>
      </c>
      <c r="X55" s="414" t="e">
        <f t="shared" si="22"/>
        <v>#REF!</v>
      </c>
    </row>
    <row r="56" spans="1:26" s="121" customFormat="1" ht="15" customHeight="1">
      <c r="A56" s="46"/>
      <c r="B56" s="443" t="s">
        <v>520</v>
      </c>
      <c r="C56" s="444"/>
      <c r="D56" s="445" t="e">
        <f>SUM(D45:D55)</f>
        <v>#REF!</v>
      </c>
      <c r="E56" s="445" t="e">
        <f>SUM(E45:E55)</f>
        <v>#REF!</v>
      </c>
      <c r="F56" s="445" t="e">
        <f>SUM(F48:F55)</f>
        <v>#REF!</v>
      </c>
      <c r="G56" s="445" t="e">
        <f t="shared" ref="G56:X56" si="23">SUM(G48:G55)</f>
        <v>#REF!</v>
      </c>
      <c r="H56" s="445" t="e">
        <f t="shared" si="23"/>
        <v>#REF!</v>
      </c>
      <c r="I56" s="445" t="e">
        <f t="shared" si="23"/>
        <v>#REF!</v>
      </c>
      <c r="J56" s="445" t="e">
        <f t="shared" si="23"/>
        <v>#REF!</v>
      </c>
      <c r="K56" s="445" t="e">
        <f t="shared" si="23"/>
        <v>#REF!</v>
      </c>
      <c r="L56" s="445" t="e">
        <f t="shared" si="23"/>
        <v>#REF!</v>
      </c>
      <c r="M56" s="445" t="e">
        <f>SUM(M48:M55)</f>
        <v>#REF!</v>
      </c>
      <c r="N56" s="445" t="e">
        <f>SUM(N48:N55)</f>
        <v>#REF!</v>
      </c>
      <c r="O56" s="445" t="e">
        <f t="shared" si="23"/>
        <v>#REF!</v>
      </c>
      <c r="P56" s="445" t="e">
        <f t="shared" si="23"/>
        <v>#REF!</v>
      </c>
      <c r="Q56" s="445" t="e">
        <f t="shared" si="23"/>
        <v>#REF!</v>
      </c>
      <c r="R56" s="445" t="e">
        <f t="shared" si="23"/>
        <v>#REF!</v>
      </c>
      <c r="S56" s="445" t="e">
        <f t="shared" si="23"/>
        <v>#REF!</v>
      </c>
      <c r="T56" s="445" t="e">
        <f t="shared" si="23"/>
        <v>#REF!</v>
      </c>
      <c r="U56" s="445" t="e">
        <f t="shared" si="23"/>
        <v>#REF!</v>
      </c>
      <c r="V56" s="445" t="e">
        <f t="shared" si="23"/>
        <v>#REF!</v>
      </c>
      <c r="W56" s="446" t="e">
        <f t="shared" si="23"/>
        <v>#REF!</v>
      </c>
      <c r="X56" s="445" t="e">
        <f t="shared" si="23"/>
        <v>#REF!</v>
      </c>
    </row>
    <row r="57" spans="1:26" s="46" customFormat="1" ht="15" hidden="1" customHeight="1">
      <c r="B57" s="447"/>
      <c r="C57" s="444"/>
      <c r="D57" s="448"/>
      <c r="E57" s="448"/>
      <c r="F57" s="448"/>
      <c r="G57" s="448"/>
      <c r="H57" s="449"/>
      <c r="I57" s="448"/>
      <c r="J57" s="448"/>
      <c r="K57" s="448"/>
      <c r="L57" s="448"/>
      <c r="M57" s="449"/>
      <c r="N57" s="448"/>
      <c r="O57" s="448"/>
      <c r="P57" s="448"/>
      <c r="Q57" s="448"/>
      <c r="R57" s="449"/>
      <c r="S57" s="448"/>
      <c r="T57" s="448"/>
      <c r="U57" s="448"/>
      <c r="V57" s="448"/>
      <c r="W57" s="450"/>
      <c r="X57" s="451"/>
    </row>
    <row r="58" spans="1:26" s="121" customFormat="1" ht="15" customHeight="1">
      <c r="B58" s="452" t="s">
        <v>521</v>
      </c>
      <c r="C58" s="453"/>
      <c r="D58" s="454" t="e">
        <f t="shared" ref="D58:X58" si="24">D42-D56</f>
        <v>#REF!</v>
      </c>
      <c r="E58" s="454" t="e">
        <f t="shared" si="24"/>
        <v>#REF!</v>
      </c>
      <c r="F58" s="454" t="e">
        <f t="shared" si="24"/>
        <v>#REF!</v>
      </c>
      <c r="G58" s="454" t="e">
        <f t="shared" si="24"/>
        <v>#REF!</v>
      </c>
      <c r="H58" s="454" t="e">
        <f t="shared" si="24"/>
        <v>#REF!</v>
      </c>
      <c r="I58" s="454" t="e">
        <f t="shared" si="24"/>
        <v>#REF!</v>
      </c>
      <c r="J58" s="454" t="e">
        <f t="shared" si="24"/>
        <v>#REF!</v>
      </c>
      <c r="K58" s="454" t="e">
        <f t="shared" si="24"/>
        <v>#REF!</v>
      </c>
      <c r="L58" s="454" t="e">
        <f t="shared" si="24"/>
        <v>#REF!</v>
      </c>
      <c r="M58" s="454" t="e">
        <f t="shared" si="24"/>
        <v>#REF!</v>
      </c>
      <c r="N58" s="454" t="e">
        <f t="shared" si="24"/>
        <v>#REF!</v>
      </c>
      <c r="O58" s="454" t="e">
        <f t="shared" si="24"/>
        <v>#REF!</v>
      </c>
      <c r="P58" s="454" t="e">
        <f t="shared" si="24"/>
        <v>#REF!</v>
      </c>
      <c r="Q58" s="454" t="e">
        <f t="shared" si="24"/>
        <v>#REF!</v>
      </c>
      <c r="R58" s="454" t="e">
        <f t="shared" si="24"/>
        <v>#REF!</v>
      </c>
      <c r="S58" s="454" t="e">
        <f t="shared" si="24"/>
        <v>#REF!</v>
      </c>
      <c r="T58" s="454" t="e">
        <f t="shared" si="24"/>
        <v>#REF!</v>
      </c>
      <c r="U58" s="454" t="e">
        <f t="shared" si="24"/>
        <v>#REF!</v>
      </c>
      <c r="V58" s="454" t="e">
        <f t="shared" si="24"/>
        <v>#REF!</v>
      </c>
      <c r="W58" s="455" t="e">
        <f t="shared" si="24"/>
        <v>#REF!</v>
      </c>
      <c r="X58" s="456" t="e">
        <f t="shared" si="24"/>
        <v>#REF!</v>
      </c>
    </row>
    <row r="59" spans="1:26" s="121" customFormat="1" ht="15" customHeight="1">
      <c r="B59" s="457" t="s">
        <v>544</v>
      </c>
      <c r="C59" s="458"/>
      <c r="D59" s="459"/>
      <c r="E59" s="459" t="e">
        <f>E58-$D$58</f>
        <v>#REF!</v>
      </c>
      <c r="F59" s="459" t="e">
        <f>F58-$D$58</f>
        <v>#REF!</v>
      </c>
      <c r="G59" s="459" t="e">
        <f t="shared" ref="G59:X59" si="25">G58-$D$58</f>
        <v>#REF!</v>
      </c>
      <c r="H59" s="460" t="e">
        <f t="shared" si="25"/>
        <v>#REF!</v>
      </c>
      <c r="I59" s="459" t="e">
        <f t="shared" si="25"/>
        <v>#REF!</v>
      </c>
      <c r="J59" s="459" t="e">
        <f t="shared" si="25"/>
        <v>#REF!</v>
      </c>
      <c r="K59" s="459" t="e">
        <f t="shared" si="25"/>
        <v>#REF!</v>
      </c>
      <c r="L59" s="459" t="e">
        <f t="shared" si="25"/>
        <v>#REF!</v>
      </c>
      <c r="M59" s="460" t="e">
        <f t="shared" si="25"/>
        <v>#REF!</v>
      </c>
      <c r="N59" s="459" t="e">
        <f t="shared" si="25"/>
        <v>#REF!</v>
      </c>
      <c r="O59" s="459" t="e">
        <f t="shared" si="25"/>
        <v>#REF!</v>
      </c>
      <c r="P59" s="459" t="e">
        <f t="shared" si="25"/>
        <v>#REF!</v>
      </c>
      <c r="Q59" s="459" t="e">
        <f t="shared" si="25"/>
        <v>#REF!</v>
      </c>
      <c r="R59" s="460" t="e">
        <f t="shared" si="25"/>
        <v>#REF!</v>
      </c>
      <c r="S59" s="459" t="e">
        <f t="shared" si="25"/>
        <v>#REF!</v>
      </c>
      <c r="T59" s="459" t="e">
        <f t="shared" si="25"/>
        <v>#REF!</v>
      </c>
      <c r="U59" s="459" t="e">
        <f t="shared" si="25"/>
        <v>#REF!</v>
      </c>
      <c r="V59" s="459" t="e">
        <f t="shared" si="25"/>
        <v>#REF!</v>
      </c>
      <c r="W59" s="461" t="e">
        <f t="shared" si="25"/>
        <v>#REF!</v>
      </c>
      <c r="X59" s="460" t="e">
        <f t="shared" si="25"/>
        <v>#REF!</v>
      </c>
    </row>
    <row r="60" spans="1:26" s="121" customFormat="1" ht="15" customHeight="1">
      <c r="B60" s="452" t="s">
        <v>545</v>
      </c>
      <c r="C60" s="453"/>
      <c r="D60" s="462"/>
      <c r="E60" s="462" t="e">
        <f>E58+E55</f>
        <v>#REF!</v>
      </c>
      <c r="F60" s="462" t="e">
        <f t="shared" ref="F60:X60" si="26">F58+F55</f>
        <v>#REF!</v>
      </c>
      <c r="G60" s="462" t="e">
        <f t="shared" si="26"/>
        <v>#REF!</v>
      </c>
      <c r="H60" s="462" t="e">
        <f t="shared" si="26"/>
        <v>#REF!</v>
      </c>
      <c r="I60" s="462" t="e">
        <f t="shared" si="26"/>
        <v>#REF!</v>
      </c>
      <c r="J60" s="462" t="e">
        <f t="shared" si="26"/>
        <v>#REF!</v>
      </c>
      <c r="K60" s="462" t="e">
        <f t="shared" si="26"/>
        <v>#REF!</v>
      </c>
      <c r="L60" s="462" t="e">
        <f t="shared" si="26"/>
        <v>#REF!</v>
      </c>
      <c r="M60" s="462" t="e">
        <f t="shared" si="26"/>
        <v>#REF!</v>
      </c>
      <c r="N60" s="462" t="e">
        <f t="shared" si="26"/>
        <v>#REF!</v>
      </c>
      <c r="O60" s="462" t="e">
        <f t="shared" si="26"/>
        <v>#REF!</v>
      </c>
      <c r="P60" s="462" t="e">
        <f t="shared" si="26"/>
        <v>#REF!</v>
      </c>
      <c r="Q60" s="462" t="e">
        <f t="shared" si="26"/>
        <v>#REF!</v>
      </c>
      <c r="R60" s="462" t="e">
        <f t="shared" si="26"/>
        <v>#REF!</v>
      </c>
      <c r="S60" s="462" t="e">
        <f t="shared" si="26"/>
        <v>#REF!</v>
      </c>
      <c r="T60" s="462" t="e">
        <f t="shared" si="26"/>
        <v>#REF!</v>
      </c>
      <c r="U60" s="462" t="e">
        <f t="shared" si="26"/>
        <v>#REF!</v>
      </c>
      <c r="V60" s="462" t="e">
        <f t="shared" si="26"/>
        <v>#REF!</v>
      </c>
      <c r="W60" s="463" t="e">
        <f t="shared" si="26"/>
        <v>#REF!</v>
      </c>
      <c r="X60" s="462" t="e">
        <f t="shared" si="26"/>
        <v>#REF!</v>
      </c>
    </row>
    <row r="61" spans="1:26" s="121" customFormat="1" ht="15" customHeight="1" thickBot="1">
      <c r="B61" s="464"/>
      <c r="C61" s="465"/>
      <c r="D61" s="466"/>
      <c r="E61" s="467"/>
      <c r="F61" s="467"/>
      <c r="G61" s="468"/>
      <c r="H61" s="468"/>
      <c r="I61" s="468"/>
      <c r="J61" s="468"/>
      <c r="K61" s="468"/>
      <c r="L61" s="468"/>
      <c r="M61" s="468"/>
      <c r="N61" s="468"/>
      <c r="O61" s="468"/>
      <c r="P61" s="469"/>
      <c r="Q61" s="469"/>
      <c r="R61" s="469"/>
      <c r="S61" s="469"/>
      <c r="T61" s="469"/>
      <c r="U61" s="469"/>
      <c r="V61" s="469"/>
      <c r="W61" s="469"/>
      <c r="X61" s="469"/>
      <c r="Y61" s="469"/>
      <c r="Z61" s="469"/>
    </row>
    <row r="62" spans="1:26" s="121" customFormat="1" ht="15" customHeight="1">
      <c r="B62" s="470" t="s">
        <v>522</v>
      </c>
      <c r="C62" s="471"/>
      <c r="D62" s="472" t="e">
        <f>(K60/K34)*1000</f>
        <v>#REF!</v>
      </c>
      <c r="E62" s="467"/>
      <c r="F62" s="467"/>
      <c r="G62" s="468"/>
      <c r="H62" s="468"/>
      <c r="I62" s="468"/>
      <c r="J62" s="468"/>
      <c r="K62" s="468"/>
      <c r="L62" s="468"/>
      <c r="M62" s="468"/>
      <c r="N62" s="468"/>
      <c r="O62" s="468"/>
      <c r="P62" s="469"/>
      <c r="Q62" s="469"/>
      <c r="R62" s="469"/>
      <c r="S62" s="469"/>
      <c r="T62" s="469"/>
      <c r="U62" s="469"/>
      <c r="V62" s="469"/>
      <c r="W62" s="469"/>
      <c r="X62" s="469"/>
      <c r="Y62" s="469"/>
      <c r="Z62" s="469"/>
    </row>
    <row r="63" spans="1:26" s="121" customFormat="1" ht="15" customHeight="1">
      <c r="B63" s="473" t="s">
        <v>523</v>
      </c>
      <c r="C63" s="178"/>
      <c r="D63" s="474"/>
      <c r="E63" s="467"/>
      <c r="F63" s="467"/>
      <c r="G63" s="475"/>
      <c r="H63" s="468"/>
      <c r="I63" s="468"/>
      <c r="J63" s="468"/>
      <c r="K63" s="468"/>
      <c r="L63" s="468"/>
      <c r="M63" s="468"/>
      <c r="N63" s="468"/>
      <c r="O63" s="468"/>
      <c r="P63" s="469"/>
      <c r="Q63" s="469"/>
      <c r="R63" s="469"/>
      <c r="S63" s="469"/>
      <c r="T63" s="469"/>
      <c r="U63" s="469"/>
      <c r="V63" s="469"/>
      <c r="W63" s="469"/>
      <c r="X63" s="469"/>
      <c r="Y63" s="469"/>
      <c r="Z63" s="469"/>
    </row>
    <row r="64" spans="1:26" s="121" customFormat="1" ht="15" customHeight="1">
      <c r="B64" s="476" t="s">
        <v>328</v>
      </c>
      <c r="C64" s="477"/>
      <c r="D64" s="478">
        <v>0.2</v>
      </c>
      <c r="E64" s="467"/>
      <c r="F64" s="467"/>
      <c r="G64" s="468"/>
      <c r="H64" s="475"/>
      <c r="I64" s="468"/>
      <c r="J64" s="468"/>
      <c r="K64" s="468"/>
      <c r="L64" s="468"/>
      <c r="M64" s="468"/>
      <c r="N64" s="468"/>
      <c r="O64" s="468"/>
      <c r="P64" s="469"/>
      <c r="Q64" s="469"/>
      <c r="R64" s="469"/>
      <c r="S64" s="469"/>
      <c r="T64" s="469"/>
      <c r="U64" s="469"/>
      <c r="V64" s="469"/>
      <c r="W64" s="469"/>
      <c r="X64" s="469"/>
      <c r="Y64" s="469"/>
      <c r="Z64" s="469"/>
    </row>
    <row r="65" spans="2:26" s="121" customFormat="1" ht="15" customHeight="1">
      <c r="B65" s="476" t="s">
        <v>548</v>
      </c>
      <c r="C65" s="477"/>
      <c r="D65" s="474" t="e">
        <f>NPV(D64,E59:X59)</f>
        <v>#REF!</v>
      </c>
      <c r="E65" s="467"/>
      <c r="F65" s="467"/>
      <c r="G65" s="468"/>
      <c r="H65" s="468"/>
      <c r="I65" s="468"/>
      <c r="J65" s="468"/>
      <c r="K65" s="468"/>
      <c r="L65" s="468"/>
      <c r="M65" s="468"/>
      <c r="N65" s="468"/>
      <c r="O65" s="468"/>
      <c r="P65" s="469"/>
      <c r="Q65" s="469"/>
      <c r="R65" s="469"/>
      <c r="S65" s="469"/>
      <c r="T65" s="469"/>
      <c r="U65" s="469"/>
      <c r="V65" s="469"/>
      <c r="W65" s="469"/>
      <c r="X65" s="469"/>
      <c r="Y65" s="469"/>
      <c r="Z65" s="469"/>
    </row>
    <row r="66" spans="2:26" s="121" customFormat="1" ht="15" customHeight="1">
      <c r="B66" s="476" t="s">
        <v>326</v>
      </c>
      <c r="C66" s="477"/>
      <c r="D66" s="478" t="e">
        <f>IRR(E59:X59,0.12)</f>
        <v>#VALUE!</v>
      </c>
      <c r="E66" s="467"/>
      <c r="F66" s="467"/>
      <c r="G66" s="468"/>
      <c r="H66" s="468"/>
      <c r="I66" s="468"/>
      <c r="J66" s="468"/>
      <c r="K66" s="468"/>
      <c r="L66" s="468"/>
      <c r="M66" s="468"/>
      <c r="N66" s="468"/>
      <c r="O66" s="468"/>
      <c r="P66" s="469"/>
      <c r="Q66" s="469"/>
      <c r="R66" s="469"/>
      <c r="S66" s="469"/>
      <c r="T66" s="469"/>
      <c r="U66" s="469"/>
      <c r="V66" s="469"/>
      <c r="W66" s="469"/>
      <c r="X66" s="469"/>
      <c r="Y66" s="469"/>
      <c r="Z66" s="469"/>
    </row>
    <row r="67" spans="2:26" s="121" customFormat="1" ht="15" customHeight="1">
      <c r="B67" s="476" t="s">
        <v>549</v>
      </c>
      <c r="C67" s="477"/>
      <c r="D67" s="479">
        <f>NPV(D64,E42:X42)</f>
        <v>12389.561084652114</v>
      </c>
      <c r="E67" s="467"/>
      <c r="F67" s="467"/>
      <c r="G67" s="468"/>
      <c r="H67" s="468"/>
      <c r="I67" s="468"/>
      <c r="J67" s="468"/>
      <c r="K67" s="468"/>
      <c r="L67" s="468"/>
      <c r="M67" s="468"/>
      <c r="N67" s="468"/>
      <c r="O67" s="468"/>
      <c r="P67" s="469"/>
      <c r="Q67" s="469"/>
      <c r="R67" s="469"/>
      <c r="S67" s="469"/>
      <c r="T67" s="469"/>
      <c r="U67" s="469"/>
      <c r="V67" s="469"/>
      <c r="W67" s="469"/>
      <c r="X67" s="469"/>
      <c r="Y67" s="469"/>
      <c r="Z67" s="469"/>
    </row>
    <row r="68" spans="2:26" s="121" customFormat="1" ht="15" customHeight="1">
      <c r="B68" s="476" t="s">
        <v>550</v>
      </c>
      <c r="C68" s="477"/>
      <c r="D68" s="479" t="e">
        <f>NPV(D64,E56:X56)</f>
        <v>#REF!</v>
      </c>
      <c r="E68" s="467"/>
      <c r="F68" s="467"/>
      <c r="G68" s="468"/>
      <c r="H68" s="468"/>
      <c r="I68" s="468"/>
      <c r="J68" s="468"/>
      <c r="K68" s="468"/>
      <c r="L68" s="468"/>
      <c r="M68" s="468"/>
      <c r="N68" s="468"/>
      <c r="O68" s="468"/>
      <c r="P68" s="469"/>
      <c r="Q68" s="469"/>
      <c r="R68" s="469"/>
      <c r="S68" s="469"/>
      <c r="T68" s="469"/>
      <c r="U68" s="469"/>
      <c r="V68" s="469"/>
      <c r="W68" s="469"/>
      <c r="X68" s="469"/>
      <c r="Y68" s="469"/>
      <c r="Z68" s="469"/>
    </row>
    <row r="69" spans="2:26" s="121" customFormat="1" ht="15" customHeight="1">
      <c r="B69" s="476" t="s">
        <v>329</v>
      </c>
      <c r="C69" s="477"/>
      <c r="D69" s="480" t="e">
        <f>D67/D68</f>
        <v>#REF!</v>
      </c>
      <c r="E69" s="467"/>
      <c r="F69" s="467"/>
      <c r="G69" s="468"/>
      <c r="H69" s="468"/>
      <c r="I69" s="468"/>
      <c r="J69" s="468"/>
      <c r="K69" s="468"/>
      <c r="L69" s="468"/>
      <c r="M69" s="468"/>
      <c r="N69" s="468"/>
      <c r="O69" s="468"/>
      <c r="P69" s="469"/>
      <c r="Q69" s="469"/>
      <c r="R69" s="469"/>
      <c r="S69" s="469"/>
      <c r="T69" s="469"/>
      <c r="U69" s="469"/>
      <c r="V69" s="469"/>
      <c r="W69" s="469"/>
      <c r="X69" s="469"/>
      <c r="Y69" s="469"/>
      <c r="Z69" s="469"/>
    </row>
    <row r="70" spans="2:26" s="121" customFormat="1" ht="15" customHeight="1">
      <c r="B70" s="476" t="s">
        <v>330</v>
      </c>
      <c r="C70" s="477"/>
      <c r="D70" s="478" t="e">
        <f>+(D68-D67)/D67</f>
        <v>#REF!</v>
      </c>
      <c r="E70" s="467"/>
      <c r="F70" s="467"/>
      <c r="G70" s="468"/>
      <c r="H70" s="468"/>
      <c r="I70" s="468"/>
      <c r="J70" s="468"/>
      <c r="K70" s="468"/>
      <c r="L70" s="468"/>
      <c r="M70" s="468"/>
      <c r="N70" s="468"/>
      <c r="O70" s="468"/>
      <c r="P70" s="469"/>
      <c r="Q70" s="469"/>
      <c r="R70" s="469"/>
      <c r="S70" s="469"/>
      <c r="T70" s="469"/>
      <c r="U70" s="469"/>
      <c r="V70" s="469"/>
      <c r="W70" s="469"/>
      <c r="X70" s="469"/>
      <c r="Y70" s="469"/>
      <c r="Z70" s="469"/>
    </row>
    <row r="71" spans="2:26" s="121" customFormat="1" ht="15" customHeight="1" thickBot="1">
      <c r="B71" s="481" t="s">
        <v>331</v>
      </c>
      <c r="C71" s="482"/>
      <c r="D71" s="483" t="e">
        <f>(D67-D68)/D68</f>
        <v>#REF!</v>
      </c>
      <c r="E71" s="467"/>
      <c r="F71" s="467"/>
      <c r="G71" s="468"/>
      <c r="H71" s="468"/>
      <c r="I71" s="468"/>
      <c r="J71" s="468"/>
      <c r="K71" s="468"/>
      <c r="L71" s="468"/>
      <c r="M71" s="468"/>
      <c r="N71" s="468"/>
      <c r="O71" s="468"/>
      <c r="P71" s="469"/>
      <c r="Q71" s="469"/>
      <c r="R71" s="469"/>
      <c r="S71" s="469"/>
      <c r="T71" s="469"/>
      <c r="U71" s="469"/>
      <c r="V71" s="469"/>
      <c r="W71" s="469"/>
      <c r="X71" s="469"/>
      <c r="Y71" s="469"/>
      <c r="Z71" s="469"/>
    </row>
    <row r="73" spans="2:26">
      <c r="B73" s="76" t="s">
        <v>546</v>
      </c>
      <c r="J73" s="46"/>
      <c r="K73" s="46"/>
      <c r="L73" s="46"/>
      <c r="M73" s="46"/>
      <c r="N73" s="46"/>
      <c r="O73" s="46"/>
      <c r="P73" s="46"/>
      <c r="Q73" s="46"/>
    </row>
    <row r="74" spans="2:26">
      <c r="B74" s="484"/>
      <c r="C74" s="486"/>
      <c r="D74" s="487"/>
      <c r="E74" s="46"/>
      <c r="F74" s="46"/>
      <c r="G74" s="488"/>
      <c r="H74" s="489"/>
      <c r="I74" s="490"/>
      <c r="J74" s="46"/>
      <c r="K74" s="46"/>
      <c r="L74" s="491"/>
      <c r="M74" s="491"/>
      <c r="N74" s="492"/>
      <c r="O74" s="46"/>
    </row>
  </sheetData>
  <mergeCells count="1">
    <mergeCell ref="E36:X36"/>
  </mergeCells>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B2:AC58"/>
  <sheetViews>
    <sheetView showGridLines="0" topLeftCell="A42" workbookViewId="0">
      <selection activeCell="F51" sqref="F50:F51"/>
    </sheetView>
  </sheetViews>
  <sheetFormatPr defaultColWidth="9.140625" defaultRowHeight="12.75"/>
  <cols>
    <col min="1" max="1" width="9.140625" style="35"/>
    <col min="2" max="2" width="9.140625" style="35" customWidth="1"/>
    <col min="3" max="4" width="11" style="35" bestFit="1" customWidth="1"/>
    <col min="5" max="5" width="11.140625" style="36" bestFit="1" customWidth="1"/>
    <col min="6" max="6" width="12.42578125" style="36" bestFit="1" customWidth="1"/>
    <col min="7" max="7" width="10.42578125" style="36" bestFit="1" customWidth="1"/>
    <col min="8" max="9" width="10.42578125" style="36" customWidth="1"/>
    <col min="10" max="10" width="9.5703125" style="36" hidden="1" customWidth="1"/>
    <col min="11" max="11" width="11.42578125" style="36" bestFit="1" customWidth="1"/>
    <col min="12" max="12" width="12.140625" style="36" bestFit="1" customWidth="1"/>
    <col min="13" max="13" width="7.5703125" style="36" bestFit="1" customWidth="1"/>
    <col min="14" max="14" width="10.42578125" style="36" bestFit="1" customWidth="1"/>
    <col min="15" max="28" width="7.5703125" style="36" customWidth="1"/>
    <col min="29" max="29" width="9.140625" style="36"/>
    <col min="30" max="16384" width="9.140625" style="35"/>
  </cols>
  <sheetData>
    <row r="2" spans="2:29">
      <c r="B2" s="171" t="s">
        <v>377</v>
      </c>
    </row>
    <row r="3" spans="2:29" ht="6.75" customHeight="1">
      <c r="C3" s="171"/>
      <c r="D3" s="171"/>
      <c r="E3" s="288"/>
    </row>
    <row r="4" spans="2:29" s="211" customFormat="1" ht="69.75" customHeight="1">
      <c r="B4" s="522" t="s">
        <v>313</v>
      </c>
      <c r="C4" s="521" t="s">
        <v>668</v>
      </c>
      <c r="D4" s="521" t="s">
        <v>669</v>
      </c>
      <c r="E4" s="295" t="s">
        <v>746</v>
      </c>
      <c r="F4" s="521" t="s">
        <v>637</v>
      </c>
      <c r="G4" s="295" t="s">
        <v>670</v>
      </c>
      <c r="H4" s="295" t="s">
        <v>671</v>
      </c>
      <c r="I4" s="295" t="s">
        <v>672</v>
      </c>
      <c r="J4" s="295" t="s">
        <v>337</v>
      </c>
      <c r="K4" s="295" t="s">
        <v>638</v>
      </c>
      <c r="L4" s="295" t="s">
        <v>673</v>
      </c>
      <c r="M4" s="210"/>
      <c r="N4" s="210"/>
      <c r="O4" s="210"/>
      <c r="P4" s="210"/>
      <c r="Q4" s="210"/>
      <c r="R4" s="210"/>
      <c r="S4" s="210"/>
      <c r="T4" s="210"/>
      <c r="U4" s="210"/>
      <c r="V4" s="210"/>
      <c r="W4" s="210"/>
      <c r="X4" s="210"/>
      <c r="Y4" s="210"/>
      <c r="Z4" s="210"/>
      <c r="AA4" s="210"/>
      <c r="AB4" s="210"/>
      <c r="AC4" s="210"/>
    </row>
    <row r="5" spans="2:29">
      <c r="B5" s="66">
        <v>1</v>
      </c>
      <c r="C5" s="67">
        <f>'Gmelina Arborea'!R18</f>
        <v>0</v>
      </c>
      <c r="D5" s="67">
        <f>'Gmelina Arborea'!N18*3.29*'Prices of dried wood'!$D$8*4</f>
        <v>0</v>
      </c>
      <c r="E5" s="67">
        <v>376</v>
      </c>
      <c r="F5" s="67">
        <f>300*4.5</f>
        <v>1350</v>
      </c>
      <c r="G5" s="67">
        <f>0.5*C5</f>
        <v>0</v>
      </c>
      <c r="H5" s="67">
        <f>5/100*D5</f>
        <v>0</v>
      </c>
      <c r="I5" s="67">
        <f>5/100*D5</f>
        <v>0</v>
      </c>
      <c r="J5" s="67"/>
      <c r="K5" s="67">
        <f>SUM(F5:J5)</f>
        <v>1350</v>
      </c>
      <c r="L5" s="67">
        <f>C5+D5+E5-F5-G5-H5-I5-J5</f>
        <v>-974</v>
      </c>
      <c r="M5" s="36">
        <f>L5/(1+0.1)^B5</f>
        <v>-885.45454545454538</v>
      </c>
      <c r="N5" s="614"/>
    </row>
    <row r="6" spans="2:29">
      <c r="B6" s="66">
        <v>2</v>
      </c>
      <c r="C6" s="67">
        <f>'Gmelina Arborea'!R19</f>
        <v>0</v>
      </c>
      <c r="D6" s="67">
        <f>'Gmelina Arborea'!N19*3.29*'Prices of dried wood'!$D$8*4</f>
        <v>0</v>
      </c>
      <c r="E6" s="67">
        <f>0.8*E5</f>
        <v>300.8</v>
      </c>
      <c r="F6" s="67"/>
      <c r="G6" s="67">
        <f>0.5*C6</f>
        <v>0</v>
      </c>
      <c r="H6" s="67">
        <f t="shared" ref="H6:H24" si="0">5/100*D6</f>
        <v>0</v>
      </c>
      <c r="I6" s="67">
        <f t="shared" ref="I6:I24" si="1">5/100*D6</f>
        <v>0</v>
      </c>
      <c r="J6" s="67"/>
      <c r="K6" s="67">
        <f t="shared" ref="K6:K24" si="2">SUM(F6:J6)</f>
        <v>0</v>
      </c>
      <c r="L6" s="67">
        <f t="shared" ref="L6:L24" si="3">C6+D6+E6-F6-G6-H6-I6-J6</f>
        <v>300.8</v>
      </c>
      <c r="M6" s="36">
        <f t="shared" ref="M6:M24" si="4">L6/(1+0.1)^B6</f>
        <v>248.59504132231402</v>
      </c>
      <c r="N6" s="614"/>
    </row>
    <row r="7" spans="2:29">
      <c r="B7" s="66">
        <v>3</v>
      </c>
      <c r="C7" s="67">
        <f>'Gmelina Arborea'!R20</f>
        <v>0</v>
      </c>
      <c r="D7" s="67">
        <f>'Gmelina Arborea'!N20*3.29*'Prices of dried wood'!$D$8*4</f>
        <v>0</v>
      </c>
      <c r="E7" s="67">
        <f>0.8*E6</f>
        <v>240.64000000000001</v>
      </c>
      <c r="F7" s="67"/>
      <c r="G7" s="67">
        <f>0.5*C7</f>
        <v>0</v>
      </c>
      <c r="H7" s="67">
        <f t="shared" si="0"/>
        <v>0</v>
      </c>
      <c r="I7" s="67">
        <f t="shared" si="1"/>
        <v>0</v>
      </c>
      <c r="J7" s="67"/>
      <c r="K7" s="67">
        <f t="shared" si="2"/>
        <v>0</v>
      </c>
      <c r="L7" s="67">
        <f t="shared" si="3"/>
        <v>240.64000000000001</v>
      </c>
      <c r="M7" s="36">
        <f t="shared" si="4"/>
        <v>180.79639368895562</v>
      </c>
    </row>
    <row r="8" spans="2:29">
      <c r="B8" s="66">
        <v>4</v>
      </c>
      <c r="C8" s="67">
        <f>'Gmelina Arborea'!R21</f>
        <v>1207.1612903225805</v>
      </c>
      <c r="D8" s="67">
        <f>'Gmelina Arborea'!N21*3.29*'Prices of dried wood'!$D$8*4</f>
        <v>0</v>
      </c>
      <c r="E8" s="67">
        <f>0.8*E7</f>
        <v>192.51200000000003</v>
      </c>
      <c r="F8" s="67"/>
      <c r="G8" s="67">
        <f>0.6*(C8+D8)</f>
        <v>724.29677419354823</v>
      </c>
      <c r="H8" s="67">
        <f>5/100*D8</f>
        <v>0</v>
      </c>
      <c r="I8" s="67">
        <f t="shared" si="1"/>
        <v>0</v>
      </c>
      <c r="J8" s="67"/>
      <c r="K8" s="67">
        <f t="shared" si="2"/>
        <v>724.29677419354823</v>
      </c>
      <c r="L8" s="67">
        <f t="shared" si="3"/>
        <v>675.37651612903221</v>
      </c>
      <c r="M8" s="36">
        <f t="shared" si="4"/>
        <v>461.29124795371354</v>
      </c>
      <c r="N8" s="614"/>
    </row>
    <row r="9" spans="2:29">
      <c r="B9" s="66">
        <v>5</v>
      </c>
      <c r="C9" s="67"/>
      <c r="D9" s="67">
        <f>'Gmelina Arborea'!N22*3.29*'Prices of dried wood'!$D$8*4</f>
        <v>0</v>
      </c>
      <c r="E9" s="67">
        <f>0.8*E8</f>
        <v>154.00960000000003</v>
      </c>
      <c r="F9" s="67"/>
      <c r="G9" s="67">
        <f t="shared" ref="G9:G24" si="5">0.5*(C9+D9)</f>
        <v>0</v>
      </c>
      <c r="H9" s="67">
        <f t="shared" si="0"/>
        <v>0</v>
      </c>
      <c r="I9" s="67">
        <f t="shared" si="1"/>
        <v>0</v>
      </c>
      <c r="J9" s="67"/>
      <c r="K9" s="67">
        <f t="shared" si="2"/>
        <v>0</v>
      </c>
      <c r="L9" s="67">
        <f t="shared" si="3"/>
        <v>154.00960000000003</v>
      </c>
      <c r="M9" s="36">
        <f t="shared" si="4"/>
        <v>95.627844595811254</v>
      </c>
    </row>
    <row r="10" spans="2:29">
      <c r="B10" s="66">
        <v>6</v>
      </c>
      <c r="C10" s="67">
        <f>'Gmelina Arborea'!R23</f>
        <v>0</v>
      </c>
      <c r="D10" s="67">
        <f>'Gmelina Arborea'!N23*3.29*'Prices of dried wood'!$D$8*4</f>
        <v>0</v>
      </c>
      <c r="E10" s="67"/>
      <c r="F10" s="67"/>
      <c r="G10" s="67">
        <f t="shared" si="5"/>
        <v>0</v>
      </c>
      <c r="H10" s="67">
        <f t="shared" si="0"/>
        <v>0</v>
      </c>
      <c r="I10" s="67">
        <f t="shared" si="1"/>
        <v>0</v>
      </c>
      <c r="J10" s="67"/>
      <c r="K10" s="67">
        <f t="shared" si="2"/>
        <v>0</v>
      </c>
      <c r="L10" s="67">
        <f t="shared" si="3"/>
        <v>0</v>
      </c>
      <c r="M10" s="36">
        <f t="shared" si="4"/>
        <v>0</v>
      </c>
    </row>
    <row r="11" spans="2:29">
      <c r="B11" s="66">
        <v>7</v>
      </c>
      <c r="C11" s="67">
        <f>'Gmelina Arborea'!R24</f>
        <v>0</v>
      </c>
      <c r="D11" s="67">
        <f>'Gmelina Arborea'!N24*3.29*'Prices of dried wood'!$D$8*4</f>
        <v>0</v>
      </c>
      <c r="E11" s="67"/>
      <c r="F11" s="67"/>
      <c r="G11" s="67">
        <f t="shared" si="5"/>
        <v>0</v>
      </c>
      <c r="H11" s="67">
        <f t="shared" si="0"/>
        <v>0</v>
      </c>
      <c r="I11" s="67">
        <f t="shared" si="1"/>
        <v>0</v>
      </c>
      <c r="J11" s="67"/>
      <c r="K11" s="67">
        <f t="shared" si="2"/>
        <v>0</v>
      </c>
      <c r="L11" s="67">
        <f t="shared" si="3"/>
        <v>0</v>
      </c>
      <c r="M11" s="36">
        <f t="shared" si="4"/>
        <v>0</v>
      </c>
    </row>
    <row r="12" spans="2:29">
      <c r="B12" s="66">
        <v>8</v>
      </c>
      <c r="C12" s="67">
        <f>'Gmelina Arborea'!R25</f>
        <v>1170.9677419354837</v>
      </c>
      <c r="D12" s="67">
        <f>'Gmelina Arborea'!N25*3.29*'Prices of dried wood'!$D$8*4</f>
        <v>23244.055296000002</v>
      </c>
      <c r="E12" s="67"/>
      <c r="F12" s="67"/>
      <c r="G12" s="67">
        <f t="shared" si="5"/>
        <v>12207.511518967744</v>
      </c>
      <c r="H12" s="67">
        <f t="shared" si="0"/>
        <v>1162.2027648000001</v>
      </c>
      <c r="I12" s="67">
        <f t="shared" si="1"/>
        <v>1162.2027648000001</v>
      </c>
      <c r="J12" s="67"/>
      <c r="K12" s="67">
        <f t="shared" si="2"/>
        <v>14531.917048567744</v>
      </c>
      <c r="L12" s="67">
        <f t="shared" si="3"/>
        <v>9883.1059893677429</v>
      </c>
      <c r="M12" s="36">
        <f t="shared" si="4"/>
        <v>4610.5418834350685</v>
      </c>
    </row>
    <row r="13" spans="2:29">
      <c r="B13" s="66">
        <v>9</v>
      </c>
      <c r="C13" s="67"/>
      <c r="D13" s="67"/>
      <c r="E13" s="67"/>
      <c r="F13" s="67"/>
      <c r="G13" s="67">
        <f t="shared" si="5"/>
        <v>0</v>
      </c>
      <c r="H13" s="67">
        <f t="shared" si="0"/>
        <v>0</v>
      </c>
      <c r="I13" s="67">
        <f t="shared" si="1"/>
        <v>0</v>
      </c>
      <c r="J13" s="67"/>
      <c r="K13" s="67">
        <f>SUM(F13:J13)</f>
        <v>0</v>
      </c>
      <c r="L13" s="67">
        <f t="shared" si="3"/>
        <v>0</v>
      </c>
      <c r="M13" s="36">
        <f t="shared" si="4"/>
        <v>0</v>
      </c>
    </row>
    <row r="14" spans="2:29">
      <c r="B14" s="66">
        <v>10</v>
      </c>
      <c r="C14" s="67">
        <f>'Gmelina Arborea'!R27</f>
        <v>0</v>
      </c>
      <c r="D14" s="67">
        <f>'Gmelina Arborea'!N27*3.29*'Prices of dried wood'!$D$8*4</f>
        <v>0</v>
      </c>
      <c r="E14" s="67"/>
      <c r="F14" s="67"/>
      <c r="G14" s="67">
        <f t="shared" si="5"/>
        <v>0</v>
      </c>
      <c r="H14" s="67">
        <f t="shared" si="0"/>
        <v>0</v>
      </c>
      <c r="I14" s="67">
        <f t="shared" si="1"/>
        <v>0</v>
      </c>
      <c r="J14" s="67"/>
      <c r="K14" s="67">
        <f t="shared" si="2"/>
        <v>0</v>
      </c>
      <c r="L14" s="67">
        <f t="shared" si="3"/>
        <v>0</v>
      </c>
      <c r="M14" s="36">
        <f t="shared" si="4"/>
        <v>0</v>
      </c>
    </row>
    <row r="15" spans="2:29">
      <c r="B15" s="66">
        <v>11</v>
      </c>
      <c r="C15" s="67">
        <f>'Gmelina Arborea'!R28</f>
        <v>0</v>
      </c>
      <c r="D15" s="67">
        <f>'Gmelina Arborea'!N28*3.29*'Prices of dried wood'!$D$8*4</f>
        <v>0</v>
      </c>
      <c r="E15" s="67"/>
      <c r="F15" s="67"/>
      <c r="G15" s="67">
        <f t="shared" si="5"/>
        <v>0</v>
      </c>
      <c r="H15" s="67">
        <f t="shared" si="0"/>
        <v>0</v>
      </c>
      <c r="I15" s="67">
        <f t="shared" si="1"/>
        <v>0</v>
      </c>
      <c r="J15" s="67"/>
      <c r="K15" s="67">
        <f t="shared" si="2"/>
        <v>0</v>
      </c>
      <c r="L15" s="67">
        <f t="shared" si="3"/>
        <v>0</v>
      </c>
      <c r="M15" s="36">
        <f t="shared" si="4"/>
        <v>0</v>
      </c>
    </row>
    <row r="16" spans="2:29">
      <c r="B16" s="66">
        <v>12</v>
      </c>
      <c r="C16" s="67">
        <f>'Gmelina Arborea'!R29</f>
        <v>0</v>
      </c>
      <c r="D16" s="67">
        <f>'Gmelina Arborea'!N29*3.29*'Prices of dried wood'!$D$8*4</f>
        <v>0</v>
      </c>
      <c r="E16" s="67"/>
      <c r="F16" s="67"/>
      <c r="G16" s="67">
        <f t="shared" si="5"/>
        <v>0</v>
      </c>
      <c r="H16" s="67">
        <f t="shared" si="0"/>
        <v>0</v>
      </c>
      <c r="I16" s="67">
        <f t="shared" si="1"/>
        <v>0</v>
      </c>
      <c r="J16" s="67"/>
      <c r="K16" s="67">
        <f t="shared" si="2"/>
        <v>0</v>
      </c>
      <c r="L16" s="67">
        <f t="shared" si="3"/>
        <v>0</v>
      </c>
      <c r="M16" s="36">
        <f t="shared" si="4"/>
        <v>0</v>
      </c>
    </row>
    <row r="17" spans="2:17">
      <c r="B17" s="66">
        <v>13</v>
      </c>
      <c r="C17" s="67"/>
      <c r="D17" s="67">
        <f>'Gmelina Arborea'!N30*3.29*'Prices of dried wood'!$D$8*4</f>
        <v>0</v>
      </c>
      <c r="E17" s="67"/>
      <c r="F17" s="67"/>
      <c r="G17" s="67">
        <f t="shared" si="5"/>
        <v>0</v>
      </c>
      <c r="H17" s="67">
        <f t="shared" si="0"/>
        <v>0</v>
      </c>
      <c r="I17" s="67">
        <f t="shared" si="1"/>
        <v>0</v>
      </c>
      <c r="J17" s="67"/>
      <c r="K17" s="67">
        <f t="shared" si="2"/>
        <v>0</v>
      </c>
      <c r="L17" s="67">
        <f t="shared" si="3"/>
        <v>0</v>
      </c>
      <c r="M17" s="36">
        <f t="shared" si="4"/>
        <v>0</v>
      </c>
    </row>
    <row r="18" spans="2:17">
      <c r="B18" s="66">
        <v>14</v>
      </c>
      <c r="C18" s="67">
        <f>'Gmelina Arborea'!R31</f>
        <v>0</v>
      </c>
      <c r="D18" s="67">
        <f>'Gmelina Arborea'!N31*3.29*'Prices of dried wood'!$D$8*4</f>
        <v>0</v>
      </c>
      <c r="E18" s="67"/>
      <c r="F18" s="67"/>
      <c r="G18" s="67">
        <f t="shared" si="5"/>
        <v>0</v>
      </c>
      <c r="H18" s="67">
        <f t="shared" si="0"/>
        <v>0</v>
      </c>
      <c r="I18" s="67">
        <f t="shared" si="1"/>
        <v>0</v>
      </c>
      <c r="J18" s="67"/>
      <c r="K18" s="67">
        <f t="shared" si="2"/>
        <v>0</v>
      </c>
      <c r="L18" s="67">
        <f t="shared" si="3"/>
        <v>0</v>
      </c>
      <c r="M18" s="36">
        <f t="shared" si="4"/>
        <v>0</v>
      </c>
      <c r="O18" s="171"/>
      <c r="P18" s="35"/>
      <c r="Q18" s="35"/>
    </row>
    <row r="19" spans="2:17">
      <c r="B19" s="66">
        <v>15</v>
      </c>
      <c r="C19" s="67">
        <f>'Gmelina Arborea'!R32</f>
        <v>0</v>
      </c>
      <c r="D19" s="67">
        <f>'Gmelina Arborea'!N32*3.29*'Prices of dried wood'!$D$8*4</f>
        <v>0</v>
      </c>
      <c r="E19" s="67"/>
      <c r="F19" s="67"/>
      <c r="G19" s="67">
        <f t="shared" si="5"/>
        <v>0</v>
      </c>
      <c r="H19" s="67">
        <f t="shared" si="0"/>
        <v>0</v>
      </c>
      <c r="I19" s="67">
        <f t="shared" si="1"/>
        <v>0</v>
      </c>
      <c r="J19" s="67"/>
      <c r="K19" s="67">
        <f t="shared" si="2"/>
        <v>0</v>
      </c>
      <c r="L19" s="67">
        <f t="shared" si="3"/>
        <v>0</v>
      </c>
      <c r="M19" s="36">
        <f t="shared" si="4"/>
        <v>0</v>
      </c>
    </row>
    <row r="20" spans="2:17">
      <c r="B20" s="66">
        <v>16</v>
      </c>
      <c r="C20" s="67">
        <f>'Gmelina Arborea'!R33</f>
        <v>1542</v>
      </c>
      <c r="D20" s="67">
        <f>'Gmelina Arborea'!N33*3.29*'Prices of dried wood'!$D$8*4</f>
        <v>0</v>
      </c>
      <c r="E20" s="67"/>
      <c r="F20" s="67"/>
      <c r="G20" s="67">
        <f t="shared" si="5"/>
        <v>771</v>
      </c>
      <c r="H20" s="67">
        <f t="shared" si="0"/>
        <v>0</v>
      </c>
      <c r="I20" s="67">
        <f t="shared" si="1"/>
        <v>0</v>
      </c>
      <c r="J20" s="67"/>
      <c r="K20" s="67">
        <f t="shared" si="2"/>
        <v>771</v>
      </c>
      <c r="L20" s="67">
        <f t="shared" si="3"/>
        <v>771</v>
      </c>
      <c r="M20" s="36">
        <f t="shared" si="4"/>
        <v>167.79206369420453</v>
      </c>
      <c r="N20" s="614"/>
    </row>
    <row r="21" spans="2:17">
      <c r="B21" s="66">
        <v>17</v>
      </c>
      <c r="C21" s="67">
        <f>'Gmelina Arborea'!R34</f>
        <v>0</v>
      </c>
      <c r="D21" s="67">
        <f>'Gmelina Arborea'!N34*3.29*'Prices of dried wood'!$D$8*4</f>
        <v>0</v>
      </c>
      <c r="E21" s="67"/>
      <c r="F21" s="67"/>
      <c r="G21" s="67">
        <f t="shared" si="5"/>
        <v>0</v>
      </c>
      <c r="H21" s="67">
        <f t="shared" si="0"/>
        <v>0</v>
      </c>
      <c r="I21" s="67">
        <f t="shared" si="1"/>
        <v>0</v>
      </c>
      <c r="J21" s="67"/>
      <c r="K21" s="67">
        <f t="shared" si="2"/>
        <v>0</v>
      </c>
      <c r="L21" s="67">
        <f t="shared" si="3"/>
        <v>0</v>
      </c>
      <c r="M21" s="36">
        <f t="shared" si="4"/>
        <v>0</v>
      </c>
    </row>
    <row r="22" spans="2:17">
      <c r="B22" s="66">
        <v>18</v>
      </c>
      <c r="C22" s="67">
        <f>'Gmelina Arborea'!R35</f>
        <v>0</v>
      </c>
      <c r="D22" s="67">
        <f>'Gmelina Arborea'!N35*3.29*'Prices of dried wood'!$D$8*4</f>
        <v>0</v>
      </c>
      <c r="E22" s="67"/>
      <c r="F22" s="67"/>
      <c r="G22" s="67">
        <f t="shared" si="5"/>
        <v>0</v>
      </c>
      <c r="H22" s="67">
        <f t="shared" si="0"/>
        <v>0</v>
      </c>
      <c r="I22" s="67">
        <f t="shared" si="1"/>
        <v>0</v>
      </c>
      <c r="J22" s="67"/>
      <c r="K22" s="67">
        <f t="shared" si="2"/>
        <v>0</v>
      </c>
      <c r="L22" s="67">
        <f t="shared" si="3"/>
        <v>0</v>
      </c>
      <c r="M22" s="36">
        <f t="shared" si="4"/>
        <v>0</v>
      </c>
    </row>
    <row r="23" spans="2:17">
      <c r="B23" s="66">
        <v>19</v>
      </c>
      <c r="C23" s="67">
        <f>'Gmelina Arborea'!R36</f>
        <v>0</v>
      </c>
      <c r="D23" s="67">
        <f>'Gmelina Arborea'!N36*3.29*'Prices of dried wood'!$D$8*4</f>
        <v>0</v>
      </c>
      <c r="E23" s="67"/>
      <c r="F23" s="67"/>
      <c r="G23" s="67">
        <f t="shared" si="5"/>
        <v>0</v>
      </c>
      <c r="H23" s="67">
        <f t="shared" si="0"/>
        <v>0</v>
      </c>
      <c r="I23" s="67">
        <f t="shared" si="1"/>
        <v>0</v>
      </c>
      <c r="J23" s="67"/>
      <c r="K23" s="67">
        <f t="shared" si="2"/>
        <v>0</v>
      </c>
      <c r="L23" s="67">
        <f t="shared" si="3"/>
        <v>0</v>
      </c>
      <c r="M23" s="36">
        <f t="shared" si="4"/>
        <v>0</v>
      </c>
    </row>
    <row r="24" spans="2:17">
      <c r="B24" s="66">
        <v>20</v>
      </c>
      <c r="C24" s="67">
        <f>'Gmelina Arborea'!R37</f>
        <v>1542</v>
      </c>
      <c r="D24" s="67">
        <f>'Gmelina Arborea'!N37*3.29*'Prices of dried wood'!$D$8*4</f>
        <v>0</v>
      </c>
      <c r="E24" s="67"/>
      <c r="F24" s="67"/>
      <c r="G24" s="67">
        <f t="shared" si="5"/>
        <v>771</v>
      </c>
      <c r="H24" s="67">
        <f t="shared" si="0"/>
        <v>0</v>
      </c>
      <c r="I24" s="67">
        <f t="shared" si="1"/>
        <v>0</v>
      </c>
      <c r="J24" s="67"/>
      <c r="K24" s="67">
        <f t="shared" si="2"/>
        <v>771</v>
      </c>
      <c r="L24" s="67">
        <f t="shared" si="3"/>
        <v>771</v>
      </c>
      <c r="M24" s="36">
        <f t="shared" si="4"/>
        <v>114.60423720661463</v>
      </c>
      <c r="N24" s="614"/>
    </row>
    <row r="25" spans="2:17">
      <c r="G25" s="35"/>
      <c r="M25" s="36">
        <f>SUM(M5:M24)</f>
        <v>4993.7941664421369</v>
      </c>
    </row>
    <row r="26" spans="2:17">
      <c r="B26" s="179" t="s">
        <v>328</v>
      </c>
      <c r="C26" s="180"/>
      <c r="D26" s="180"/>
      <c r="E26" s="289"/>
      <c r="F26" s="44"/>
      <c r="G26" s="44"/>
      <c r="H26" s="44"/>
      <c r="I26" s="203">
        <v>0.12</v>
      </c>
      <c r="K26" s="203">
        <v>0.16500000000000001</v>
      </c>
      <c r="L26" s="203">
        <v>0.2</v>
      </c>
      <c r="M26" s="618" t="s">
        <v>681</v>
      </c>
    </row>
    <row r="27" spans="2:17">
      <c r="B27" s="181" t="s">
        <v>712</v>
      </c>
      <c r="C27" s="178"/>
      <c r="D27" s="178"/>
      <c r="E27" s="290"/>
      <c r="F27" s="47"/>
      <c r="G27" s="47"/>
      <c r="H27" s="47"/>
      <c r="I27" s="182">
        <f>NPV(I26,L5:L24)</f>
        <v>4255.3536554731299</v>
      </c>
      <c r="K27" s="182">
        <v>3017</v>
      </c>
      <c r="L27" s="182">
        <v>1990</v>
      </c>
    </row>
    <row r="28" spans="2:17">
      <c r="B28" s="184" t="s">
        <v>326</v>
      </c>
      <c r="C28" s="178"/>
      <c r="D28" s="178"/>
      <c r="E28" s="290"/>
      <c r="F28" s="47"/>
      <c r="G28" s="47"/>
      <c r="H28" s="47"/>
      <c r="I28" s="183">
        <f>IRR(L5:L24,0.1)</f>
        <v>0.54617528396848836</v>
      </c>
      <c r="K28" s="183">
        <v>0.48</v>
      </c>
      <c r="L28" s="183">
        <v>0.48</v>
      </c>
    </row>
    <row r="29" spans="2:17">
      <c r="B29" s="181" t="s">
        <v>689</v>
      </c>
      <c r="C29" s="178"/>
      <c r="D29" s="178"/>
      <c r="E29" s="290"/>
      <c r="F29" s="47"/>
      <c r="G29" s="47"/>
      <c r="H29" s="47"/>
      <c r="I29" s="185">
        <f>NPV(I26,C9:C24)</f>
        <v>1742.9189692381135</v>
      </c>
      <c r="K29" s="185">
        <v>1459</v>
      </c>
      <c r="L29" s="185">
        <v>1121</v>
      </c>
    </row>
    <row r="30" spans="2:17">
      <c r="B30" s="181" t="s">
        <v>690</v>
      </c>
      <c r="C30" s="178"/>
      <c r="D30" s="178"/>
      <c r="E30" s="290"/>
      <c r="F30" s="47"/>
      <c r="G30" s="47"/>
      <c r="H30" s="47"/>
      <c r="I30" s="185">
        <f>NPV(I26,F5:J24)</f>
        <v>2463.9855516072457</v>
      </c>
      <c r="K30" s="185">
        <v>1897</v>
      </c>
      <c r="L30" s="185">
        <v>1434</v>
      </c>
    </row>
    <row r="31" spans="2:17">
      <c r="B31" s="181" t="s">
        <v>329</v>
      </c>
      <c r="C31" s="178"/>
      <c r="D31" s="178"/>
      <c r="E31" s="290"/>
      <c r="F31" s="47"/>
      <c r="G31" s="47"/>
      <c r="H31" s="47"/>
      <c r="I31" s="186">
        <f>I29/I30</f>
        <v>0.70735762557585458</v>
      </c>
      <c r="K31" s="186">
        <v>0.77</v>
      </c>
      <c r="L31" s="186">
        <v>0.78</v>
      </c>
    </row>
    <row r="32" spans="2:17">
      <c r="B32" s="181" t="s">
        <v>330</v>
      </c>
      <c r="C32" s="178"/>
      <c r="D32" s="178"/>
      <c r="E32" s="290"/>
      <c r="F32" s="47"/>
      <c r="G32" s="47"/>
      <c r="H32" s="47"/>
      <c r="I32" s="183">
        <f>+(I30-I29)/I29</f>
        <v>0.41371205150422674</v>
      </c>
      <c r="K32" s="183">
        <v>0.3</v>
      </c>
      <c r="L32" s="183">
        <v>0.28000000000000003</v>
      </c>
    </row>
    <row r="33" spans="2:29">
      <c r="B33" s="187" t="s">
        <v>331</v>
      </c>
      <c r="C33" s="188"/>
      <c r="D33" s="188"/>
      <c r="E33" s="291"/>
      <c r="F33" s="51"/>
      <c r="G33" s="51"/>
      <c r="H33" s="51"/>
      <c r="I33" s="189">
        <f>(I29-I30)/I30</f>
        <v>-0.29264237442414548</v>
      </c>
      <c r="K33" s="189">
        <v>-0.23</v>
      </c>
      <c r="L33" s="189">
        <v>-0.22</v>
      </c>
    </row>
    <row r="34" spans="2:29">
      <c r="B34" s="210"/>
      <c r="C34" s="36"/>
      <c r="D34" s="36"/>
      <c r="F34" s="210"/>
      <c r="Z34" s="35"/>
      <c r="AA34" s="35"/>
      <c r="AB34" s="35"/>
      <c r="AC34" s="35"/>
    </row>
    <row r="35" spans="2:29" ht="13.5" thickBot="1">
      <c r="B35" s="210"/>
      <c r="C35" s="36"/>
      <c r="D35" s="36"/>
      <c r="F35" s="210"/>
      <c r="Z35" s="35"/>
      <c r="AA35" s="35"/>
      <c r="AB35" s="35"/>
      <c r="AC35" s="35"/>
    </row>
    <row r="36" spans="2:29" ht="15">
      <c r="B36" s="763"/>
      <c r="C36" s="764"/>
      <c r="D36" s="764"/>
      <c r="E36" s="557"/>
      <c r="F36" s="558" t="s">
        <v>624</v>
      </c>
      <c r="G36" s="559" t="s">
        <v>234</v>
      </c>
      <c r="H36" s="559" t="s">
        <v>329</v>
      </c>
      <c r="Z36" s="35"/>
      <c r="AA36" s="35"/>
      <c r="AB36" s="35"/>
      <c r="AC36" s="35"/>
    </row>
    <row r="37" spans="2:29" ht="15">
      <c r="B37" s="765" t="s">
        <v>626</v>
      </c>
      <c r="C37" s="766"/>
      <c r="D37"/>
      <c r="E37"/>
      <c r="F37" s="562">
        <f>I27</f>
        <v>4255.3536554731299</v>
      </c>
      <c r="G37" s="563">
        <f>I28</f>
        <v>0.54617528396848836</v>
      </c>
      <c r="H37" s="569">
        <f>I31</f>
        <v>0.70735762557585458</v>
      </c>
      <c r="I37" s="618" t="s">
        <v>681</v>
      </c>
      <c r="Z37" s="35"/>
      <c r="AA37" s="35"/>
      <c r="AB37" s="35"/>
      <c r="AC37" s="35"/>
    </row>
    <row r="38" spans="2:29" ht="15">
      <c r="B38" s="767" t="s">
        <v>627</v>
      </c>
      <c r="C38" s="768"/>
      <c r="D38" s="768"/>
      <c r="E38"/>
      <c r="F38" s="570">
        <v>33406</v>
      </c>
      <c r="G38" s="564">
        <v>0.62</v>
      </c>
      <c r="H38" s="565">
        <v>0.53</v>
      </c>
      <c r="I38" s="618"/>
      <c r="Z38" s="35"/>
      <c r="AA38" s="35"/>
      <c r="AB38" s="35"/>
      <c r="AC38" s="35"/>
    </row>
    <row r="39" spans="2:29" ht="15">
      <c r="B39" s="767" t="s">
        <v>628</v>
      </c>
      <c r="C39" s="768"/>
      <c r="D39"/>
      <c r="E39"/>
      <c r="F39" s="570">
        <v>27662</v>
      </c>
      <c r="G39" s="564">
        <v>0.57999999999999996</v>
      </c>
      <c r="H39" s="565">
        <v>0.43</v>
      </c>
      <c r="I39" s="618"/>
      <c r="Z39" s="35"/>
      <c r="AA39" s="35"/>
      <c r="AB39" s="35"/>
      <c r="AC39" s="35"/>
    </row>
    <row r="40" spans="2:29" ht="15.75" thickBot="1">
      <c r="B40" s="769" t="s">
        <v>629</v>
      </c>
      <c r="C40" s="770"/>
      <c r="D40" s="770"/>
      <c r="E40" s="566"/>
      <c r="F40" s="571">
        <v>36871</v>
      </c>
      <c r="G40" s="567">
        <v>0.61</v>
      </c>
      <c r="H40" s="568">
        <v>0.48</v>
      </c>
      <c r="I40" s="618"/>
      <c r="Z40" s="35"/>
      <c r="AA40" s="35"/>
      <c r="AB40" s="35"/>
      <c r="AC40" s="35"/>
    </row>
    <row r="41" spans="2:29">
      <c r="B41" s="210"/>
      <c r="C41" s="36"/>
      <c r="D41" s="36"/>
      <c r="F41" s="210"/>
      <c r="Z41" s="35"/>
      <c r="AA41" s="35"/>
      <c r="AB41" s="35"/>
      <c r="AC41" s="35"/>
    </row>
    <row r="42" spans="2:29">
      <c r="B42" s="210"/>
      <c r="C42" s="36"/>
      <c r="D42" s="36"/>
      <c r="F42" s="210"/>
      <c r="Z42" s="35"/>
      <c r="AA42" s="35"/>
      <c r="AB42" s="35"/>
      <c r="AC42" s="35"/>
    </row>
    <row r="43" spans="2:29" ht="18.75">
      <c r="B43" s="593" t="s">
        <v>643</v>
      </c>
      <c r="C43" s="178"/>
      <c r="D43" s="178"/>
      <c r="E43" s="290"/>
      <c r="F43" s="47"/>
      <c r="G43" s="47"/>
      <c r="H43" s="47"/>
      <c r="I43" s="602"/>
    </row>
    <row r="44" spans="2:29" s="604" customFormat="1" ht="12">
      <c r="B44" s="604" t="s">
        <v>674</v>
      </c>
      <c r="E44" s="605"/>
      <c r="F44" s="605"/>
      <c r="G44" s="605"/>
      <c r="H44" s="605"/>
      <c r="I44" s="605"/>
      <c r="J44" s="605"/>
      <c r="K44" s="605"/>
      <c r="L44" s="605"/>
      <c r="M44" s="605"/>
      <c r="N44" s="605"/>
      <c r="O44" s="605"/>
      <c r="P44" s="605"/>
      <c r="Q44" s="605"/>
      <c r="R44" s="605"/>
      <c r="S44" s="605"/>
      <c r="T44" s="605"/>
      <c r="U44" s="605"/>
      <c r="V44" s="605"/>
      <c r="W44" s="605"/>
      <c r="X44" s="605"/>
      <c r="Y44" s="605"/>
      <c r="Z44" s="605"/>
      <c r="AA44" s="605"/>
      <c r="AB44" s="605"/>
      <c r="AC44" s="605"/>
    </row>
    <row r="45" spans="2:29" s="604" customFormat="1" ht="12">
      <c r="B45" s="604" t="s">
        <v>675</v>
      </c>
      <c r="E45" s="605"/>
      <c r="F45" s="605" t="s">
        <v>591</v>
      </c>
      <c r="G45" s="605"/>
      <c r="H45" s="605"/>
      <c r="I45" s="605"/>
      <c r="J45" s="605"/>
      <c r="K45" s="605"/>
      <c r="L45" s="605"/>
      <c r="M45" s="605"/>
      <c r="N45" s="605"/>
      <c r="O45" s="605"/>
      <c r="P45" s="605"/>
      <c r="Q45" s="605"/>
      <c r="R45" s="605"/>
      <c r="S45" s="605"/>
      <c r="T45" s="605"/>
      <c r="U45" s="605"/>
      <c r="V45" s="605"/>
      <c r="W45" s="605"/>
      <c r="X45" s="605"/>
      <c r="Y45" s="605"/>
      <c r="Z45" s="605"/>
      <c r="AA45" s="605"/>
      <c r="AB45" s="605"/>
      <c r="AC45" s="605"/>
    </row>
    <row r="46" spans="2:29" s="604" customFormat="1" ht="12">
      <c r="B46" s="604" t="s">
        <v>676</v>
      </c>
      <c r="E46" s="605"/>
      <c r="F46" s="605"/>
      <c r="G46" s="605"/>
      <c r="H46" s="605"/>
      <c r="I46" s="605"/>
      <c r="J46" s="605"/>
      <c r="K46" s="605"/>
      <c r="L46" s="605"/>
      <c r="M46" s="605"/>
      <c r="N46" s="605"/>
      <c r="O46" s="605"/>
      <c r="P46" s="605"/>
      <c r="Q46" s="605"/>
      <c r="R46" s="605"/>
      <c r="S46" s="605"/>
      <c r="T46" s="605"/>
      <c r="U46" s="605"/>
      <c r="V46" s="605"/>
      <c r="W46" s="605"/>
      <c r="X46" s="605"/>
      <c r="Y46" s="605"/>
      <c r="Z46" s="605"/>
      <c r="AA46" s="605"/>
      <c r="AB46" s="605"/>
      <c r="AC46" s="605"/>
    </row>
    <row r="47" spans="2:29" s="604" customFormat="1" ht="12">
      <c r="B47" s="604" t="s">
        <v>677</v>
      </c>
      <c r="E47" s="605"/>
      <c r="F47" s="605"/>
      <c r="G47" s="605"/>
      <c r="H47" s="605"/>
      <c r="I47" s="605"/>
      <c r="J47" s="605"/>
      <c r="K47" s="605"/>
      <c r="L47" s="605"/>
      <c r="M47" s="605"/>
      <c r="N47" s="605"/>
      <c r="O47" s="605"/>
      <c r="P47" s="605"/>
      <c r="Q47" s="605"/>
      <c r="R47" s="605"/>
      <c r="S47" s="605"/>
      <c r="T47" s="605"/>
      <c r="U47" s="605"/>
      <c r="V47" s="605"/>
      <c r="W47" s="605"/>
      <c r="X47" s="605"/>
      <c r="Y47" s="605"/>
      <c r="Z47" s="605"/>
      <c r="AA47" s="605"/>
      <c r="AB47" s="605"/>
      <c r="AC47" s="605"/>
    </row>
    <row r="48" spans="2:29" s="604" customFormat="1" ht="12">
      <c r="B48" s="606" t="s">
        <v>678</v>
      </c>
      <c r="E48" s="605"/>
      <c r="F48" s="605"/>
      <c r="G48" s="605"/>
      <c r="H48" s="605"/>
      <c r="I48" s="605"/>
      <c r="J48" s="605"/>
      <c r="K48" s="605"/>
      <c r="L48" s="605"/>
      <c r="M48" s="605"/>
      <c r="N48" s="605"/>
      <c r="O48" s="605"/>
      <c r="P48" s="605"/>
      <c r="Q48" s="605"/>
      <c r="R48" s="605"/>
      <c r="S48" s="605"/>
      <c r="T48" s="605"/>
      <c r="U48" s="605"/>
      <c r="V48" s="605"/>
      <c r="W48" s="605"/>
      <c r="X48" s="605"/>
      <c r="Y48" s="605"/>
      <c r="Z48" s="605"/>
      <c r="AA48" s="605"/>
      <c r="AB48" s="605"/>
      <c r="AC48" s="605"/>
    </row>
    <row r="49" spans="2:29" s="604" customFormat="1" ht="12">
      <c r="B49" s="606" t="s">
        <v>757</v>
      </c>
      <c r="E49" s="615"/>
      <c r="F49" s="605"/>
      <c r="G49" s="605"/>
      <c r="H49" s="605"/>
      <c r="I49" s="605"/>
      <c r="J49" s="605"/>
      <c r="K49" s="605"/>
      <c r="L49" s="605"/>
      <c r="M49" s="605"/>
      <c r="N49" s="605"/>
      <c r="O49" s="605"/>
      <c r="P49" s="605"/>
      <c r="Q49" s="605"/>
      <c r="R49" s="605"/>
      <c r="S49" s="605"/>
      <c r="T49" s="605"/>
      <c r="U49" s="605"/>
      <c r="V49" s="605"/>
      <c r="W49" s="605"/>
      <c r="X49" s="605"/>
      <c r="Y49" s="605"/>
      <c r="Z49" s="605"/>
      <c r="AA49" s="605"/>
      <c r="AB49" s="605"/>
      <c r="AC49" s="605"/>
    </row>
    <row r="50" spans="2:29" s="604" customFormat="1" ht="12">
      <c r="B50" s="607" t="s">
        <v>758</v>
      </c>
      <c r="E50" s="605"/>
      <c r="F50" s="605"/>
      <c r="G50" s="605"/>
      <c r="H50" s="605"/>
      <c r="I50" s="605"/>
      <c r="J50" s="605"/>
      <c r="K50" s="605"/>
      <c r="L50" s="605"/>
      <c r="M50" s="605"/>
      <c r="N50" s="605"/>
      <c r="O50" s="605"/>
      <c r="P50" s="605"/>
      <c r="Q50" s="605"/>
      <c r="R50" s="605"/>
      <c r="S50" s="605"/>
      <c r="T50" s="605"/>
      <c r="U50" s="605"/>
      <c r="V50" s="605"/>
      <c r="W50" s="605"/>
      <c r="X50" s="605"/>
      <c r="Y50" s="605"/>
      <c r="Z50" s="605"/>
      <c r="AA50" s="605"/>
      <c r="AB50" s="605"/>
      <c r="AC50" s="605"/>
    </row>
    <row r="51" spans="2:29">
      <c r="B51" s="76" t="s">
        <v>719</v>
      </c>
      <c r="D51" s="36"/>
      <c r="E51" s="35"/>
      <c r="F51" s="35"/>
      <c r="G51" s="35"/>
      <c r="H51" s="35"/>
      <c r="I51" s="35"/>
    </row>
    <row r="52" spans="2:29">
      <c r="B52" s="35" t="s">
        <v>713</v>
      </c>
      <c r="D52" s="36"/>
      <c r="E52" s="35"/>
      <c r="F52" s="35"/>
      <c r="G52" s="35"/>
      <c r="H52" s="35"/>
      <c r="I52" s="35"/>
    </row>
    <row r="53" spans="2:29">
      <c r="B53" s="35" t="s">
        <v>720</v>
      </c>
      <c r="D53" s="36"/>
      <c r="E53" s="35"/>
      <c r="F53" s="35"/>
      <c r="G53" s="35"/>
      <c r="H53" s="35"/>
      <c r="I53" s="35"/>
    </row>
    <row r="54" spans="2:29">
      <c r="B54" s="35" t="s">
        <v>714</v>
      </c>
      <c r="D54" s="36"/>
      <c r="E54" s="35"/>
      <c r="F54" s="35"/>
      <c r="G54" s="35"/>
      <c r="H54" s="35"/>
      <c r="I54" s="35"/>
    </row>
    <row r="55" spans="2:29">
      <c r="B55" s="35" t="s">
        <v>715</v>
      </c>
      <c r="D55" s="36"/>
      <c r="E55" s="35"/>
      <c r="F55" s="35"/>
      <c r="G55" s="35"/>
      <c r="H55" s="35"/>
      <c r="I55" s="35"/>
    </row>
    <row r="56" spans="2:29">
      <c r="B56" s="35" t="s">
        <v>716</v>
      </c>
      <c r="D56" s="36"/>
    </row>
    <row r="57" spans="2:29">
      <c r="B57" s="35" t="s">
        <v>717</v>
      </c>
      <c r="D57" s="36"/>
    </row>
    <row r="58" spans="2:29">
      <c r="B58" s="35" t="s">
        <v>718</v>
      </c>
      <c r="D58" s="36"/>
    </row>
  </sheetData>
  <mergeCells count="5">
    <mergeCell ref="B36:D36"/>
    <mergeCell ref="B37:C37"/>
    <mergeCell ref="B38:D38"/>
    <mergeCell ref="B39:C39"/>
    <mergeCell ref="B40:D40"/>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Z74"/>
  <sheetViews>
    <sheetView showGridLines="0" topLeftCell="A25" zoomScale="80" zoomScaleNormal="80" zoomScalePageLayoutView="80" workbookViewId="0">
      <selection activeCell="H59" sqref="H59"/>
    </sheetView>
  </sheetViews>
  <sheetFormatPr defaultColWidth="9.140625" defaultRowHeight="12.75"/>
  <cols>
    <col min="1" max="1" width="9.140625" style="35"/>
    <col min="2" max="2" width="53.140625" style="35" bestFit="1" customWidth="1"/>
    <col min="3" max="3" width="9.42578125" style="485" bestFit="1" customWidth="1"/>
    <col min="4" max="4" width="9.42578125" style="35" customWidth="1"/>
    <col min="5" max="5" width="9.42578125" style="35" bestFit="1" customWidth="1"/>
    <col min="6" max="6" width="8.140625" style="35" bestFit="1" customWidth="1"/>
    <col min="7" max="7" width="8.85546875" style="42" bestFit="1" customWidth="1"/>
    <col min="8" max="8" width="7.42578125" style="35" customWidth="1"/>
    <col min="9" max="9" width="7.42578125" style="35" bestFit="1" customWidth="1"/>
    <col min="10" max="10" width="7.42578125" style="35" customWidth="1"/>
    <col min="11" max="14" width="8.42578125" style="35" bestFit="1" customWidth="1"/>
    <col min="15" max="16" width="8.5703125" style="35" bestFit="1" customWidth="1"/>
    <col min="17" max="24" width="8.42578125" style="35" bestFit="1" customWidth="1"/>
    <col min="25" max="26" width="7.42578125" style="35" customWidth="1"/>
    <col min="27" max="16384" width="9.140625" style="35"/>
  </cols>
  <sheetData>
    <row r="1" spans="2:25">
      <c r="B1" s="76" t="s">
        <v>542</v>
      </c>
      <c r="C1" s="37"/>
      <c r="E1" s="514">
        <v>1748.87</v>
      </c>
      <c r="F1" s="514"/>
      <c r="G1" s="515"/>
      <c r="H1" s="516"/>
      <c r="I1" s="516"/>
      <c r="J1" s="516"/>
      <c r="K1" s="516"/>
      <c r="L1" s="514"/>
    </row>
    <row r="2" spans="2:25">
      <c r="B2" s="76" t="s">
        <v>477</v>
      </c>
      <c r="C2" s="37"/>
      <c r="E2" s="514"/>
      <c r="F2" s="514"/>
      <c r="G2" s="515"/>
      <c r="H2" s="517" t="s">
        <v>478</v>
      </c>
      <c r="I2" s="517"/>
      <c r="J2" s="517">
        <v>7528.99</v>
      </c>
      <c r="K2" s="516" t="s">
        <v>479</v>
      </c>
      <c r="L2" s="514"/>
    </row>
    <row r="3" spans="2:25" s="121" customFormat="1">
      <c r="B3" s="334"/>
      <c r="C3" s="335" t="s">
        <v>480</v>
      </c>
      <c r="D3" s="336" t="s">
        <v>481</v>
      </c>
      <c r="E3" s="337" t="s">
        <v>482</v>
      </c>
      <c r="F3" s="338" t="s">
        <v>383</v>
      </c>
      <c r="G3" s="339" t="s">
        <v>384</v>
      </c>
      <c r="H3" s="339" t="s">
        <v>385</v>
      </c>
      <c r="I3" s="339" t="s">
        <v>386</v>
      </c>
      <c r="J3" s="339" t="s">
        <v>387</v>
      </c>
      <c r="K3" s="339" t="s">
        <v>388</v>
      </c>
      <c r="L3" s="339" t="s">
        <v>389</v>
      </c>
      <c r="M3" s="339" t="s">
        <v>390</v>
      </c>
      <c r="N3" s="339" t="s">
        <v>391</v>
      </c>
      <c r="O3" s="339" t="s">
        <v>392</v>
      </c>
      <c r="P3" s="339" t="s">
        <v>483</v>
      </c>
      <c r="Q3" s="339" t="s">
        <v>394</v>
      </c>
      <c r="R3" s="339" t="s">
        <v>395</v>
      </c>
      <c r="S3" s="339" t="s">
        <v>396</v>
      </c>
      <c r="T3" s="339" t="s">
        <v>397</v>
      </c>
      <c r="U3" s="339" t="s">
        <v>398</v>
      </c>
      <c r="V3" s="339" t="s">
        <v>399</v>
      </c>
      <c r="W3" s="339" t="s">
        <v>400</v>
      </c>
      <c r="X3" s="339" t="s">
        <v>401</v>
      </c>
      <c r="Y3" s="339" t="s">
        <v>402</v>
      </c>
    </row>
    <row r="4" spans="2:25" s="121" customFormat="1">
      <c r="B4" s="340" t="s">
        <v>484</v>
      </c>
      <c r="C4" s="341"/>
      <c r="D4" s="342"/>
      <c r="E4" s="343"/>
      <c r="F4" s="343"/>
      <c r="G4" s="344"/>
      <c r="H4" s="343"/>
      <c r="I4" s="345"/>
      <c r="J4" s="343"/>
      <c r="K4" s="346"/>
      <c r="L4" s="343"/>
      <c r="M4" s="347"/>
      <c r="N4" s="348"/>
      <c r="O4" s="344"/>
      <c r="P4" s="100"/>
      <c r="Q4" s="47"/>
      <c r="R4" s="100"/>
      <c r="S4" s="47"/>
      <c r="T4" s="100"/>
      <c r="U4" s="47"/>
      <c r="V4" s="100"/>
      <c r="W4" s="47"/>
      <c r="X4" s="349"/>
      <c r="Y4" s="100"/>
    </row>
    <row r="5" spans="2:25" s="46" customFormat="1">
      <c r="B5" s="350" t="s">
        <v>485</v>
      </c>
      <c r="C5" s="351" t="s">
        <v>486</v>
      </c>
      <c r="D5" s="503">
        <f>(58022/25)/1748.87</f>
        <v>1.3270740535317092</v>
      </c>
      <c r="E5" s="352">
        <f>563-E6</f>
        <v>450.4</v>
      </c>
      <c r="F5" s="352">
        <f>F7-F6</f>
        <v>619.29999999999995</v>
      </c>
      <c r="G5" s="353">
        <f t="shared" ref="G5:L5" si="0">G7-G6</f>
        <v>765.68</v>
      </c>
      <c r="H5" s="352">
        <f t="shared" si="0"/>
        <v>941.3359999999999</v>
      </c>
      <c r="I5" s="353">
        <f t="shared" si="0"/>
        <v>1152.1232</v>
      </c>
      <c r="J5" s="352">
        <f t="shared" si="0"/>
        <v>1405.0678399999999</v>
      </c>
      <c r="K5" s="353">
        <f t="shared" si="0"/>
        <v>1708.6014079999998</v>
      </c>
      <c r="L5" s="352">
        <f t="shared" si="0"/>
        <v>1917.4</v>
      </c>
      <c r="M5" s="354">
        <f>L5</f>
        <v>1917.4</v>
      </c>
      <c r="N5" s="354">
        <f t="shared" ref="N5:Y5" si="1">M5</f>
        <v>1917.4</v>
      </c>
      <c r="O5" s="354">
        <f t="shared" si="1"/>
        <v>1917.4</v>
      </c>
      <c r="P5" s="354">
        <f t="shared" si="1"/>
        <v>1917.4</v>
      </c>
      <c r="Q5" s="354">
        <f t="shared" si="1"/>
        <v>1917.4</v>
      </c>
      <c r="R5" s="354">
        <f t="shared" si="1"/>
        <v>1917.4</v>
      </c>
      <c r="S5" s="354">
        <f t="shared" si="1"/>
        <v>1917.4</v>
      </c>
      <c r="T5" s="354">
        <f t="shared" si="1"/>
        <v>1917.4</v>
      </c>
      <c r="U5" s="354">
        <f t="shared" si="1"/>
        <v>1917.4</v>
      </c>
      <c r="V5" s="354">
        <f t="shared" si="1"/>
        <v>1917.4</v>
      </c>
      <c r="W5" s="354">
        <f t="shared" si="1"/>
        <v>1917.4</v>
      </c>
      <c r="X5" s="354">
        <f t="shared" si="1"/>
        <v>1917.4</v>
      </c>
      <c r="Y5" s="354">
        <f t="shared" si="1"/>
        <v>1917.4</v>
      </c>
    </row>
    <row r="6" spans="2:25" s="46" customFormat="1">
      <c r="B6" s="355" t="s">
        <v>487</v>
      </c>
      <c r="C6" s="356" t="s">
        <v>486</v>
      </c>
      <c r="D6" s="504">
        <f>(D5)</f>
        <v>1.3270740535317092</v>
      </c>
      <c r="E6" s="357">
        <f>563*20%</f>
        <v>112.60000000000001</v>
      </c>
      <c r="F6" s="357">
        <f>E6</f>
        <v>112.60000000000001</v>
      </c>
      <c r="G6" s="358">
        <f t="shared" ref="G6:Y6" si="2">F6</f>
        <v>112.60000000000001</v>
      </c>
      <c r="H6" s="357">
        <f t="shared" si="2"/>
        <v>112.60000000000001</v>
      </c>
      <c r="I6" s="358">
        <f t="shared" si="2"/>
        <v>112.60000000000001</v>
      </c>
      <c r="J6" s="357">
        <f t="shared" si="2"/>
        <v>112.60000000000001</v>
      </c>
      <c r="K6" s="358">
        <f t="shared" si="2"/>
        <v>112.60000000000001</v>
      </c>
      <c r="L6" s="357">
        <f t="shared" si="2"/>
        <v>112.60000000000001</v>
      </c>
      <c r="M6" s="358">
        <f t="shared" si="2"/>
        <v>112.60000000000001</v>
      </c>
      <c r="N6" s="358">
        <f t="shared" si="2"/>
        <v>112.60000000000001</v>
      </c>
      <c r="O6" s="358">
        <f t="shared" si="2"/>
        <v>112.60000000000001</v>
      </c>
      <c r="P6" s="358">
        <f t="shared" si="2"/>
        <v>112.60000000000001</v>
      </c>
      <c r="Q6" s="358">
        <f t="shared" si="2"/>
        <v>112.60000000000001</v>
      </c>
      <c r="R6" s="358">
        <f t="shared" si="2"/>
        <v>112.60000000000001</v>
      </c>
      <c r="S6" s="358">
        <f t="shared" si="2"/>
        <v>112.60000000000001</v>
      </c>
      <c r="T6" s="358">
        <f t="shared" si="2"/>
        <v>112.60000000000001</v>
      </c>
      <c r="U6" s="358">
        <f t="shared" si="2"/>
        <v>112.60000000000001</v>
      </c>
      <c r="V6" s="358">
        <f t="shared" si="2"/>
        <v>112.60000000000001</v>
      </c>
      <c r="W6" s="358">
        <f t="shared" si="2"/>
        <v>112.60000000000001</v>
      </c>
      <c r="X6" s="358">
        <f t="shared" si="2"/>
        <v>112.60000000000001</v>
      </c>
      <c r="Y6" s="358">
        <f t="shared" si="2"/>
        <v>112.60000000000001</v>
      </c>
    </row>
    <row r="7" spans="2:25" s="46" customFormat="1">
      <c r="B7" s="359" t="s">
        <v>543</v>
      </c>
      <c r="C7" s="360"/>
      <c r="D7" s="503">
        <v>0</v>
      </c>
      <c r="E7" s="362">
        <f>SUM(E5:E6)</f>
        <v>563</v>
      </c>
      <c r="F7" s="362">
        <f>E7*130%</f>
        <v>731.9</v>
      </c>
      <c r="G7" s="362">
        <f t="shared" ref="G7:K8" si="3">F7*120%</f>
        <v>878.28</v>
      </c>
      <c r="H7" s="362">
        <f t="shared" si="3"/>
        <v>1053.9359999999999</v>
      </c>
      <c r="I7" s="362">
        <f t="shared" si="3"/>
        <v>1264.7231999999999</v>
      </c>
      <c r="J7" s="362">
        <f t="shared" si="3"/>
        <v>1517.6678399999998</v>
      </c>
      <c r="K7" s="362">
        <f t="shared" si="3"/>
        <v>1821.2014079999997</v>
      </c>
      <c r="L7" s="362">
        <v>2030</v>
      </c>
      <c r="M7" s="362">
        <f t="shared" ref="M7:Y7" si="4">SUM(M5:M6)</f>
        <v>2030</v>
      </c>
      <c r="N7" s="362">
        <f t="shared" si="4"/>
        <v>2030</v>
      </c>
      <c r="O7" s="362">
        <f t="shared" si="4"/>
        <v>2030</v>
      </c>
      <c r="P7" s="362">
        <f t="shared" si="4"/>
        <v>2030</v>
      </c>
      <c r="Q7" s="362">
        <f t="shared" si="4"/>
        <v>2030</v>
      </c>
      <c r="R7" s="362">
        <f t="shared" si="4"/>
        <v>2030</v>
      </c>
      <c r="S7" s="362">
        <f t="shared" si="4"/>
        <v>2030</v>
      </c>
      <c r="T7" s="362">
        <f t="shared" si="4"/>
        <v>2030</v>
      </c>
      <c r="U7" s="362">
        <f t="shared" si="4"/>
        <v>2030</v>
      </c>
      <c r="V7" s="362">
        <f t="shared" si="4"/>
        <v>2030</v>
      </c>
      <c r="W7" s="362">
        <f t="shared" si="4"/>
        <v>2030</v>
      </c>
      <c r="X7" s="362">
        <f t="shared" si="4"/>
        <v>2030</v>
      </c>
      <c r="Y7" s="362">
        <f t="shared" si="4"/>
        <v>2030</v>
      </c>
    </row>
    <row r="8" spans="2:25" s="46" customFormat="1">
      <c r="B8" s="350" t="s">
        <v>488</v>
      </c>
      <c r="C8" s="360" t="s">
        <v>486</v>
      </c>
      <c r="D8" s="503">
        <f>(150000/25)/1748.87</f>
        <v>3.4307867365784768</v>
      </c>
      <c r="E8" s="362">
        <v>0</v>
      </c>
      <c r="F8" s="363">
        <v>100</v>
      </c>
      <c r="G8" s="364">
        <f>F8*120%</f>
        <v>120</v>
      </c>
      <c r="H8" s="364">
        <f t="shared" si="3"/>
        <v>144</v>
      </c>
      <c r="I8" s="364">
        <f t="shared" si="3"/>
        <v>172.79999999999998</v>
      </c>
      <c r="J8" s="364">
        <f t="shared" si="3"/>
        <v>207.35999999999999</v>
      </c>
      <c r="K8" s="364">
        <f t="shared" si="3"/>
        <v>248.83199999999997</v>
      </c>
      <c r="L8" s="364">
        <v>313</v>
      </c>
      <c r="M8" s="364">
        <f>L8</f>
        <v>313</v>
      </c>
      <c r="N8" s="364">
        <f t="shared" ref="N8:Y8" si="5">M8</f>
        <v>313</v>
      </c>
      <c r="O8" s="364">
        <f t="shared" si="5"/>
        <v>313</v>
      </c>
      <c r="P8" s="364">
        <f t="shared" si="5"/>
        <v>313</v>
      </c>
      <c r="Q8" s="364">
        <f t="shared" si="5"/>
        <v>313</v>
      </c>
      <c r="R8" s="364">
        <f t="shared" si="5"/>
        <v>313</v>
      </c>
      <c r="S8" s="364">
        <f t="shared" si="5"/>
        <v>313</v>
      </c>
      <c r="T8" s="364">
        <f t="shared" si="5"/>
        <v>313</v>
      </c>
      <c r="U8" s="364">
        <f t="shared" si="5"/>
        <v>313</v>
      </c>
      <c r="V8" s="364">
        <f t="shared" si="5"/>
        <v>313</v>
      </c>
      <c r="W8" s="364">
        <f t="shared" si="5"/>
        <v>313</v>
      </c>
      <c r="X8" s="364">
        <f t="shared" si="5"/>
        <v>313</v>
      </c>
      <c r="Y8" s="364">
        <f t="shared" si="5"/>
        <v>313</v>
      </c>
    </row>
    <row r="9" spans="2:25" s="46" customFormat="1">
      <c r="B9" s="365"/>
      <c r="C9" s="366"/>
      <c r="D9" s="505">
        <v>0</v>
      </c>
      <c r="E9" s="367"/>
      <c r="F9" s="368"/>
      <c r="G9" s="369"/>
      <c r="H9" s="370"/>
      <c r="I9" s="368"/>
      <c r="J9" s="371"/>
      <c r="K9" s="370"/>
      <c r="L9" s="368"/>
      <c r="M9" s="368"/>
      <c r="N9" s="368"/>
      <c r="O9" s="368"/>
      <c r="P9" s="368"/>
      <c r="Q9" s="368"/>
      <c r="R9" s="368"/>
      <c r="S9" s="368"/>
      <c r="T9" s="368"/>
      <c r="U9" s="368"/>
      <c r="V9" s="368"/>
      <c r="W9" s="368"/>
      <c r="X9" s="368"/>
      <c r="Y9" s="368"/>
    </row>
    <row r="10" spans="2:25" s="46" customFormat="1">
      <c r="B10" s="372" t="s">
        <v>489</v>
      </c>
      <c r="C10" s="341"/>
      <c r="D10" s="506">
        <v>0</v>
      </c>
      <c r="E10" s="352"/>
      <c r="F10" s="373"/>
      <c r="G10" s="362"/>
      <c r="H10" s="374"/>
      <c r="I10" s="375"/>
      <c r="J10" s="376"/>
      <c r="K10" s="377"/>
      <c r="L10" s="378"/>
      <c r="M10" s="379"/>
      <c r="N10" s="377"/>
      <c r="O10" s="362"/>
      <c r="P10" s="380"/>
      <c r="R10" s="380"/>
      <c r="T10" s="380"/>
      <c r="V10" s="380"/>
      <c r="X10" s="194"/>
      <c r="Y10" s="380"/>
    </row>
    <row r="11" spans="2:25" s="46" customFormat="1" hidden="1">
      <c r="B11" s="381" t="s">
        <v>551</v>
      </c>
      <c r="C11" s="382" t="s">
        <v>255</v>
      </c>
      <c r="D11" s="507">
        <v>0</v>
      </c>
      <c r="E11" s="352"/>
      <c r="F11" s="47"/>
      <c r="G11" s="362"/>
      <c r="H11" s="374"/>
      <c r="I11" s="375"/>
      <c r="J11" s="376"/>
      <c r="K11" s="377"/>
      <c r="L11" s="378"/>
      <c r="M11" s="379"/>
      <c r="N11" s="377"/>
      <c r="O11" s="362"/>
      <c r="P11" s="380"/>
      <c r="R11" s="380"/>
      <c r="T11" s="380"/>
      <c r="V11" s="380"/>
      <c r="X11" s="194"/>
      <c r="Y11" s="380"/>
    </row>
    <row r="12" spans="2:25" s="46" customFormat="1">
      <c r="B12" s="383"/>
      <c r="C12" s="384"/>
      <c r="D12" s="508">
        <v>0</v>
      </c>
      <c r="E12" s="385"/>
      <c r="F12" s="386"/>
      <c r="G12" s="387"/>
      <c r="H12" s="388"/>
      <c r="I12" s="389"/>
      <c r="J12" s="390"/>
      <c r="K12" s="391"/>
      <c r="L12" s="392"/>
      <c r="M12" s="393"/>
      <c r="N12" s="391"/>
      <c r="O12" s="387"/>
      <c r="P12" s="156"/>
      <c r="Q12" s="50"/>
      <c r="R12" s="156"/>
      <c r="S12" s="50"/>
      <c r="T12" s="156"/>
      <c r="U12" s="50"/>
      <c r="V12" s="156"/>
      <c r="W12" s="50"/>
      <c r="X12" s="195"/>
      <c r="Y12" s="156"/>
    </row>
    <row r="13" spans="2:25" s="46" customFormat="1">
      <c r="B13" s="394" t="s">
        <v>490</v>
      </c>
      <c r="C13" s="395"/>
      <c r="D13" s="509">
        <v>0</v>
      </c>
      <c r="E13" s="343"/>
      <c r="F13" s="396"/>
      <c r="G13" s="397"/>
      <c r="H13" s="398"/>
      <c r="I13" s="399"/>
      <c r="J13" s="400"/>
      <c r="K13" s="401"/>
      <c r="L13" s="401"/>
      <c r="M13" s="402"/>
      <c r="N13" s="401"/>
      <c r="O13" s="397"/>
      <c r="P13" s="403"/>
      <c r="Q13" s="43"/>
      <c r="R13" s="403"/>
      <c r="S13" s="43"/>
      <c r="T13" s="403"/>
      <c r="U13" s="43"/>
      <c r="V13" s="403"/>
      <c r="W13" s="43"/>
      <c r="X13" s="404"/>
      <c r="Y13" s="403"/>
    </row>
    <row r="14" spans="2:25" s="46" customFormat="1">
      <c r="B14" s="405" t="s">
        <v>491</v>
      </c>
      <c r="C14" s="406" t="s">
        <v>486</v>
      </c>
      <c r="D14" s="510" t="e">
        <f>('[1]Prices &amp; Conversn factors'!C12)/1748.87</f>
        <v>#REF!</v>
      </c>
      <c r="E14" s="362">
        <v>80</v>
      </c>
      <c r="F14" s="362">
        <v>125</v>
      </c>
      <c r="G14" s="362">
        <v>125</v>
      </c>
      <c r="H14" s="362">
        <v>125</v>
      </c>
      <c r="I14" s="362">
        <v>125</v>
      </c>
      <c r="J14" s="362">
        <v>125</v>
      </c>
      <c r="K14" s="362">
        <v>125</v>
      </c>
      <c r="L14" s="362">
        <v>125</v>
      </c>
      <c r="M14" s="362">
        <v>125</v>
      </c>
      <c r="N14" s="362">
        <v>125</v>
      </c>
      <c r="O14" s="362">
        <v>125</v>
      </c>
      <c r="P14" s="362">
        <v>125</v>
      </c>
      <c r="Q14" s="362">
        <v>125</v>
      </c>
      <c r="R14" s="362">
        <v>125</v>
      </c>
      <c r="S14" s="362">
        <v>125</v>
      </c>
      <c r="T14" s="362">
        <v>125</v>
      </c>
      <c r="U14" s="362">
        <v>125</v>
      </c>
      <c r="V14" s="362">
        <v>125</v>
      </c>
      <c r="W14" s="362">
        <v>125</v>
      </c>
      <c r="X14" s="362">
        <v>125</v>
      </c>
      <c r="Y14" s="362">
        <v>125</v>
      </c>
    </row>
    <row r="15" spans="2:25" s="46" customFormat="1">
      <c r="B15" s="407" t="s">
        <v>492</v>
      </c>
      <c r="C15" s="408" t="s">
        <v>486</v>
      </c>
      <c r="D15" s="511">
        <v>2.0584720419470859</v>
      </c>
      <c r="E15" s="387"/>
      <c r="F15" s="387"/>
      <c r="G15" s="387">
        <f>F15</f>
        <v>0</v>
      </c>
      <c r="H15" s="387">
        <f t="shared" ref="H15:Y15" si="6">G15</f>
        <v>0</v>
      </c>
      <c r="I15" s="387">
        <f t="shared" si="6"/>
        <v>0</v>
      </c>
      <c r="J15" s="387">
        <f t="shared" si="6"/>
        <v>0</v>
      </c>
      <c r="K15" s="387">
        <f t="shared" si="6"/>
        <v>0</v>
      </c>
      <c r="L15" s="387">
        <f t="shared" si="6"/>
        <v>0</v>
      </c>
      <c r="M15" s="387">
        <f t="shared" si="6"/>
        <v>0</v>
      </c>
      <c r="N15" s="387">
        <f t="shared" si="6"/>
        <v>0</v>
      </c>
      <c r="O15" s="387">
        <f t="shared" si="6"/>
        <v>0</v>
      </c>
      <c r="P15" s="387">
        <f t="shared" si="6"/>
        <v>0</v>
      </c>
      <c r="Q15" s="387">
        <f t="shared" si="6"/>
        <v>0</v>
      </c>
      <c r="R15" s="387">
        <f t="shared" si="6"/>
        <v>0</v>
      </c>
      <c r="S15" s="387">
        <f t="shared" si="6"/>
        <v>0</v>
      </c>
      <c r="T15" s="387">
        <f t="shared" si="6"/>
        <v>0</v>
      </c>
      <c r="U15" s="387">
        <f t="shared" si="6"/>
        <v>0</v>
      </c>
      <c r="V15" s="387">
        <f t="shared" si="6"/>
        <v>0</v>
      </c>
      <c r="W15" s="387">
        <f t="shared" si="6"/>
        <v>0</v>
      </c>
      <c r="X15" s="387">
        <f t="shared" si="6"/>
        <v>0</v>
      </c>
      <c r="Y15" s="387">
        <f t="shared" si="6"/>
        <v>0</v>
      </c>
    </row>
    <row r="16" spans="2:25" s="46" customFormat="1">
      <c r="B16" s="394" t="s">
        <v>493</v>
      </c>
      <c r="C16" s="409"/>
      <c r="D16" s="512">
        <v>0</v>
      </c>
      <c r="E16" s="344"/>
      <c r="F16" s="396"/>
      <c r="G16" s="397"/>
      <c r="H16" s="399"/>
      <c r="I16" s="399"/>
      <c r="J16" s="399"/>
      <c r="K16" s="399"/>
      <c r="L16" s="399"/>
      <c r="M16" s="399"/>
      <c r="N16" s="399"/>
      <c r="O16" s="397"/>
      <c r="P16" s="397"/>
      <c r="Q16" s="399"/>
      <c r="R16" s="397"/>
      <c r="S16" s="399"/>
      <c r="T16" s="397"/>
      <c r="U16" s="399"/>
      <c r="V16" s="397"/>
      <c r="W16" s="399"/>
      <c r="X16" s="410"/>
      <c r="Y16" s="397"/>
    </row>
    <row r="17" spans="2:25" s="46" customFormat="1">
      <c r="B17" s="405" t="s">
        <v>494</v>
      </c>
      <c r="C17" s="406" t="s">
        <v>486</v>
      </c>
      <c r="D17" s="513">
        <f>(D6)</f>
        <v>1.3270740535317092</v>
      </c>
      <c r="E17" s="352">
        <f>5%*E7</f>
        <v>28.150000000000002</v>
      </c>
      <c r="F17" s="352">
        <f t="shared" ref="F17:Y17" si="7">5%*F7</f>
        <v>36.594999999999999</v>
      </c>
      <c r="G17" s="352">
        <f t="shared" si="7"/>
        <v>43.914000000000001</v>
      </c>
      <c r="H17" s="352">
        <f t="shared" si="7"/>
        <v>52.696799999999996</v>
      </c>
      <c r="I17" s="352">
        <f t="shared" si="7"/>
        <v>63.236159999999998</v>
      </c>
      <c r="J17" s="352">
        <f t="shared" si="7"/>
        <v>75.883392000000001</v>
      </c>
      <c r="K17" s="352">
        <f t="shared" si="7"/>
        <v>91.060070399999987</v>
      </c>
      <c r="L17" s="352">
        <f t="shared" si="7"/>
        <v>101.5</v>
      </c>
      <c r="M17" s="352">
        <f t="shared" si="7"/>
        <v>101.5</v>
      </c>
      <c r="N17" s="352">
        <f t="shared" si="7"/>
        <v>101.5</v>
      </c>
      <c r="O17" s="352">
        <f t="shared" si="7"/>
        <v>101.5</v>
      </c>
      <c r="P17" s="352">
        <f t="shared" si="7"/>
        <v>101.5</v>
      </c>
      <c r="Q17" s="352">
        <f t="shared" si="7"/>
        <v>101.5</v>
      </c>
      <c r="R17" s="352">
        <f t="shared" si="7"/>
        <v>101.5</v>
      </c>
      <c r="S17" s="352">
        <f t="shared" si="7"/>
        <v>101.5</v>
      </c>
      <c r="T17" s="352">
        <f t="shared" si="7"/>
        <v>101.5</v>
      </c>
      <c r="U17" s="352">
        <f t="shared" si="7"/>
        <v>101.5</v>
      </c>
      <c r="V17" s="352">
        <f t="shared" si="7"/>
        <v>101.5</v>
      </c>
      <c r="W17" s="352">
        <f t="shared" si="7"/>
        <v>101.5</v>
      </c>
      <c r="X17" s="352">
        <f t="shared" si="7"/>
        <v>101.5</v>
      </c>
      <c r="Y17" s="352">
        <f t="shared" si="7"/>
        <v>101.5</v>
      </c>
    </row>
    <row r="18" spans="2:25" s="46" customFormat="1">
      <c r="B18" s="411" t="s">
        <v>440</v>
      </c>
      <c r="C18" s="412"/>
      <c r="D18" s="413"/>
      <c r="E18" s="414"/>
      <c r="F18" s="415"/>
      <c r="G18" s="416"/>
      <c r="H18" s="417"/>
      <c r="I18" s="417"/>
      <c r="J18" s="417"/>
      <c r="K18" s="417"/>
      <c r="L18" s="417"/>
      <c r="M18" s="417"/>
      <c r="N18" s="417"/>
      <c r="O18" s="416"/>
      <c r="P18" s="416"/>
      <c r="Q18" s="417"/>
      <c r="R18" s="416"/>
      <c r="S18" s="417"/>
      <c r="T18" s="416"/>
      <c r="U18" s="417"/>
      <c r="V18" s="416"/>
      <c r="W18" s="417"/>
      <c r="X18" s="418"/>
      <c r="Y18" s="416"/>
    </row>
    <row r="19" spans="2:25" s="46" customFormat="1">
      <c r="B19" s="419" t="s">
        <v>495</v>
      </c>
      <c r="C19" s="419" t="s">
        <v>496</v>
      </c>
      <c r="D19" s="420"/>
      <c r="E19" s="420">
        <v>5</v>
      </c>
      <c r="F19" s="420" t="e">
        <f>('[1]Rice crop budget'!$E$5)*2.5</f>
        <v>#REF!</v>
      </c>
      <c r="G19" s="420">
        <v>10</v>
      </c>
      <c r="H19" s="420">
        <f t="shared" ref="H19:W19" si="8">G19</f>
        <v>10</v>
      </c>
      <c r="I19" s="420">
        <f t="shared" si="8"/>
        <v>10</v>
      </c>
      <c r="J19" s="420">
        <f t="shared" si="8"/>
        <v>10</v>
      </c>
      <c r="K19" s="420">
        <f t="shared" si="8"/>
        <v>10</v>
      </c>
      <c r="L19" s="420">
        <f t="shared" si="8"/>
        <v>10</v>
      </c>
      <c r="M19" s="420">
        <f t="shared" si="8"/>
        <v>10</v>
      </c>
      <c r="N19" s="420">
        <f t="shared" si="8"/>
        <v>10</v>
      </c>
      <c r="O19" s="420">
        <f t="shared" si="8"/>
        <v>10</v>
      </c>
      <c r="P19" s="420">
        <f t="shared" si="8"/>
        <v>10</v>
      </c>
      <c r="Q19" s="420">
        <f t="shared" si="8"/>
        <v>10</v>
      </c>
      <c r="R19" s="420">
        <f t="shared" si="8"/>
        <v>10</v>
      </c>
      <c r="S19" s="420">
        <f t="shared" si="8"/>
        <v>10</v>
      </c>
      <c r="T19" s="420">
        <f t="shared" si="8"/>
        <v>10</v>
      </c>
      <c r="U19" s="420">
        <f t="shared" si="8"/>
        <v>10</v>
      </c>
      <c r="V19" s="420">
        <f t="shared" si="8"/>
        <v>10</v>
      </c>
      <c r="W19" s="420">
        <f t="shared" si="8"/>
        <v>10</v>
      </c>
      <c r="X19" s="420">
        <f t="shared" ref="W19:Y31" si="9">W19</f>
        <v>10</v>
      </c>
      <c r="Y19" s="420">
        <f t="shared" si="9"/>
        <v>10</v>
      </c>
    </row>
    <row r="20" spans="2:25" s="46" customFormat="1">
      <c r="B20" s="419" t="s">
        <v>497</v>
      </c>
      <c r="C20" s="419" t="s">
        <v>496</v>
      </c>
      <c r="D20" s="420"/>
      <c r="E20" s="420"/>
      <c r="F20" s="420" t="e">
        <f>('[1]Rice crop budget'!$E$6)*2.5</f>
        <v>#REF!</v>
      </c>
      <c r="G20" s="420" t="e">
        <f t="shared" ref="G20:V31" si="10">F20</f>
        <v>#REF!</v>
      </c>
      <c r="H20" s="420" t="e">
        <f t="shared" si="10"/>
        <v>#REF!</v>
      </c>
      <c r="I20" s="420" t="e">
        <f t="shared" si="10"/>
        <v>#REF!</v>
      </c>
      <c r="J20" s="420" t="e">
        <f t="shared" si="10"/>
        <v>#REF!</v>
      </c>
      <c r="K20" s="420" t="e">
        <f t="shared" si="10"/>
        <v>#REF!</v>
      </c>
      <c r="L20" s="420" t="e">
        <f t="shared" si="10"/>
        <v>#REF!</v>
      </c>
      <c r="M20" s="420" t="e">
        <f t="shared" si="10"/>
        <v>#REF!</v>
      </c>
      <c r="N20" s="420" t="e">
        <f t="shared" si="10"/>
        <v>#REF!</v>
      </c>
      <c r="O20" s="420" t="e">
        <f t="shared" si="10"/>
        <v>#REF!</v>
      </c>
      <c r="P20" s="420" t="e">
        <f t="shared" si="10"/>
        <v>#REF!</v>
      </c>
      <c r="Q20" s="420" t="e">
        <f t="shared" si="10"/>
        <v>#REF!</v>
      </c>
      <c r="R20" s="420" t="e">
        <f t="shared" si="10"/>
        <v>#REF!</v>
      </c>
      <c r="S20" s="420" t="e">
        <f t="shared" si="10"/>
        <v>#REF!</v>
      </c>
      <c r="T20" s="420" t="e">
        <f t="shared" si="10"/>
        <v>#REF!</v>
      </c>
      <c r="U20" s="420" t="e">
        <f t="shared" si="10"/>
        <v>#REF!</v>
      </c>
      <c r="V20" s="420" t="e">
        <f t="shared" si="10"/>
        <v>#REF!</v>
      </c>
      <c r="W20" s="420" t="e">
        <f t="shared" si="9"/>
        <v>#REF!</v>
      </c>
      <c r="X20" s="420" t="e">
        <f t="shared" si="9"/>
        <v>#REF!</v>
      </c>
      <c r="Y20" s="420" t="e">
        <f t="shared" si="9"/>
        <v>#REF!</v>
      </c>
    </row>
    <row r="21" spans="2:25" s="46" customFormat="1">
      <c r="B21" s="419" t="s">
        <v>498</v>
      </c>
      <c r="C21" s="419" t="s">
        <v>496</v>
      </c>
      <c r="D21" s="420"/>
      <c r="E21" s="420"/>
      <c r="F21" s="420" t="e">
        <f>('[1]Rice crop budget'!$E$7)*2.5</f>
        <v>#REF!</v>
      </c>
      <c r="G21" s="420">
        <v>0</v>
      </c>
      <c r="H21" s="420">
        <f t="shared" si="10"/>
        <v>0</v>
      </c>
      <c r="I21" s="420">
        <f t="shared" si="10"/>
        <v>0</v>
      </c>
      <c r="J21" s="420">
        <f t="shared" si="10"/>
        <v>0</v>
      </c>
      <c r="K21" s="420">
        <f t="shared" si="10"/>
        <v>0</v>
      </c>
      <c r="L21" s="420">
        <f t="shared" si="10"/>
        <v>0</v>
      </c>
      <c r="M21" s="420">
        <f t="shared" si="10"/>
        <v>0</v>
      </c>
      <c r="N21" s="420">
        <f t="shared" si="10"/>
        <v>0</v>
      </c>
      <c r="O21" s="420">
        <f t="shared" si="10"/>
        <v>0</v>
      </c>
      <c r="P21" s="420">
        <f t="shared" si="10"/>
        <v>0</v>
      </c>
      <c r="Q21" s="420">
        <f t="shared" si="10"/>
        <v>0</v>
      </c>
      <c r="R21" s="420">
        <f t="shared" si="10"/>
        <v>0</v>
      </c>
      <c r="S21" s="420">
        <f t="shared" si="10"/>
        <v>0</v>
      </c>
      <c r="T21" s="420">
        <f t="shared" si="10"/>
        <v>0</v>
      </c>
      <c r="U21" s="420">
        <f t="shared" si="10"/>
        <v>0</v>
      </c>
      <c r="V21" s="420">
        <f t="shared" si="10"/>
        <v>0</v>
      </c>
      <c r="W21" s="420">
        <f t="shared" si="9"/>
        <v>0</v>
      </c>
      <c r="X21" s="420">
        <f t="shared" si="9"/>
        <v>0</v>
      </c>
      <c r="Y21" s="420">
        <f t="shared" si="9"/>
        <v>0</v>
      </c>
    </row>
    <row r="22" spans="2:25" s="46" customFormat="1">
      <c r="B22" s="419" t="s">
        <v>499</v>
      </c>
      <c r="C22" s="419" t="s">
        <v>496</v>
      </c>
      <c r="D22" s="420"/>
      <c r="E22" s="420"/>
      <c r="F22" s="420" t="e">
        <f>('[1]Rice crop budget'!$E$8)*2.5</f>
        <v>#REF!</v>
      </c>
      <c r="G22" s="420">
        <v>10</v>
      </c>
      <c r="H22" s="420">
        <f t="shared" si="10"/>
        <v>10</v>
      </c>
      <c r="I22" s="420">
        <f t="shared" si="10"/>
        <v>10</v>
      </c>
      <c r="J22" s="420">
        <f t="shared" si="10"/>
        <v>10</v>
      </c>
      <c r="K22" s="420">
        <f t="shared" si="10"/>
        <v>10</v>
      </c>
      <c r="L22" s="420">
        <f t="shared" si="10"/>
        <v>10</v>
      </c>
      <c r="M22" s="420">
        <f t="shared" si="10"/>
        <v>10</v>
      </c>
      <c r="N22" s="420">
        <f t="shared" si="10"/>
        <v>10</v>
      </c>
      <c r="O22" s="420">
        <f t="shared" si="10"/>
        <v>10</v>
      </c>
      <c r="P22" s="420">
        <f t="shared" si="10"/>
        <v>10</v>
      </c>
      <c r="Q22" s="420">
        <f t="shared" si="10"/>
        <v>10</v>
      </c>
      <c r="R22" s="420">
        <f t="shared" si="10"/>
        <v>10</v>
      </c>
      <c r="S22" s="420">
        <f t="shared" si="10"/>
        <v>10</v>
      </c>
      <c r="T22" s="420">
        <f t="shared" si="10"/>
        <v>10</v>
      </c>
      <c r="U22" s="420">
        <f t="shared" si="10"/>
        <v>10</v>
      </c>
      <c r="V22" s="420">
        <f t="shared" si="10"/>
        <v>10</v>
      </c>
      <c r="W22" s="420">
        <f t="shared" si="9"/>
        <v>10</v>
      </c>
      <c r="X22" s="420">
        <f t="shared" si="9"/>
        <v>10</v>
      </c>
      <c r="Y22" s="420">
        <f t="shared" si="9"/>
        <v>10</v>
      </c>
    </row>
    <row r="23" spans="2:25" s="46" customFormat="1">
      <c r="B23" s="419" t="s">
        <v>500</v>
      </c>
      <c r="C23" s="419" t="s">
        <v>496</v>
      </c>
      <c r="D23" s="420"/>
      <c r="E23" s="420"/>
      <c r="F23" s="420" t="e">
        <f>('[1]Rice crop budget'!$E$9)*2.5</f>
        <v>#REF!</v>
      </c>
      <c r="G23" s="420">
        <v>10</v>
      </c>
      <c r="H23" s="420">
        <f t="shared" si="10"/>
        <v>10</v>
      </c>
      <c r="I23" s="420">
        <f t="shared" si="10"/>
        <v>10</v>
      </c>
      <c r="J23" s="420">
        <f t="shared" si="10"/>
        <v>10</v>
      </c>
      <c r="K23" s="420">
        <f t="shared" si="10"/>
        <v>10</v>
      </c>
      <c r="L23" s="420">
        <f t="shared" si="10"/>
        <v>10</v>
      </c>
      <c r="M23" s="420">
        <f t="shared" si="10"/>
        <v>10</v>
      </c>
      <c r="N23" s="420">
        <f t="shared" si="10"/>
        <v>10</v>
      </c>
      <c r="O23" s="420">
        <f t="shared" si="10"/>
        <v>10</v>
      </c>
      <c r="P23" s="420">
        <f t="shared" si="10"/>
        <v>10</v>
      </c>
      <c r="Q23" s="420">
        <f t="shared" si="10"/>
        <v>10</v>
      </c>
      <c r="R23" s="420">
        <f t="shared" si="10"/>
        <v>10</v>
      </c>
      <c r="S23" s="420">
        <f t="shared" si="10"/>
        <v>10</v>
      </c>
      <c r="T23" s="420">
        <f t="shared" si="10"/>
        <v>10</v>
      </c>
      <c r="U23" s="420">
        <f t="shared" si="10"/>
        <v>10</v>
      </c>
      <c r="V23" s="420">
        <f t="shared" si="10"/>
        <v>10</v>
      </c>
      <c r="W23" s="420">
        <f t="shared" si="9"/>
        <v>10</v>
      </c>
      <c r="X23" s="420">
        <f t="shared" si="9"/>
        <v>10</v>
      </c>
      <c r="Y23" s="420">
        <f t="shared" si="9"/>
        <v>10</v>
      </c>
    </row>
    <row r="24" spans="2:25" s="46" customFormat="1">
      <c r="B24" s="419" t="s">
        <v>516</v>
      </c>
      <c r="C24" s="419" t="s">
        <v>496</v>
      </c>
      <c r="D24" s="420"/>
      <c r="E24" s="420"/>
      <c r="F24" s="420"/>
      <c r="G24" s="420">
        <f t="shared" si="10"/>
        <v>0</v>
      </c>
      <c r="H24" s="420">
        <f t="shared" si="10"/>
        <v>0</v>
      </c>
      <c r="I24" s="420">
        <f t="shared" si="10"/>
        <v>0</v>
      </c>
      <c r="J24" s="420">
        <f t="shared" si="10"/>
        <v>0</v>
      </c>
      <c r="K24" s="420">
        <f t="shared" si="10"/>
        <v>0</v>
      </c>
      <c r="L24" s="420">
        <f t="shared" si="10"/>
        <v>0</v>
      </c>
      <c r="M24" s="420">
        <f t="shared" si="10"/>
        <v>0</v>
      </c>
      <c r="N24" s="420">
        <f t="shared" si="10"/>
        <v>0</v>
      </c>
      <c r="O24" s="420">
        <f t="shared" si="10"/>
        <v>0</v>
      </c>
      <c r="P24" s="420">
        <f t="shared" si="10"/>
        <v>0</v>
      </c>
      <c r="Q24" s="420">
        <f t="shared" si="10"/>
        <v>0</v>
      </c>
      <c r="R24" s="420">
        <f t="shared" si="10"/>
        <v>0</v>
      </c>
      <c r="S24" s="420">
        <f t="shared" si="10"/>
        <v>0</v>
      </c>
      <c r="T24" s="420">
        <f t="shared" si="10"/>
        <v>0</v>
      </c>
      <c r="U24" s="420">
        <f t="shared" si="10"/>
        <v>0</v>
      </c>
      <c r="V24" s="420">
        <f t="shared" si="10"/>
        <v>0</v>
      </c>
      <c r="W24" s="420">
        <f t="shared" si="9"/>
        <v>0</v>
      </c>
      <c r="X24" s="420">
        <f t="shared" si="9"/>
        <v>0</v>
      </c>
      <c r="Y24" s="420">
        <f t="shared" si="9"/>
        <v>0</v>
      </c>
    </row>
    <row r="25" spans="2:25" s="46" customFormat="1">
      <c r="B25" s="419" t="s">
        <v>501</v>
      </c>
      <c r="C25" s="419" t="s">
        <v>496</v>
      </c>
      <c r="D25" s="420"/>
      <c r="E25" s="420"/>
      <c r="F25" s="420" t="e">
        <f>('[1]Rice crop budget'!$E$11)*2.5</f>
        <v>#REF!</v>
      </c>
      <c r="G25" s="420" t="e">
        <f t="shared" si="10"/>
        <v>#REF!</v>
      </c>
      <c r="H25" s="420" t="e">
        <f t="shared" si="10"/>
        <v>#REF!</v>
      </c>
      <c r="I25" s="420" t="e">
        <f t="shared" si="10"/>
        <v>#REF!</v>
      </c>
      <c r="J25" s="420" t="e">
        <f t="shared" si="10"/>
        <v>#REF!</v>
      </c>
      <c r="K25" s="420" t="e">
        <f t="shared" si="10"/>
        <v>#REF!</v>
      </c>
      <c r="L25" s="420" t="e">
        <f t="shared" si="10"/>
        <v>#REF!</v>
      </c>
      <c r="M25" s="420" t="e">
        <f t="shared" si="10"/>
        <v>#REF!</v>
      </c>
      <c r="N25" s="420" t="e">
        <f t="shared" si="10"/>
        <v>#REF!</v>
      </c>
      <c r="O25" s="420" t="e">
        <f t="shared" si="10"/>
        <v>#REF!</v>
      </c>
      <c r="P25" s="420" t="e">
        <f t="shared" si="10"/>
        <v>#REF!</v>
      </c>
      <c r="Q25" s="420" t="e">
        <f t="shared" si="10"/>
        <v>#REF!</v>
      </c>
      <c r="R25" s="420" t="e">
        <f t="shared" si="10"/>
        <v>#REF!</v>
      </c>
      <c r="S25" s="420" t="e">
        <f t="shared" si="10"/>
        <v>#REF!</v>
      </c>
      <c r="T25" s="420" t="e">
        <f t="shared" si="10"/>
        <v>#REF!</v>
      </c>
      <c r="U25" s="420" t="e">
        <f t="shared" si="10"/>
        <v>#REF!</v>
      </c>
      <c r="V25" s="420" t="e">
        <f t="shared" si="10"/>
        <v>#REF!</v>
      </c>
      <c r="W25" s="420" t="e">
        <f t="shared" si="9"/>
        <v>#REF!</v>
      </c>
      <c r="X25" s="420" t="e">
        <f t="shared" si="9"/>
        <v>#REF!</v>
      </c>
      <c r="Y25" s="420" t="e">
        <f t="shared" si="9"/>
        <v>#REF!</v>
      </c>
    </row>
    <row r="26" spans="2:25" s="46" customFormat="1">
      <c r="B26" s="419" t="s">
        <v>502</v>
      </c>
      <c r="C26" s="419" t="s">
        <v>496</v>
      </c>
      <c r="D26" s="420"/>
      <c r="E26" s="420">
        <v>5</v>
      </c>
      <c r="F26" s="420" t="e">
        <f>('[1]Rice crop budget'!$E$12)*2.5</f>
        <v>#REF!</v>
      </c>
      <c r="G26" s="420">
        <v>10</v>
      </c>
      <c r="H26" s="420">
        <f t="shared" si="10"/>
        <v>10</v>
      </c>
      <c r="I26" s="420">
        <f t="shared" si="10"/>
        <v>10</v>
      </c>
      <c r="J26" s="420">
        <f t="shared" si="10"/>
        <v>10</v>
      </c>
      <c r="K26" s="420">
        <f t="shared" si="10"/>
        <v>10</v>
      </c>
      <c r="L26" s="420">
        <f t="shared" si="10"/>
        <v>10</v>
      </c>
      <c r="M26" s="420">
        <f t="shared" si="10"/>
        <v>10</v>
      </c>
      <c r="N26" s="420">
        <f t="shared" si="10"/>
        <v>10</v>
      </c>
      <c r="O26" s="420">
        <f t="shared" si="10"/>
        <v>10</v>
      </c>
      <c r="P26" s="420">
        <f t="shared" si="10"/>
        <v>10</v>
      </c>
      <c r="Q26" s="420">
        <f t="shared" si="10"/>
        <v>10</v>
      </c>
      <c r="R26" s="420">
        <f t="shared" si="10"/>
        <v>10</v>
      </c>
      <c r="S26" s="420">
        <f t="shared" si="10"/>
        <v>10</v>
      </c>
      <c r="T26" s="420">
        <f t="shared" si="10"/>
        <v>10</v>
      </c>
      <c r="U26" s="420">
        <f t="shared" si="10"/>
        <v>10</v>
      </c>
      <c r="V26" s="420">
        <f t="shared" si="10"/>
        <v>10</v>
      </c>
      <c r="W26" s="420">
        <f t="shared" si="9"/>
        <v>10</v>
      </c>
      <c r="X26" s="420">
        <f t="shared" si="9"/>
        <v>10</v>
      </c>
      <c r="Y26" s="420">
        <f t="shared" si="9"/>
        <v>10</v>
      </c>
    </row>
    <row r="27" spans="2:25" s="46" customFormat="1">
      <c r="B27" s="419" t="s">
        <v>503</v>
      </c>
      <c r="C27" s="419" t="s">
        <v>496</v>
      </c>
      <c r="D27" s="420"/>
      <c r="E27" s="420"/>
      <c r="F27" s="420" t="e">
        <f>('[1]Rice crop budget'!$E$13)*2.5</f>
        <v>#REF!</v>
      </c>
      <c r="G27" s="420" t="e">
        <f t="shared" si="10"/>
        <v>#REF!</v>
      </c>
      <c r="H27" s="420" t="e">
        <f t="shared" si="10"/>
        <v>#REF!</v>
      </c>
      <c r="I27" s="420" t="e">
        <f t="shared" si="10"/>
        <v>#REF!</v>
      </c>
      <c r="J27" s="420" t="e">
        <f t="shared" si="10"/>
        <v>#REF!</v>
      </c>
      <c r="K27" s="420" t="e">
        <f t="shared" si="10"/>
        <v>#REF!</v>
      </c>
      <c r="L27" s="420" t="e">
        <f t="shared" si="10"/>
        <v>#REF!</v>
      </c>
      <c r="M27" s="420" t="e">
        <f t="shared" si="10"/>
        <v>#REF!</v>
      </c>
      <c r="N27" s="420" t="e">
        <f t="shared" si="10"/>
        <v>#REF!</v>
      </c>
      <c r="O27" s="420" t="e">
        <f t="shared" si="10"/>
        <v>#REF!</v>
      </c>
      <c r="P27" s="420" t="e">
        <f t="shared" si="10"/>
        <v>#REF!</v>
      </c>
      <c r="Q27" s="420" t="e">
        <f t="shared" si="10"/>
        <v>#REF!</v>
      </c>
      <c r="R27" s="420" t="e">
        <f t="shared" si="10"/>
        <v>#REF!</v>
      </c>
      <c r="S27" s="420" t="e">
        <f t="shared" si="10"/>
        <v>#REF!</v>
      </c>
      <c r="T27" s="420" t="e">
        <f t="shared" si="10"/>
        <v>#REF!</v>
      </c>
      <c r="U27" s="420" t="e">
        <f t="shared" si="10"/>
        <v>#REF!</v>
      </c>
      <c r="V27" s="420" t="e">
        <f t="shared" si="10"/>
        <v>#REF!</v>
      </c>
      <c r="W27" s="420" t="e">
        <f t="shared" si="9"/>
        <v>#REF!</v>
      </c>
      <c r="X27" s="420" t="e">
        <f t="shared" si="9"/>
        <v>#REF!</v>
      </c>
      <c r="Y27" s="420" t="e">
        <f t="shared" si="9"/>
        <v>#REF!</v>
      </c>
    </row>
    <row r="28" spans="2:25" s="46" customFormat="1">
      <c r="B28" s="419" t="s">
        <v>517</v>
      </c>
      <c r="C28" s="419" t="s">
        <v>496</v>
      </c>
      <c r="D28" s="420"/>
      <c r="E28" s="420"/>
      <c r="F28" s="420"/>
      <c r="G28" s="420">
        <f t="shared" si="10"/>
        <v>0</v>
      </c>
      <c r="H28" s="420">
        <f t="shared" si="10"/>
        <v>0</v>
      </c>
      <c r="I28" s="420">
        <f t="shared" si="10"/>
        <v>0</v>
      </c>
      <c r="J28" s="420">
        <f t="shared" si="10"/>
        <v>0</v>
      </c>
      <c r="K28" s="420">
        <f t="shared" si="10"/>
        <v>0</v>
      </c>
      <c r="L28" s="420">
        <f t="shared" si="10"/>
        <v>0</v>
      </c>
      <c r="M28" s="420">
        <f t="shared" si="10"/>
        <v>0</v>
      </c>
      <c r="N28" s="420">
        <f t="shared" si="10"/>
        <v>0</v>
      </c>
      <c r="O28" s="420">
        <f t="shared" si="10"/>
        <v>0</v>
      </c>
      <c r="P28" s="420">
        <f t="shared" si="10"/>
        <v>0</v>
      </c>
      <c r="Q28" s="420">
        <f t="shared" si="10"/>
        <v>0</v>
      </c>
      <c r="R28" s="420">
        <f t="shared" si="10"/>
        <v>0</v>
      </c>
      <c r="S28" s="420">
        <f t="shared" si="10"/>
        <v>0</v>
      </c>
      <c r="T28" s="420">
        <f t="shared" si="10"/>
        <v>0</v>
      </c>
      <c r="U28" s="420">
        <f t="shared" si="10"/>
        <v>0</v>
      </c>
      <c r="V28" s="420">
        <f t="shared" si="10"/>
        <v>0</v>
      </c>
      <c r="W28" s="420">
        <f t="shared" si="9"/>
        <v>0</v>
      </c>
      <c r="X28" s="420">
        <f t="shared" si="9"/>
        <v>0</v>
      </c>
      <c r="Y28" s="420">
        <f t="shared" si="9"/>
        <v>0</v>
      </c>
    </row>
    <row r="29" spans="2:25" s="46" customFormat="1">
      <c r="B29" s="419" t="s">
        <v>504</v>
      </c>
      <c r="C29" s="419" t="s">
        <v>496</v>
      </c>
      <c r="D29" s="420"/>
      <c r="E29" s="420" t="e">
        <f>('[1]Rice crop budget'!$E$15)*2.5</f>
        <v>#REF!</v>
      </c>
      <c r="F29" s="420" t="e">
        <f>('[1]Rice crop budget'!$E$15)*2.5</f>
        <v>#REF!</v>
      </c>
      <c r="G29" s="420" t="e">
        <f t="shared" si="10"/>
        <v>#REF!</v>
      </c>
      <c r="H29" s="420" t="e">
        <f t="shared" si="10"/>
        <v>#REF!</v>
      </c>
      <c r="I29" s="420" t="e">
        <f t="shared" si="10"/>
        <v>#REF!</v>
      </c>
      <c r="J29" s="420" t="e">
        <f t="shared" si="10"/>
        <v>#REF!</v>
      </c>
      <c r="K29" s="420" t="e">
        <f t="shared" si="10"/>
        <v>#REF!</v>
      </c>
      <c r="L29" s="420" t="e">
        <f t="shared" si="10"/>
        <v>#REF!</v>
      </c>
      <c r="M29" s="420" t="e">
        <f t="shared" si="10"/>
        <v>#REF!</v>
      </c>
      <c r="N29" s="420" t="e">
        <f t="shared" si="10"/>
        <v>#REF!</v>
      </c>
      <c r="O29" s="420" t="e">
        <f t="shared" si="10"/>
        <v>#REF!</v>
      </c>
      <c r="P29" s="420" t="e">
        <f t="shared" si="10"/>
        <v>#REF!</v>
      </c>
      <c r="Q29" s="420" t="e">
        <f t="shared" si="10"/>
        <v>#REF!</v>
      </c>
      <c r="R29" s="420" t="e">
        <f t="shared" si="10"/>
        <v>#REF!</v>
      </c>
      <c r="S29" s="420" t="e">
        <f t="shared" si="10"/>
        <v>#REF!</v>
      </c>
      <c r="T29" s="420" t="e">
        <f t="shared" si="10"/>
        <v>#REF!</v>
      </c>
      <c r="U29" s="420" t="e">
        <f t="shared" si="10"/>
        <v>#REF!</v>
      </c>
      <c r="V29" s="420" t="e">
        <f t="shared" si="10"/>
        <v>#REF!</v>
      </c>
      <c r="W29" s="420" t="e">
        <f t="shared" si="9"/>
        <v>#REF!</v>
      </c>
      <c r="X29" s="420" t="e">
        <f t="shared" si="9"/>
        <v>#REF!</v>
      </c>
      <c r="Y29" s="420" t="e">
        <f t="shared" si="9"/>
        <v>#REF!</v>
      </c>
    </row>
    <row r="30" spans="2:25" s="46" customFormat="1">
      <c r="B30" s="419" t="s">
        <v>505</v>
      </c>
      <c r="C30" s="419" t="s">
        <v>496</v>
      </c>
      <c r="D30" s="420"/>
      <c r="E30" s="420">
        <v>5</v>
      </c>
      <c r="F30" s="420" t="e">
        <f>('[1]Rice crop budget'!$E$16)*2.5</f>
        <v>#REF!</v>
      </c>
      <c r="G30" s="420">
        <v>10</v>
      </c>
      <c r="H30" s="420">
        <f t="shared" si="10"/>
        <v>10</v>
      </c>
      <c r="I30" s="420">
        <f t="shared" si="10"/>
        <v>10</v>
      </c>
      <c r="J30" s="420">
        <f t="shared" si="10"/>
        <v>10</v>
      </c>
      <c r="K30" s="420">
        <f t="shared" si="10"/>
        <v>10</v>
      </c>
      <c r="L30" s="420">
        <f t="shared" si="10"/>
        <v>10</v>
      </c>
      <c r="M30" s="420">
        <f t="shared" si="10"/>
        <v>10</v>
      </c>
      <c r="N30" s="420">
        <f t="shared" si="10"/>
        <v>10</v>
      </c>
      <c r="O30" s="420">
        <f t="shared" si="10"/>
        <v>10</v>
      </c>
      <c r="P30" s="420">
        <f t="shared" si="10"/>
        <v>10</v>
      </c>
      <c r="Q30" s="420">
        <f t="shared" si="10"/>
        <v>10</v>
      </c>
      <c r="R30" s="420">
        <f t="shared" si="10"/>
        <v>10</v>
      </c>
      <c r="S30" s="420">
        <f t="shared" si="10"/>
        <v>10</v>
      </c>
      <c r="T30" s="420">
        <f t="shared" si="10"/>
        <v>10</v>
      </c>
      <c r="U30" s="420">
        <f t="shared" si="10"/>
        <v>10</v>
      </c>
      <c r="V30" s="420">
        <f t="shared" si="10"/>
        <v>10</v>
      </c>
      <c r="W30" s="420">
        <f t="shared" si="9"/>
        <v>10</v>
      </c>
      <c r="X30" s="420">
        <f t="shared" si="9"/>
        <v>10</v>
      </c>
      <c r="Y30" s="420">
        <f t="shared" si="9"/>
        <v>10</v>
      </c>
    </row>
    <row r="31" spans="2:25" s="46" customFormat="1">
      <c r="B31" s="421" t="s">
        <v>506</v>
      </c>
      <c r="C31" s="422" t="s">
        <v>496</v>
      </c>
      <c r="D31" s="423"/>
      <c r="E31" s="423"/>
      <c r="F31" s="423" t="e">
        <f>('[1]Rice crop budget'!$E$18)*2.5</f>
        <v>#REF!</v>
      </c>
      <c r="G31" s="423" t="e">
        <f>F31</f>
        <v>#REF!</v>
      </c>
      <c r="H31" s="423" t="e">
        <f t="shared" si="10"/>
        <v>#REF!</v>
      </c>
      <c r="I31" s="423" t="e">
        <f t="shared" si="10"/>
        <v>#REF!</v>
      </c>
      <c r="J31" s="423" t="e">
        <f t="shared" si="10"/>
        <v>#REF!</v>
      </c>
      <c r="K31" s="423" t="e">
        <f t="shared" si="10"/>
        <v>#REF!</v>
      </c>
      <c r="L31" s="423" t="e">
        <f t="shared" si="10"/>
        <v>#REF!</v>
      </c>
      <c r="M31" s="423" t="e">
        <f t="shared" si="10"/>
        <v>#REF!</v>
      </c>
      <c r="N31" s="423" t="e">
        <f t="shared" si="10"/>
        <v>#REF!</v>
      </c>
      <c r="O31" s="423" t="e">
        <f t="shared" si="10"/>
        <v>#REF!</v>
      </c>
      <c r="P31" s="423" t="e">
        <f t="shared" si="10"/>
        <v>#REF!</v>
      </c>
      <c r="Q31" s="423" t="e">
        <f t="shared" si="10"/>
        <v>#REF!</v>
      </c>
      <c r="R31" s="423" t="e">
        <f t="shared" si="10"/>
        <v>#REF!</v>
      </c>
      <c r="S31" s="423" t="e">
        <f t="shared" si="10"/>
        <v>#REF!</v>
      </c>
      <c r="T31" s="423" t="e">
        <f t="shared" si="10"/>
        <v>#REF!</v>
      </c>
      <c r="U31" s="423" t="e">
        <f t="shared" si="10"/>
        <v>#REF!</v>
      </c>
      <c r="V31" s="423" t="e">
        <f t="shared" si="10"/>
        <v>#REF!</v>
      </c>
      <c r="W31" s="423" t="e">
        <f t="shared" si="9"/>
        <v>#REF!</v>
      </c>
      <c r="X31" s="423" t="e">
        <f t="shared" si="9"/>
        <v>#REF!</v>
      </c>
      <c r="Y31" s="423" t="e">
        <f t="shared" si="9"/>
        <v>#REF!</v>
      </c>
    </row>
    <row r="32" spans="2:25" s="46" customFormat="1">
      <c r="B32" s="411" t="s">
        <v>507</v>
      </c>
      <c r="C32" s="424"/>
      <c r="D32" s="425"/>
      <c r="E32" s="425" t="e">
        <f>SUM(E19:E31)</f>
        <v>#REF!</v>
      </c>
      <c r="F32" s="425" t="e">
        <f>SUM(F19:F31)</f>
        <v>#REF!</v>
      </c>
      <c r="G32" s="425" t="e">
        <f t="shared" ref="G32:Y32" si="11">SUM(G19:G31)</f>
        <v>#REF!</v>
      </c>
      <c r="H32" s="425" t="e">
        <f t="shared" si="11"/>
        <v>#REF!</v>
      </c>
      <c r="I32" s="425" t="e">
        <f t="shared" si="11"/>
        <v>#REF!</v>
      </c>
      <c r="J32" s="425" t="e">
        <f t="shared" si="11"/>
        <v>#REF!</v>
      </c>
      <c r="K32" s="425" t="e">
        <f t="shared" si="11"/>
        <v>#REF!</v>
      </c>
      <c r="L32" s="425" t="e">
        <f t="shared" si="11"/>
        <v>#REF!</v>
      </c>
      <c r="M32" s="425" t="e">
        <f t="shared" si="11"/>
        <v>#REF!</v>
      </c>
      <c r="N32" s="425" t="e">
        <f t="shared" si="11"/>
        <v>#REF!</v>
      </c>
      <c r="O32" s="425" t="e">
        <f t="shared" si="11"/>
        <v>#REF!</v>
      </c>
      <c r="P32" s="425" t="e">
        <f t="shared" si="11"/>
        <v>#REF!</v>
      </c>
      <c r="Q32" s="425" t="e">
        <f t="shared" si="11"/>
        <v>#REF!</v>
      </c>
      <c r="R32" s="425" t="e">
        <f t="shared" si="11"/>
        <v>#REF!</v>
      </c>
      <c r="S32" s="425" t="e">
        <f t="shared" si="11"/>
        <v>#REF!</v>
      </c>
      <c r="T32" s="425" t="e">
        <f t="shared" si="11"/>
        <v>#REF!</v>
      </c>
      <c r="U32" s="425" t="e">
        <f t="shared" si="11"/>
        <v>#REF!</v>
      </c>
      <c r="V32" s="425" t="e">
        <f t="shared" si="11"/>
        <v>#REF!</v>
      </c>
      <c r="W32" s="425" t="e">
        <f t="shared" si="11"/>
        <v>#REF!</v>
      </c>
      <c r="X32" s="425" t="e">
        <f t="shared" si="11"/>
        <v>#REF!</v>
      </c>
      <c r="Y32" s="425" t="e">
        <f t="shared" si="11"/>
        <v>#REF!</v>
      </c>
    </row>
    <row r="33" spans="2:26" s="46" customFormat="1">
      <c r="B33" s="405" t="s">
        <v>508</v>
      </c>
      <c r="C33" s="406"/>
      <c r="D33" s="413" t="e">
        <f>'[1]Prices &amp; Conversn factors'!C9/E1</f>
        <v>#REF!</v>
      </c>
      <c r="E33" s="413" t="e">
        <f>0.5*E32</f>
        <v>#REF!</v>
      </c>
      <c r="F33" s="413" t="e">
        <f t="shared" ref="F33:Y33" si="12">0.5*F32</f>
        <v>#REF!</v>
      </c>
      <c r="G33" s="413" t="e">
        <f t="shared" si="12"/>
        <v>#REF!</v>
      </c>
      <c r="H33" s="413" t="e">
        <f t="shared" si="12"/>
        <v>#REF!</v>
      </c>
      <c r="I33" s="413" t="e">
        <f t="shared" si="12"/>
        <v>#REF!</v>
      </c>
      <c r="J33" s="413" t="e">
        <f t="shared" si="12"/>
        <v>#REF!</v>
      </c>
      <c r="K33" s="413" t="e">
        <f t="shared" si="12"/>
        <v>#REF!</v>
      </c>
      <c r="L33" s="413" t="e">
        <f t="shared" si="12"/>
        <v>#REF!</v>
      </c>
      <c r="M33" s="413" t="e">
        <f t="shared" si="12"/>
        <v>#REF!</v>
      </c>
      <c r="N33" s="413" t="e">
        <f t="shared" si="12"/>
        <v>#REF!</v>
      </c>
      <c r="O33" s="413" t="e">
        <f t="shared" si="12"/>
        <v>#REF!</v>
      </c>
      <c r="P33" s="413" t="e">
        <f t="shared" si="12"/>
        <v>#REF!</v>
      </c>
      <c r="Q33" s="413" t="e">
        <f t="shared" si="12"/>
        <v>#REF!</v>
      </c>
      <c r="R33" s="413" t="e">
        <f t="shared" si="12"/>
        <v>#REF!</v>
      </c>
      <c r="S33" s="413" t="e">
        <f t="shared" si="12"/>
        <v>#REF!</v>
      </c>
      <c r="T33" s="413" t="e">
        <f t="shared" si="12"/>
        <v>#REF!</v>
      </c>
      <c r="U33" s="413" t="e">
        <f t="shared" si="12"/>
        <v>#REF!</v>
      </c>
      <c r="V33" s="413" t="e">
        <f t="shared" si="12"/>
        <v>#REF!</v>
      </c>
      <c r="W33" s="413" t="e">
        <f t="shared" si="12"/>
        <v>#REF!</v>
      </c>
      <c r="X33" s="413" t="e">
        <f t="shared" si="12"/>
        <v>#REF!</v>
      </c>
      <c r="Y33" s="413" t="e">
        <f t="shared" si="12"/>
        <v>#REF!</v>
      </c>
    </row>
    <row r="34" spans="2:26" s="46" customFormat="1">
      <c r="B34" s="407" t="s">
        <v>509</v>
      </c>
      <c r="C34" s="426"/>
      <c r="D34" s="427" t="e">
        <f>'[1]Prices &amp; Conversn factors'!C9/E1</f>
        <v>#REF!</v>
      </c>
      <c r="E34" s="427" t="e">
        <f>E32-E33</f>
        <v>#REF!</v>
      </c>
      <c r="F34" s="427" t="e">
        <f t="shared" ref="F34:Y34" si="13">F32-F33</f>
        <v>#REF!</v>
      </c>
      <c r="G34" s="427" t="e">
        <f t="shared" si="13"/>
        <v>#REF!</v>
      </c>
      <c r="H34" s="427" t="e">
        <f t="shared" si="13"/>
        <v>#REF!</v>
      </c>
      <c r="I34" s="427" t="e">
        <f t="shared" si="13"/>
        <v>#REF!</v>
      </c>
      <c r="J34" s="427" t="e">
        <f t="shared" si="13"/>
        <v>#REF!</v>
      </c>
      <c r="K34" s="427" t="e">
        <f t="shared" si="13"/>
        <v>#REF!</v>
      </c>
      <c r="L34" s="427" t="e">
        <f t="shared" si="13"/>
        <v>#REF!</v>
      </c>
      <c r="M34" s="427" t="e">
        <f t="shared" si="13"/>
        <v>#REF!</v>
      </c>
      <c r="N34" s="427" t="e">
        <f t="shared" si="13"/>
        <v>#REF!</v>
      </c>
      <c r="O34" s="427" t="e">
        <f t="shared" si="13"/>
        <v>#REF!</v>
      </c>
      <c r="P34" s="427" t="e">
        <f t="shared" si="13"/>
        <v>#REF!</v>
      </c>
      <c r="Q34" s="427" t="e">
        <f t="shared" si="13"/>
        <v>#REF!</v>
      </c>
      <c r="R34" s="427" t="e">
        <f t="shared" si="13"/>
        <v>#REF!</v>
      </c>
      <c r="S34" s="427" t="e">
        <f t="shared" si="13"/>
        <v>#REF!</v>
      </c>
      <c r="T34" s="427" t="e">
        <f t="shared" si="13"/>
        <v>#REF!</v>
      </c>
      <c r="U34" s="427" t="e">
        <f t="shared" si="13"/>
        <v>#REF!</v>
      </c>
      <c r="V34" s="427" t="e">
        <f t="shared" si="13"/>
        <v>#REF!</v>
      </c>
      <c r="W34" s="427" t="e">
        <f t="shared" si="13"/>
        <v>#REF!</v>
      </c>
      <c r="X34" s="427" t="e">
        <f t="shared" si="13"/>
        <v>#REF!</v>
      </c>
      <c r="Y34" s="427" t="e">
        <f t="shared" si="13"/>
        <v>#REF!</v>
      </c>
    </row>
    <row r="35" spans="2:26" s="46" customFormat="1">
      <c r="B35" s="428"/>
      <c r="C35" s="502"/>
      <c r="D35" s="413"/>
      <c r="E35" s="353"/>
      <c r="F35" s="373"/>
      <c r="G35" s="415"/>
      <c r="H35" s="415"/>
      <c r="I35" s="415"/>
      <c r="J35" s="415"/>
      <c r="K35" s="415"/>
      <c r="L35" s="415"/>
      <c r="M35" s="415"/>
      <c r="N35" s="415"/>
      <c r="O35" s="415"/>
      <c r="P35" s="415"/>
      <c r="Q35" s="415"/>
      <c r="R35" s="415"/>
      <c r="S35" s="415"/>
      <c r="T35" s="415"/>
      <c r="U35" s="415"/>
      <c r="V35" s="415"/>
      <c r="W35" s="415"/>
      <c r="X35" s="415"/>
      <c r="Y35" s="415"/>
      <c r="Z35" s="415"/>
    </row>
    <row r="36" spans="2:26">
      <c r="B36" s="76" t="s">
        <v>547</v>
      </c>
      <c r="C36" s="144"/>
      <c r="D36" s="429" t="s">
        <v>482</v>
      </c>
      <c r="E36" s="772" t="s">
        <v>510</v>
      </c>
      <c r="F36" s="772"/>
      <c r="G36" s="772"/>
      <c r="H36" s="772"/>
      <c r="I36" s="772"/>
      <c r="J36" s="772"/>
      <c r="K36" s="772"/>
      <c r="L36" s="772"/>
      <c r="M36" s="772"/>
      <c r="N36" s="772"/>
      <c r="O36" s="772"/>
      <c r="P36" s="772"/>
      <c r="Q36" s="772"/>
      <c r="R36" s="772"/>
      <c r="S36" s="772"/>
      <c r="T36" s="772"/>
      <c r="U36" s="772"/>
      <c r="V36" s="772"/>
      <c r="W36" s="772"/>
      <c r="X36" s="772"/>
      <c r="Y36" s="430"/>
      <c r="Z36" s="430"/>
    </row>
    <row r="37" spans="2:26" s="121" customFormat="1">
      <c r="B37" s="334"/>
      <c r="C37" s="335"/>
      <c r="D37" s="337" t="s">
        <v>511</v>
      </c>
      <c r="E37" s="339" t="s">
        <v>383</v>
      </c>
      <c r="F37" s="339" t="s">
        <v>384</v>
      </c>
      <c r="G37" s="339" t="s">
        <v>385</v>
      </c>
      <c r="H37" s="339" t="s">
        <v>386</v>
      </c>
      <c r="I37" s="339" t="s">
        <v>387</v>
      </c>
      <c r="J37" s="339" t="s">
        <v>388</v>
      </c>
      <c r="K37" s="339" t="s">
        <v>389</v>
      </c>
      <c r="L37" s="339" t="s">
        <v>390</v>
      </c>
      <c r="M37" s="339" t="s">
        <v>391</v>
      </c>
      <c r="N37" s="339" t="s">
        <v>392</v>
      </c>
      <c r="O37" s="339" t="s">
        <v>483</v>
      </c>
      <c r="P37" s="339" t="s">
        <v>394</v>
      </c>
      <c r="Q37" s="339" t="s">
        <v>395</v>
      </c>
      <c r="R37" s="339" t="s">
        <v>396</v>
      </c>
      <c r="S37" s="339" t="s">
        <v>397</v>
      </c>
      <c r="T37" s="339" t="s">
        <v>398</v>
      </c>
      <c r="U37" s="339" t="s">
        <v>399</v>
      </c>
      <c r="V37" s="339" t="s">
        <v>400</v>
      </c>
      <c r="W37" s="339" t="s">
        <v>401</v>
      </c>
      <c r="X37" s="339" t="s">
        <v>402</v>
      </c>
    </row>
    <row r="38" spans="2:26" s="121" customFormat="1">
      <c r="B38" s="340" t="s">
        <v>512</v>
      </c>
      <c r="C38" s="341"/>
      <c r="D38" s="361"/>
      <c r="E38" s="414"/>
      <c r="F38" s="363"/>
      <c r="G38" s="364"/>
      <c r="H38" s="364"/>
      <c r="I38" s="364"/>
      <c r="J38" s="364"/>
      <c r="K38" s="364"/>
      <c r="L38" s="364"/>
      <c r="M38" s="364"/>
      <c r="N38" s="364"/>
      <c r="O38" s="364"/>
      <c r="P38" s="364"/>
      <c r="Q38" s="364"/>
      <c r="R38" s="364"/>
      <c r="S38" s="364"/>
      <c r="T38" s="364"/>
      <c r="U38" s="364"/>
      <c r="V38" s="364"/>
      <c r="W38" s="364"/>
      <c r="X38" s="364"/>
      <c r="Y38" s="364"/>
    </row>
    <row r="39" spans="2:26" s="46" customFormat="1">
      <c r="B39" s="350" t="s">
        <v>513</v>
      </c>
      <c r="C39" s="351"/>
      <c r="D39" s="361">
        <f>$D$5*E5</f>
        <v>597.71415371068179</v>
      </c>
      <c r="E39" s="361">
        <f t="shared" ref="E39:X39" si="14">$D$5*F5</f>
        <v>821.85696135218745</v>
      </c>
      <c r="F39" s="361">
        <f t="shared" si="14"/>
        <v>1016.114061308159</v>
      </c>
      <c r="G39" s="361">
        <f t="shared" si="14"/>
        <v>1249.2225812553249</v>
      </c>
      <c r="H39" s="361">
        <f t="shared" si="14"/>
        <v>1528.952805191924</v>
      </c>
      <c r="I39" s="361">
        <f t="shared" si="14"/>
        <v>1864.6290739158428</v>
      </c>
      <c r="J39" s="361">
        <f t="shared" si="14"/>
        <v>2267.4405963845452</v>
      </c>
      <c r="K39" s="361">
        <f t="shared" si="14"/>
        <v>2544.5317902416991</v>
      </c>
      <c r="L39" s="361">
        <f t="shared" si="14"/>
        <v>2544.5317902416991</v>
      </c>
      <c r="M39" s="361">
        <f t="shared" si="14"/>
        <v>2544.5317902416991</v>
      </c>
      <c r="N39" s="361">
        <f t="shared" si="14"/>
        <v>2544.5317902416991</v>
      </c>
      <c r="O39" s="361">
        <f t="shared" si="14"/>
        <v>2544.5317902416991</v>
      </c>
      <c r="P39" s="361">
        <f t="shared" si="14"/>
        <v>2544.5317902416991</v>
      </c>
      <c r="Q39" s="361">
        <f t="shared" si="14"/>
        <v>2544.5317902416991</v>
      </c>
      <c r="R39" s="361">
        <f t="shared" si="14"/>
        <v>2544.5317902416991</v>
      </c>
      <c r="S39" s="361">
        <f t="shared" si="14"/>
        <v>2544.5317902416991</v>
      </c>
      <c r="T39" s="361">
        <f t="shared" si="14"/>
        <v>2544.5317902416991</v>
      </c>
      <c r="U39" s="361">
        <f t="shared" si="14"/>
        <v>2544.5317902416991</v>
      </c>
      <c r="V39" s="361">
        <f t="shared" si="14"/>
        <v>2544.5317902416991</v>
      </c>
      <c r="W39" s="361">
        <f t="shared" si="14"/>
        <v>2544.5317902416991</v>
      </c>
      <c r="X39" s="361">
        <f t="shared" si="14"/>
        <v>2544.5317902416991</v>
      </c>
      <c r="Y39" s="364"/>
    </row>
    <row r="40" spans="2:26" s="46" customFormat="1">
      <c r="B40" s="350" t="s">
        <v>487</v>
      </c>
      <c r="C40" s="360"/>
      <c r="D40" s="414">
        <f>$D$6*E6</f>
        <v>149.42853842767047</v>
      </c>
      <c r="E40" s="414">
        <f t="shared" ref="E40:X40" si="15">$D$6*F6</f>
        <v>149.42853842767047</v>
      </c>
      <c r="F40" s="414">
        <f t="shared" si="15"/>
        <v>149.42853842767047</v>
      </c>
      <c r="G40" s="414">
        <f t="shared" si="15"/>
        <v>149.42853842767047</v>
      </c>
      <c r="H40" s="414">
        <f t="shared" si="15"/>
        <v>149.42853842767047</v>
      </c>
      <c r="I40" s="414">
        <f t="shared" si="15"/>
        <v>149.42853842767047</v>
      </c>
      <c r="J40" s="414">
        <f t="shared" si="15"/>
        <v>149.42853842767047</v>
      </c>
      <c r="K40" s="414">
        <f t="shared" si="15"/>
        <v>149.42853842767047</v>
      </c>
      <c r="L40" s="414">
        <f t="shared" si="15"/>
        <v>149.42853842767047</v>
      </c>
      <c r="M40" s="414">
        <f t="shared" si="15"/>
        <v>149.42853842767047</v>
      </c>
      <c r="N40" s="414">
        <f t="shared" si="15"/>
        <v>149.42853842767047</v>
      </c>
      <c r="O40" s="414">
        <f t="shared" si="15"/>
        <v>149.42853842767047</v>
      </c>
      <c r="P40" s="414">
        <f t="shared" si="15"/>
        <v>149.42853842767047</v>
      </c>
      <c r="Q40" s="414">
        <f t="shared" si="15"/>
        <v>149.42853842767047</v>
      </c>
      <c r="R40" s="414">
        <f t="shared" si="15"/>
        <v>149.42853842767047</v>
      </c>
      <c r="S40" s="414">
        <f t="shared" si="15"/>
        <v>149.42853842767047</v>
      </c>
      <c r="T40" s="414">
        <f t="shared" si="15"/>
        <v>149.42853842767047</v>
      </c>
      <c r="U40" s="414">
        <f t="shared" si="15"/>
        <v>149.42853842767047</v>
      </c>
      <c r="V40" s="414">
        <f t="shared" si="15"/>
        <v>149.42853842767047</v>
      </c>
      <c r="W40" s="414">
        <f t="shared" si="15"/>
        <v>149.42853842767047</v>
      </c>
      <c r="X40" s="414">
        <f t="shared" si="15"/>
        <v>149.42853842767047</v>
      </c>
    </row>
    <row r="41" spans="2:26" s="46" customFormat="1">
      <c r="B41" s="350" t="s">
        <v>514</v>
      </c>
      <c r="C41" s="360"/>
      <c r="D41" s="414">
        <f>$D$8*E8</f>
        <v>0</v>
      </c>
      <c r="E41" s="414">
        <f t="shared" ref="E41:X41" si="16">$D$8*F8</f>
        <v>343.07867365784767</v>
      </c>
      <c r="F41" s="414">
        <f t="shared" si="16"/>
        <v>411.69440838941722</v>
      </c>
      <c r="G41" s="414">
        <f t="shared" si="16"/>
        <v>494.03329006730064</v>
      </c>
      <c r="H41" s="414">
        <f t="shared" si="16"/>
        <v>592.83994808076068</v>
      </c>
      <c r="I41" s="414">
        <f t="shared" si="16"/>
        <v>711.40793769691288</v>
      </c>
      <c r="J41" s="414">
        <f t="shared" si="16"/>
        <v>853.68952523629537</v>
      </c>
      <c r="K41" s="414">
        <f t="shared" si="16"/>
        <v>1073.8362485490632</v>
      </c>
      <c r="L41" s="414">
        <f t="shared" si="16"/>
        <v>1073.8362485490632</v>
      </c>
      <c r="M41" s="414">
        <f t="shared" si="16"/>
        <v>1073.8362485490632</v>
      </c>
      <c r="N41" s="414">
        <f t="shared" si="16"/>
        <v>1073.8362485490632</v>
      </c>
      <c r="O41" s="414">
        <f t="shared" si="16"/>
        <v>1073.8362485490632</v>
      </c>
      <c r="P41" s="414">
        <f t="shared" si="16"/>
        <v>1073.8362485490632</v>
      </c>
      <c r="Q41" s="414">
        <f t="shared" si="16"/>
        <v>1073.8362485490632</v>
      </c>
      <c r="R41" s="414">
        <f t="shared" si="16"/>
        <v>1073.8362485490632</v>
      </c>
      <c r="S41" s="414">
        <f t="shared" si="16"/>
        <v>1073.8362485490632</v>
      </c>
      <c r="T41" s="414">
        <f t="shared" si="16"/>
        <v>1073.8362485490632</v>
      </c>
      <c r="U41" s="414">
        <f t="shared" si="16"/>
        <v>1073.8362485490632</v>
      </c>
      <c r="V41" s="414">
        <f t="shared" si="16"/>
        <v>1073.8362485490632</v>
      </c>
      <c r="W41" s="414">
        <f t="shared" si="16"/>
        <v>1073.8362485490632</v>
      </c>
      <c r="X41" s="414">
        <f t="shared" si="16"/>
        <v>1073.8362485490632</v>
      </c>
    </row>
    <row r="42" spans="2:26" s="46" customFormat="1">
      <c r="B42" s="431"/>
      <c r="C42" s="432"/>
      <c r="D42" s="370">
        <f>SUM(D39:D41)</f>
        <v>747.14269213835223</v>
      </c>
      <c r="E42" s="433">
        <f>SUM(E39:E41)</f>
        <v>1314.3641734377056</v>
      </c>
      <c r="F42" s="434">
        <f>SUM(F39:F41)</f>
        <v>1577.2370081252468</v>
      </c>
      <c r="G42" s="435">
        <f t="shared" ref="G42:X42" si="17">SUM(G39:G41)</f>
        <v>1892.684409750296</v>
      </c>
      <c r="H42" s="433">
        <f t="shared" si="17"/>
        <v>2271.2212917003553</v>
      </c>
      <c r="I42" s="436">
        <f>SUM(I39:I41)</f>
        <v>2725.465550040426</v>
      </c>
      <c r="J42" s="435">
        <f t="shared" si="17"/>
        <v>3270.5586600485112</v>
      </c>
      <c r="K42" s="433">
        <f t="shared" si="17"/>
        <v>3767.7965772184325</v>
      </c>
      <c r="L42" s="433">
        <f t="shared" si="17"/>
        <v>3767.7965772184325</v>
      </c>
      <c r="M42" s="433">
        <f t="shared" si="17"/>
        <v>3767.7965772184325</v>
      </c>
      <c r="N42" s="433">
        <f t="shared" si="17"/>
        <v>3767.7965772184325</v>
      </c>
      <c r="O42" s="433">
        <f t="shared" si="17"/>
        <v>3767.7965772184325</v>
      </c>
      <c r="P42" s="433">
        <f t="shared" si="17"/>
        <v>3767.7965772184325</v>
      </c>
      <c r="Q42" s="433">
        <f t="shared" si="17"/>
        <v>3767.7965772184325</v>
      </c>
      <c r="R42" s="433">
        <f t="shared" si="17"/>
        <v>3767.7965772184325</v>
      </c>
      <c r="S42" s="433">
        <f t="shared" si="17"/>
        <v>3767.7965772184325</v>
      </c>
      <c r="T42" s="433">
        <f t="shared" si="17"/>
        <v>3767.7965772184325</v>
      </c>
      <c r="U42" s="433">
        <f t="shared" si="17"/>
        <v>3767.7965772184325</v>
      </c>
      <c r="V42" s="433">
        <f t="shared" si="17"/>
        <v>3767.7965772184325</v>
      </c>
      <c r="W42" s="433">
        <f t="shared" si="17"/>
        <v>3767.7965772184325</v>
      </c>
      <c r="X42" s="433">
        <f t="shared" si="17"/>
        <v>3767.7965772184325</v>
      </c>
    </row>
    <row r="43" spans="2:26" s="46" customFormat="1">
      <c r="B43" s="437"/>
      <c r="C43" s="438"/>
      <c r="D43" s="343"/>
      <c r="E43" s="343"/>
      <c r="F43" s="343"/>
      <c r="G43" s="343"/>
      <c r="H43" s="375"/>
      <c r="I43" s="343"/>
      <c r="J43" s="343"/>
      <c r="K43" s="343"/>
      <c r="L43" s="343"/>
      <c r="M43" s="375"/>
      <c r="N43" s="343"/>
      <c r="O43" s="343"/>
      <c r="P43" s="343"/>
      <c r="Q43" s="343"/>
      <c r="R43" s="375"/>
      <c r="S43" s="343"/>
      <c r="T43" s="343"/>
      <c r="U43" s="343"/>
      <c r="V43" s="343"/>
      <c r="W43" s="375"/>
      <c r="X43" s="403"/>
    </row>
    <row r="44" spans="2:26" s="46" customFormat="1">
      <c r="B44" s="372" t="s">
        <v>489</v>
      </c>
      <c r="C44" s="341"/>
      <c r="D44" s="352"/>
      <c r="E44" s="352"/>
      <c r="F44" s="352"/>
      <c r="G44" s="352"/>
      <c r="H44" s="375"/>
      <c r="I44" s="352"/>
      <c r="J44" s="352"/>
      <c r="K44" s="352"/>
      <c r="L44" s="352"/>
      <c r="M44" s="375"/>
      <c r="N44" s="352"/>
      <c r="O44" s="352"/>
      <c r="P44" s="352"/>
      <c r="Q44" s="352"/>
      <c r="R44" s="375"/>
      <c r="S44" s="352"/>
      <c r="T44" s="352"/>
      <c r="U44" s="352"/>
      <c r="V44" s="352"/>
      <c r="W44" s="375"/>
      <c r="X44" s="380"/>
    </row>
    <row r="45" spans="2:26" s="46" customFormat="1">
      <c r="B45" s="381" t="s">
        <v>551</v>
      </c>
      <c r="C45" s="439"/>
      <c r="D45" s="352">
        <f>D11</f>
        <v>0</v>
      </c>
      <c r="E45" s="352">
        <f>F11</f>
        <v>0</v>
      </c>
      <c r="F45" s="352"/>
      <c r="G45" s="352"/>
      <c r="H45" s="375"/>
      <c r="I45" s="352"/>
      <c r="J45" s="352"/>
      <c r="K45" s="352"/>
      <c r="L45" s="352"/>
      <c r="M45" s="375"/>
      <c r="N45" s="352"/>
      <c r="O45" s="352"/>
      <c r="P45" s="352"/>
      <c r="Q45" s="352"/>
      <c r="R45" s="375"/>
      <c r="S45" s="352"/>
      <c r="T45" s="352"/>
      <c r="U45" s="352"/>
      <c r="V45" s="352"/>
      <c r="W45" s="375"/>
      <c r="X45" s="380"/>
    </row>
    <row r="46" spans="2:26" s="46" customFormat="1">
      <c r="B46" s="440"/>
      <c r="C46" s="360"/>
      <c r="D46" s="352"/>
      <c r="E46" s="352"/>
      <c r="F46" s="352"/>
      <c r="G46" s="352"/>
      <c r="H46" s="375"/>
      <c r="I46" s="352"/>
      <c r="J46" s="352"/>
      <c r="K46" s="352"/>
      <c r="L46" s="352"/>
      <c r="M46" s="375"/>
      <c r="N46" s="352"/>
      <c r="O46" s="352"/>
      <c r="P46" s="352"/>
      <c r="Q46" s="352"/>
      <c r="R46" s="375"/>
      <c r="S46" s="352"/>
      <c r="T46" s="352"/>
      <c r="U46" s="352"/>
      <c r="V46" s="352"/>
      <c r="W46" s="375"/>
      <c r="X46" s="380"/>
    </row>
    <row r="47" spans="2:26" s="46" customFormat="1">
      <c r="B47" s="411" t="s">
        <v>490</v>
      </c>
      <c r="C47" s="366"/>
      <c r="D47" s="352"/>
      <c r="E47" s="352"/>
      <c r="F47" s="352"/>
      <c r="G47" s="352"/>
      <c r="H47" s="417"/>
      <c r="I47" s="352"/>
      <c r="J47" s="352"/>
      <c r="K47" s="352"/>
      <c r="L47" s="352"/>
      <c r="M47" s="417"/>
      <c r="N47" s="352"/>
      <c r="O47" s="352"/>
      <c r="P47" s="352"/>
      <c r="Q47" s="352"/>
      <c r="R47" s="417"/>
      <c r="S47" s="352"/>
      <c r="T47" s="352"/>
      <c r="U47" s="352"/>
      <c r="V47" s="352"/>
      <c r="W47" s="415"/>
      <c r="X47" s="380"/>
    </row>
    <row r="48" spans="2:26" s="46" customFormat="1">
      <c r="B48" s="405" t="s">
        <v>491</v>
      </c>
      <c r="C48" s="441"/>
      <c r="D48" s="362" t="e">
        <f>$D$14*E14</f>
        <v>#REF!</v>
      </c>
      <c r="E48" s="362" t="e">
        <f t="shared" ref="E48:X48" si="18">$D$14*F14</f>
        <v>#REF!</v>
      </c>
      <c r="F48" s="362" t="e">
        <f t="shared" si="18"/>
        <v>#REF!</v>
      </c>
      <c r="G48" s="362" t="e">
        <f t="shared" si="18"/>
        <v>#REF!</v>
      </c>
      <c r="H48" s="362" t="e">
        <f t="shared" si="18"/>
        <v>#REF!</v>
      </c>
      <c r="I48" s="362" t="e">
        <f t="shared" si="18"/>
        <v>#REF!</v>
      </c>
      <c r="J48" s="362" t="e">
        <f t="shared" si="18"/>
        <v>#REF!</v>
      </c>
      <c r="K48" s="362" t="e">
        <f t="shared" si="18"/>
        <v>#REF!</v>
      </c>
      <c r="L48" s="362" t="e">
        <f t="shared" si="18"/>
        <v>#REF!</v>
      </c>
      <c r="M48" s="362" t="e">
        <f t="shared" si="18"/>
        <v>#REF!</v>
      </c>
      <c r="N48" s="362" t="e">
        <f t="shared" si="18"/>
        <v>#REF!</v>
      </c>
      <c r="O48" s="362" t="e">
        <f t="shared" si="18"/>
        <v>#REF!</v>
      </c>
      <c r="P48" s="362" t="e">
        <f t="shared" si="18"/>
        <v>#REF!</v>
      </c>
      <c r="Q48" s="362" t="e">
        <f t="shared" si="18"/>
        <v>#REF!</v>
      </c>
      <c r="R48" s="362" t="e">
        <f t="shared" si="18"/>
        <v>#REF!</v>
      </c>
      <c r="S48" s="362" t="e">
        <f t="shared" si="18"/>
        <v>#REF!</v>
      </c>
      <c r="T48" s="362" t="e">
        <f t="shared" si="18"/>
        <v>#REF!</v>
      </c>
      <c r="U48" s="362" t="e">
        <f t="shared" si="18"/>
        <v>#REF!</v>
      </c>
      <c r="V48" s="362" t="e">
        <f t="shared" si="18"/>
        <v>#REF!</v>
      </c>
      <c r="W48" s="362" t="e">
        <f t="shared" si="18"/>
        <v>#REF!</v>
      </c>
      <c r="X48" s="362" t="e">
        <f t="shared" si="18"/>
        <v>#REF!</v>
      </c>
    </row>
    <row r="49" spans="1:26" s="46" customFormat="1">
      <c r="B49" s="405" t="s">
        <v>492</v>
      </c>
      <c r="C49" s="441"/>
      <c r="D49" s="362">
        <f>$D$15*E15</f>
        <v>0</v>
      </c>
      <c r="E49" s="362">
        <f t="shared" ref="E49:X49" si="19">$D$15*F15</f>
        <v>0</v>
      </c>
      <c r="F49" s="362">
        <f t="shared" si="19"/>
        <v>0</v>
      </c>
      <c r="G49" s="362">
        <f t="shared" si="19"/>
        <v>0</v>
      </c>
      <c r="H49" s="362">
        <f t="shared" si="19"/>
        <v>0</v>
      </c>
      <c r="I49" s="362">
        <f t="shared" si="19"/>
        <v>0</v>
      </c>
      <c r="J49" s="362">
        <f t="shared" si="19"/>
        <v>0</v>
      </c>
      <c r="K49" s="362">
        <f t="shared" si="19"/>
        <v>0</v>
      </c>
      <c r="L49" s="362">
        <f t="shared" si="19"/>
        <v>0</v>
      </c>
      <c r="M49" s="362">
        <f t="shared" si="19"/>
        <v>0</v>
      </c>
      <c r="N49" s="362">
        <f t="shared" si="19"/>
        <v>0</v>
      </c>
      <c r="O49" s="362">
        <f>$D$15*P15</f>
        <v>0</v>
      </c>
      <c r="P49" s="362">
        <f t="shared" si="19"/>
        <v>0</v>
      </c>
      <c r="Q49" s="362">
        <f t="shared" si="19"/>
        <v>0</v>
      </c>
      <c r="R49" s="362">
        <f t="shared" si="19"/>
        <v>0</v>
      </c>
      <c r="S49" s="362">
        <f t="shared" si="19"/>
        <v>0</v>
      </c>
      <c r="T49" s="362">
        <f t="shared" si="19"/>
        <v>0</v>
      </c>
      <c r="U49" s="362">
        <f t="shared" si="19"/>
        <v>0</v>
      </c>
      <c r="V49" s="362">
        <f t="shared" si="19"/>
        <v>0</v>
      </c>
      <c r="W49" s="362">
        <f t="shared" si="19"/>
        <v>0</v>
      </c>
      <c r="X49" s="362">
        <f t="shared" si="19"/>
        <v>0</v>
      </c>
    </row>
    <row r="50" spans="1:26" s="46" customFormat="1">
      <c r="B50" s="411" t="s">
        <v>493</v>
      </c>
      <c r="C50" s="366"/>
      <c r="D50" s="414"/>
      <c r="E50" s="414"/>
      <c r="F50" s="414"/>
      <c r="G50" s="414"/>
      <c r="H50" s="417"/>
      <c r="I50" s="414"/>
      <c r="J50" s="414"/>
      <c r="K50" s="414"/>
      <c r="L50" s="414"/>
      <c r="M50" s="417"/>
      <c r="N50" s="414"/>
      <c r="O50" s="414"/>
      <c r="P50" s="414"/>
      <c r="Q50" s="414"/>
      <c r="R50" s="417"/>
      <c r="S50" s="414"/>
      <c r="T50" s="414"/>
      <c r="U50" s="414"/>
      <c r="V50" s="414"/>
      <c r="W50" s="415"/>
      <c r="X50" s="416"/>
    </row>
    <row r="51" spans="1:26" s="46" customFormat="1">
      <c r="B51" s="405" t="s">
        <v>494</v>
      </c>
      <c r="C51" s="441"/>
      <c r="D51" s="416">
        <f>$D$17*E17</f>
        <v>37.357134606917619</v>
      </c>
      <c r="E51" s="416">
        <f t="shared" ref="E51:X51" si="20">$D$17*F17</f>
        <v>48.564274988992892</v>
      </c>
      <c r="F51" s="416">
        <f t="shared" si="20"/>
        <v>58.277129986791479</v>
      </c>
      <c r="G51" s="416">
        <f t="shared" si="20"/>
        <v>69.932555984149772</v>
      </c>
      <c r="H51" s="416">
        <f t="shared" si="20"/>
        <v>83.919067180979724</v>
      </c>
      <c r="I51" s="416">
        <f t="shared" si="20"/>
        <v>100.70288061717567</v>
      </c>
      <c r="J51" s="416">
        <f t="shared" si="20"/>
        <v>120.84345674061079</v>
      </c>
      <c r="K51" s="416">
        <f t="shared" si="20"/>
        <v>134.69801643346847</v>
      </c>
      <c r="L51" s="416">
        <f t="shared" si="20"/>
        <v>134.69801643346847</v>
      </c>
      <c r="M51" s="416">
        <f t="shared" si="20"/>
        <v>134.69801643346847</v>
      </c>
      <c r="N51" s="416">
        <f t="shared" si="20"/>
        <v>134.69801643346847</v>
      </c>
      <c r="O51" s="416">
        <f t="shared" si="20"/>
        <v>134.69801643346847</v>
      </c>
      <c r="P51" s="416">
        <f t="shared" si="20"/>
        <v>134.69801643346847</v>
      </c>
      <c r="Q51" s="416">
        <f t="shared" si="20"/>
        <v>134.69801643346847</v>
      </c>
      <c r="R51" s="416">
        <f t="shared" si="20"/>
        <v>134.69801643346847</v>
      </c>
      <c r="S51" s="416">
        <f t="shared" si="20"/>
        <v>134.69801643346847</v>
      </c>
      <c r="T51" s="416">
        <f t="shared" si="20"/>
        <v>134.69801643346847</v>
      </c>
      <c r="U51" s="416">
        <f t="shared" si="20"/>
        <v>134.69801643346847</v>
      </c>
      <c r="V51" s="416">
        <f t="shared" si="20"/>
        <v>134.69801643346847</v>
      </c>
      <c r="W51" s="416">
        <f t="shared" si="20"/>
        <v>134.69801643346847</v>
      </c>
      <c r="X51" s="416">
        <f t="shared" si="20"/>
        <v>134.69801643346847</v>
      </c>
    </row>
    <row r="52" spans="1:26" s="46" customFormat="1">
      <c r="B52" s="405" t="s">
        <v>515</v>
      </c>
      <c r="C52" s="366"/>
      <c r="D52" s="414"/>
      <c r="E52" s="414"/>
      <c r="F52" s="414"/>
      <c r="G52" s="414"/>
      <c r="H52" s="417"/>
      <c r="I52" s="414"/>
      <c r="J52" s="414"/>
      <c r="K52" s="414"/>
      <c r="L52" s="414"/>
      <c r="M52" s="417"/>
      <c r="N52" s="414"/>
      <c r="O52" s="414"/>
      <c r="P52" s="414"/>
      <c r="Q52" s="414"/>
      <c r="R52" s="417"/>
      <c r="S52" s="414"/>
      <c r="T52" s="414"/>
      <c r="U52" s="414"/>
      <c r="V52" s="414"/>
      <c r="W52" s="415"/>
      <c r="X52" s="416"/>
    </row>
    <row r="53" spans="1:26" s="46" customFormat="1" hidden="1">
      <c r="B53" s="419" t="s">
        <v>506</v>
      </c>
      <c r="C53" s="441"/>
      <c r="D53" s="362"/>
      <c r="E53" s="362"/>
      <c r="F53" s="362"/>
      <c r="G53" s="362"/>
      <c r="H53" s="417"/>
      <c r="I53" s="362"/>
      <c r="J53" s="362"/>
      <c r="K53" s="362"/>
      <c r="L53" s="362"/>
      <c r="M53" s="417"/>
      <c r="N53" s="362"/>
      <c r="O53" s="362"/>
      <c r="P53" s="362"/>
      <c r="Q53" s="362"/>
      <c r="R53" s="417"/>
      <c r="S53" s="362"/>
      <c r="T53" s="362"/>
      <c r="U53" s="362"/>
      <c r="V53" s="362"/>
      <c r="W53" s="415"/>
      <c r="X53" s="416"/>
    </row>
    <row r="54" spans="1:26" s="46" customFormat="1">
      <c r="B54" s="405" t="s">
        <v>518</v>
      </c>
      <c r="C54" s="441"/>
      <c r="D54" s="414" t="e">
        <f>$D$33*E33</f>
        <v>#REF!</v>
      </c>
      <c r="E54" s="414" t="e">
        <f t="shared" ref="E54:X54" si="21">$D$33*F33</f>
        <v>#REF!</v>
      </c>
      <c r="F54" s="414" t="e">
        <f t="shared" si="21"/>
        <v>#REF!</v>
      </c>
      <c r="G54" s="414" t="e">
        <f t="shared" si="21"/>
        <v>#REF!</v>
      </c>
      <c r="H54" s="414" t="e">
        <f t="shared" si="21"/>
        <v>#REF!</v>
      </c>
      <c r="I54" s="414" t="e">
        <f t="shared" si="21"/>
        <v>#REF!</v>
      </c>
      <c r="J54" s="414" t="e">
        <f t="shared" si="21"/>
        <v>#REF!</v>
      </c>
      <c r="K54" s="414" t="e">
        <f t="shared" si="21"/>
        <v>#REF!</v>
      </c>
      <c r="L54" s="414" t="e">
        <f t="shared" si="21"/>
        <v>#REF!</v>
      </c>
      <c r="M54" s="414" t="e">
        <f t="shared" si="21"/>
        <v>#REF!</v>
      </c>
      <c r="N54" s="414" t="e">
        <f t="shared" si="21"/>
        <v>#REF!</v>
      </c>
      <c r="O54" s="414" t="e">
        <f t="shared" si="21"/>
        <v>#REF!</v>
      </c>
      <c r="P54" s="414" t="e">
        <f t="shared" si="21"/>
        <v>#REF!</v>
      </c>
      <c r="Q54" s="414" t="e">
        <f t="shared" si="21"/>
        <v>#REF!</v>
      </c>
      <c r="R54" s="414" t="e">
        <f t="shared" si="21"/>
        <v>#REF!</v>
      </c>
      <c r="S54" s="414" t="e">
        <f t="shared" si="21"/>
        <v>#REF!</v>
      </c>
      <c r="T54" s="414" t="e">
        <f t="shared" si="21"/>
        <v>#REF!</v>
      </c>
      <c r="U54" s="414" t="e">
        <f t="shared" si="21"/>
        <v>#REF!</v>
      </c>
      <c r="V54" s="414" t="e">
        <f t="shared" si="21"/>
        <v>#REF!</v>
      </c>
      <c r="W54" s="414" t="e">
        <f t="shared" si="21"/>
        <v>#REF!</v>
      </c>
      <c r="X54" s="414" t="e">
        <f t="shared" si="21"/>
        <v>#REF!</v>
      </c>
    </row>
    <row r="55" spans="1:26" s="46" customFormat="1">
      <c r="B55" s="405" t="s">
        <v>519</v>
      </c>
      <c r="C55" s="442"/>
      <c r="D55" s="414" t="e">
        <f>$D$34*E34</f>
        <v>#REF!</v>
      </c>
      <c r="E55" s="414" t="e">
        <f t="shared" ref="E55:X55" si="22">$D$34*F34</f>
        <v>#REF!</v>
      </c>
      <c r="F55" s="414" t="e">
        <f t="shared" si="22"/>
        <v>#REF!</v>
      </c>
      <c r="G55" s="414" t="e">
        <f t="shared" si="22"/>
        <v>#REF!</v>
      </c>
      <c r="H55" s="414" t="e">
        <f t="shared" si="22"/>
        <v>#REF!</v>
      </c>
      <c r="I55" s="414" t="e">
        <f t="shared" si="22"/>
        <v>#REF!</v>
      </c>
      <c r="J55" s="414" t="e">
        <f t="shared" si="22"/>
        <v>#REF!</v>
      </c>
      <c r="K55" s="414" t="e">
        <f t="shared" si="22"/>
        <v>#REF!</v>
      </c>
      <c r="L55" s="414" t="e">
        <f t="shared" si="22"/>
        <v>#REF!</v>
      </c>
      <c r="M55" s="414" t="e">
        <f t="shared" si="22"/>
        <v>#REF!</v>
      </c>
      <c r="N55" s="414" t="e">
        <f t="shared" si="22"/>
        <v>#REF!</v>
      </c>
      <c r="O55" s="414" t="e">
        <f t="shared" si="22"/>
        <v>#REF!</v>
      </c>
      <c r="P55" s="414" t="e">
        <f t="shared" si="22"/>
        <v>#REF!</v>
      </c>
      <c r="Q55" s="414" t="e">
        <f t="shared" si="22"/>
        <v>#REF!</v>
      </c>
      <c r="R55" s="414" t="e">
        <f t="shared" si="22"/>
        <v>#REF!</v>
      </c>
      <c r="S55" s="414" t="e">
        <f t="shared" si="22"/>
        <v>#REF!</v>
      </c>
      <c r="T55" s="414" t="e">
        <f t="shared" si="22"/>
        <v>#REF!</v>
      </c>
      <c r="U55" s="414" t="e">
        <f t="shared" si="22"/>
        <v>#REF!</v>
      </c>
      <c r="V55" s="414" t="e">
        <f t="shared" si="22"/>
        <v>#REF!</v>
      </c>
      <c r="W55" s="414" t="e">
        <f t="shared" si="22"/>
        <v>#REF!</v>
      </c>
      <c r="X55" s="414" t="e">
        <f t="shared" si="22"/>
        <v>#REF!</v>
      </c>
    </row>
    <row r="56" spans="1:26" s="121" customFormat="1" ht="15" customHeight="1">
      <c r="A56" s="46"/>
      <c r="B56" s="443" t="s">
        <v>520</v>
      </c>
      <c r="C56" s="444"/>
      <c r="D56" s="445" t="e">
        <f>SUM(D45:D55)</f>
        <v>#REF!</v>
      </c>
      <c r="E56" s="445" t="e">
        <f>SUM(E45:E55)</f>
        <v>#REF!</v>
      </c>
      <c r="F56" s="445" t="e">
        <f>SUM(F48:F55)</f>
        <v>#REF!</v>
      </c>
      <c r="G56" s="445" t="e">
        <f t="shared" ref="G56:X56" si="23">SUM(G48:G55)</f>
        <v>#REF!</v>
      </c>
      <c r="H56" s="445" t="e">
        <f t="shared" si="23"/>
        <v>#REF!</v>
      </c>
      <c r="I56" s="445" t="e">
        <f t="shared" si="23"/>
        <v>#REF!</v>
      </c>
      <c r="J56" s="445" t="e">
        <f t="shared" si="23"/>
        <v>#REF!</v>
      </c>
      <c r="K56" s="445" t="e">
        <f t="shared" si="23"/>
        <v>#REF!</v>
      </c>
      <c r="L56" s="445" t="e">
        <f t="shared" si="23"/>
        <v>#REF!</v>
      </c>
      <c r="M56" s="445" t="e">
        <f>SUM(M48:M55)</f>
        <v>#REF!</v>
      </c>
      <c r="N56" s="445" t="e">
        <f>SUM(N48:N55)</f>
        <v>#REF!</v>
      </c>
      <c r="O56" s="445" t="e">
        <f t="shared" si="23"/>
        <v>#REF!</v>
      </c>
      <c r="P56" s="445" t="e">
        <f t="shared" si="23"/>
        <v>#REF!</v>
      </c>
      <c r="Q56" s="445" t="e">
        <f t="shared" si="23"/>
        <v>#REF!</v>
      </c>
      <c r="R56" s="445" t="e">
        <f t="shared" si="23"/>
        <v>#REF!</v>
      </c>
      <c r="S56" s="445" t="e">
        <f t="shared" si="23"/>
        <v>#REF!</v>
      </c>
      <c r="T56" s="445" t="e">
        <f t="shared" si="23"/>
        <v>#REF!</v>
      </c>
      <c r="U56" s="445" t="e">
        <f t="shared" si="23"/>
        <v>#REF!</v>
      </c>
      <c r="V56" s="445" t="e">
        <f t="shared" si="23"/>
        <v>#REF!</v>
      </c>
      <c r="W56" s="446" t="e">
        <f t="shared" si="23"/>
        <v>#REF!</v>
      </c>
      <c r="X56" s="445" t="e">
        <f t="shared" si="23"/>
        <v>#REF!</v>
      </c>
    </row>
    <row r="57" spans="1:26" s="46" customFormat="1" ht="15" hidden="1" customHeight="1">
      <c r="B57" s="447"/>
      <c r="C57" s="444"/>
      <c r="D57" s="448"/>
      <c r="E57" s="448"/>
      <c r="F57" s="448"/>
      <c r="G57" s="448"/>
      <c r="H57" s="449"/>
      <c r="I57" s="448"/>
      <c r="J57" s="448"/>
      <c r="K57" s="448"/>
      <c r="L57" s="448"/>
      <c r="M57" s="449"/>
      <c r="N57" s="448"/>
      <c r="O57" s="448"/>
      <c r="P57" s="448"/>
      <c r="Q57" s="448"/>
      <c r="R57" s="449"/>
      <c r="S57" s="448"/>
      <c r="T57" s="448"/>
      <c r="U57" s="448"/>
      <c r="V57" s="448"/>
      <c r="W57" s="450"/>
      <c r="X57" s="451"/>
    </row>
    <row r="58" spans="1:26" s="121" customFormat="1" ht="15" customHeight="1">
      <c r="B58" s="452" t="s">
        <v>521</v>
      </c>
      <c r="C58" s="453"/>
      <c r="D58" s="454" t="e">
        <f t="shared" ref="D58:X58" si="24">D42-D56</f>
        <v>#REF!</v>
      </c>
      <c r="E58" s="454" t="e">
        <f>E42-E56</f>
        <v>#REF!</v>
      </c>
      <c r="F58" s="454" t="e">
        <f t="shared" si="24"/>
        <v>#REF!</v>
      </c>
      <c r="G58" s="454" t="e">
        <f t="shared" si="24"/>
        <v>#REF!</v>
      </c>
      <c r="H58" s="454" t="e">
        <f t="shared" si="24"/>
        <v>#REF!</v>
      </c>
      <c r="I58" s="454" t="e">
        <f t="shared" si="24"/>
        <v>#REF!</v>
      </c>
      <c r="J58" s="454" t="e">
        <f t="shared" si="24"/>
        <v>#REF!</v>
      </c>
      <c r="K58" s="454" t="e">
        <f t="shared" si="24"/>
        <v>#REF!</v>
      </c>
      <c r="L58" s="454" t="e">
        <f t="shared" si="24"/>
        <v>#REF!</v>
      </c>
      <c r="M58" s="454" t="e">
        <f t="shared" si="24"/>
        <v>#REF!</v>
      </c>
      <c r="N58" s="454" t="e">
        <f t="shared" si="24"/>
        <v>#REF!</v>
      </c>
      <c r="O58" s="454" t="e">
        <f t="shared" si="24"/>
        <v>#REF!</v>
      </c>
      <c r="P58" s="454" t="e">
        <f t="shared" si="24"/>
        <v>#REF!</v>
      </c>
      <c r="Q58" s="454" t="e">
        <f t="shared" si="24"/>
        <v>#REF!</v>
      </c>
      <c r="R58" s="454" t="e">
        <f t="shared" si="24"/>
        <v>#REF!</v>
      </c>
      <c r="S58" s="454" t="e">
        <f t="shared" si="24"/>
        <v>#REF!</v>
      </c>
      <c r="T58" s="454" t="e">
        <f t="shared" si="24"/>
        <v>#REF!</v>
      </c>
      <c r="U58" s="454" t="e">
        <f t="shared" si="24"/>
        <v>#REF!</v>
      </c>
      <c r="V58" s="454" t="e">
        <f t="shared" si="24"/>
        <v>#REF!</v>
      </c>
      <c r="W58" s="455" t="e">
        <f t="shared" si="24"/>
        <v>#REF!</v>
      </c>
      <c r="X58" s="456" t="e">
        <f t="shared" si="24"/>
        <v>#REF!</v>
      </c>
    </row>
    <row r="59" spans="1:26" s="121" customFormat="1" ht="15" customHeight="1">
      <c r="B59" s="457" t="s">
        <v>544</v>
      </c>
      <c r="C59" s="458"/>
      <c r="D59" s="459"/>
      <c r="E59" s="459" t="e">
        <f>E58-$D$58</f>
        <v>#REF!</v>
      </c>
      <c r="F59" s="459" t="e">
        <f>F58-$D$58</f>
        <v>#REF!</v>
      </c>
      <c r="G59" s="459" t="e">
        <f t="shared" ref="G59:X59" si="25">G58-$D$58</f>
        <v>#REF!</v>
      </c>
      <c r="H59" s="460" t="e">
        <f t="shared" si="25"/>
        <v>#REF!</v>
      </c>
      <c r="I59" s="459" t="e">
        <f t="shared" si="25"/>
        <v>#REF!</v>
      </c>
      <c r="J59" s="459" t="e">
        <f t="shared" si="25"/>
        <v>#REF!</v>
      </c>
      <c r="K59" s="459" t="e">
        <f t="shared" si="25"/>
        <v>#REF!</v>
      </c>
      <c r="L59" s="459" t="e">
        <f t="shared" si="25"/>
        <v>#REF!</v>
      </c>
      <c r="M59" s="460" t="e">
        <f t="shared" si="25"/>
        <v>#REF!</v>
      </c>
      <c r="N59" s="459" t="e">
        <f t="shared" si="25"/>
        <v>#REF!</v>
      </c>
      <c r="O59" s="459" t="e">
        <f t="shared" si="25"/>
        <v>#REF!</v>
      </c>
      <c r="P59" s="459" t="e">
        <f t="shared" si="25"/>
        <v>#REF!</v>
      </c>
      <c r="Q59" s="459" t="e">
        <f t="shared" si="25"/>
        <v>#REF!</v>
      </c>
      <c r="R59" s="460" t="e">
        <f t="shared" si="25"/>
        <v>#REF!</v>
      </c>
      <c r="S59" s="459" t="e">
        <f t="shared" si="25"/>
        <v>#REF!</v>
      </c>
      <c r="T59" s="459" t="e">
        <f t="shared" si="25"/>
        <v>#REF!</v>
      </c>
      <c r="U59" s="459" t="e">
        <f t="shared" si="25"/>
        <v>#REF!</v>
      </c>
      <c r="V59" s="459" t="e">
        <f t="shared" si="25"/>
        <v>#REF!</v>
      </c>
      <c r="W59" s="461" t="e">
        <f t="shared" si="25"/>
        <v>#REF!</v>
      </c>
      <c r="X59" s="460" t="e">
        <f t="shared" si="25"/>
        <v>#REF!</v>
      </c>
    </row>
    <row r="60" spans="1:26" s="121" customFormat="1">
      <c r="B60" s="452" t="s">
        <v>545</v>
      </c>
      <c r="C60" s="453"/>
      <c r="D60" s="462"/>
      <c r="E60" s="462" t="e">
        <f>E58+E55</f>
        <v>#REF!</v>
      </c>
      <c r="F60" s="462" t="e">
        <f t="shared" ref="F60:X60" si="26">F58+F55</f>
        <v>#REF!</v>
      </c>
      <c r="G60" s="462" t="e">
        <f t="shared" si="26"/>
        <v>#REF!</v>
      </c>
      <c r="H60" s="462" t="e">
        <f t="shared" si="26"/>
        <v>#REF!</v>
      </c>
      <c r="I60" s="462" t="e">
        <f t="shared" si="26"/>
        <v>#REF!</v>
      </c>
      <c r="J60" s="462" t="e">
        <f t="shared" si="26"/>
        <v>#REF!</v>
      </c>
      <c r="K60" s="462" t="e">
        <f t="shared" si="26"/>
        <v>#REF!</v>
      </c>
      <c r="L60" s="462" t="e">
        <f t="shared" si="26"/>
        <v>#REF!</v>
      </c>
      <c r="M60" s="462" t="e">
        <f t="shared" si="26"/>
        <v>#REF!</v>
      </c>
      <c r="N60" s="462" t="e">
        <f t="shared" si="26"/>
        <v>#REF!</v>
      </c>
      <c r="O60" s="462" t="e">
        <f t="shared" si="26"/>
        <v>#REF!</v>
      </c>
      <c r="P60" s="462" t="e">
        <f t="shared" si="26"/>
        <v>#REF!</v>
      </c>
      <c r="Q60" s="462" t="e">
        <f t="shared" si="26"/>
        <v>#REF!</v>
      </c>
      <c r="R60" s="462" t="e">
        <f t="shared" si="26"/>
        <v>#REF!</v>
      </c>
      <c r="S60" s="462" t="e">
        <f t="shared" si="26"/>
        <v>#REF!</v>
      </c>
      <c r="T60" s="462" t="e">
        <f t="shared" si="26"/>
        <v>#REF!</v>
      </c>
      <c r="U60" s="462" t="e">
        <f t="shared" si="26"/>
        <v>#REF!</v>
      </c>
      <c r="V60" s="462" t="e">
        <f t="shared" si="26"/>
        <v>#REF!</v>
      </c>
      <c r="W60" s="463" t="e">
        <f t="shared" si="26"/>
        <v>#REF!</v>
      </c>
      <c r="X60" s="462" t="e">
        <f t="shared" si="26"/>
        <v>#REF!</v>
      </c>
    </row>
    <row r="61" spans="1:26" s="121" customFormat="1" ht="15" customHeight="1" thickBot="1">
      <c r="B61" s="464"/>
      <c r="C61" s="465"/>
      <c r="D61" s="466"/>
      <c r="E61" s="467"/>
      <c r="F61" s="467"/>
      <c r="G61" s="468"/>
      <c r="H61" s="468"/>
      <c r="I61" s="468"/>
      <c r="J61" s="468"/>
      <c r="K61" s="468"/>
      <c r="L61" s="468"/>
      <c r="M61" s="468"/>
      <c r="N61" s="468"/>
      <c r="O61" s="468"/>
      <c r="P61" s="469"/>
      <c r="Q61" s="469"/>
      <c r="R61" s="469"/>
      <c r="S61" s="469"/>
      <c r="T61" s="469"/>
      <c r="U61" s="469"/>
      <c r="V61" s="469"/>
      <c r="W61" s="469"/>
      <c r="X61" s="469"/>
      <c r="Y61" s="469"/>
      <c r="Z61" s="469"/>
    </row>
    <row r="62" spans="1:26" s="121" customFormat="1" ht="15" customHeight="1">
      <c r="B62" s="470" t="s">
        <v>522</v>
      </c>
      <c r="C62" s="471"/>
      <c r="D62" s="472" t="e">
        <f>(K60/K34)*1000</f>
        <v>#REF!</v>
      </c>
      <c r="E62" s="467"/>
      <c r="F62" s="467"/>
      <c r="G62" s="468"/>
      <c r="H62" s="468"/>
      <c r="I62" s="468"/>
      <c r="J62" s="468"/>
      <c r="K62" s="468"/>
      <c r="L62" s="468"/>
      <c r="M62" s="468"/>
      <c r="N62" s="468"/>
      <c r="O62" s="468"/>
      <c r="P62" s="469"/>
      <c r="Q62" s="469"/>
      <c r="R62" s="469"/>
      <c r="S62" s="469"/>
      <c r="T62" s="469"/>
      <c r="U62" s="469"/>
      <c r="V62" s="469"/>
      <c r="W62" s="469"/>
      <c r="X62" s="469"/>
      <c r="Y62" s="469"/>
      <c r="Z62" s="469"/>
    </row>
    <row r="63" spans="1:26" s="121" customFormat="1" ht="15" customHeight="1">
      <c r="B63" s="473" t="s">
        <v>523</v>
      </c>
      <c r="C63" s="178"/>
      <c r="D63" s="474"/>
      <c r="E63" s="467"/>
      <c r="F63" s="467"/>
      <c r="G63" s="475"/>
      <c r="H63" s="468"/>
      <c r="I63" s="468"/>
      <c r="J63" s="468"/>
      <c r="K63" s="468"/>
      <c r="L63" s="468"/>
      <c r="M63" s="468"/>
      <c r="N63" s="468"/>
      <c r="O63" s="468"/>
      <c r="P63" s="469"/>
      <c r="Q63" s="469"/>
      <c r="R63" s="469"/>
      <c r="S63" s="469"/>
      <c r="T63" s="469"/>
      <c r="U63" s="469"/>
      <c r="V63" s="469"/>
      <c r="W63" s="469"/>
      <c r="X63" s="469"/>
      <c r="Y63" s="469"/>
      <c r="Z63" s="469"/>
    </row>
    <row r="64" spans="1:26" s="121" customFormat="1" ht="15" customHeight="1">
      <c r="B64" s="476" t="s">
        <v>328</v>
      </c>
      <c r="C64" s="477"/>
      <c r="D64" s="478">
        <v>0.1</v>
      </c>
      <c r="E64" s="467"/>
      <c r="F64" s="467"/>
      <c r="G64" s="468"/>
      <c r="H64" s="475"/>
      <c r="I64" s="468"/>
      <c r="J64" s="468"/>
      <c r="K64" s="468"/>
      <c r="L64" s="468"/>
      <c r="M64" s="468"/>
      <c r="N64" s="468"/>
      <c r="O64" s="468"/>
      <c r="P64" s="469"/>
      <c r="Q64" s="469"/>
      <c r="R64" s="469"/>
      <c r="S64" s="469"/>
      <c r="T64" s="469"/>
      <c r="U64" s="469"/>
      <c r="V64" s="469"/>
      <c r="W64" s="469"/>
      <c r="X64" s="469"/>
      <c r="Y64" s="469"/>
      <c r="Z64" s="469"/>
    </row>
    <row r="65" spans="2:26" s="121" customFormat="1" ht="15" customHeight="1">
      <c r="B65" s="476" t="s">
        <v>548</v>
      </c>
      <c r="C65" s="477"/>
      <c r="D65" s="474" t="e">
        <f>NPV(D64,E59:X59)</f>
        <v>#REF!</v>
      </c>
      <c r="E65" s="467"/>
      <c r="F65" s="467"/>
      <c r="G65" s="468"/>
      <c r="H65" s="468"/>
      <c r="I65" s="468"/>
      <c r="J65" s="468"/>
      <c r="K65" s="468"/>
      <c r="L65" s="468"/>
      <c r="M65" s="468"/>
      <c r="N65" s="468"/>
      <c r="O65" s="468"/>
      <c r="P65" s="469"/>
      <c r="Q65" s="469"/>
      <c r="R65" s="469"/>
      <c r="S65" s="469"/>
      <c r="T65" s="469"/>
      <c r="U65" s="469"/>
      <c r="V65" s="469"/>
      <c r="W65" s="469"/>
      <c r="X65" s="469"/>
      <c r="Y65" s="469"/>
      <c r="Z65" s="469"/>
    </row>
    <row r="66" spans="2:26" s="121" customFormat="1" ht="15" customHeight="1">
      <c r="B66" s="476" t="s">
        <v>326</v>
      </c>
      <c r="C66" s="477"/>
      <c r="D66" s="478" t="e">
        <f>IRR(E59:X59,0.1)</f>
        <v>#VALUE!</v>
      </c>
      <c r="E66" s="467"/>
      <c r="F66" s="467"/>
      <c r="G66" s="468"/>
      <c r="H66" s="468"/>
      <c r="I66" s="468"/>
      <c r="J66" s="468"/>
      <c r="K66" s="468"/>
      <c r="L66" s="468"/>
      <c r="M66" s="468"/>
      <c r="N66" s="468"/>
      <c r="O66" s="468"/>
      <c r="P66" s="469"/>
      <c r="Q66" s="469"/>
      <c r="R66" s="469"/>
      <c r="S66" s="469"/>
      <c r="T66" s="469"/>
      <c r="U66" s="469"/>
      <c r="V66" s="469"/>
      <c r="W66" s="469"/>
      <c r="X66" s="469"/>
      <c r="Y66" s="469"/>
      <c r="Z66" s="469"/>
    </row>
    <row r="67" spans="2:26" s="121" customFormat="1" ht="15" customHeight="1">
      <c r="B67" s="476" t="s">
        <v>549</v>
      </c>
      <c r="C67" s="477"/>
      <c r="D67" s="479">
        <f>NPV(D64,E42:X42)</f>
        <v>24677.73935624053</v>
      </c>
      <c r="E67" s="619"/>
      <c r="F67" s="467"/>
      <c r="G67" s="468"/>
      <c r="H67" s="468"/>
      <c r="I67" s="468"/>
      <c r="J67" s="468"/>
      <c r="K67" s="468"/>
      <c r="L67" s="468"/>
      <c r="M67" s="468"/>
      <c r="N67" s="468"/>
      <c r="O67" s="468"/>
      <c r="P67" s="469"/>
      <c r="Q67" s="469"/>
      <c r="R67" s="469"/>
      <c r="S67" s="469"/>
      <c r="T67" s="469"/>
      <c r="U67" s="469"/>
      <c r="V67" s="469"/>
      <c r="W67" s="469"/>
      <c r="X67" s="469"/>
      <c r="Y67" s="469"/>
      <c r="Z67" s="469"/>
    </row>
    <row r="68" spans="2:26" s="121" customFormat="1" ht="15" customHeight="1">
      <c r="B68" s="476" t="s">
        <v>550</v>
      </c>
      <c r="C68" s="477"/>
      <c r="D68" s="479" t="e">
        <f>NPV(D64,E56:X56)</f>
        <v>#REF!</v>
      </c>
      <c r="E68" s="619"/>
      <c r="F68" s="467"/>
      <c r="G68" s="468"/>
      <c r="H68" s="468"/>
      <c r="I68" s="468"/>
      <c r="J68" s="468"/>
      <c r="K68" s="468"/>
      <c r="L68" s="468"/>
      <c r="M68" s="468"/>
      <c r="N68" s="468"/>
      <c r="O68" s="468"/>
      <c r="P68" s="469"/>
      <c r="Q68" s="469"/>
      <c r="R68" s="469"/>
      <c r="S68" s="469"/>
      <c r="T68" s="469"/>
      <c r="U68" s="469"/>
      <c r="V68" s="469"/>
      <c r="W68" s="469"/>
      <c r="X68" s="469"/>
      <c r="Y68" s="469"/>
      <c r="Z68" s="469"/>
    </row>
    <row r="69" spans="2:26" s="121" customFormat="1" ht="15" customHeight="1">
      <c r="B69" s="476" t="s">
        <v>329</v>
      </c>
      <c r="C69" s="477"/>
      <c r="D69" s="480" t="e">
        <f>D67/D68</f>
        <v>#REF!</v>
      </c>
      <c r="E69" s="619"/>
      <c r="F69" s="467"/>
      <c r="G69" s="468"/>
      <c r="H69" s="468"/>
      <c r="I69" s="468"/>
      <c r="J69" s="468"/>
      <c r="K69" s="468"/>
      <c r="L69" s="468"/>
      <c r="M69" s="468"/>
      <c r="N69" s="468"/>
      <c r="O69" s="468"/>
      <c r="P69" s="469"/>
      <c r="Q69" s="469"/>
      <c r="R69" s="469"/>
      <c r="S69" s="469"/>
      <c r="T69" s="469"/>
      <c r="U69" s="469"/>
      <c r="V69" s="469"/>
      <c r="W69" s="469"/>
      <c r="X69" s="469"/>
      <c r="Y69" s="469"/>
      <c r="Z69" s="469"/>
    </row>
    <row r="70" spans="2:26" s="121" customFormat="1" ht="15" customHeight="1">
      <c r="B70" s="476" t="s">
        <v>330</v>
      </c>
      <c r="C70" s="477"/>
      <c r="D70" s="478" t="e">
        <f>+(D68-D67)/D67</f>
        <v>#REF!</v>
      </c>
      <c r="E70" s="619"/>
      <c r="F70" s="467"/>
      <c r="G70" s="468"/>
      <c r="H70" s="468"/>
      <c r="I70" s="468"/>
      <c r="J70" s="468"/>
      <c r="K70" s="468"/>
      <c r="L70" s="468"/>
      <c r="M70" s="468"/>
      <c r="N70" s="468"/>
      <c r="O70" s="468"/>
      <c r="P70" s="469"/>
      <c r="Q70" s="469"/>
      <c r="R70" s="469"/>
      <c r="S70" s="469"/>
      <c r="T70" s="469"/>
      <c r="U70" s="469"/>
      <c r="V70" s="469"/>
      <c r="W70" s="469"/>
      <c r="X70" s="469"/>
      <c r="Y70" s="469"/>
      <c r="Z70" s="469"/>
    </row>
    <row r="71" spans="2:26" s="121" customFormat="1" ht="15" customHeight="1" thickBot="1">
      <c r="B71" s="481" t="s">
        <v>331</v>
      </c>
      <c r="C71" s="482"/>
      <c r="D71" s="483" t="e">
        <f>(D67-D68)/D68</f>
        <v>#REF!</v>
      </c>
      <c r="E71" s="619"/>
      <c r="F71" s="467"/>
      <c r="G71" s="468"/>
      <c r="H71" s="468"/>
      <c r="I71" s="468"/>
      <c r="J71" s="468"/>
      <c r="K71" s="468"/>
      <c r="L71" s="468"/>
      <c r="M71" s="468"/>
      <c r="N71" s="468"/>
      <c r="O71" s="468"/>
      <c r="P71" s="469"/>
      <c r="Q71" s="469"/>
      <c r="R71" s="469"/>
      <c r="S71" s="469"/>
      <c r="T71" s="469"/>
      <c r="U71" s="469"/>
      <c r="V71" s="469"/>
      <c r="W71" s="469"/>
      <c r="X71" s="469"/>
      <c r="Y71" s="469"/>
      <c r="Z71" s="469"/>
    </row>
    <row r="73" spans="2:26">
      <c r="B73" s="76" t="s">
        <v>546</v>
      </c>
      <c r="J73" s="46"/>
      <c r="K73" s="46"/>
      <c r="L73" s="46"/>
      <c r="M73" s="46"/>
      <c r="N73" s="46"/>
      <c r="O73" s="46"/>
      <c r="P73" s="46"/>
      <c r="Q73" s="46"/>
    </row>
    <row r="74" spans="2:26">
      <c r="B74" s="484"/>
      <c r="C74" s="486"/>
      <c r="D74" s="487"/>
      <c r="E74" s="46"/>
      <c r="F74" s="46"/>
      <c r="G74" s="488"/>
      <c r="H74" s="489"/>
      <c r="I74" s="490"/>
      <c r="J74" s="46"/>
      <c r="K74" s="46"/>
      <c r="L74" s="491"/>
      <c r="M74" s="491"/>
      <c r="N74" s="492"/>
      <c r="O74" s="46"/>
    </row>
  </sheetData>
  <mergeCells count="1">
    <mergeCell ref="E36:X36"/>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2:X65"/>
  <sheetViews>
    <sheetView showGridLines="0" zoomScale="108" zoomScaleNormal="90" zoomScalePageLayoutView="90" workbookViewId="0">
      <selection activeCell="I43" sqref="I43"/>
    </sheetView>
  </sheetViews>
  <sheetFormatPr defaultColWidth="8.85546875" defaultRowHeight="12.75"/>
  <cols>
    <col min="1" max="1" width="8.85546875" style="547"/>
    <col min="2" max="2" width="6.42578125" style="35" customWidth="1"/>
    <col min="3" max="3" width="10.42578125" style="35" customWidth="1"/>
    <col min="4" max="4" width="12.85546875" style="35" bestFit="1" customWidth="1"/>
    <col min="5" max="5" width="8.85546875" style="35" bestFit="1" customWidth="1"/>
    <col min="6" max="6" width="11.85546875" style="35" customWidth="1"/>
    <col min="7" max="7" width="7.5703125" style="35" customWidth="1"/>
    <col min="8" max="8" width="9.5703125" style="35" customWidth="1"/>
    <col min="9" max="9" width="10" style="35" customWidth="1"/>
    <col min="10" max="12" width="7.42578125" style="35" customWidth="1"/>
    <col min="13" max="13" width="5.5703125" style="35" customWidth="1"/>
    <col min="14" max="14" width="7.42578125" style="35" customWidth="1"/>
    <col min="15" max="15" width="17.85546875" style="35" customWidth="1"/>
    <col min="16" max="17" width="7.85546875" style="35" customWidth="1"/>
    <col min="18" max="18" width="8.42578125" style="35" customWidth="1"/>
    <col min="19" max="19" width="10.5703125" style="35" bestFit="1" customWidth="1"/>
    <col min="20" max="20" width="8.85546875" style="35" customWidth="1"/>
    <col min="21" max="21" width="6.42578125" style="35" customWidth="1"/>
    <col min="22" max="22" width="8" style="35" customWidth="1"/>
    <col min="23" max="23" width="7.42578125" style="35" hidden="1" customWidth="1"/>
    <col min="24" max="24" width="13" style="35" hidden="1" customWidth="1"/>
    <col min="25" max="25" width="16.140625" style="35" customWidth="1"/>
    <col min="26" max="26" width="9.140625" style="35" bestFit="1" customWidth="1"/>
    <col min="27" max="28" width="9" style="35" bestFit="1" customWidth="1"/>
    <col min="29" max="30" width="9.140625" style="35" bestFit="1" customWidth="1"/>
    <col min="31" max="32" width="9" style="35" bestFit="1" customWidth="1"/>
    <col min="33" max="33" width="15" style="35" bestFit="1" customWidth="1"/>
    <col min="34" max="34" width="10.85546875" style="35" bestFit="1" customWidth="1"/>
    <col min="35" max="35" width="9.140625" style="35" bestFit="1" customWidth="1"/>
    <col min="36" max="36" width="9.42578125" style="35" bestFit="1" customWidth="1"/>
    <col min="37" max="37" width="10.85546875" style="35" bestFit="1" customWidth="1"/>
    <col min="38" max="16384" width="8.85546875" style="35"/>
  </cols>
  <sheetData>
    <row r="2" spans="1:15" s="529" customFormat="1">
      <c r="A2" s="546"/>
      <c r="B2" s="529" t="s">
        <v>339</v>
      </c>
    </row>
    <row r="3" spans="1:15" s="530" customFormat="1">
      <c r="A3" s="546"/>
      <c r="B3" s="530" t="s">
        <v>243</v>
      </c>
      <c r="C3" s="531" t="s">
        <v>557</v>
      </c>
    </row>
    <row r="4" spans="1:15" s="533" customFormat="1">
      <c r="A4" s="547"/>
      <c r="B4" s="530" t="s">
        <v>341</v>
      </c>
      <c r="C4" s="532" t="s">
        <v>558</v>
      </c>
      <c r="D4" s="532"/>
      <c r="E4" s="532"/>
    </row>
    <row r="5" spans="1:15" s="533" customFormat="1">
      <c r="A5" s="547"/>
      <c r="B5" s="530"/>
      <c r="C5" s="532" t="s">
        <v>559</v>
      </c>
      <c r="D5" s="531"/>
      <c r="E5" s="531"/>
    </row>
    <row r="6" spans="1:15" s="547" customFormat="1">
      <c r="B6" s="546" t="s">
        <v>560</v>
      </c>
    </row>
    <row r="7" spans="1:15">
      <c r="B7" s="35">
        <v>17.5</v>
      </c>
      <c r="C7" s="35" t="s">
        <v>561</v>
      </c>
    </row>
    <row r="8" spans="1:15">
      <c r="B8" s="35">
        <v>0.45</v>
      </c>
      <c r="C8" s="35" t="s">
        <v>562</v>
      </c>
    </row>
    <row r="9" spans="1:15">
      <c r="B9" s="35">
        <f>B7*B8</f>
        <v>7.875</v>
      </c>
      <c r="C9" s="35" t="s">
        <v>563</v>
      </c>
    </row>
    <row r="11" spans="1:15" s="610" customFormat="1" ht="15.75">
      <c r="A11" s="608"/>
      <c r="B11" s="609" t="s">
        <v>588</v>
      </c>
    </row>
    <row r="12" spans="1:15">
      <c r="B12" s="543" t="s">
        <v>585</v>
      </c>
      <c r="O12" s="611"/>
    </row>
    <row r="13" spans="1:15">
      <c r="B13" s="544" t="s">
        <v>586</v>
      </c>
    </row>
    <row r="14" spans="1:15">
      <c r="B14" s="544" t="s">
        <v>587</v>
      </c>
    </row>
    <row r="15" spans="1:15">
      <c r="B15" s="543" t="s">
        <v>589</v>
      </c>
    </row>
    <row r="17" spans="1:24" s="527" customFormat="1" ht="78.75">
      <c r="A17" s="548"/>
      <c r="B17" s="524" t="s">
        <v>195</v>
      </c>
      <c r="C17" s="524" t="s">
        <v>342</v>
      </c>
      <c r="D17" s="525" t="s">
        <v>343</v>
      </c>
      <c r="E17" s="525"/>
      <c r="F17" s="525" t="s">
        <v>344</v>
      </c>
      <c r="G17" s="525" t="s">
        <v>345</v>
      </c>
      <c r="H17" s="525" t="s">
        <v>564</v>
      </c>
      <c r="I17" s="525" t="s">
        <v>565</v>
      </c>
      <c r="J17" s="525" t="s">
        <v>566</v>
      </c>
      <c r="K17" s="525" t="s">
        <v>567</v>
      </c>
      <c r="L17" s="525"/>
      <c r="M17" s="526" t="s">
        <v>583</v>
      </c>
      <c r="N17" s="526" t="s">
        <v>584</v>
      </c>
      <c r="O17" s="526" t="str">
        <f>'TC4 wood fuel potential'!K36</f>
        <v>Conversion by a factor of 1.3 of harvested wood to that going into Klins (removed twigs, small branches) (MT)</v>
      </c>
      <c r="P17" s="526" t="str">
        <f>'TC4 wood fuel potential'!L36</f>
        <v>Charcoal equivalent at 20% efficiency/ MT</v>
      </c>
      <c r="Q17" s="526" t="str">
        <f>'TC4 wood fuel potential'!M36</f>
        <v>Charcoal whole sale price(Cedis)/ MT</v>
      </c>
      <c r="R17" s="526" t="s">
        <v>590</v>
      </c>
      <c r="S17" s="525" t="s">
        <v>568</v>
      </c>
      <c r="T17" s="525" t="s">
        <v>569</v>
      </c>
      <c r="U17" s="525" t="s">
        <v>347</v>
      </c>
      <c r="V17" s="525" t="s">
        <v>570</v>
      </c>
      <c r="W17" s="525" t="s">
        <v>571</v>
      </c>
    </row>
    <row r="18" spans="1:24">
      <c r="B18" s="534">
        <v>1</v>
      </c>
      <c r="C18" s="633">
        <v>1</v>
      </c>
      <c r="D18" s="534">
        <f>B9</f>
        <v>7.875</v>
      </c>
      <c r="E18" s="534"/>
      <c r="F18" s="535">
        <f>C18*D18</f>
        <v>7.875</v>
      </c>
      <c r="G18" s="634">
        <f>F18*0.1</f>
        <v>0.78750000000000009</v>
      </c>
      <c r="H18" s="535">
        <f>F18-G18</f>
        <v>7.0875000000000004</v>
      </c>
      <c r="I18" s="535">
        <f>H18*0.28</f>
        <v>1.9845000000000004</v>
      </c>
      <c r="J18" s="535">
        <v>0</v>
      </c>
      <c r="K18" s="535"/>
      <c r="L18" s="535"/>
      <c r="M18" s="536"/>
      <c r="N18" s="536"/>
      <c r="O18" s="545">
        <f>M18/1.3</f>
        <v>0</v>
      </c>
      <c r="P18" s="545">
        <f>O18*30%</f>
        <v>0</v>
      </c>
      <c r="Q18" s="536">
        <f>'TC4 wood fuel potential'!M38</f>
        <v>419.35483870967744</v>
      </c>
      <c r="R18" s="545">
        <f>P18*Q18</f>
        <v>0</v>
      </c>
      <c r="S18" s="535"/>
      <c r="T18" s="535"/>
      <c r="U18" s="535">
        <f>SUM(H18:I18)</f>
        <v>9.072000000000001</v>
      </c>
      <c r="V18" s="535">
        <f>U18</f>
        <v>9.072000000000001</v>
      </c>
      <c r="W18" s="535">
        <f>V18*0.47*44/12</f>
        <v>15.634079999999999</v>
      </c>
    </row>
    <row r="19" spans="1:24">
      <c r="B19" s="534">
        <v>2</v>
      </c>
      <c r="C19" s="633">
        <v>1</v>
      </c>
      <c r="D19" s="534">
        <f>D18</f>
        <v>7.875</v>
      </c>
      <c r="E19" s="534"/>
      <c r="F19" s="535">
        <f t="shared" ref="F19:F37" si="0">C19*D19</f>
        <v>7.875</v>
      </c>
      <c r="G19" s="634">
        <f t="shared" ref="G19:G37" si="1">F19*0.1</f>
        <v>0.78750000000000009</v>
      </c>
      <c r="H19" s="535">
        <f>F19-G19</f>
        <v>7.0875000000000004</v>
      </c>
      <c r="I19" s="535">
        <f>H19*0.28</f>
        <v>1.9845000000000004</v>
      </c>
      <c r="J19" s="535">
        <v>0</v>
      </c>
      <c r="K19" s="535"/>
      <c r="L19" s="535"/>
      <c r="M19" s="536"/>
      <c r="N19" s="536"/>
      <c r="O19" s="545">
        <f t="shared" ref="O19:O39" si="2">M19/1.3</f>
        <v>0</v>
      </c>
      <c r="P19" s="545">
        <f t="shared" ref="P19:P39" si="3">O19*30%</f>
        <v>0</v>
      </c>
      <c r="Q19" s="536">
        <f>'TC4 wood fuel potential'!M39</f>
        <v>419.35483870967744</v>
      </c>
      <c r="R19" s="545">
        <f t="shared" ref="R19:R39" si="4">P19*Q19</f>
        <v>0</v>
      </c>
      <c r="S19" s="535"/>
      <c r="T19" s="535"/>
      <c r="U19" s="535">
        <f>SUM(H19,I19,U18)</f>
        <v>18.144000000000002</v>
      </c>
      <c r="V19" s="535">
        <f>U19-U18</f>
        <v>9.072000000000001</v>
      </c>
      <c r="W19" s="535">
        <f t="shared" ref="W19:W37" si="5">((V19*0.47)*44/12)</f>
        <v>15.634079999999999</v>
      </c>
    </row>
    <row r="20" spans="1:24">
      <c r="B20" s="534">
        <v>3</v>
      </c>
      <c r="C20" s="633">
        <v>1</v>
      </c>
      <c r="D20" s="534">
        <f t="shared" ref="D20:D37" si="6">D19</f>
        <v>7.875</v>
      </c>
      <c r="E20" s="534"/>
      <c r="F20" s="535">
        <f t="shared" si="0"/>
        <v>7.875</v>
      </c>
      <c r="G20" s="634">
        <f t="shared" si="1"/>
        <v>0.78750000000000009</v>
      </c>
      <c r="H20" s="535">
        <f>F20-G20</f>
        <v>7.0875000000000004</v>
      </c>
      <c r="I20" s="535">
        <f>H20*0.28</f>
        <v>1.9845000000000004</v>
      </c>
      <c r="J20" s="535"/>
      <c r="K20" s="535"/>
      <c r="L20" s="535"/>
      <c r="M20" s="536"/>
      <c r="N20" s="536"/>
      <c r="O20" s="545">
        <f t="shared" si="2"/>
        <v>0</v>
      </c>
      <c r="P20" s="545">
        <f t="shared" si="3"/>
        <v>0</v>
      </c>
      <c r="Q20" s="536">
        <f>'TC4 wood fuel potential'!M40</f>
        <v>419.35483870967744</v>
      </c>
      <c r="R20" s="545">
        <f t="shared" si="4"/>
        <v>0</v>
      </c>
      <c r="S20" s="535"/>
      <c r="T20" s="535"/>
      <c r="U20" s="535">
        <f>SUM(H20,I20,U19)</f>
        <v>27.216000000000001</v>
      </c>
      <c r="V20" s="535">
        <f>U20-U19</f>
        <v>9.0719999999999992</v>
      </c>
      <c r="W20" s="535">
        <f t="shared" si="5"/>
        <v>15.634079999999997</v>
      </c>
    </row>
    <row r="21" spans="1:24">
      <c r="B21" s="534">
        <v>4</v>
      </c>
      <c r="C21" s="633">
        <v>1</v>
      </c>
      <c r="D21" s="534">
        <f t="shared" si="6"/>
        <v>7.875</v>
      </c>
      <c r="E21" s="534"/>
      <c r="F21" s="535">
        <f t="shared" si="0"/>
        <v>7.875</v>
      </c>
      <c r="G21" s="634">
        <f t="shared" si="1"/>
        <v>0.78750000000000009</v>
      </c>
      <c r="H21" s="535">
        <f>F21-G21</f>
        <v>7.0875000000000004</v>
      </c>
      <c r="I21" s="535">
        <f>H21*0.28</f>
        <v>1.9845000000000004</v>
      </c>
      <c r="J21" s="535">
        <f>(H18*4)*0.44</f>
        <v>12.474</v>
      </c>
      <c r="K21" s="535"/>
      <c r="L21" s="535"/>
      <c r="M21" s="536">
        <f>J21*100%</f>
        <v>12.474</v>
      </c>
      <c r="N21" s="536"/>
      <c r="O21" s="545">
        <f>M21/1.3</f>
        <v>9.5953846153846154</v>
      </c>
      <c r="P21" s="545">
        <f t="shared" si="3"/>
        <v>2.8786153846153844</v>
      </c>
      <c r="Q21" s="536">
        <f>'TC4 wood fuel potential'!M41</f>
        <v>419.35483870967744</v>
      </c>
      <c r="R21" s="545">
        <f>P21*Q21</f>
        <v>1207.1612903225805</v>
      </c>
      <c r="S21" s="535"/>
      <c r="T21" s="535"/>
      <c r="U21" s="535">
        <f>SUM(H21,I21,U20)-J21</f>
        <v>23.814000000000004</v>
      </c>
      <c r="V21" s="535">
        <f t="shared" ref="V21:V37" si="7">U21-U20</f>
        <v>-3.4019999999999975</v>
      </c>
      <c r="W21" s="535">
        <f t="shared" si="5"/>
        <v>-5.8627799999999946</v>
      </c>
    </row>
    <row r="22" spans="1:24">
      <c r="B22" s="534">
        <v>5</v>
      </c>
      <c r="C22" s="633">
        <v>1</v>
      </c>
      <c r="D22" s="534">
        <f t="shared" si="6"/>
        <v>7.875</v>
      </c>
      <c r="E22" s="534"/>
      <c r="F22" s="535">
        <f t="shared" si="0"/>
        <v>7.875</v>
      </c>
      <c r="G22" s="634">
        <v>1</v>
      </c>
      <c r="H22" s="535">
        <f t="shared" ref="H22:H37" si="8">F22-G22</f>
        <v>6.875</v>
      </c>
      <c r="I22" s="535">
        <f t="shared" ref="I22:I37" si="9">H22*0.28</f>
        <v>1.9250000000000003</v>
      </c>
      <c r="J22" s="535"/>
      <c r="K22" s="535"/>
      <c r="L22" s="535"/>
      <c r="M22" s="536"/>
      <c r="N22" s="536"/>
      <c r="O22" s="545"/>
      <c r="P22" s="545"/>
      <c r="Q22" s="536"/>
      <c r="R22" s="545">
        <f>P22*Q22</f>
        <v>0</v>
      </c>
      <c r="S22" s="535"/>
      <c r="T22" s="535"/>
      <c r="U22" s="535">
        <f>SUM(H22,I22,U21)-J22</f>
        <v>32.614000000000004</v>
      </c>
      <c r="V22" s="535">
        <f t="shared" si="7"/>
        <v>8.8000000000000007</v>
      </c>
      <c r="W22" s="535">
        <f t="shared" si="5"/>
        <v>15.165333333333335</v>
      </c>
    </row>
    <row r="23" spans="1:24">
      <c r="B23" s="534">
        <v>6</v>
      </c>
      <c r="C23" s="633">
        <v>1</v>
      </c>
      <c r="D23" s="534">
        <f t="shared" si="6"/>
        <v>7.875</v>
      </c>
      <c r="E23" s="534"/>
      <c r="F23" s="535">
        <f t="shared" si="0"/>
        <v>7.875</v>
      </c>
      <c r="G23" s="634">
        <f t="shared" si="1"/>
        <v>0.78750000000000009</v>
      </c>
      <c r="H23" s="535">
        <f t="shared" si="8"/>
        <v>7.0875000000000004</v>
      </c>
      <c r="I23" s="535">
        <f t="shared" si="9"/>
        <v>1.9845000000000004</v>
      </c>
      <c r="J23" s="535">
        <f>((H20-H19)*4)*0.44</f>
        <v>0</v>
      </c>
      <c r="K23" s="535"/>
      <c r="L23" s="535"/>
      <c r="M23" s="536"/>
      <c r="N23" s="536"/>
      <c r="O23" s="545">
        <f t="shared" si="2"/>
        <v>0</v>
      </c>
      <c r="P23" s="545">
        <f t="shared" si="3"/>
        <v>0</v>
      </c>
      <c r="Q23" s="536">
        <f>'TC4 wood fuel potential'!M43</f>
        <v>419.35483870967744</v>
      </c>
      <c r="R23" s="545">
        <f t="shared" si="4"/>
        <v>0</v>
      </c>
      <c r="S23" s="535"/>
      <c r="T23" s="535"/>
      <c r="U23" s="535">
        <f>SUM(H23,I23,U22)-J23</f>
        <v>41.686000000000007</v>
      </c>
      <c r="V23" s="535">
        <f>U23-U22</f>
        <v>9.0720000000000027</v>
      </c>
      <c r="W23" s="535">
        <f t="shared" si="5"/>
        <v>15.634080000000004</v>
      </c>
    </row>
    <row r="24" spans="1:24">
      <c r="B24" s="534">
        <v>7</v>
      </c>
      <c r="C24" s="633">
        <v>1</v>
      </c>
      <c r="D24" s="534">
        <f t="shared" si="6"/>
        <v>7.875</v>
      </c>
      <c r="E24" s="534"/>
      <c r="F24" s="535">
        <f t="shared" si="0"/>
        <v>7.875</v>
      </c>
      <c r="G24" s="634">
        <f t="shared" si="1"/>
        <v>0.78750000000000009</v>
      </c>
      <c r="H24" s="535">
        <f t="shared" si="8"/>
        <v>7.0875000000000004</v>
      </c>
      <c r="I24" s="535">
        <f t="shared" si="9"/>
        <v>1.9845000000000004</v>
      </c>
      <c r="J24" s="535">
        <f>J23</f>
        <v>0</v>
      </c>
      <c r="K24" s="535"/>
      <c r="L24" s="535"/>
      <c r="M24" s="536"/>
      <c r="N24" s="536"/>
      <c r="O24" s="545">
        <f t="shared" si="2"/>
        <v>0</v>
      </c>
      <c r="P24" s="545">
        <f t="shared" si="3"/>
        <v>0</v>
      </c>
      <c r="Q24" s="536">
        <f>'TC4 wood fuel potential'!M44</f>
        <v>419.35483870967744</v>
      </c>
      <c r="R24" s="545">
        <f t="shared" si="4"/>
        <v>0</v>
      </c>
      <c r="S24" s="535"/>
      <c r="T24" s="535"/>
      <c r="U24" s="535">
        <f>SUM(H24,I24,U23)-J24</f>
        <v>50.75800000000001</v>
      </c>
      <c r="V24" s="535">
        <f t="shared" si="7"/>
        <v>9.0720000000000027</v>
      </c>
      <c r="W24" s="535">
        <f t="shared" si="5"/>
        <v>15.634080000000004</v>
      </c>
      <c r="X24" s="42">
        <f>SUM(W18:W24)</f>
        <v>87.472953333333351</v>
      </c>
    </row>
    <row r="25" spans="1:24">
      <c r="B25" s="534">
        <v>8</v>
      </c>
      <c r="C25" s="633">
        <v>1</v>
      </c>
      <c r="D25" s="534">
        <f t="shared" si="6"/>
        <v>7.875</v>
      </c>
      <c r="E25" s="534"/>
      <c r="F25" s="535">
        <f t="shared" si="0"/>
        <v>7.875</v>
      </c>
      <c r="G25" s="634">
        <f t="shared" si="1"/>
        <v>0.78750000000000009</v>
      </c>
      <c r="H25" s="535">
        <f t="shared" si="8"/>
        <v>7.0875000000000004</v>
      </c>
      <c r="I25" s="535">
        <f t="shared" si="9"/>
        <v>1.9845000000000004</v>
      </c>
      <c r="J25" s="535">
        <f>(H22*4)*0.44</f>
        <v>12.1</v>
      </c>
      <c r="K25" s="535">
        <f>(H18*8-J21)*0.44</f>
        <v>19.459440000000001</v>
      </c>
      <c r="L25" s="535"/>
      <c r="M25" s="536">
        <f>J25</f>
        <v>12.1</v>
      </c>
      <c r="N25" s="536">
        <f>K25-M25</f>
        <v>7.3594400000000011</v>
      </c>
      <c r="O25" s="545">
        <f t="shared" si="2"/>
        <v>9.3076923076923066</v>
      </c>
      <c r="P25" s="545">
        <f t="shared" si="3"/>
        <v>2.7923076923076917</v>
      </c>
      <c r="Q25" s="536">
        <f>'TC4 wood fuel potential'!M45</f>
        <v>419.35483870967744</v>
      </c>
      <c r="R25" s="545">
        <f t="shared" si="4"/>
        <v>1170.9677419354837</v>
      </c>
      <c r="S25" s="535"/>
      <c r="T25" s="535"/>
      <c r="U25" s="535">
        <f>SUM(H25,I25,U24)-J25-K25</f>
        <v>28.27056000000001</v>
      </c>
      <c r="V25" s="535">
        <f t="shared" si="7"/>
        <v>-22.487439999999999</v>
      </c>
      <c r="W25" s="535">
        <f t="shared" si="5"/>
        <v>-38.753354933333327</v>
      </c>
    </row>
    <row r="26" spans="1:24">
      <c r="B26" s="534">
        <v>9</v>
      </c>
      <c r="C26" s="633">
        <v>1</v>
      </c>
      <c r="D26" s="534">
        <f t="shared" si="6"/>
        <v>7.875</v>
      </c>
      <c r="E26" s="534"/>
      <c r="F26" s="535">
        <f t="shared" si="0"/>
        <v>7.875</v>
      </c>
      <c r="G26" s="634">
        <f t="shared" si="1"/>
        <v>0.78750000000000009</v>
      </c>
      <c r="H26" s="535">
        <f t="shared" si="8"/>
        <v>7.0875000000000004</v>
      </c>
      <c r="I26" s="535">
        <f t="shared" si="9"/>
        <v>1.9845000000000004</v>
      </c>
      <c r="J26" s="535"/>
      <c r="K26" s="535"/>
      <c r="L26" s="535"/>
      <c r="M26" s="536"/>
      <c r="N26" s="536"/>
      <c r="O26" s="545"/>
      <c r="P26" s="545"/>
      <c r="Q26" s="536"/>
      <c r="R26" s="545"/>
      <c r="S26" s="535"/>
      <c r="T26" s="535"/>
      <c r="U26" s="535">
        <f>SUM(H26,I26,U25)-J26-K26</f>
        <v>37.342560000000013</v>
      </c>
      <c r="V26" s="535">
        <f t="shared" si="7"/>
        <v>9.0720000000000027</v>
      </c>
      <c r="W26" s="535">
        <f t="shared" si="5"/>
        <v>15.634080000000004</v>
      </c>
    </row>
    <row r="27" spans="1:24">
      <c r="B27" s="534">
        <v>10</v>
      </c>
      <c r="C27" s="633">
        <v>1</v>
      </c>
      <c r="D27" s="534">
        <f t="shared" si="6"/>
        <v>7.875</v>
      </c>
      <c r="E27" s="534"/>
      <c r="F27" s="535">
        <f t="shared" si="0"/>
        <v>7.875</v>
      </c>
      <c r="G27" s="634">
        <f t="shared" si="1"/>
        <v>0.78750000000000009</v>
      </c>
      <c r="H27" s="535">
        <f t="shared" si="8"/>
        <v>7.0875000000000004</v>
      </c>
      <c r="I27" s="535">
        <f t="shared" si="9"/>
        <v>1.9845000000000004</v>
      </c>
      <c r="J27" s="535"/>
      <c r="K27" s="535">
        <f>((H20-H19)*8)*0.4</f>
        <v>0</v>
      </c>
      <c r="L27" s="535"/>
      <c r="M27" s="536"/>
      <c r="N27" s="536"/>
      <c r="O27" s="545">
        <f t="shared" si="2"/>
        <v>0</v>
      </c>
      <c r="P27" s="545">
        <f t="shared" si="3"/>
        <v>0</v>
      </c>
      <c r="Q27" s="536">
        <f>'TC4 wood fuel potential'!M47</f>
        <v>419.35483870967744</v>
      </c>
      <c r="R27" s="545">
        <f t="shared" si="4"/>
        <v>0</v>
      </c>
      <c r="S27" s="535"/>
      <c r="T27" s="535"/>
      <c r="U27" s="535">
        <f>SUM(H27,I27,U26)-J27-K27</f>
        <v>46.414560000000016</v>
      </c>
      <c r="V27" s="535">
        <f t="shared" si="7"/>
        <v>9.0720000000000027</v>
      </c>
      <c r="W27" s="535">
        <f t="shared" si="5"/>
        <v>15.634080000000004</v>
      </c>
    </row>
    <row r="28" spans="1:24">
      <c r="B28" s="534">
        <v>11</v>
      </c>
      <c r="C28" s="633">
        <v>1</v>
      </c>
      <c r="D28" s="534">
        <f t="shared" si="6"/>
        <v>7.875</v>
      </c>
      <c r="E28" s="534"/>
      <c r="F28" s="535">
        <f t="shared" si="0"/>
        <v>7.875</v>
      </c>
      <c r="G28" s="634">
        <f t="shared" si="1"/>
        <v>0.78750000000000009</v>
      </c>
      <c r="H28" s="535">
        <f t="shared" si="8"/>
        <v>7.0875000000000004</v>
      </c>
      <c r="I28" s="535">
        <f t="shared" si="9"/>
        <v>1.9845000000000004</v>
      </c>
      <c r="J28" s="535"/>
      <c r="K28" s="535">
        <f>K27</f>
        <v>0</v>
      </c>
      <c r="L28" s="535"/>
      <c r="M28" s="536"/>
      <c r="N28" s="536"/>
      <c r="O28" s="545">
        <f t="shared" si="2"/>
        <v>0</v>
      </c>
      <c r="P28" s="545">
        <f t="shared" si="3"/>
        <v>0</v>
      </c>
      <c r="Q28" s="536">
        <f>'TC4 wood fuel potential'!M48</f>
        <v>419.35483870967744</v>
      </c>
      <c r="R28" s="545">
        <f t="shared" si="4"/>
        <v>0</v>
      </c>
      <c r="S28" s="535"/>
      <c r="T28" s="535"/>
      <c r="U28" s="535">
        <f>SUM(H28,I28,U27)-J28-K28</f>
        <v>55.486560000000019</v>
      </c>
      <c r="V28" s="535">
        <f t="shared" si="7"/>
        <v>9.0720000000000027</v>
      </c>
      <c r="W28" s="535">
        <f t="shared" si="5"/>
        <v>15.634080000000004</v>
      </c>
    </row>
    <row r="29" spans="1:24">
      <c r="B29" s="534">
        <v>12</v>
      </c>
      <c r="C29" s="633">
        <v>1</v>
      </c>
      <c r="D29" s="534">
        <f>D28</f>
        <v>7.875</v>
      </c>
      <c r="E29" s="534"/>
      <c r="F29" s="535">
        <f>C29*D29</f>
        <v>7.875</v>
      </c>
      <c r="G29" s="634">
        <f t="shared" si="1"/>
        <v>0.78750000000000009</v>
      </c>
      <c r="H29" s="535">
        <f t="shared" si="8"/>
        <v>7.0875000000000004</v>
      </c>
      <c r="I29" s="535">
        <f t="shared" si="9"/>
        <v>1.9845000000000004</v>
      </c>
      <c r="J29" s="535"/>
      <c r="K29" s="535">
        <f>K28</f>
        <v>0</v>
      </c>
      <c r="L29" s="535"/>
      <c r="M29" s="536"/>
      <c r="N29" s="536">
        <f>L29*70%</f>
        <v>0</v>
      </c>
      <c r="O29" s="545">
        <f>M29/1.3</f>
        <v>0</v>
      </c>
      <c r="P29" s="545">
        <f>O29*30%</f>
        <v>0</v>
      </c>
      <c r="Q29" s="536">
        <f>'TC4 wood fuel potential'!M49</f>
        <v>419.35483870967744</v>
      </c>
      <c r="R29" s="545">
        <f>P29*Q29</f>
        <v>0</v>
      </c>
      <c r="S29" s="535"/>
      <c r="T29" s="535"/>
      <c r="U29" s="535">
        <f>SUM(H29,I29,U28)-J29-K29-L29</f>
        <v>64.558560000000014</v>
      </c>
      <c r="V29" s="535">
        <f t="shared" si="7"/>
        <v>9.0719999999999956</v>
      </c>
      <c r="W29" s="535">
        <f t="shared" si="5"/>
        <v>15.63407999999999</v>
      </c>
    </row>
    <row r="30" spans="1:24">
      <c r="B30" s="534">
        <v>13</v>
      </c>
      <c r="C30" s="633">
        <v>1</v>
      </c>
      <c r="D30" s="534">
        <f>D29</f>
        <v>7.875</v>
      </c>
      <c r="E30" s="534"/>
      <c r="F30" s="535">
        <f t="shared" si="0"/>
        <v>7.875</v>
      </c>
      <c r="G30" s="634">
        <f t="shared" si="1"/>
        <v>0.78750000000000009</v>
      </c>
      <c r="H30" s="535">
        <f t="shared" si="8"/>
        <v>7.0875000000000004</v>
      </c>
      <c r="I30" s="535">
        <f t="shared" si="9"/>
        <v>1.9845000000000004</v>
      </c>
      <c r="J30" s="535"/>
      <c r="K30" s="535">
        <f>K29</f>
        <v>0</v>
      </c>
      <c r="L30" s="535"/>
      <c r="M30" s="536"/>
      <c r="N30" s="536">
        <f>L30*70%</f>
        <v>0</v>
      </c>
      <c r="O30" s="545"/>
      <c r="P30" s="545"/>
      <c r="R30" s="545"/>
      <c r="S30" s="535">
        <f>SUM(H18:I18)</f>
        <v>9.072000000000001</v>
      </c>
      <c r="T30" s="535"/>
      <c r="U30" s="535">
        <f>SUM(H30,I30,U29)-J30-K30-L30+S30</f>
        <v>82.70256000000002</v>
      </c>
      <c r="V30" s="535">
        <f t="shared" si="7"/>
        <v>18.144000000000005</v>
      </c>
      <c r="W30" s="535">
        <f t="shared" si="5"/>
        <v>31.268160000000009</v>
      </c>
    </row>
    <row r="31" spans="1:24">
      <c r="B31" s="534">
        <v>14</v>
      </c>
      <c r="C31" s="633">
        <v>1</v>
      </c>
      <c r="D31" s="534">
        <f t="shared" si="6"/>
        <v>7.875</v>
      </c>
      <c r="E31" s="534"/>
      <c r="F31" s="535">
        <f t="shared" si="0"/>
        <v>7.875</v>
      </c>
      <c r="G31" s="634">
        <f t="shared" si="1"/>
        <v>0.78750000000000009</v>
      </c>
      <c r="H31" s="535">
        <f t="shared" si="8"/>
        <v>7.0875000000000004</v>
      </c>
      <c r="I31" s="535">
        <f t="shared" si="9"/>
        <v>1.9845000000000004</v>
      </c>
      <c r="J31" s="535"/>
      <c r="K31" s="535">
        <f>K30</f>
        <v>0</v>
      </c>
      <c r="L31" s="535"/>
      <c r="M31" s="536"/>
      <c r="N31" s="536"/>
      <c r="O31" s="545">
        <f t="shared" si="2"/>
        <v>0</v>
      </c>
      <c r="P31" s="545">
        <f t="shared" si="3"/>
        <v>0</v>
      </c>
      <c r="Q31" s="536">
        <f>'TC4 wood fuel potential'!M51</f>
        <v>419.35483870967744</v>
      </c>
      <c r="R31" s="545">
        <f t="shared" si="4"/>
        <v>0</v>
      </c>
      <c r="S31" s="535">
        <f t="shared" ref="S31:S37" si="10">SUM(H19:I19)</f>
        <v>9.072000000000001</v>
      </c>
      <c r="T31" s="535"/>
      <c r="U31" s="535">
        <f>SUM(H31,I31,U30)-J31-K31-L31+S31</f>
        <v>100.84656000000003</v>
      </c>
      <c r="V31" s="535">
        <f t="shared" si="7"/>
        <v>18.144000000000005</v>
      </c>
      <c r="W31" s="535">
        <f t="shared" si="5"/>
        <v>31.268160000000009</v>
      </c>
    </row>
    <row r="32" spans="1:24">
      <c r="B32" s="534">
        <v>15</v>
      </c>
      <c r="C32" s="633">
        <v>1</v>
      </c>
      <c r="D32" s="534">
        <f t="shared" si="6"/>
        <v>7.875</v>
      </c>
      <c r="E32" s="534"/>
      <c r="F32" s="535">
        <f t="shared" si="0"/>
        <v>7.875</v>
      </c>
      <c r="G32" s="634">
        <f t="shared" si="1"/>
        <v>0.78750000000000009</v>
      </c>
      <c r="H32" s="535">
        <f t="shared" si="8"/>
        <v>7.0875000000000004</v>
      </c>
      <c r="I32" s="535">
        <f t="shared" si="9"/>
        <v>1.9845000000000004</v>
      </c>
      <c r="J32" s="535"/>
      <c r="K32" s="535"/>
      <c r="L32" s="535"/>
      <c r="M32" s="536"/>
      <c r="N32" s="536"/>
      <c r="O32" s="545">
        <f t="shared" si="2"/>
        <v>0</v>
      </c>
      <c r="P32" s="545">
        <f t="shared" si="3"/>
        <v>0</v>
      </c>
      <c r="Q32" s="536">
        <f>'TC4 wood fuel potential'!M52</f>
        <v>419.35483870967744</v>
      </c>
      <c r="R32" s="545">
        <f t="shared" si="4"/>
        <v>0</v>
      </c>
      <c r="S32" s="535">
        <f t="shared" si="10"/>
        <v>9.072000000000001</v>
      </c>
      <c r="T32" s="535"/>
      <c r="U32" s="535">
        <f>SUM(H32,I32,U31)-J32-K32-L32+S32</f>
        <v>118.99056000000003</v>
      </c>
      <c r="V32" s="535">
        <f t="shared" si="7"/>
        <v>18.144000000000005</v>
      </c>
      <c r="W32" s="535">
        <f t="shared" si="5"/>
        <v>31.268160000000009</v>
      </c>
    </row>
    <row r="33" spans="1:24">
      <c r="B33" s="534">
        <v>16</v>
      </c>
      <c r="C33" s="633">
        <v>1</v>
      </c>
      <c r="D33" s="534">
        <f t="shared" si="6"/>
        <v>7.875</v>
      </c>
      <c r="E33" s="534"/>
      <c r="F33" s="535">
        <f t="shared" si="0"/>
        <v>7.875</v>
      </c>
      <c r="G33" s="634">
        <f t="shared" si="1"/>
        <v>0.78750000000000009</v>
      </c>
      <c r="H33" s="535">
        <f t="shared" si="8"/>
        <v>7.0875000000000004</v>
      </c>
      <c r="I33" s="535">
        <f t="shared" si="9"/>
        <v>1.9845000000000004</v>
      </c>
      <c r="J33" s="535">
        <f>(H30*4)*0.44</f>
        <v>12.474</v>
      </c>
      <c r="K33" s="535"/>
      <c r="L33" s="535"/>
      <c r="M33" s="536">
        <f>J33</f>
        <v>12.474</v>
      </c>
      <c r="N33" s="536"/>
      <c r="O33" s="545">
        <v>12</v>
      </c>
      <c r="P33" s="545">
        <v>4</v>
      </c>
      <c r="Q33" s="536">
        <f>'TC4 wood fuel potential'!M53</f>
        <v>419.35483870967744</v>
      </c>
      <c r="R33" s="545">
        <v>1542</v>
      </c>
      <c r="S33" s="535">
        <f t="shared" si="10"/>
        <v>9.072000000000001</v>
      </c>
      <c r="T33" s="535">
        <f>J21</f>
        <v>12.474</v>
      </c>
      <c r="U33" s="535">
        <f>SUM(H33,I33,U32)-J33-K33-L33+S33-T33</f>
        <v>112.18656000000001</v>
      </c>
      <c r="V33" s="535">
        <f t="shared" si="7"/>
        <v>-6.8040000000000163</v>
      </c>
      <c r="W33" s="535">
        <f t="shared" si="5"/>
        <v>-11.725560000000028</v>
      </c>
    </row>
    <row r="34" spans="1:24">
      <c r="B34" s="534">
        <v>17</v>
      </c>
      <c r="C34" s="633">
        <v>1</v>
      </c>
      <c r="D34" s="534">
        <f>D33</f>
        <v>7.875</v>
      </c>
      <c r="E34" s="534"/>
      <c r="F34" s="535">
        <f t="shared" si="0"/>
        <v>7.875</v>
      </c>
      <c r="G34" s="634">
        <f t="shared" si="1"/>
        <v>0.78750000000000009</v>
      </c>
      <c r="H34" s="535">
        <f t="shared" si="8"/>
        <v>7.0875000000000004</v>
      </c>
      <c r="I34" s="535">
        <f t="shared" si="9"/>
        <v>1.9845000000000004</v>
      </c>
      <c r="J34" s="535"/>
      <c r="K34" s="535"/>
      <c r="L34" s="535"/>
      <c r="M34" s="536"/>
      <c r="N34" s="536"/>
      <c r="O34" s="545">
        <f t="shared" si="2"/>
        <v>0</v>
      </c>
      <c r="P34" s="545">
        <f t="shared" si="3"/>
        <v>0</v>
      </c>
      <c r="Q34" s="536">
        <f>'TC4 wood fuel potential'!M54</f>
        <v>419.35483870967744</v>
      </c>
      <c r="R34" s="545">
        <f t="shared" si="4"/>
        <v>0</v>
      </c>
      <c r="S34" s="536">
        <f>'TC4 wood fuel potential'!M50</f>
        <v>419.35483870967744</v>
      </c>
      <c r="T34" s="535">
        <f>J22</f>
        <v>0</v>
      </c>
      <c r="U34" s="535">
        <f>SUM(H34,I34,U33)-J34-K34-L34+S34-T34</f>
        <v>540.61339870967743</v>
      </c>
      <c r="V34" s="535">
        <f t="shared" si="7"/>
        <v>428.42683870967744</v>
      </c>
      <c r="W34" s="535">
        <f t="shared" si="5"/>
        <v>738.32225204301074</v>
      </c>
    </row>
    <row r="35" spans="1:24">
      <c r="B35" s="534">
        <v>18</v>
      </c>
      <c r="C35" s="633">
        <v>1</v>
      </c>
      <c r="D35" s="534">
        <f t="shared" si="6"/>
        <v>7.875</v>
      </c>
      <c r="E35" s="534"/>
      <c r="F35" s="535">
        <f t="shared" si="0"/>
        <v>7.875</v>
      </c>
      <c r="G35" s="634">
        <f t="shared" si="1"/>
        <v>0.78750000000000009</v>
      </c>
      <c r="H35" s="535">
        <f t="shared" si="8"/>
        <v>7.0875000000000004</v>
      </c>
      <c r="I35" s="535">
        <f t="shared" si="9"/>
        <v>1.9845000000000004</v>
      </c>
      <c r="J35" s="535"/>
      <c r="K35" s="535"/>
      <c r="L35" s="535"/>
      <c r="M35" s="536"/>
      <c r="N35" s="536"/>
      <c r="O35" s="545">
        <f t="shared" si="2"/>
        <v>0</v>
      </c>
      <c r="P35" s="545">
        <f t="shared" si="3"/>
        <v>0</v>
      </c>
      <c r="Q35" s="536">
        <f>'TC4 wood fuel potential'!M55</f>
        <v>419.35483870967744</v>
      </c>
      <c r="R35" s="545">
        <f t="shared" si="4"/>
        <v>0</v>
      </c>
      <c r="S35" s="535">
        <f t="shared" si="10"/>
        <v>9.072000000000001</v>
      </c>
      <c r="T35" s="535">
        <f>J23</f>
        <v>0</v>
      </c>
      <c r="U35" s="535">
        <f>SUM(H35,I35,U34)-J35-K35-L35+S35-T35</f>
        <v>558.75739870967743</v>
      </c>
      <c r="V35" s="535">
        <f t="shared" si="7"/>
        <v>18.144000000000005</v>
      </c>
      <c r="W35" s="535">
        <f t="shared" si="5"/>
        <v>31.268160000000009</v>
      </c>
    </row>
    <row r="36" spans="1:24">
      <c r="B36" s="534">
        <v>19</v>
      </c>
      <c r="C36" s="633">
        <v>1</v>
      </c>
      <c r="D36" s="534">
        <f t="shared" si="6"/>
        <v>7.875</v>
      </c>
      <c r="E36" s="534"/>
      <c r="F36" s="535">
        <f t="shared" si="0"/>
        <v>7.875</v>
      </c>
      <c r="G36" s="634">
        <f t="shared" si="1"/>
        <v>0.78750000000000009</v>
      </c>
      <c r="H36" s="535">
        <f t="shared" si="8"/>
        <v>7.0875000000000004</v>
      </c>
      <c r="I36" s="535">
        <f t="shared" si="9"/>
        <v>1.9845000000000004</v>
      </c>
      <c r="J36" s="535"/>
      <c r="K36" s="535"/>
      <c r="L36" s="535"/>
      <c r="M36" s="536"/>
      <c r="N36" s="536"/>
      <c r="O36" s="545">
        <f t="shared" si="2"/>
        <v>0</v>
      </c>
      <c r="P36" s="545">
        <f t="shared" si="3"/>
        <v>0</v>
      </c>
      <c r="Q36" s="536">
        <f>'TC4 wood fuel potential'!M56</f>
        <v>419.35483870967744</v>
      </c>
      <c r="R36" s="545">
        <f t="shared" si="4"/>
        <v>0</v>
      </c>
      <c r="S36" s="535">
        <f t="shared" si="10"/>
        <v>9.072000000000001</v>
      </c>
      <c r="T36" s="535">
        <f>J24</f>
        <v>0</v>
      </c>
      <c r="U36" s="535">
        <f>SUM(H36,I36,U35)-J36-K36-L36+S36-T36</f>
        <v>576.90139870967744</v>
      </c>
      <c r="V36" s="535">
        <f t="shared" si="7"/>
        <v>18.144000000000005</v>
      </c>
      <c r="W36" s="535">
        <f t="shared" si="5"/>
        <v>31.268160000000009</v>
      </c>
    </row>
    <row r="37" spans="1:24">
      <c r="B37" s="534">
        <v>20</v>
      </c>
      <c r="C37" s="633">
        <v>1</v>
      </c>
      <c r="D37" s="534">
        <f t="shared" si="6"/>
        <v>7.875</v>
      </c>
      <c r="E37" s="534"/>
      <c r="F37" s="535">
        <f t="shared" si="0"/>
        <v>7.875</v>
      </c>
      <c r="G37" s="634">
        <f t="shared" si="1"/>
        <v>0.78750000000000009</v>
      </c>
      <c r="H37" s="535">
        <f t="shared" si="8"/>
        <v>7.0875000000000004</v>
      </c>
      <c r="I37" s="535">
        <f t="shared" si="9"/>
        <v>1.9845000000000004</v>
      </c>
      <c r="J37" s="535"/>
      <c r="K37" s="535"/>
      <c r="L37" s="535"/>
      <c r="M37" s="536"/>
      <c r="N37" s="536"/>
      <c r="O37" s="545">
        <f t="shared" si="2"/>
        <v>0</v>
      </c>
      <c r="P37" s="545">
        <f t="shared" si="3"/>
        <v>0</v>
      </c>
      <c r="Q37" s="536">
        <f>'TC4 wood fuel potential'!M57</f>
        <v>419.35483870967744</v>
      </c>
      <c r="R37" s="545">
        <f>R33</f>
        <v>1542</v>
      </c>
      <c r="S37" s="535">
        <f t="shared" si="10"/>
        <v>9.072000000000001</v>
      </c>
      <c r="T37" s="535">
        <f>J25</f>
        <v>12.1</v>
      </c>
      <c r="U37" s="535">
        <f>SUM(H37,I37,U36)-J37-K37-L37+S37-T37</f>
        <v>582.94539870967742</v>
      </c>
      <c r="V37" s="535">
        <f t="shared" si="7"/>
        <v>6.0439999999999827</v>
      </c>
      <c r="W37" s="535">
        <f t="shared" si="5"/>
        <v>10.415826666666637</v>
      </c>
      <c r="X37" s="42">
        <f>SUM(W18:W37)</f>
        <v>1004.6092371096773</v>
      </c>
    </row>
    <row r="38" spans="1:24">
      <c r="B38" s="537" t="s">
        <v>324</v>
      </c>
      <c r="C38" s="535"/>
      <c r="D38" s="534"/>
      <c r="E38" s="534"/>
      <c r="F38" s="535"/>
      <c r="G38" s="634"/>
      <c r="H38" s="538"/>
      <c r="I38" s="535"/>
      <c r="J38" s="535"/>
      <c r="K38" s="535"/>
      <c r="L38" s="535"/>
      <c r="M38" s="536"/>
      <c r="N38" s="536"/>
      <c r="O38" s="545">
        <f t="shared" si="2"/>
        <v>0</v>
      </c>
      <c r="P38" s="545">
        <f t="shared" si="3"/>
        <v>0</v>
      </c>
      <c r="Q38" s="536">
        <f>'TC4 wood fuel potential'!M58</f>
        <v>0</v>
      </c>
      <c r="R38" s="545">
        <f t="shared" si="4"/>
        <v>0</v>
      </c>
      <c r="S38" s="535"/>
      <c r="T38" s="535"/>
      <c r="U38" s="535" t="s">
        <v>572</v>
      </c>
      <c r="V38" s="535"/>
      <c r="W38" s="535">
        <f>SUM(W18:W24)</f>
        <v>87.472953333333351</v>
      </c>
    </row>
    <row r="39" spans="1:24">
      <c r="B39" s="537"/>
      <c r="C39" s="535"/>
      <c r="D39" s="534"/>
      <c r="E39" s="534"/>
      <c r="F39" s="535"/>
      <c r="G39" s="535"/>
      <c r="H39" s="538"/>
      <c r="I39" s="535"/>
      <c r="J39" s="535"/>
      <c r="K39" s="535"/>
      <c r="L39" s="535"/>
      <c r="M39" s="536"/>
      <c r="N39" s="536"/>
      <c r="O39" s="545">
        <f t="shared" si="2"/>
        <v>0</v>
      </c>
      <c r="P39" s="545">
        <f t="shared" si="3"/>
        <v>0</v>
      </c>
      <c r="Q39" s="536">
        <f>'TC4 wood fuel potential'!M59</f>
        <v>0</v>
      </c>
      <c r="R39" s="545">
        <f t="shared" si="4"/>
        <v>0</v>
      </c>
      <c r="S39" s="535"/>
      <c r="T39" s="66"/>
      <c r="U39" s="535" t="s">
        <v>573</v>
      </c>
      <c r="V39" s="535"/>
      <c r="W39" s="535">
        <f>SUM(W18:W37)</f>
        <v>1004.6092371096773</v>
      </c>
    </row>
    <row r="41" spans="1:24" ht="12.75" customHeight="1">
      <c r="B41" s="773" t="s">
        <v>350</v>
      </c>
      <c r="C41" s="773"/>
      <c r="D41" s="773"/>
      <c r="E41" s="773"/>
      <c r="F41" s="773"/>
      <c r="G41" s="539"/>
      <c r="H41" s="539"/>
      <c r="I41" s="539"/>
      <c r="J41" s="539"/>
      <c r="O41" s="611"/>
    </row>
    <row r="43" spans="1:24" s="211" customFormat="1" ht="102">
      <c r="A43" s="549"/>
      <c r="B43" s="292" t="s">
        <v>313</v>
      </c>
      <c r="C43" s="292" t="s">
        <v>314</v>
      </c>
      <c r="D43" s="540" t="s">
        <v>574</v>
      </c>
      <c r="E43" s="540" t="s">
        <v>315</v>
      </c>
      <c r="F43" s="540" t="s">
        <v>316</v>
      </c>
      <c r="G43" s="540" t="s">
        <v>317</v>
      </c>
      <c r="H43" s="540" t="s">
        <v>318</v>
      </c>
      <c r="I43" s="669" t="s">
        <v>319</v>
      </c>
      <c r="J43" s="669" t="s">
        <v>575</v>
      </c>
      <c r="K43" s="669" t="s">
        <v>320</v>
      </c>
      <c r="L43" s="540" t="s">
        <v>321</v>
      </c>
      <c r="M43" s="540" t="s">
        <v>576</v>
      </c>
      <c r="N43" s="540" t="s">
        <v>577</v>
      </c>
      <c r="O43" s="540" t="s">
        <v>578</v>
      </c>
      <c r="P43" s="540" t="s">
        <v>579</v>
      </c>
      <c r="Q43" s="540" t="s">
        <v>580</v>
      </c>
      <c r="R43" s="541" t="s">
        <v>581</v>
      </c>
    </row>
    <row r="44" spans="1:24">
      <c r="B44" s="66">
        <v>1</v>
      </c>
      <c r="C44" s="143">
        <v>0</v>
      </c>
      <c r="D44" s="66">
        <v>0</v>
      </c>
      <c r="E44" s="143">
        <v>12</v>
      </c>
      <c r="F44" s="143">
        <f>E44*D44</f>
        <v>0</v>
      </c>
      <c r="G44" s="143"/>
      <c r="H44" s="143">
        <f>F44</f>
        <v>0</v>
      </c>
      <c r="I44" s="670">
        <v>2.4</v>
      </c>
      <c r="J44" s="670">
        <v>0.47</v>
      </c>
      <c r="K44" s="671">
        <f>C44*I44*J44</f>
        <v>0</v>
      </c>
      <c r="L44" s="67">
        <f>SUM(K44+H44)</f>
        <v>0</v>
      </c>
      <c r="M44" s="67"/>
      <c r="N44" s="198">
        <f>(D44*0.1*(4.6*0.47))*0.47</f>
        <v>0</v>
      </c>
      <c r="O44" s="67">
        <v>0</v>
      </c>
      <c r="P44" s="67">
        <f t="shared" ref="P44:P64" si="11">L44-O44-N44-M44</f>
        <v>0</v>
      </c>
      <c r="Q44" s="198">
        <f t="shared" ref="Q44:Q64" si="12">P44-H44</f>
        <v>0</v>
      </c>
      <c r="R44" s="36">
        <f>Q44*44/12</f>
        <v>0</v>
      </c>
    </row>
    <row r="45" spans="1:24">
      <c r="B45" s="66">
        <v>2</v>
      </c>
      <c r="C45" s="535">
        <v>1</v>
      </c>
      <c r="D45" s="143">
        <f>C45</f>
        <v>1</v>
      </c>
      <c r="E45" s="67">
        <v>12</v>
      </c>
      <c r="F45" s="67">
        <f>E45*D45</f>
        <v>12</v>
      </c>
      <c r="G45" s="67">
        <f t="shared" ref="G45:G50" si="13">P44</f>
        <v>0</v>
      </c>
      <c r="H45" s="67">
        <f t="shared" ref="H45:H50" si="14">G45+F45</f>
        <v>12</v>
      </c>
      <c r="I45" s="672">
        <v>2.4</v>
      </c>
      <c r="J45" s="673">
        <v>0.47</v>
      </c>
      <c r="K45" s="671">
        <f>D45*I45*J45</f>
        <v>1.1279999999999999</v>
      </c>
      <c r="L45" s="67">
        <f>SUM(K45+H45)</f>
        <v>13.128</v>
      </c>
      <c r="M45" s="67"/>
      <c r="N45" s="198">
        <f>(D45*0.1*(4.6*0.47))*0.47</f>
        <v>0.101614</v>
      </c>
      <c r="O45" s="67">
        <v>0</v>
      </c>
      <c r="P45" s="67">
        <f t="shared" si="11"/>
        <v>13.026386</v>
      </c>
      <c r="Q45" s="198">
        <f t="shared" si="12"/>
        <v>1.0263860000000005</v>
      </c>
      <c r="R45" s="621">
        <f>Q45*44/12</f>
        <v>3.7634153333333349</v>
      </c>
    </row>
    <row r="46" spans="1:24">
      <c r="B46" s="66">
        <v>3</v>
      </c>
      <c r="C46" s="535">
        <v>1</v>
      </c>
      <c r="D46" s="143">
        <f t="shared" ref="D46:D64" si="15">C46</f>
        <v>1</v>
      </c>
      <c r="E46" s="67">
        <v>12</v>
      </c>
      <c r="F46" s="67">
        <f>E46*D$45</f>
        <v>12</v>
      </c>
      <c r="G46" s="67">
        <f t="shared" si="13"/>
        <v>13.026386</v>
      </c>
      <c r="H46" s="67">
        <f t="shared" si="14"/>
        <v>25.026386000000002</v>
      </c>
      <c r="I46" s="672">
        <v>2.4</v>
      </c>
      <c r="J46" s="673">
        <v>0.47</v>
      </c>
      <c r="K46" s="671">
        <f t="shared" ref="K46:K63" si="16">D46*I46*J46</f>
        <v>1.1279999999999999</v>
      </c>
      <c r="L46" s="67">
        <f>SUM(K46+H46)</f>
        <v>26.154386000000002</v>
      </c>
      <c r="M46" s="67"/>
      <c r="N46" s="198">
        <f t="shared" ref="N46:N63" si="17">(D46*0.1*(4.6*0.47))*0.47</f>
        <v>0.101614</v>
      </c>
      <c r="O46" s="67">
        <v>0</v>
      </c>
      <c r="P46" s="67">
        <f t="shared" si="11"/>
        <v>26.052772000000001</v>
      </c>
      <c r="Q46" s="198">
        <f t="shared" si="12"/>
        <v>1.0263859999999987</v>
      </c>
      <c r="R46" s="621">
        <f t="shared" ref="R46:R64" si="18">Q46*44/12</f>
        <v>3.7634153333333287</v>
      </c>
    </row>
    <row r="47" spans="1:24">
      <c r="B47" s="66">
        <v>4</v>
      </c>
      <c r="C47" s="535">
        <v>1</v>
      </c>
      <c r="D47" s="143">
        <f t="shared" si="15"/>
        <v>1</v>
      </c>
      <c r="E47" s="67">
        <v>12</v>
      </c>
      <c r="F47" s="67">
        <f>E47*D$45</f>
        <v>12</v>
      </c>
      <c r="G47" s="67">
        <f t="shared" si="13"/>
        <v>26.052772000000001</v>
      </c>
      <c r="H47" s="67">
        <f t="shared" si="14"/>
        <v>38.052772000000004</v>
      </c>
      <c r="I47" s="672">
        <v>2.4</v>
      </c>
      <c r="J47" s="673">
        <v>0.47</v>
      </c>
      <c r="K47" s="671">
        <f t="shared" si="16"/>
        <v>1.1279999999999999</v>
      </c>
      <c r="L47" s="67">
        <f>SUM(K47+H47)</f>
        <v>39.180772000000005</v>
      </c>
      <c r="M47" s="67"/>
      <c r="N47" s="198">
        <f t="shared" si="17"/>
        <v>0.101614</v>
      </c>
      <c r="O47" s="67">
        <v>0</v>
      </c>
      <c r="P47" s="67">
        <f t="shared" si="11"/>
        <v>39.079158000000007</v>
      </c>
      <c r="Q47" s="198">
        <f t="shared" si="12"/>
        <v>1.0263860000000022</v>
      </c>
      <c r="R47" s="621">
        <f t="shared" si="18"/>
        <v>3.7634153333333416</v>
      </c>
    </row>
    <row r="48" spans="1:24">
      <c r="B48" s="66">
        <v>5</v>
      </c>
      <c r="C48" s="535">
        <v>1</v>
      </c>
      <c r="D48" s="143">
        <f t="shared" si="15"/>
        <v>1</v>
      </c>
      <c r="E48" s="67">
        <v>12</v>
      </c>
      <c r="F48" s="67">
        <f>E48*D$45</f>
        <v>12</v>
      </c>
      <c r="G48" s="67">
        <f t="shared" si="13"/>
        <v>39.079158000000007</v>
      </c>
      <c r="H48" s="67">
        <f t="shared" si="14"/>
        <v>51.079158000000007</v>
      </c>
      <c r="I48" s="672">
        <v>2.4</v>
      </c>
      <c r="J48" s="673">
        <v>0.47</v>
      </c>
      <c r="K48" s="671">
        <f t="shared" si="16"/>
        <v>1.1279999999999999</v>
      </c>
      <c r="L48" s="67">
        <f>SUM(K48+H48)</f>
        <v>52.207158000000007</v>
      </c>
      <c r="M48" s="67"/>
      <c r="N48" s="198">
        <f t="shared" si="17"/>
        <v>0.101614</v>
      </c>
      <c r="O48" s="67">
        <v>0</v>
      </c>
      <c r="P48" s="67">
        <f t="shared" si="11"/>
        <v>52.105544000000009</v>
      </c>
      <c r="Q48" s="198">
        <f t="shared" si="12"/>
        <v>1.0263860000000022</v>
      </c>
      <c r="R48" s="621">
        <f t="shared" si="18"/>
        <v>3.7634153333333416</v>
      </c>
      <c r="S48" s="542"/>
    </row>
    <row r="49" spans="1:19">
      <c r="B49" s="66">
        <v>6</v>
      </c>
      <c r="C49" s="535">
        <v>1</v>
      </c>
      <c r="D49" s="143">
        <f t="shared" si="15"/>
        <v>1</v>
      </c>
      <c r="E49" s="67">
        <v>12</v>
      </c>
      <c r="F49" s="67">
        <f>E49*D$45</f>
        <v>12</v>
      </c>
      <c r="G49" s="67">
        <f t="shared" si="13"/>
        <v>52.105544000000009</v>
      </c>
      <c r="H49" s="67">
        <f t="shared" si="14"/>
        <v>64.105544000000009</v>
      </c>
      <c r="I49" s="670">
        <v>2.4</v>
      </c>
      <c r="J49" s="670">
        <v>0.47</v>
      </c>
      <c r="K49" s="671">
        <f t="shared" si="16"/>
        <v>1.1279999999999999</v>
      </c>
      <c r="L49" s="67">
        <f>K49+H49</f>
        <v>65.233544000000009</v>
      </c>
      <c r="M49" s="67"/>
      <c r="N49" s="198">
        <f t="shared" si="17"/>
        <v>0.101614</v>
      </c>
      <c r="O49" s="67">
        <v>0</v>
      </c>
      <c r="P49" s="67">
        <f t="shared" si="11"/>
        <v>65.131930000000011</v>
      </c>
      <c r="Q49" s="198">
        <f t="shared" si="12"/>
        <v>1.0263860000000022</v>
      </c>
      <c r="R49" s="129">
        <f t="shared" si="18"/>
        <v>3.7634153333333416</v>
      </c>
      <c r="S49" s="76" t="s">
        <v>582</v>
      </c>
    </row>
    <row r="50" spans="1:19">
      <c r="B50" s="66">
        <v>7</v>
      </c>
      <c r="C50" s="535">
        <v>1</v>
      </c>
      <c r="D50" s="143">
        <f t="shared" si="15"/>
        <v>1</v>
      </c>
      <c r="E50" s="67">
        <v>12</v>
      </c>
      <c r="F50" s="67">
        <f>E50*D$45</f>
        <v>12</v>
      </c>
      <c r="G50" s="67">
        <f t="shared" si="13"/>
        <v>65.131930000000011</v>
      </c>
      <c r="H50" s="67">
        <f t="shared" si="14"/>
        <v>77.131930000000011</v>
      </c>
      <c r="I50" s="670">
        <v>2.4</v>
      </c>
      <c r="J50" s="670">
        <v>0.47</v>
      </c>
      <c r="K50" s="671">
        <f t="shared" si="16"/>
        <v>1.1279999999999999</v>
      </c>
      <c r="L50" s="67">
        <f t="shared" ref="L50:L63" si="19">K50+H50</f>
        <v>78.259930000000011</v>
      </c>
      <c r="M50" s="67"/>
      <c r="N50" s="198">
        <f t="shared" si="17"/>
        <v>0.101614</v>
      </c>
      <c r="O50" s="67">
        <v>0</v>
      </c>
      <c r="P50" s="67">
        <f t="shared" si="11"/>
        <v>78.158316000000013</v>
      </c>
      <c r="Q50" s="198">
        <f t="shared" si="12"/>
        <v>1.0263860000000022</v>
      </c>
      <c r="R50" s="129">
        <f t="shared" si="18"/>
        <v>3.7634153333333416</v>
      </c>
      <c r="S50" s="620">
        <f>SUM(R44:R50)</f>
        <v>22.580492000000028</v>
      </c>
    </row>
    <row r="51" spans="1:19">
      <c r="B51" s="66">
        <v>8</v>
      </c>
      <c r="C51" s="535">
        <v>1</v>
      </c>
      <c r="D51" s="143">
        <f t="shared" si="15"/>
        <v>1</v>
      </c>
      <c r="E51" s="143"/>
      <c r="F51" s="143"/>
      <c r="G51" s="143"/>
      <c r="H51" s="143">
        <f t="shared" ref="H51:H63" si="20">L50-O50</f>
        <v>78.259930000000011</v>
      </c>
      <c r="I51" s="670">
        <v>2.4</v>
      </c>
      <c r="J51" s="670">
        <v>0.47</v>
      </c>
      <c r="K51" s="671">
        <f t="shared" si="16"/>
        <v>1.1279999999999999</v>
      </c>
      <c r="L51" s="67">
        <f t="shared" si="19"/>
        <v>79.387930000000011</v>
      </c>
      <c r="M51" s="67"/>
      <c r="N51" s="198">
        <f t="shared" si="17"/>
        <v>0.101614</v>
      </c>
      <c r="O51" s="67">
        <v>0</v>
      </c>
      <c r="P51" s="67">
        <f t="shared" si="11"/>
        <v>79.286316000000014</v>
      </c>
      <c r="Q51" s="198">
        <f t="shared" si="12"/>
        <v>1.0263860000000022</v>
      </c>
      <c r="R51" s="150">
        <f t="shared" si="18"/>
        <v>3.7634153333333416</v>
      </c>
    </row>
    <row r="52" spans="1:19">
      <c r="B52" s="66">
        <v>9</v>
      </c>
      <c r="C52" s="535">
        <v>1</v>
      </c>
      <c r="D52" s="143">
        <f t="shared" si="15"/>
        <v>1</v>
      </c>
      <c r="E52" s="143"/>
      <c r="F52" s="143"/>
      <c r="G52" s="143"/>
      <c r="H52" s="143">
        <f t="shared" si="20"/>
        <v>79.387930000000011</v>
      </c>
      <c r="I52" s="670">
        <v>2.4</v>
      </c>
      <c r="J52" s="670">
        <v>0.47</v>
      </c>
      <c r="K52" s="671">
        <f t="shared" si="16"/>
        <v>1.1279999999999999</v>
      </c>
      <c r="L52" s="67">
        <f t="shared" si="19"/>
        <v>80.515930000000012</v>
      </c>
      <c r="M52" s="67"/>
      <c r="N52" s="198">
        <f t="shared" si="17"/>
        <v>0.101614</v>
      </c>
      <c r="O52" s="67">
        <v>0</v>
      </c>
      <c r="P52" s="67">
        <f t="shared" si="11"/>
        <v>80.414316000000014</v>
      </c>
      <c r="Q52" s="198">
        <f t="shared" si="12"/>
        <v>1.0263860000000022</v>
      </c>
      <c r="R52" s="150">
        <f t="shared" si="18"/>
        <v>3.7634153333333416</v>
      </c>
    </row>
    <row r="53" spans="1:19">
      <c r="B53" s="66">
        <v>10</v>
      </c>
      <c r="C53" s="535">
        <v>1</v>
      </c>
      <c r="D53" s="143">
        <f t="shared" si="15"/>
        <v>1</v>
      </c>
      <c r="E53" s="143"/>
      <c r="F53" s="143"/>
      <c r="G53" s="143"/>
      <c r="H53" s="143">
        <f t="shared" si="20"/>
        <v>80.515930000000012</v>
      </c>
      <c r="I53" s="670">
        <v>2.4</v>
      </c>
      <c r="J53" s="670">
        <v>0.47</v>
      </c>
      <c r="K53" s="671">
        <f t="shared" si="16"/>
        <v>1.1279999999999999</v>
      </c>
      <c r="L53" s="67">
        <f t="shared" si="19"/>
        <v>81.643930000000012</v>
      </c>
      <c r="M53" s="67"/>
      <c r="N53" s="198">
        <f t="shared" si="17"/>
        <v>0.101614</v>
      </c>
      <c r="O53" s="67">
        <v>0</v>
      </c>
      <c r="P53" s="67">
        <f t="shared" si="11"/>
        <v>81.542316000000014</v>
      </c>
      <c r="Q53" s="198">
        <f t="shared" si="12"/>
        <v>1.0263860000000022</v>
      </c>
      <c r="R53" s="150">
        <f t="shared" si="18"/>
        <v>3.7634153333333416</v>
      </c>
    </row>
    <row r="54" spans="1:19" s="529" customFormat="1">
      <c r="A54" s="546"/>
      <c r="B54" s="66">
        <v>11</v>
      </c>
      <c r="C54" s="535">
        <v>1</v>
      </c>
      <c r="D54" s="143">
        <f t="shared" si="15"/>
        <v>1</v>
      </c>
      <c r="E54" s="143"/>
      <c r="F54" s="143"/>
      <c r="G54" s="143"/>
      <c r="H54" s="143">
        <f t="shared" si="20"/>
        <v>81.643930000000012</v>
      </c>
      <c r="I54" s="670">
        <v>2.4</v>
      </c>
      <c r="J54" s="670">
        <v>0.47</v>
      </c>
      <c r="K54" s="671">
        <f t="shared" si="16"/>
        <v>1.1279999999999999</v>
      </c>
      <c r="L54" s="67">
        <f t="shared" si="19"/>
        <v>82.771930000000012</v>
      </c>
      <c r="M54" s="67"/>
      <c r="N54" s="198">
        <f t="shared" si="17"/>
        <v>0.101614</v>
      </c>
      <c r="O54" s="67">
        <v>0</v>
      </c>
      <c r="P54" s="67">
        <f t="shared" si="11"/>
        <v>82.670316000000014</v>
      </c>
      <c r="Q54" s="198">
        <f t="shared" si="12"/>
        <v>1.0263860000000022</v>
      </c>
      <c r="R54" s="150">
        <f t="shared" si="18"/>
        <v>3.7634153333333416</v>
      </c>
      <c r="S54" s="35"/>
    </row>
    <row r="55" spans="1:19" s="530" customFormat="1">
      <c r="A55" s="546"/>
      <c r="B55" s="66">
        <v>12</v>
      </c>
      <c r="C55" s="535">
        <v>1</v>
      </c>
      <c r="D55" s="143">
        <f t="shared" si="15"/>
        <v>1</v>
      </c>
      <c r="E55" s="143"/>
      <c r="F55" s="143"/>
      <c r="G55" s="143"/>
      <c r="H55" s="143">
        <f t="shared" si="20"/>
        <v>82.771930000000012</v>
      </c>
      <c r="I55" s="670">
        <v>2.4</v>
      </c>
      <c r="J55" s="670">
        <v>0.47</v>
      </c>
      <c r="K55" s="671">
        <f t="shared" si="16"/>
        <v>1.1279999999999999</v>
      </c>
      <c r="L55" s="67">
        <f t="shared" si="19"/>
        <v>83.899930000000012</v>
      </c>
      <c r="M55" s="67"/>
      <c r="N55" s="198">
        <f t="shared" si="17"/>
        <v>0.101614</v>
      </c>
      <c r="O55" s="67">
        <v>0</v>
      </c>
      <c r="P55" s="67">
        <f t="shared" si="11"/>
        <v>83.798316000000014</v>
      </c>
      <c r="Q55" s="198">
        <f t="shared" si="12"/>
        <v>1.0263860000000022</v>
      </c>
      <c r="R55" s="150">
        <f t="shared" si="18"/>
        <v>3.7634153333333416</v>
      </c>
      <c r="S55" s="35"/>
    </row>
    <row r="56" spans="1:19" s="533" customFormat="1">
      <c r="A56" s="547"/>
      <c r="B56" s="66">
        <v>13</v>
      </c>
      <c r="C56" s="535">
        <v>1</v>
      </c>
      <c r="D56" s="143">
        <f t="shared" si="15"/>
        <v>1</v>
      </c>
      <c r="E56" s="143"/>
      <c r="F56" s="143"/>
      <c r="G56" s="143"/>
      <c r="H56" s="143">
        <f t="shared" si="20"/>
        <v>83.899930000000012</v>
      </c>
      <c r="I56" s="670">
        <v>2.4</v>
      </c>
      <c r="J56" s="670">
        <v>0.47</v>
      </c>
      <c r="K56" s="671">
        <f t="shared" si="16"/>
        <v>1.1279999999999999</v>
      </c>
      <c r="L56" s="67">
        <f t="shared" si="19"/>
        <v>85.027930000000012</v>
      </c>
      <c r="M56" s="67"/>
      <c r="N56" s="198">
        <f t="shared" si="17"/>
        <v>0.101614</v>
      </c>
      <c r="O56" s="67">
        <v>0</v>
      </c>
      <c r="P56" s="67">
        <f t="shared" si="11"/>
        <v>84.926316000000014</v>
      </c>
      <c r="Q56" s="198">
        <f t="shared" si="12"/>
        <v>1.0263860000000022</v>
      </c>
      <c r="R56" s="150">
        <f t="shared" si="18"/>
        <v>3.7634153333333416</v>
      </c>
      <c r="S56" s="35"/>
    </row>
    <row r="57" spans="1:19">
      <c r="B57" s="66">
        <v>14</v>
      </c>
      <c r="C57" s="535">
        <v>1</v>
      </c>
      <c r="D57" s="143">
        <f t="shared" si="15"/>
        <v>1</v>
      </c>
      <c r="E57" s="143"/>
      <c r="F57" s="143"/>
      <c r="G57" s="143"/>
      <c r="H57" s="143">
        <f t="shared" si="20"/>
        <v>85.027930000000012</v>
      </c>
      <c r="I57" s="670">
        <v>2.4</v>
      </c>
      <c r="J57" s="670">
        <v>0.47</v>
      </c>
      <c r="K57" s="671">
        <f t="shared" si="16"/>
        <v>1.1279999999999999</v>
      </c>
      <c r="L57" s="67">
        <f t="shared" si="19"/>
        <v>86.155930000000012</v>
      </c>
      <c r="M57" s="67"/>
      <c r="N57" s="198">
        <f t="shared" si="17"/>
        <v>0.101614</v>
      </c>
      <c r="O57" s="67">
        <v>0</v>
      </c>
      <c r="P57" s="67">
        <f t="shared" si="11"/>
        <v>86.054316000000014</v>
      </c>
      <c r="Q57" s="198">
        <f t="shared" si="12"/>
        <v>1.0263860000000022</v>
      </c>
      <c r="R57" s="150">
        <f t="shared" si="18"/>
        <v>3.7634153333333416</v>
      </c>
    </row>
    <row r="58" spans="1:19">
      <c r="B58" s="66">
        <v>15</v>
      </c>
      <c r="C58" s="535">
        <v>1</v>
      </c>
      <c r="D58" s="143">
        <f t="shared" si="15"/>
        <v>1</v>
      </c>
      <c r="E58" s="143"/>
      <c r="F58" s="143"/>
      <c r="G58" s="143"/>
      <c r="H58" s="143">
        <f t="shared" si="20"/>
        <v>86.155930000000012</v>
      </c>
      <c r="I58" s="670">
        <v>2.4</v>
      </c>
      <c r="J58" s="670">
        <v>0.47</v>
      </c>
      <c r="K58" s="671">
        <f t="shared" si="16"/>
        <v>1.1279999999999999</v>
      </c>
      <c r="L58" s="67">
        <f t="shared" si="19"/>
        <v>87.283930000000012</v>
      </c>
      <c r="M58" s="67"/>
      <c r="N58" s="198">
        <f t="shared" si="17"/>
        <v>0.101614</v>
      </c>
      <c r="O58" s="67">
        <v>0</v>
      </c>
      <c r="P58" s="67">
        <f t="shared" si="11"/>
        <v>87.182316000000014</v>
      </c>
      <c r="Q58" s="198">
        <f t="shared" si="12"/>
        <v>1.0263860000000022</v>
      </c>
      <c r="R58" s="150">
        <f t="shared" si="18"/>
        <v>3.7634153333333416</v>
      </c>
    </row>
    <row r="59" spans="1:19">
      <c r="B59" s="66">
        <v>16</v>
      </c>
      <c r="C59" s="535">
        <v>1</v>
      </c>
      <c r="D59" s="143">
        <f t="shared" si="15"/>
        <v>1</v>
      </c>
      <c r="E59" s="143"/>
      <c r="F59" s="143"/>
      <c r="G59" s="143"/>
      <c r="H59" s="143">
        <f t="shared" si="20"/>
        <v>87.283930000000012</v>
      </c>
      <c r="I59" s="670">
        <v>2.4</v>
      </c>
      <c r="J59" s="670">
        <v>0.47</v>
      </c>
      <c r="K59" s="671">
        <f t="shared" si="16"/>
        <v>1.1279999999999999</v>
      </c>
      <c r="L59" s="67">
        <f t="shared" si="19"/>
        <v>88.411930000000012</v>
      </c>
      <c r="M59" s="67"/>
      <c r="N59" s="198">
        <f t="shared" si="17"/>
        <v>0.101614</v>
      </c>
      <c r="O59" s="67">
        <v>0</v>
      </c>
      <c r="P59" s="67">
        <f t="shared" si="11"/>
        <v>88.310316000000014</v>
      </c>
      <c r="Q59" s="198">
        <f t="shared" si="12"/>
        <v>1.0263860000000022</v>
      </c>
      <c r="R59" s="150">
        <f t="shared" si="18"/>
        <v>3.7634153333333416</v>
      </c>
      <c r="S59" s="529"/>
    </row>
    <row r="60" spans="1:19">
      <c r="B60" s="66">
        <v>17</v>
      </c>
      <c r="C60" s="535">
        <v>1</v>
      </c>
      <c r="D60" s="143">
        <f t="shared" si="15"/>
        <v>1</v>
      </c>
      <c r="E60" s="143"/>
      <c r="F60" s="143"/>
      <c r="G60" s="143"/>
      <c r="H60" s="143">
        <f t="shared" si="20"/>
        <v>88.411930000000012</v>
      </c>
      <c r="I60" s="670">
        <v>2.4</v>
      </c>
      <c r="J60" s="670">
        <v>0.47</v>
      </c>
      <c r="K60" s="671">
        <f t="shared" si="16"/>
        <v>1.1279999999999999</v>
      </c>
      <c r="L60" s="67">
        <f t="shared" si="19"/>
        <v>89.539930000000012</v>
      </c>
      <c r="M60" s="67"/>
      <c r="N60" s="198">
        <f t="shared" si="17"/>
        <v>0.101614</v>
      </c>
      <c r="O60" s="67">
        <v>0</v>
      </c>
      <c r="P60" s="67">
        <f t="shared" si="11"/>
        <v>89.438316000000015</v>
      </c>
      <c r="Q60" s="198">
        <f t="shared" si="12"/>
        <v>1.0263860000000022</v>
      </c>
      <c r="R60" s="150">
        <f t="shared" si="18"/>
        <v>3.7634153333333416</v>
      </c>
      <c r="S60" s="530"/>
    </row>
    <row r="61" spans="1:19">
      <c r="B61" s="66">
        <v>18</v>
      </c>
      <c r="C61" s="535">
        <v>1</v>
      </c>
      <c r="D61" s="143">
        <f t="shared" si="15"/>
        <v>1</v>
      </c>
      <c r="E61" s="143"/>
      <c r="F61" s="143"/>
      <c r="G61" s="143"/>
      <c r="H61" s="143">
        <f t="shared" si="20"/>
        <v>89.539930000000012</v>
      </c>
      <c r="I61" s="670">
        <v>2.4</v>
      </c>
      <c r="J61" s="670">
        <v>0.47</v>
      </c>
      <c r="K61" s="671">
        <f t="shared" si="16"/>
        <v>1.1279999999999999</v>
      </c>
      <c r="L61" s="67">
        <f t="shared" si="19"/>
        <v>90.667930000000013</v>
      </c>
      <c r="M61" s="67"/>
      <c r="N61" s="198">
        <f t="shared" si="17"/>
        <v>0.101614</v>
      </c>
      <c r="O61" s="67">
        <v>0</v>
      </c>
      <c r="P61" s="67">
        <f t="shared" si="11"/>
        <v>90.566316000000015</v>
      </c>
      <c r="Q61" s="198">
        <f t="shared" si="12"/>
        <v>1.0263860000000022</v>
      </c>
      <c r="R61" s="150">
        <f t="shared" si="18"/>
        <v>3.7634153333333416</v>
      </c>
      <c r="S61" s="533"/>
    </row>
    <row r="62" spans="1:19">
      <c r="B62" s="66">
        <v>19</v>
      </c>
      <c r="C62" s="535">
        <v>1</v>
      </c>
      <c r="D62" s="143">
        <f t="shared" si="15"/>
        <v>1</v>
      </c>
      <c r="E62" s="143"/>
      <c r="F62" s="143"/>
      <c r="G62" s="143"/>
      <c r="H62" s="143">
        <f t="shared" si="20"/>
        <v>90.667930000000013</v>
      </c>
      <c r="I62" s="670">
        <v>2.4</v>
      </c>
      <c r="J62" s="670">
        <v>0.47</v>
      </c>
      <c r="K62" s="671">
        <f t="shared" si="16"/>
        <v>1.1279999999999999</v>
      </c>
      <c r="L62" s="67">
        <f t="shared" si="19"/>
        <v>91.795930000000013</v>
      </c>
      <c r="M62" s="67"/>
      <c r="N62" s="198">
        <f t="shared" si="17"/>
        <v>0.101614</v>
      </c>
      <c r="O62" s="67">
        <v>0</v>
      </c>
      <c r="P62" s="67">
        <f t="shared" si="11"/>
        <v>91.694316000000015</v>
      </c>
      <c r="Q62" s="198">
        <f t="shared" si="12"/>
        <v>1.0263860000000022</v>
      </c>
      <c r="R62" s="150">
        <f t="shared" si="18"/>
        <v>3.7634153333333416</v>
      </c>
    </row>
    <row r="63" spans="1:19">
      <c r="B63" s="66">
        <v>20</v>
      </c>
      <c r="C63" s="535">
        <v>1</v>
      </c>
      <c r="D63" s="143">
        <f t="shared" si="15"/>
        <v>1</v>
      </c>
      <c r="E63" s="143"/>
      <c r="F63" s="143"/>
      <c r="G63" s="143"/>
      <c r="H63" s="143">
        <f t="shared" si="20"/>
        <v>91.795930000000013</v>
      </c>
      <c r="I63" s="670">
        <v>2.4</v>
      </c>
      <c r="J63" s="670">
        <v>0.47</v>
      </c>
      <c r="K63" s="671">
        <f t="shared" si="16"/>
        <v>1.1279999999999999</v>
      </c>
      <c r="L63" s="67">
        <f t="shared" si="19"/>
        <v>92.923930000000013</v>
      </c>
      <c r="M63" s="67"/>
      <c r="N63" s="198">
        <f t="shared" si="17"/>
        <v>0.101614</v>
      </c>
      <c r="O63" s="67">
        <v>0</v>
      </c>
      <c r="P63" s="67">
        <f t="shared" si="11"/>
        <v>92.822316000000015</v>
      </c>
      <c r="Q63" s="198">
        <f t="shared" si="12"/>
        <v>1.0263860000000022</v>
      </c>
      <c r="R63" s="150">
        <f t="shared" si="18"/>
        <v>3.7634153333333416</v>
      </c>
      <c r="S63" s="150">
        <f>SUM(R44:R63)</f>
        <v>71.504891333333461</v>
      </c>
    </row>
    <row r="64" spans="1:19">
      <c r="B64" s="151" t="s">
        <v>324</v>
      </c>
      <c r="C64" s="535">
        <v>1</v>
      </c>
      <c r="D64" s="143">
        <f t="shared" si="15"/>
        <v>1</v>
      </c>
      <c r="E64" s="143"/>
      <c r="F64" s="143"/>
      <c r="G64" s="143"/>
      <c r="H64" s="143"/>
      <c r="I64" s="670"/>
      <c r="J64" s="670"/>
      <c r="K64" s="670"/>
      <c r="L64" s="151"/>
      <c r="M64" s="151"/>
      <c r="N64" s="66"/>
      <c r="O64" s="67">
        <v>0</v>
      </c>
      <c r="P64" s="67">
        <f t="shared" si="11"/>
        <v>0</v>
      </c>
      <c r="Q64" s="198">
        <f t="shared" si="12"/>
        <v>0</v>
      </c>
      <c r="R64" s="528">
        <f t="shared" si="18"/>
        <v>0</v>
      </c>
    </row>
    <row r="65" spans="2:11">
      <c r="B65" s="46"/>
      <c r="C65" s="48"/>
      <c r="D65" s="46"/>
      <c r="E65" s="46"/>
      <c r="F65" s="47"/>
      <c r="G65" s="47"/>
      <c r="H65" s="47"/>
      <c r="I65" s="47"/>
      <c r="J65" s="47"/>
      <c r="K65" s="47"/>
    </row>
  </sheetData>
  <mergeCells count="1">
    <mergeCell ref="B41:F41"/>
  </mergeCells>
  <pageMargins left="0.7" right="0.7" top="0.75" bottom="0.75" header="0.3" footer="0.3"/>
  <pageSetup orientation="portrait"/>
  <ignoredErrors>
    <ignoredError sqref="K27" formula="1"/>
  </ignoredErrors>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C1:F25"/>
  <sheetViews>
    <sheetView showGridLines="0" topLeftCell="A23" workbookViewId="0">
      <selection activeCell="E6" sqref="E6"/>
    </sheetView>
  </sheetViews>
  <sheetFormatPr defaultColWidth="8.85546875" defaultRowHeight="15"/>
  <cols>
    <col min="4" max="5" width="14.85546875" bestFit="1" customWidth="1"/>
    <col min="6" max="6" width="13.42578125" bestFit="1" customWidth="1"/>
  </cols>
  <sheetData>
    <row r="1" spans="3:6">
      <c r="D1" t="s">
        <v>735</v>
      </c>
    </row>
    <row r="3" spans="3:6">
      <c r="C3" s="171" t="s">
        <v>738</v>
      </c>
    </row>
    <row r="5" spans="3:6" ht="105">
      <c r="C5" s="33"/>
      <c r="D5" s="748" t="s">
        <v>733</v>
      </c>
      <c r="E5" s="748" t="s">
        <v>747</v>
      </c>
      <c r="F5" s="749" t="s">
        <v>734</v>
      </c>
    </row>
    <row r="6" spans="3:6">
      <c r="C6" s="274" t="s">
        <v>383</v>
      </c>
      <c r="D6" s="34">
        <v>5000</v>
      </c>
      <c r="E6" s="34">
        <f>0.5*'Output 2 - Economic Model'!C16</f>
        <v>74.97</v>
      </c>
      <c r="F6" s="34">
        <f>D6*E6</f>
        <v>374850</v>
      </c>
    </row>
    <row r="7" spans="3:6">
      <c r="C7" s="274" t="s">
        <v>384</v>
      </c>
      <c r="D7" s="34">
        <v>10000</v>
      </c>
      <c r="E7" s="34">
        <f>E6</f>
        <v>74.97</v>
      </c>
      <c r="F7" s="34">
        <f t="shared" ref="F7:F25" si="0">D7*E7</f>
        <v>749700</v>
      </c>
    </row>
    <row r="8" spans="3:6">
      <c r="C8" s="274" t="s">
        <v>385</v>
      </c>
      <c r="D8" s="34">
        <v>15000</v>
      </c>
      <c r="E8" s="34">
        <f t="shared" ref="E8:E25" si="1">E7</f>
        <v>74.97</v>
      </c>
      <c r="F8" s="34">
        <f t="shared" si="0"/>
        <v>1124550</v>
      </c>
    </row>
    <row r="9" spans="3:6">
      <c r="C9" s="274" t="s">
        <v>386</v>
      </c>
      <c r="D9" s="34">
        <v>20000</v>
      </c>
      <c r="E9" s="34">
        <f t="shared" si="1"/>
        <v>74.97</v>
      </c>
      <c r="F9" s="34">
        <f t="shared" si="0"/>
        <v>1499400</v>
      </c>
    </row>
    <row r="10" spans="3:6">
      <c r="C10" s="274" t="s">
        <v>387</v>
      </c>
      <c r="D10" s="34">
        <f>D9</f>
        <v>20000</v>
      </c>
      <c r="E10" s="34">
        <f t="shared" si="1"/>
        <v>74.97</v>
      </c>
      <c r="F10" s="34">
        <f t="shared" si="0"/>
        <v>1499400</v>
      </c>
    </row>
    <row r="11" spans="3:6">
      <c r="C11" s="274" t="s">
        <v>388</v>
      </c>
      <c r="D11" s="34">
        <v>20000</v>
      </c>
      <c r="E11" s="34">
        <f t="shared" si="1"/>
        <v>74.97</v>
      </c>
      <c r="F11" s="34">
        <f t="shared" si="0"/>
        <v>1499400</v>
      </c>
    </row>
    <row r="12" spans="3:6">
      <c r="C12" s="33" t="s">
        <v>389</v>
      </c>
      <c r="D12" s="34">
        <v>20000</v>
      </c>
      <c r="E12" s="34">
        <f t="shared" si="1"/>
        <v>74.97</v>
      </c>
      <c r="F12" s="34">
        <f t="shared" si="0"/>
        <v>1499400</v>
      </c>
    </row>
    <row r="13" spans="3:6">
      <c r="C13" s="33" t="s">
        <v>390</v>
      </c>
      <c r="D13" s="34">
        <v>20000</v>
      </c>
      <c r="E13" s="34">
        <f t="shared" si="1"/>
        <v>74.97</v>
      </c>
      <c r="F13" s="34">
        <f t="shared" si="0"/>
        <v>1499400</v>
      </c>
    </row>
    <row r="14" spans="3:6">
      <c r="C14" s="33" t="s">
        <v>391</v>
      </c>
      <c r="D14" s="34">
        <v>20000</v>
      </c>
      <c r="E14" s="34">
        <f t="shared" si="1"/>
        <v>74.97</v>
      </c>
      <c r="F14" s="34">
        <f t="shared" si="0"/>
        <v>1499400</v>
      </c>
    </row>
    <row r="15" spans="3:6">
      <c r="C15" s="33" t="s">
        <v>392</v>
      </c>
      <c r="D15" s="34">
        <v>20000</v>
      </c>
      <c r="E15" s="34">
        <f t="shared" si="1"/>
        <v>74.97</v>
      </c>
      <c r="F15" s="34">
        <f t="shared" si="0"/>
        <v>1499400</v>
      </c>
    </row>
    <row r="16" spans="3:6">
      <c r="C16" s="33" t="s">
        <v>393</v>
      </c>
      <c r="D16" s="34">
        <v>20000</v>
      </c>
      <c r="E16" s="34">
        <f t="shared" si="1"/>
        <v>74.97</v>
      </c>
      <c r="F16" s="34">
        <f t="shared" si="0"/>
        <v>1499400</v>
      </c>
    </row>
    <row r="17" spans="3:6">
      <c r="C17" s="33" t="s">
        <v>394</v>
      </c>
      <c r="D17" s="34">
        <v>20000</v>
      </c>
      <c r="E17" s="34">
        <f t="shared" si="1"/>
        <v>74.97</v>
      </c>
      <c r="F17" s="34">
        <f t="shared" si="0"/>
        <v>1499400</v>
      </c>
    </row>
    <row r="18" spans="3:6">
      <c r="C18" s="33" t="s">
        <v>395</v>
      </c>
      <c r="D18" s="34">
        <v>20000</v>
      </c>
      <c r="E18" s="34">
        <f t="shared" si="1"/>
        <v>74.97</v>
      </c>
      <c r="F18" s="34">
        <f t="shared" si="0"/>
        <v>1499400</v>
      </c>
    </row>
    <row r="19" spans="3:6">
      <c r="C19" s="33" t="s">
        <v>396</v>
      </c>
      <c r="D19" s="34">
        <v>20000</v>
      </c>
      <c r="E19" s="34">
        <f t="shared" si="1"/>
        <v>74.97</v>
      </c>
      <c r="F19" s="34">
        <f t="shared" si="0"/>
        <v>1499400</v>
      </c>
    </row>
    <row r="20" spans="3:6">
      <c r="C20" s="33" t="s">
        <v>397</v>
      </c>
      <c r="D20" s="34">
        <v>20000</v>
      </c>
      <c r="E20" s="34">
        <f t="shared" si="1"/>
        <v>74.97</v>
      </c>
      <c r="F20" s="34">
        <f t="shared" si="0"/>
        <v>1499400</v>
      </c>
    </row>
    <row r="21" spans="3:6">
      <c r="C21" s="33" t="s">
        <v>398</v>
      </c>
      <c r="D21" s="34">
        <v>20000</v>
      </c>
      <c r="E21" s="34">
        <f t="shared" si="1"/>
        <v>74.97</v>
      </c>
      <c r="F21" s="34">
        <f t="shared" si="0"/>
        <v>1499400</v>
      </c>
    </row>
    <row r="22" spans="3:6">
      <c r="C22" s="33" t="s">
        <v>399</v>
      </c>
      <c r="D22" s="34">
        <v>20000</v>
      </c>
      <c r="E22" s="34">
        <f t="shared" si="1"/>
        <v>74.97</v>
      </c>
      <c r="F22" s="34">
        <f t="shared" si="0"/>
        <v>1499400</v>
      </c>
    </row>
    <row r="23" spans="3:6">
      <c r="C23" s="33" t="s">
        <v>400</v>
      </c>
      <c r="D23" s="34">
        <v>20000</v>
      </c>
      <c r="E23" s="34">
        <f t="shared" si="1"/>
        <v>74.97</v>
      </c>
      <c r="F23" s="34">
        <f t="shared" si="0"/>
        <v>1499400</v>
      </c>
    </row>
    <row r="24" spans="3:6">
      <c r="C24" s="33" t="s">
        <v>401</v>
      </c>
      <c r="D24" s="34">
        <v>20000</v>
      </c>
      <c r="E24" s="34">
        <f t="shared" si="1"/>
        <v>74.97</v>
      </c>
      <c r="F24" s="34">
        <f t="shared" si="0"/>
        <v>1499400</v>
      </c>
    </row>
    <row r="25" spans="3:6">
      <c r="C25" s="33" t="s">
        <v>402</v>
      </c>
      <c r="D25" s="34">
        <v>20000</v>
      </c>
      <c r="E25" s="34">
        <f t="shared" si="1"/>
        <v>74.97</v>
      </c>
      <c r="F25" s="34">
        <f t="shared" si="0"/>
        <v>1499400</v>
      </c>
    </row>
  </sheetData>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E8:H20"/>
  <sheetViews>
    <sheetView showGridLines="0" workbookViewId="0">
      <selection activeCell="G13" sqref="G13"/>
    </sheetView>
  </sheetViews>
  <sheetFormatPr defaultColWidth="9.140625" defaultRowHeight="12.75"/>
  <cols>
    <col min="1" max="4" width="9.140625" style="35"/>
    <col min="5" max="5" width="48.5703125" style="35" bestFit="1" customWidth="1"/>
    <col min="6" max="6" width="10.42578125" style="35" customWidth="1"/>
    <col min="7" max="7" width="7.42578125" style="35" customWidth="1"/>
    <col min="8" max="16384" width="9.140625" style="35"/>
  </cols>
  <sheetData>
    <row r="8" spans="5:8" ht="18">
      <c r="E8" s="127" t="s">
        <v>296</v>
      </c>
    </row>
    <row r="9" spans="5:8" ht="25.5">
      <c r="E9" s="66"/>
      <c r="F9" s="63" t="s">
        <v>249</v>
      </c>
      <c r="G9" s="63" t="s">
        <v>251</v>
      </c>
      <c r="H9" s="66" t="s">
        <v>252</v>
      </c>
    </row>
    <row r="10" spans="5:8">
      <c r="E10" s="66"/>
      <c r="F10" s="66"/>
      <c r="G10" s="66"/>
      <c r="H10" s="66"/>
    </row>
    <row r="11" spans="5:8">
      <c r="E11" s="66" t="s">
        <v>289</v>
      </c>
      <c r="F11" s="66" t="s">
        <v>303</v>
      </c>
      <c r="G11" s="66">
        <v>32</v>
      </c>
      <c r="H11" s="151"/>
    </row>
    <row r="12" spans="5:8">
      <c r="E12" s="66" t="s">
        <v>258</v>
      </c>
      <c r="F12" s="66"/>
      <c r="G12" s="66"/>
      <c r="H12" s="66"/>
    </row>
    <row r="13" spans="5:8">
      <c r="E13" s="66" t="s">
        <v>253</v>
      </c>
      <c r="F13" s="66" t="s">
        <v>250</v>
      </c>
      <c r="G13" s="66">
        <v>10</v>
      </c>
      <c r="H13" s="152">
        <f t="shared" ref="H13:H18" si="0">G13/$G$18</f>
        <v>0.37037037037037035</v>
      </c>
    </row>
    <row r="14" spans="5:8">
      <c r="E14" s="66" t="s">
        <v>254</v>
      </c>
      <c r="F14" s="66" t="s">
        <v>250</v>
      </c>
      <c r="G14" s="66">
        <v>5</v>
      </c>
      <c r="H14" s="152">
        <f t="shared" si="0"/>
        <v>0.18518518518518517</v>
      </c>
    </row>
    <row r="15" spans="5:8">
      <c r="E15" s="66" t="s">
        <v>256</v>
      </c>
      <c r="F15" s="66" t="s">
        <v>250</v>
      </c>
      <c r="G15" s="66">
        <v>5</v>
      </c>
      <c r="H15" s="152">
        <f t="shared" si="0"/>
        <v>0.18518518518518517</v>
      </c>
    </row>
    <row r="16" spans="5:8">
      <c r="E16" s="66" t="s">
        <v>288</v>
      </c>
      <c r="F16" s="66" t="s">
        <v>250</v>
      </c>
      <c r="G16" s="66">
        <v>5</v>
      </c>
      <c r="H16" s="152">
        <f t="shared" si="0"/>
        <v>0.18518518518518517</v>
      </c>
    </row>
    <row r="17" spans="5:8">
      <c r="E17" s="66" t="s">
        <v>257</v>
      </c>
      <c r="F17" s="66" t="s">
        <v>250</v>
      </c>
      <c r="G17" s="66">
        <v>2</v>
      </c>
      <c r="H17" s="152">
        <f t="shared" si="0"/>
        <v>7.407407407407407E-2</v>
      </c>
    </row>
    <row r="18" spans="5:8">
      <c r="E18" s="151" t="s">
        <v>290</v>
      </c>
      <c r="F18" s="151"/>
      <c r="G18" s="151">
        <f>SUM(G13:G17)</f>
        <v>27</v>
      </c>
      <c r="H18" s="153">
        <f t="shared" si="0"/>
        <v>1</v>
      </c>
    </row>
    <row r="19" spans="5:8">
      <c r="E19" s="151" t="s">
        <v>291</v>
      </c>
      <c r="F19" s="151" t="s">
        <v>250</v>
      </c>
      <c r="G19" s="151">
        <f>G11-G18</f>
        <v>5</v>
      </c>
      <c r="H19" s="151"/>
    </row>
    <row r="20" spans="5:8">
      <c r="E20" s="35" t="s">
        <v>259</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C3:L24"/>
  <sheetViews>
    <sheetView showGridLines="0" workbookViewId="0">
      <selection activeCell="K11" sqref="K11"/>
    </sheetView>
  </sheetViews>
  <sheetFormatPr defaultColWidth="9.140625" defaultRowHeight="12.75"/>
  <cols>
    <col min="1" max="3" width="9.140625" style="35"/>
    <col min="4" max="4" width="11" style="35" customWidth="1"/>
    <col min="5" max="5" width="16.140625" style="35" bestFit="1" customWidth="1"/>
    <col min="6" max="6" width="11.5703125" style="36" customWidth="1"/>
    <col min="7" max="7" width="11" style="36" customWidth="1"/>
    <col min="8" max="11" width="9" style="36" bestFit="1" customWidth="1"/>
    <col min="12" max="12" width="9.5703125" style="36" bestFit="1" customWidth="1"/>
    <col min="13" max="16384" width="9.140625" style="35"/>
  </cols>
  <sheetData>
    <row r="3" spans="3:9">
      <c r="C3" s="297" t="s">
        <v>297</v>
      </c>
      <c r="D3" s="66"/>
      <c r="E3" s="66"/>
      <c r="F3" s="67"/>
      <c r="G3" s="67"/>
    </row>
    <row r="4" spans="3:9" ht="102">
      <c r="C4" s="520" t="s">
        <v>313</v>
      </c>
      <c r="D4" s="521" t="s">
        <v>691</v>
      </c>
      <c r="E4" s="521" t="s">
        <v>292</v>
      </c>
      <c r="F4" s="63" t="s">
        <v>294</v>
      </c>
      <c r="G4" s="63" t="s">
        <v>293</v>
      </c>
      <c r="I4" s="614"/>
    </row>
    <row r="5" spans="3:9">
      <c r="C5" s="172">
        <v>1</v>
      </c>
      <c r="D5" s="67">
        <f>'TC4 wood fuel potential'!L37</f>
        <v>0</v>
      </c>
      <c r="E5" s="70">
        <f>D5*1000/31</f>
        <v>0</v>
      </c>
      <c r="F5" s="147">
        <v>3</v>
      </c>
      <c r="G5" s="67">
        <f>E5*F5</f>
        <v>0</v>
      </c>
    </row>
    <row r="6" spans="3:9">
      <c r="C6" s="172">
        <v>2</v>
      </c>
      <c r="D6" s="67">
        <f>'TC4 wood fuel potential'!L38</f>
        <v>4297.2176759410813</v>
      </c>
      <c r="E6" s="70">
        <f t="shared" ref="E6:E24" si="0">D6*1000/31</f>
        <v>138619.92503035747</v>
      </c>
      <c r="F6" s="147">
        <v>3</v>
      </c>
      <c r="G6" s="67">
        <f t="shared" ref="G6:G24" si="1">E6*F6</f>
        <v>415859.77509107243</v>
      </c>
    </row>
    <row r="7" spans="3:9">
      <c r="C7" s="172">
        <v>3</v>
      </c>
      <c r="D7" s="67">
        <f>'TC4 wood fuel potential'!L39</f>
        <v>4451.5875613747967</v>
      </c>
      <c r="E7" s="70">
        <f t="shared" si="0"/>
        <v>143599.5987540257</v>
      </c>
      <c r="F7" s="147">
        <v>3</v>
      </c>
      <c r="G7" s="67">
        <f t="shared" si="1"/>
        <v>430798.79626207711</v>
      </c>
    </row>
    <row r="8" spans="3:9">
      <c r="C8" s="172">
        <v>4</v>
      </c>
      <c r="D8" s="67">
        <f>'TC4 wood fuel potential'!L40</f>
        <v>4598.2389525368253</v>
      </c>
      <c r="E8" s="70">
        <f t="shared" si="0"/>
        <v>148330.28879151048</v>
      </c>
      <c r="F8" s="147">
        <v>3</v>
      </c>
      <c r="G8" s="67">
        <f t="shared" si="1"/>
        <v>444990.86637453141</v>
      </c>
    </row>
    <row r="9" spans="3:9">
      <c r="C9" s="172">
        <v>5</v>
      </c>
      <c r="D9" s="67">
        <f>'TC4 wood fuel potential'!L41</f>
        <v>4737.5577741407542</v>
      </c>
      <c r="E9" s="70">
        <f t="shared" si="0"/>
        <v>152824.44432712108</v>
      </c>
      <c r="F9" s="147">
        <v>3</v>
      </c>
      <c r="G9" s="67">
        <f t="shared" si="1"/>
        <v>458473.33298136323</v>
      </c>
    </row>
    <row r="10" spans="3:9">
      <c r="C10" s="172">
        <v>6</v>
      </c>
      <c r="D10" s="67">
        <f>'TC4 wood fuel potential'!L42</f>
        <v>4869.9106546644862</v>
      </c>
      <c r="E10" s="70">
        <f t="shared" si="0"/>
        <v>157093.89208595114</v>
      </c>
      <c r="F10" s="147">
        <v>3</v>
      </c>
      <c r="G10" s="67">
        <f t="shared" si="1"/>
        <v>471281.6762578534</v>
      </c>
    </row>
    <row r="11" spans="3:9">
      <c r="C11" s="172">
        <v>7</v>
      </c>
      <c r="D11" s="67">
        <f>'TC4 wood fuel potential'!L43</f>
        <v>4995.6458911620311</v>
      </c>
      <c r="E11" s="70">
        <f t="shared" si="0"/>
        <v>161149.86745683971</v>
      </c>
      <c r="F11" s="147">
        <v>3</v>
      </c>
      <c r="G11" s="67">
        <f t="shared" si="1"/>
        <v>483449.60237051913</v>
      </c>
    </row>
    <row r="12" spans="3:9">
      <c r="C12" s="172">
        <v>8</v>
      </c>
      <c r="D12" s="67">
        <f>'TC4 wood fuel potential'!L44</f>
        <v>5115.0943658346987</v>
      </c>
      <c r="E12" s="70">
        <f t="shared" si="0"/>
        <v>165003.04405918383</v>
      </c>
      <c r="F12" s="147">
        <v>3</v>
      </c>
      <c r="G12" s="67">
        <f t="shared" si="1"/>
        <v>495009.13217755151</v>
      </c>
    </row>
    <row r="13" spans="3:9">
      <c r="C13" s="172">
        <v>9</v>
      </c>
      <c r="D13" s="67">
        <f>'TC4 wood fuel potential'!L45</f>
        <v>5228.5704167737322</v>
      </c>
      <c r="E13" s="70">
        <f t="shared" si="0"/>
        <v>168663.56183141071</v>
      </c>
      <c r="F13" s="147">
        <v>3</v>
      </c>
      <c r="G13" s="67">
        <f t="shared" si="1"/>
        <v>505990.68549423211</v>
      </c>
    </row>
    <row r="14" spans="3:9">
      <c r="C14" s="172">
        <v>10</v>
      </c>
      <c r="D14" s="67">
        <f>'TC4 wood fuel potential'!L46</f>
        <v>5336.3726651658153</v>
      </c>
      <c r="E14" s="70">
        <f t="shared" si="0"/>
        <v>172141.0537150263</v>
      </c>
      <c r="F14" s="147">
        <v>3</v>
      </c>
      <c r="G14" s="67">
        <f t="shared" si="1"/>
        <v>516423.16114507889</v>
      </c>
    </row>
    <row r="15" spans="3:9">
      <c r="C15" s="172">
        <v>11</v>
      </c>
      <c r="D15" s="67">
        <f>'TC4 wood fuel potential'!L47</f>
        <v>5438.784801138293</v>
      </c>
      <c r="E15" s="70">
        <f t="shared" si="0"/>
        <v>175444.67100446107</v>
      </c>
      <c r="F15" s="147">
        <v>3</v>
      </c>
      <c r="G15" s="67">
        <f t="shared" si="1"/>
        <v>526334.01301338314</v>
      </c>
    </row>
    <row r="16" spans="3:9">
      <c r="C16" s="172">
        <v>12</v>
      </c>
      <c r="D16" s="67">
        <f>'TC4 wood fuel potential'!L48</f>
        <v>5536.0763303121475</v>
      </c>
      <c r="E16" s="70">
        <f t="shared" si="0"/>
        <v>178583.10742942413</v>
      </c>
      <c r="F16" s="147">
        <v>3</v>
      </c>
      <c r="G16" s="67">
        <f t="shared" si="1"/>
        <v>535749.32228827244</v>
      </c>
    </row>
    <row r="17" spans="3:7">
      <c r="C17" s="172">
        <v>13</v>
      </c>
      <c r="D17" s="67">
        <f>'TC4 wood fuel potential'!L49</f>
        <v>5628.5032830273085</v>
      </c>
      <c r="E17" s="70">
        <f t="shared" si="0"/>
        <v>181564.62203313896</v>
      </c>
      <c r="F17" s="147">
        <v>3</v>
      </c>
      <c r="G17" s="67">
        <f t="shared" si="1"/>
        <v>544693.86609941686</v>
      </c>
    </row>
    <row r="18" spans="3:7">
      <c r="C18" s="172">
        <v>14</v>
      </c>
      <c r="D18" s="67">
        <f>'TC4 wood fuel potential'!L50</f>
        <v>5716.3088881067133</v>
      </c>
      <c r="E18" s="70">
        <f t="shared" si="0"/>
        <v>184397.06090666816</v>
      </c>
      <c r="F18" s="147">
        <v>3</v>
      </c>
      <c r="G18" s="67">
        <f t="shared" si="1"/>
        <v>553191.18272000446</v>
      </c>
    </row>
    <row r="19" spans="3:7">
      <c r="C19" s="172">
        <v>15</v>
      </c>
      <c r="D19" s="67">
        <f>'TC4 wood fuel potential'!L51</f>
        <v>5799.7242129321457</v>
      </c>
      <c r="E19" s="70">
        <f t="shared" si="0"/>
        <v>187087.87783652084</v>
      </c>
      <c r="F19" s="147">
        <v>3</v>
      </c>
      <c r="G19" s="67">
        <f t="shared" si="1"/>
        <v>561263.63350956258</v>
      </c>
    </row>
    <row r="20" spans="3:7">
      <c r="C20" s="172">
        <v>16</v>
      </c>
      <c r="D20" s="67">
        <f>'TC4 wood fuel potential'!L52</f>
        <v>5878.9687715163091</v>
      </c>
      <c r="E20" s="70">
        <f t="shared" si="0"/>
        <v>189644.15391988095</v>
      </c>
      <c r="F20" s="147">
        <v>3</v>
      </c>
      <c r="G20" s="67">
        <f t="shared" si="1"/>
        <v>568932.46175964281</v>
      </c>
    </row>
    <row r="21" spans="3:7">
      <c r="C21" s="172">
        <v>17</v>
      </c>
      <c r="D21" s="67">
        <f>'TC4 wood fuel potential'!L53</f>
        <v>5954.2511021712617</v>
      </c>
      <c r="E21" s="70">
        <f t="shared" si="0"/>
        <v>192072.61619907297</v>
      </c>
      <c r="F21" s="147">
        <v>3</v>
      </c>
      <c r="G21" s="67">
        <f t="shared" si="1"/>
        <v>576217.84859721898</v>
      </c>
    </row>
    <row r="22" spans="3:7">
      <c r="C22" s="172">
        <v>18</v>
      </c>
      <c r="D22" s="67">
        <f>'TC4 wood fuel potential'!L54</f>
        <v>6025.7693162934684</v>
      </c>
      <c r="E22" s="70">
        <f t="shared" si="0"/>
        <v>194379.65536430545</v>
      </c>
      <c r="F22" s="147">
        <v>3</v>
      </c>
      <c r="G22" s="67">
        <f t="shared" si="1"/>
        <v>583138.96609291632</v>
      </c>
    </row>
    <row r="23" spans="3:7">
      <c r="C23" s="172">
        <v>19</v>
      </c>
      <c r="D23" s="67">
        <f>'TC4 wood fuel potential'!L55</f>
        <v>6093.7116197095647</v>
      </c>
      <c r="E23" s="70">
        <f t="shared" si="0"/>
        <v>196571.34257127627</v>
      </c>
      <c r="F23" s="147">
        <v>3</v>
      </c>
      <c r="G23" s="67">
        <f t="shared" si="1"/>
        <v>589714.02771382884</v>
      </c>
    </row>
    <row r="24" spans="3:7">
      <c r="C24" s="172">
        <v>20</v>
      </c>
      <c r="D24" s="67">
        <f>'TC4 wood fuel potential'!L56</f>
        <v>6158.2568079548555</v>
      </c>
      <c r="E24" s="70">
        <f t="shared" si="0"/>
        <v>198653.44541789856</v>
      </c>
      <c r="F24" s="147">
        <v>3</v>
      </c>
      <c r="G24" s="67">
        <f t="shared" si="1"/>
        <v>595960.33625369566</v>
      </c>
    </row>
  </sheetData>
  <pageMargins left="0.7" right="0.7" top="0.75" bottom="0.75" header="0.3" footer="0.3"/>
  <pageSetup orientation="portrai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044df423254376167ea649bcc272f5cc">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6becdce9ea10ec71f0fc4e9d2c2947e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D6EE654B-7E4B-4126-9A8F-35B1A0EFB43A}"/>
</file>

<file path=customXml/itemProps2.xml><?xml version="1.0" encoding="utf-8"?>
<ds:datastoreItem xmlns:ds="http://schemas.openxmlformats.org/officeDocument/2006/customXml" ds:itemID="{AA0E4CD1-1486-4F71-8ED1-C6EC5233AE0F}"/>
</file>

<file path=customXml/itemProps3.xml><?xml version="1.0" encoding="utf-8"?>
<ds:datastoreItem xmlns:ds="http://schemas.openxmlformats.org/officeDocument/2006/customXml" ds:itemID="{3299D3FD-8A9A-4241-80F3-C32BA22D1B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35</vt:i4>
      </vt:variant>
      <vt:variant>
        <vt:lpstr>Named Ranges</vt:lpstr>
      </vt:variant>
      <vt:variant>
        <vt:i4>6</vt:i4>
      </vt:variant>
    </vt:vector>
  </HeadingPairs>
  <TitlesOfParts>
    <vt:vector size="41" baseType="lpstr">
      <vt:lpstr>Ouput 1 Financial Analysis</vt:lpstr>
      <vt:lpstr>List of CREMAs</vt:lpstr>
      <vt:lpstr>Output 2 Financial Analysis</vt:lpstr>
      <vt:lpstr>Output 3 Financial Analysis</vt:lpstr>
      <vt:lpstr>Rice crop model </vt:lpstr>
      <vt:lpstr>Gmelina Arborea</vt:lpstr>
      <vt:lpstr>Organis for Shea nut collectors</vt:lpstr>
      <vt:lpstr>T2Prices</vt:lpstr>
      <vt:lpstr>T3 Efficiency gain from aggrega</vt:lpstr>
      <vt:lpstr>TC4 wood fuel potential</vt:lpstr>
      <vt:lpstr>T4 C and woodfuel benefits</vt:lpstr>
      <vt:lpstr>T5Recurrent Costs- one CREMA</vt:lpstr>
      <vt:lpstr>Table6 REMA establishment Costs</vt:lpstr>
      <vt:lpstr>Prices of dried wood</vt:lpstr>
      <vt:lpstr>Phasing of CREMAs under GCF</vt:lpstr>
      <vt:lpstr>xxxx</vt:lpstr>
      <vt:lpstr>KILN</vt:lpstr>
      <vt:lpstr>f</vt:lpstr>
      <vt:lpstr>Sheet2</vt:lpstr>
      <vt:lpstr>Plantation establis cost</vt:lpstr>
      <vt:lpstr>Summary of benefits and costs</vt:lpstr>
      <vt:lpstr>Project costs</vt:lpstr>
      <vt:lpstr>Table 7 Employment Potential</vt:lpstr>
      <vt:lpstr>Carbon valuation</vt:lpstr>
      <vt:lpstr>Overall EIRR </vt:lpstr>
      <vt:lpstr>Output 1 - Economic Model</vt:lpstr>
      <vt:lpstr>Output 2 - Economic Model</vt:lpstr>
      <vt:lpstr>Output 3 - Economic Model</vt:lpstr>
      <vt:lpstr>CC Calculations (Annex 2c)</vt:lpstr>
      <vt:lpstr>Annex 2c Output1</vt:lpstr>
      <vt:lpstr>Annex 2c Output2</vt:lpstr>
      <vt:lpstr>Annex 2c Output3</vt:lpstr>
      <vt:lpstr>Annex 2dSummary</vt:lpstr>
      <vt:lpstr>CREMA recurrent Economic costs</vt:lpstr>
      <vt:lpstr>Rice Econ model</vt:lpstr>
      <vt:lpstr>xxxx!_ftn1</vt:lpstr>
      <vt:lpstr>xxxx!_ftnref1</vt:lpstr>
      <vt:lpstr>'List of CREMAs'!_GoBack</vt:lpstr>
      <vt:lpstr>'T5Recurrent Costs- one CREMA'!Print_Area</vt:lpstr>
      <vt:lpstr>'Table6 REMA establishment Costs'!Print_Area</vt:lpstr>
      <vt:lpstr>'TC4 wood fuel potential'!Print_Area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dc:creator>
  <cp:lastModifiedBy>Wahida Shah</cp:lastModifiedBy>
  <cp:lastPrinted>2017-10-23T15:46:21Z</cp:lastPrinted>
  <dcterms:created xsi:type="dcterms:W3CDTF">2017-08-19T07:40:18Z</dcterms:created>
  <dcterms:modified xsi:type="dcterms:W3CDTF">2020-05-28T13:41:37Z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