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413"/>
  <workbookPr/>
  <mc:AlternateContent xmlns:mc="http://schemas.openxmlformats.org/markup-compatibility/2006">
    <mc:Choice Requires="x15">
      <x15ac:absPath xmlns:x15ac="http://schemas.microsoft.com/office/spreadsheetml/2010/11/ac" url="https://anubar-my.sharepoint.com/personal/joana_costa_ab_gov_ag/Documents/GCF Build Project Submission Package/AnB GCF Build submission package 4 May 2020/"/>
    </mc:Choice>
  </mc:AlternateContent>
  <xr:revisionPtr revIDLastSave="4" documentId="8_{A6AF01F6-3CE9-1846-91BD-0FDF65829334}" xr6:coauthVersionLast="45" xr6:coauthVersionMax="45" xr10:uidLastSave="{B0D1D423-717E-494B-A9F0-A2ECED3CB8D5}"/>
  <bookViews>
    <workbookView xWindow="0" yWindow="460" windowWidth="28800" windowHeight="17540" xr2:uid="{9B333EA1-C5E1-43F0-8BB1-73163EA32592}"/>
  </bookViews>
  <sheets>
    <sheet name="Detailed Budget" sheetId="1" r:id="rId1"/>
    <sheet name="Notes and Assumptions" sheetId="2" r:id="rId2"/>
    <sheet name="Cost categories" sheetId="4" r:id="rId3"/>
    <sheet name="Cost calculations for upgrades" sheetId="6" r:id="rId4"/>
    <sheet name="Term sheet disbursement" sheetId="5" r:id="rId5"/>
    <sheet name="Sheet1" sheetId="7" r:id="rId6"/>
  </sheets>
  <externalReferences>
    <externalReference r:id="rId7"/>
  </externalReferences>
  <definedNames>
    <definedName name="_xlnm._FilterDatabase" localSheetId="0" hidden="1">'Detailed Budget'!$B$3:$O$162</definedName>
    <definedName name="_xlnm._FilterDatabase" localSheetId="1" hidden="1">'Notes and Assumptions'!$A$1:$L$57</definedName>
    <definedName name="_xlnm.Print_Area" localSheetId="0">'Detailed Budget'!$A$180:$N$196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D196" i="1" l="1"/>
  <c r="E38" i="5"/>
  <c r="E39" i="5"/>
  <c r="E40" i="5"/>
  <c r="E41" i="5"/>
  <c r="E42" i="5"/>
  <c r="E37" i="5"/>
  <c r="I67" i="1"/>
  <c r="J67" i="1"/>
  <c r="K67" i="1"/>
  <c r="L67" i="1"/>
  <c r="M67" i="1"/>
  <c r="I68" i="1"/>
  <c r="J68" i="1"/>
  <c r="K68" i="1"/>
  <c r="L68" i="1"/>
  <c r="M68" i="1"/>
  <c r="I69" i="1"/>
  <c r="J69" i="1"/>
  <c r="K69" i="1"/>
  <c r="L69" i="1"/>
  <c r="M69" i="1"/>
  <c r="I70" i="1"/>
  <c r="J70" i="1"/>
  <c r="K70" i="1"/>
  <c r="L70" i="1"/>
  <c r="M70" i="1"/>
  <c r="I71" i="1"/>
  <c r="J71" i="1"/>
  <c r="K71" i="1"/>
  <c r="L71" i="1"/>
  <c r="M71" i="1"/>
  <c r="I72" i="1"/>
  <c r="J72" i="1"/>
  <c r="K72" i="1"/>
  <c r="L72" i="1"/>
  <c r="M72" i="1"/>
  <c r="I73" i="1"/>
  <c r="J73" i="1"/>
  <c r="K73" i="1"/>
  <c r="L73" i="1"/>
  <c r="M73" i="1"/>
  <c r="I74" i="1"/>
  <c r="J74" i="1"/>
  <c r="K74" i="1"/>
  <c r="L74" i="1"/>
  <c r="M74" i="1"/>
  <c r="I75" i="1"/>
  <c r="J75" i="1"/>
  <c r="K75" i="1"/>
  <c r="L75" i="1"/>
  <c r="M75" i="1"/>
  <c r="I76" i="1"/>
  <c r="J76" i="1"/>
  <c r="K76" i="1"/>
  <c r="L76" i="1"/>
  <c r="M76" i="1"/>
  <c r="I77" i="1"/>
  <c r="J77" i="1"/>
  <c r="K77" i="1"/>
  <c r="L77" i="1"/>
  <c r="M77" i="1"/>
  <c r="H68" i="1"/>
  <c r="H69" i="1"/>
  <c r="H70" i="1"/>
  <c r="H71" i="1"/>
  <c r="H72" i="1"/>
  <c r="H73" i="1"/>
  <c r="H74" i="1"/>
  <c r="H75" i="1"/>
  <c r="H76" i="1"/>
  <c r="H77" i="1"/>
  <c r="H67" i="1"/>
  <c r="I46" i="1"/>
  <c r="J46" i="1"/>
  <c r="K46" i="1"/>
  <c r="L46" i="1"/>
  <c r="M46" i="1"/>
  <c r="I47" i="1"/>
  <c r="J47" i="1"/>
  <c r="K47" i="1"/>
  <c r="L47" i="1"/>
  <c r="M47" i="1"/>
  <c r="I48" i="1"/>
  <c r="J48" i="1"/>
  <c r="K48" i="1"/>
  <c r="L48" i="1"/>
  <c r="M48" i="1"/>
  <c r="H47" i="1"/>
  <c r="H48" i="1"/>
  <c r="H46" i="1"/>
  <c r="I35" i="1"/>
  <c r="J35" i="1"/>
  <c r="K35" i="1"/>
  <c r="L35" i="1"/>
  <c r="M35" i="1"/>
  <c r="H35" i="1"/>
  <c r="F63" i="1" l="1"/>
  <c r="F122" i="1"/>
  <c r="F162" i="1"/>
  <c r="F65" i="1" l="1"/>
  <c r="F66" i="1"/>
  <c r="F67" i="1"/>
  <c r="F68" i="1"/>
  <c r="F69" i="1"/>
  <c r="F70" i="1"/>
  <c r="F71" i="1"/>
  <c r="F72" i="1"/>
  <c r="F73" i="1"/>
  <c r="F74" i="1"/>
  <c r="F75" i="1"/>
  <c r="F76" i="1"/>
  <c r="F77" i="1"/>
  <c r="F78" i="1"/>
  <c r="F79" i="1"/>
  <c r="F80" i="1"/>
  <c r="F81" i="1"/>
  <c r="F82" i="1"/>
  <c r="F83" i="1"/>
  <c r="F84" i="1"/>
  <c r="F85" i="1"/>
  <c r="F86" i="1"/>
  <c r="F87" i="1"/>
  <c r="F88" i="1"/>
  <c r="F89" i="1"/>
  <c r="F90" i="1"/>
  <c r="F91" i="1"/>
  <c r="F92" i="1"/>
  <c r="F93" i="1"/>
  <c r="F94" i="1"/>
  <c r="F95" i="1"/>
  <c r="F96" i="1"/>
  <c r="F97" i="1"/>
  <c r="F98" i="1"/>
  <c r="F99" i="1"/>
  <c r="F100" i="1"/>
  <c r="F101" i="1"/>
  <c r="F102" i="1"/>
  <c r="F103" i="1"/>
  <c r="F104" i="1"/>
  <c r="F105" i="1"/>
  <c r="F106" i="1"/>
  <c r="F107" i="1"/>
  <c r="F108" i="1"/>
  <c r="F109" i="1"/>
  <c r="F110" i="1"/>
  <c r="F111" i="1"/>
  <c r="F112" i="1"/>
  <c r="F113" i="1"/>
  <c r="F114" i="1"/>
  <c r="F115" i="1"/>
  <c r="F116" i="1"/>
  <c r="F117" i="1"/>
  <c r="F118" i="1"/>
  <c r="H113" i="1"/>
  <c r="E6" i="6" l="1"/>
  <c r="E7" i="6"/>
  <c r="C7" i="6"/>
  <c r="F20" i="2"/>
  <c r="G22" i="1" s="1"/>
  <c r="E28" i="2"/>
  <c r="E27" i="2"/>
  <c r="C6" i="6"/>
  <c r="C13" i="6"/>
  <c r="C10" i="6"/>
  <c r="A175" i="1"/>
  <c r="A165" i="1"/>
  <c r="G68" i="1"/>
  <c r="E67" i="2"/>
  <c r="F67" i="2" s="1"/>
  <c r="F69" i="2"/>
  <c r="F68" i="2"/>
  <c r="G72" i="1" s="1"/>
  <c r="F66" i="2"/>
  <c r="G66" i="2" s="1"/>
  <c r="F65" i="2"/>
  <c r="G69" i="1" s="1"/>
  <c r="F64" i="2"/>
  <c r="G64" i="2" s="1"/>
  <c r="F63" i="2"/>
  <c r="G67" i="1" s="1"/>
  <c r="A171" i="1"/>
  <c r="A172" i="1"/>
  <c r="A173" i="1"/>
  <c r="A174" i="1"/>
  <c r="A176" i="1"/>
  <c r="A177" i="1"/>
  <c r="A178" i="1"/>
  <c r="A179" i="1"/>
  <c r="A170" i="1"/>
  <c r="F161" i="2"/>
  <c r="J161" i="2"/>
  <c r="K173" i="1" s="1"/>
  <c r="G173" i="1"/>
  <c r="H165" i="1"/>
  <c r="I165" i="1"/>
  <c r="K165" i="1"/>
  <c r="L165" i="1"/>
  <c r="M165" i="1"/>
  <c r="H166" i="1"/>
  <c r="I166" i="1"/>
  <c r="J166" i="1"/>
  <c r="K166" i="1"/>
  <c r="L166" i="1"/>
  <c r="F166" i="1"/>
  <c r="F165" i="1"/>
  <c r="A166" i="1"/>
  <c r="L156" i="2"/>
  <c r="M166" i="1" s="1"/>
  <c r="F156" i="2"/>
  <c r="G166" i="1" s="1"/>
  <c r="I155" i="2"/>
  <c r="J165" i="1" s="1"/>
  <c r="F155" i="2"/>
  <c r="G165" i="1" s="1"/>
  <c r="H86" i="1"/>
  <c r="J86" i="1"/>
  <c r="K86" i="1"/>
  <c r="L86" i="1"/>
  <c r="M86" i="1"/>
  <c r="H87" i="1"/>
  <c r="H82" i="2"/>
  <c r="I86" i="1" s="1"/>
  <c r="F82" i="2"/>
  <c r="G86" i="1" s="1"/>
  <c r="H27" i="1"/>
  <c r="K27" i="1"/>
  <c r="L27" i="1"/>
  <c r="M27" i="1"/>
  <c r="H22" i="1"/>
  <c r="J22" i="1"/>
  <c r="K22" i="1"/>
  <c r="L22" i="1"/>
  <c r="M22" i="1"/>
  <c r="F5" i="1"/>
  <c r="F6" i="1"/>
  <c r="F7" i="1"/>
  <c r="F8" i="1"/>
  <c r="F9" i="1"/>
  <c r="F10" i="1"/>
  <c r="F11" i="1"/>
  <c r="F12" i="1"/>
  <c r="F13" i="1"/>
  <c r="F14" i="1"/>
  <c r="F15" i="1"/>
  <c r="F16" i="1"/>
  <c r="F17" i="1"/>
  <c r="F18" i="1"/>
  <c r="F19" i="1"/>
  <c r="F20" i="1"/>
  <c r="F21" i="1"/>
  <c r="F22" i="1"/>
  <c r="F23" i="1"/>
  <c r="F24" i="1"/>
  <c r="F25" i="1"/>
  <c r="F26" i="1"/>
  <c r="F27" i="1"/>
  <c r="F28" i="1"/>
  <c r="F29" i="1"/>
  <c r="F30" i="1"/>
  <c r="F31" i="1"/>
  <c r="F32" i="1"/>
  <c r="F33" i="1"/>
  <c r="F34" i="1"/>
  <c r="F35" i="1"/>
  <c r="F36" i="1"/>
  <c r="F37" i="1"/>
  <c r="F38" i="1"/>
  <c r="F39" i="1"/>
  <c r="F40" i="1"/>
  <c r="F41" i="1"/>
  <c r="F42" i="1"/>
  <c r="F43" i="1"/>
  <c r="F44" i="1"/>
  <c r="F45" i="1"/>
  <c r="F46" i="1"/>
  <c r="F47" i="1"/>
  <c r="F48" i="1"/>
  <c r="F49" i="1"/>
  <c r="F50" i="1"/>
  <c r="F51" i="1"/>
  <c r="F52" i="1"/>
  <c r="F53" i="1"/>
  <c r="F54" i="1"/>
  <c r="F55" i="1"/>
  <c r="F56" i="1"/>
  <c r="F57" i="1"/>
  <c r="F58" i="1"/>
  <c r="F59" i="1"/>
  <c r="E20" i="2"/>
  <c r="F25" i="2"/>
  <c r="G27" i="1" s="1"/>
  <c r="I25" i="2"/>
  <c r="J27" i="1" s="1"/>
  <c r="H25" i="2"/>
  <c r="I27" i="1" s="1"/>
  <c r="E11" i="6"/>
  <c r="H79" i="1"/>
  <c r="I79" i="1"/>
  <c r="H80" i="1"/>
  <c r="I80" i="1"/>
  <c r="H81" i="1"/>
  <c r="I81" i="1"/>
  <c r="F75" i="2"/>
  <c r="K75" i="2"/>
  <c r="L79" i="1" s="1"/>
  <c r="F77" i="2"/>
  <c r="K77" i="2" s="1"/>
  <c r="L81" i="1" s="1"/>
  <c r="F76" i="2"/>
  <c r="J76" i="2" s="1"/>
  <c r="K80" i="1" s="1"/>
  <c r="I77" i="2"/>
  <c r="J81" i="1" s="1"/>
  <c r="L75" i="2"/>
  <c r="M79" i="1" s="1"/>
  <c r="J75" i="2"/>
  <c r="K79" i="1" s="1"/>
  <c r="I75" i="2"/>
  <c r="J79" i="1" s="1"/>
  <c r="I65" i="1"/>
  <c r="J65" i="1"/>
  <c r="K65" i="1"/>
  <c r="L65" i="1"/>
  <c r="M65" i="1"/>
  <c r="I66" i="1"/>
  <c r="J66" i="1"/>
  <c r="K66" i="1"/>
  <c r="L66" i="1"/>
  <c r="M66" i="1"/>
  <c r="H78" i="1"/>
  <c r="G79" i="1"/>
  <c r="H82" i="1"/>
  <c r="J82" i="1"/>
  <c r="K82" i="1"/>
  <c r="L82" i="1"/>
  <c r="M82" i="1"/>
  <c r="H83" i="1"/>
  <c r="J83" i="1"/>
  <c r="K83" i="1"/>
  <c r="L83" i="1"/>
  <c r="M83" i="1"/>
  <c r="H84" i="1"/>
  <c r="J84" i="1"/>
  <c r="K84" i="1"/>
  <c r="L84" i="1"/>
  <c r="M84" i="1"/>
  <c r="I94" i="1"/>
  <c r="J94" i="1"/>
  <c r="K94" i="1"/>
  <c r="L94" i="1"/>
  <c r="M94" i="1"/>
  <c r="I95" i="1"/>
  <c r="J95" i="1"/>
  <c r="K95" i="1"/>
  <c r="L95" i="1"/>
  <c r="M95" i="1"/>
  <c r="I96" i="1"/>
  <c r="J96" i="1"/>
  <c r="K96" i="1"/>
  <c r="L96" i="1"/>
  <c r="M96" i="1"/>
  <c r="H97" i="1"/>
  <c r="I97" i="1"/>
  <c r="K97" i="1"/>
  <c r="L97" i="1"/>
  <c r="M97" i="1"/>
  <c r="H98" i="1"/>
  <c r="J98" i="1"/>
  <c r="K98" i="1"/>
  <c r="L98" i="1"/>
  <c r="M98" i="1"/>
  <c r="H99" i="1"/>
  <c r="J99" i="1"/>
  <c r="K99" i="1"/>
  <c r="L99" i="1"/>
  <c r="M99" i="1"/>
  <c r="H100" i="1"/>
  <c r="I101" i="1"/>
  <c r="J101" i="1"/>
  <c r="K101" i="1"/>
  <c r="L101" i="1"/>
  <c r="M101" i="1"/>
  <c r="I102" i="1"/>
  <c r="J102" i="1"/>
  <c r="K102" i="1"/>
  <c r="L102" i="1"/>
  <c r="M102" i="1"/>
  <c r="I106" i="1"/>
  <c r="J106" i="1"/>
  <c r="K106" i="1"/>
  <c r="L106" i="1"/>
  <c r="M106" i="1"/>
  <c r="I107" i="1"/>
  <c r="J107" i="1"/>
  <c r="K107" i="1"/>
  <c r="L107" i="1"/>
  <c r="M107" i="1"/>
  <c r="H111" i="1"/>
  <c r="J111" i="1"/>
  <c r="K111" i="1"/>
  <c r="L111" i="1"/>
  <c r="M111" i="1"/>
  <c r="H112" i="1"/>
  <c r="J112" i="1"/>
  <c r="K112" i="1"/>
  <c r="L112" i="1"/>
  <c r="M112" i="1"/>
  <c r="H114" i="1"/>
  <c r="J114" i="1"/>
  <c r="K114" i="1"/>
  <c r="L114" i="1"/>
  <c r="M114" i="1"/>
  <c r="H115" i="1"/>
  <c r="J115" i="1"/>
  <c r="K115" i="1"/>
  <c r="L115" i="1"/>
  <c r="M115" i="1"/>
  <c r="H116" i="1"/>
  <c r="H117" i="1"/>
  <c r="H118" i="1"/>
  <c r="I64" i="1"/>
  <c r="J64" i="1"/>
  <c r="K64" i="1"/>
  <c r="L64" i="1"/>
  <c r="M64" i="1"/>
  <c r="J5" i="1"/>
  <c r="K5" i="1"/>
  <c r="L5" i="1"/>
  <c r="M5" i="1"/>
  <c r="I11" i="1"/>
  <c r="J11" i="1"/>
  <c r="K11" i="1"/>
  <c r="L11" i="1"/>
  <c r="M11" i="1"/>
  <c r="I12" i="1"/>
  <c r="J12" i="1"/>
  <c r="K12" i="1"/>
  <c r="L12" i="1"/>
  <c r="M12" i="1"/>
  <c r="I13" i="1"/>
  <c r="J13" i="1"/>
  <c r="K13" i="1"/>
  <c r="L13" i="1"/>
  <c r="M13" i="1"/>
  <c r="J14" i="1"/>
  <c r="K14" i="1"/>
  <c r="L14" i="1"/>
  <c r="M14" i="1"/>
  <c r="J15" i="1"/>
  <c r="K15" i="1"/>
  <c r="L15" i="1"/>
  <c r="M15" i="1"/>
  <c r="J19" i="1"/>
  <c r="K19" i="1"/>
  <c r="L19" i="1"/>
  <c r="M19" i="1"/>
  <c r="J20" i="1"/>
  <c r="K20" i="1"/>
  <c r="L20" i="1"/>
  <c r="M20" i="1"/>
  <c r="I21" i="1"/>
  <c r="J21" i="1"/>
  <c r="K21" i="1"/>
  <c r="L21" i="1"/>
  <c r="M21" i="1"/>
  <c r="I26" i="1"/>
  <c r="J26" i="1"/>
  <c r="K26" i="1"/>
  <c r="L26" i="1"/>
  <c r="M26" i="1"/>
  <c r="J28" i="1"/>
  <c r="K28" i="1"/>
  <c r="L28" i="1"/>
  <c r="M28" i="1"/>
  <c r="H32" i="1"/>
  <c r="J32" i="1"/>
  <c r="K32" i="1"/>
  <c r="L32" i="1"/>
  <c r="M32" i="1"/>
  <c r="H33" i="1"/>
  <c r="J33" i="1"/>
  <c r="K33" i="1"/>
  <c r="L33" i="1"/>
  <c r="M33" i="1"/>
  <c r="H34" i="1"/>
  <c r="J34" i="1"/>
  <c r="K34" i="1"/>
  <c r="L34" i="1"/>
  <c r="M34" i="1"/>
  <c r="H36" i="1"/>
  <c r="J36" i="1"/>
  <c r="K36" i="1"/>
  <c r="L36" i="1"/>
  <c r="M36" i="1"/>
  <c r="H37" i="1"/>
  <c r="J37" i="1"/>
  <c r="K37" i="1"/>
  <c r="L37" i="1"/>
  <c r="M37" i="1"/>
  <c r="H38" i="1"/>
  <c r="I38" i="1"/>
  <c r="J38" i="1"/>
  <c r="H39" i="1"/>
  <c r="J39" i="1"/>
  <c r="K39" i="1"/>
  <c r="L39" i="1"/>
  <c r="M39" i="1"/>
  <c r="I40" i="1"/>
  <c r="J40" i="1"/>
  <c r="K40" i="1"/>
  <c r="L40" i="1"/>
  <c r="M40" i="1"/>
  <c r="I41" i="1"/>
  <c r="I50" i="1"/>
  <c r="J41" i="1"/>
  <c r="K41" i="1"/>
  <c r="L41" i="1"/>
  <c r="H6" i="5" s="1"/>
  <c r="M41" i="1"/>
  <c r="M50" i="1"/>
  <c r="I42" i="1"/>
  <c r="J42" i="1"/>
  <c r="K42" i="1"/>
  <c r="L42" i="1"/>
  <c r="M42" i="1"/>
  <c r="I43" i="1"/>
  <c r="J43" i="1"/>
  <c r="K43" i="1"/>
  <c r="L43" i="1"/>
  <c r="M43" i="1"/>
  <c r="I44" i="1"/>
  <c r="J44" i="1"/>
  <c r="K44" i="1"/>
  <c r="L44" i="1"/>
  <c r="M44" i="1"/>
  <c r="I45" i="1"/>
  <c r="J45" i="1"/>
  <c r="K45" i="1"/>
  <c r="L45" i="1"/>
  <c r="M45" i="1"/>
  <c r="I49" i="1"/>
  <c r="J49" i="1"/>
  <c r="K49" i="1"/>
  <c r="L49" i="1"/>
  <c r="M49" i="1"/>
  <c r="J50" i="1"/>
  <c r="K50" i="1"/>
  <c r="L50" i="1"/>
  <c r="I51" i="1"/>
  <c r="J51" i="1"/>
  <c r="K51" i="1"/>
  <c r="L51" i="1"/>
  <c r="M51" i="1"/>
  <c r="I52" i="1"/>
  <c r="J52" i="1"/>
  <c r="K52" i="1"/>
  <c r="L52" i="1"/>
  <c r="M52" i="1"/>
  <c r="I53" i="1"/>
  <c r="J53" i="1"/>
  <c r="K53" i="1"/>
  <c r="L53" i="1"/>
  <c r="M53" i="1"/>
  <c r="I54" i="1"/>
  <c r="J54" i="1"/>
  <c r="K54" i="1"/>
  <c r="L54" i="1"/>
  <c r="M54" i="1"/>
  <c r="I56" i="1"/>
  <c r="J56" i="1"/>
  <c r="K56" i="1"/>
  <c r="L56" i="1"/>
  <c r="M56" i="1"/>
  <c r="I57" i="1"/>
  <c r="J57" i="1"/>
  <c r="K57" i="1"/>
  <c r="L57" i="1"/>
  <c r="M57" i="1"/>
  <c r="I58" i="1"/>
  <c r="J58" i="1"/>
  <c r="K58" i="1"/>
  <c r="L58" i="1"/>
  <c r="M58" i="1"/>
  <c r="J4" i="1"/>
  <c r="K4" i="1"/>
  <c r="L4" i="1"/>
  <c r="M4" i="1"/>
  <c r="E96" i="2"/>
  <c r="E12" i="5"/>
  <c r="F12" i="5"/>
  <c r="G12" i="5"/>
  <c r="H12" i="5"/>
  <c r="I12" i="5"/>
  <c r="E15" i="5"/>
  <c r="F15" i="5"/>
  <c r="G15" i="5"/>
  <c r="H15" i="5"/>
  <c r="I15" i="5"/>
  <c r="E4" i="5"/>
  <c r="F4" i="5"/>
  <c r="G4" i="5"/>
  <c r="H4" i="5"/>
  <c r="I4" i="5"/>
  <c r="E29" i="2"/>
  <c r="F29" i="2" s="1"/>
  <c r="G31" i="1" s="1"/>
  <c r="F35" i="2"/>
  <c r="E23" i="5"/>
  <c r="F23" i="5"/>
  <c r="G23" i="5"/>
  <c r="H23" i="5"/>
  <c r="I23" i="5"/>
  <c r="D23" i="5"/>
  <c r="E20" i="5"/>
  <c r="F20" i="5"/>
  <c r="G20" i="5"/>
  <c r="H20" i="5"/>
  <c r="I20" i="5"/>
  <c r="D20" i="5"/>
  <c r="D15" i="5"/>
  <c r="D12" i="5"/>
  <c r="D4" i="5"/>
  <c r="G40" i="2"/>
  <c r="H42" i="1" s="1"/>
  <c r="G41" i="2"/>
  <c r="H43" i="1" s="1"/>
  <c r="G39" i="2"/>
  <c r="H41" i="1"/>
  <c r="F40" i="2"/>
  <c r="G42" i="1" s="1"/>
  <c r="F41" i="2"/>
  <c r="G43" i="1" s="1"/>
  <c r="F39" i="2"/>
  <c r="G41" i="1" s="1"/>
  <c r="G49" i="2"/>
  <c r="H51" i="1" s="1"/>
  <c r="G50" i="2"/>
  <c r="H52" i="1" s="1"/>
  <c r="G48" i="2"/>
  <c r="H50" i="1"/>
  <c r="F49" i="2"/>
  <c r="G51" i="1" s="1"/>
  <c r="F50" i="2"/>
  <c r="G52" i="1" s="1"/>
  <c r="F48" i="2"/>
  <c r="G50" i="1" s="1"/>
  <c r="I123" i="1"/>
  <c r="J123" i="1"/>
  <c r="F26" i="5" s="1"/>
  <c r="K123" i="1"/>
  <c r="L123" i="1"/>
  <c r="H26" i="5" s="1"/>
  <c r="M123" i="1"/>
  <c r="G117" i="2"/>
  <c r="H123" i="1" s="1"/>
  <c r="D26" i="5" s="1"/>
  <c r="F117" i="2"/>
  <c r="G123" i="1" s="1"/>
  <c r="F4" i="1"/>
  <c r="E22" i="6"/>
  <c r="G22" i="6"/>
  <c r="F4" i="6"/>
  <c r="G31" i="6"/>
  <c r="E30" i="6"/>
  <c r="G30" i="6"/>
  <c r="E22" i="2"/>
  <c r="E19" i="2" s="1"/>
  <c r="E29" i="6"/>
  <c r="G29" i="6"/>
  <c r="E37" i="2"/>
  <c r="E28" i="6"/>
  <c r="G28" i="6"/>
  <c r="E15" i="2"/>
  <c r="E13" i="2" s="1"/>
  <c r="F13" i="2" s="1"/>
  <c r="E27" i="6"/>
  <c r="G27" i="6"/>
  <c r="E8" i="2"/>
  <c r="F8" i="2" s="1"/>
  <c r="G24" i="6"/>
  <c r="E24" i="2"/>
  <c r="G23" i="6"/>
  <c r="E17" i="2"/>
  <c r="F17" i="2" s="1"/>
  <c r="G14" i="6"/>
  <c r="G6" i="6"/>
  <c r="G7" i="6"/>
  <c r="E5" i="2"/>
  <c r="G32" i="6"/>
  <c r="G25" i="6"/>
  <c r="G33" i="6"/>
  <c r="F34" i="2"/>
  <c r="G36" i="1" s="1"/>
  <c r="E33" i="2"/>
  <c r="G33" i="2" s="1"/>
  <c r="F27" i="2"/>
  <c r="G29" i="1" s="1"/>
  <c r="F28" i="2"/>
  <c r="J28" i="2"/>
  <c r="K30" i="1" s="1"/>
  <c r="I28" i="2"/>
  <c r="J30" i="1" s="1"/>
  <c r="K28" i="2"/>
  <c r="L30" i="1" s="1"/>
  <c r="G28" i="2"/>
  <c r="H30" i="1" s="1"/>
  <c r="G42" i="2"/>
  <c r="H44" i="1" s="1"/>
  <c r="G43" i="2"/>
  <c r="H45" i="1" s="1"/>
  <c r="G44" i="2"/>
  <c r="G45" i="2"/>
  <c r="G46" i="2"/>
  <c r="G38" i="2"/>
  <c r="H40" i="1" s="1"/>
  <c r="F42" i="2"/>
  <c r="G44" i="1" s="1"/>
  <c r="F43" i="2"/>
  <c r="G45" i="1" s="1"/>
  <c r="F44" i="2"/>
  <c r="G46" i="1" s="1"/>
  <c r="F45" i="2"/>
  <c r="G47" i="1" s="1"/>
  <c r="F46" i="2"/>
  <c r="G48" i="1" s="1"/>
  <c r="F38" i="2"/>
  <c r="G40" i="1" s="1"/>
  <c r="E23" i="2"/>
  <c r="F23" i="2" s="1"/>
  <c r="F18" i="2"/>
  <c r="I27" i="2"/>
  <c r="J29" i="1" s="1"/>
  <c r="G18" i="2"/>
  <c r="H20" i="1" s="1"/>
  <c r="H18" i="2"/>
  <c r="I20" i="1" s="1"/>
  <c r="E16" i="2"/>
  <c r="F16" i="2" s="1"/>
  <c r="F12" i="2"/>
  <c r="H152" i="1"/>
  <c r="J152" i="1"/>
  <c r="K152" i="1"/>
  <c r="L152" i="1"/>
  <c r="M152" i="1"/>
  <c r="H153" i="1"/>
  <c r="J153" i="1"/>
  <c r="K153" i="1"/>
  <c r="L153" i="1"/>
  <c r="M153" i="1"/>
  <c r="H154" i="1"/>
  <c r="J154" i="1"/>
  <c r="K154" i="1"/>
  <c r="L154" i="1"/>
  <c r="M154" i="1"/>
  <c r="H155" i="1"/>
  <c r="J155" i="1"/>
  <c r="K155" i="1"/>
  <c r="L155" i="1"/>
  <c r="M155" i="1"/>
  <c r="H156" i="1"/>
  <c r="J156" i="1"/>
  <c r="K156" i="1"/>
  <c r="L156" i="1"/>
  <c r="M156" i="1"/>
  <c r="H157" i="1"/>
  <c r="H158" i="1"/>
  <c r="H147" i="2"/>
  <c r="I153" i="1" s="1"/>
  <c r="H148" i="2"/>
  <c r="I154" i="1" s="1"/>
  <c r="H149" i="2"/>
  <c r="I155" i="1" s="1"/>
  <c r="H150" i="2"/>
  <c r="I156" i="1" s="1"/>
  <c r="H146" i="2"/>
  <c r="I152" i="1" s="1"/>
  <c r="F152" i="2"/>
  <c r="F151" i="2"/>
  <c r="H151" i="2" s="1"/>
  <c r="I157" i="1" s="1"/>
  <c r="K151" i="2"/>
  <c r="L157" i="1" s="1"/>
  <c r="F150" i="2"/>
  <c r="G156" i="1" s="1"/>
  <c r="F149" i="2"/>
  <c r="G155" i="1" s="1"/>
  <c r="F148" i="2"/>
  <c r="G154" i="1" s="1"/>
  <c r="F147" i="2"/>
  <c r="G153" i="1" s="1"/>
  <c r="F146" i="2"/>
  <c r="G152" i="1" s="1"/>
  <c r="F152" i="1"/>
  <c r="F153" i="1"/>
  <c r="F154" i="1"/>
  <c r="F155" i="1"/>
  <c r="F156" i="1"/>
  <c r="F157" i="1"/>
  <c r="F158" i="1"/>
  <c r="H151" i="1"/>
  <c r="F151" i="1"/>
  <c r="F143" i="1"/>
  <c r="F144" i="1"/>
  <c r="F145" i="1"/>
  <c r="F146" i="1"/>
  <c r="F147" i="1"/>
  <c r="F148" i="1"/>
  <c r="F149" i="1"/>
  <c r="F150" i="1"/>
  <c r="F145" i="2"/>
  <c r="K145" i="2" s="1"/>
  <c r="L151" i="1" s="1"/>
  <c r="H143" i="1"/>
  <c r="J143" i="1"/>
  <c r="K143" i="1"/>
  <c r="L143" i="1"/>
  <c r="M143" i="1"/>
  <c r="H144" i="1"/>
  <c r="J144" i="1"/>
  <c r="K144" i="1"/>
  <c r="L144" i="1"/>
  <c r="M144" i="1"/>
  <c r="H145" i="1"/>
  <c r="J145" i="1"/>
  <c r="K145" i="1"/>
  <c r="L145" i="1"/>
  <c r="M145" i="1"/>
  <c r="H146" i="1"/>
  <c r="J146" i="1"/>
  <c r="K146" i="1"/>
  <c r="L146" i="1"/>
  <c r="M146" i="1"/>
  <c r="H147" i="1"/>
  <c r="J147" i="1"/>
  <c r="K147" i="1"/>
  <c r="L147" i="1"/>
  <c r="M147" i="1"/>
  <c r="H148" i="1"/>
  <c r="J148" i="1"/>
  <c r="K148" i="1"/>
  <c r="L148" i="1"/>
  <c r="M148" i="1"/>
  <c r="H149" i="1"/>
  <c r="J149" i="1"/>
  <c r="K149" i="1"/>
  <c r="L149" i="1"/>
  <c r="M149" i="1"/>
  <c r="H150" i="1"/>
  <c r="H143" i="2"/>
  <c r="I149" i="1" s="1"/>
  <c r="H142" i="2"/>
  <c r="I148" i="1" s="1"/>
  <c r="H138" i="2"/>
  <c r="I144" i="1" s="1"/>
  <c r="H139" i="2"/>
  <c r="I145" i="1" s="1"/>
  <c r="H140" i="2"/>
  <c r="I146" i="1"/>
  <c r="H141" i="2"/>
  <c r="I147" i="1" s="1"/>
  <c r="H137" i="2"/>
  <c r="I143" i="1" s="1"/>
  <c r="F144" i="2"/>
  <c r="G150" i="1" s="1"/>
  <c r="F143" i="2"/>
  <c r="G149" i="1" s="1"/>
  <c r="F142" i="2"/>
  <c r="G148" i="1"/>
  <c r="F141" i="2"/>
  <c r="G147" i="1" s="1"/>
  <c r="F140" i="2"/>
  <c r="G146" i="1"/>
  <c r="F139" i="2"/>
  <c r="G145" i="1" s="1"/>
  <c r="F138" i="2"/>
  <c r="G144" i="1"/>
  <c r="F137" i="2"/>
  <c r="G143" i="1" s="1"/>
  <c r="H134" i="1"/>
  <c r="J134" i="1"/>
  <c r="K134" i="1"/>
  <c r="L134" i="1"/>
  <c r="M134" i="1"/>
  <c r="H135" i="1"/>
  <c r="J135" i="1"/>
  <c r="K135" i="1"/>
  <c r="L135" i="1"/>
  <c r="M135" i="1"/>
  <c r="H136" i="1"/>
  <c r="J136" i="1"/>
  <c r="K136" i="1"/>
  <c r="L136" i="1"/>
  <c r="M136" i="1"/>
  <c r="H137" i="1"/>
  <c r="J137" i="1"/>
  <c r="K137" i="1"/>
  <c r="L137" i="1"/>
  <c r="M137" i="1"/>
  <c r="H138" i="1"/>
  <c r="J138" i="1"/>
  <c r="K138" i="1"/>
  <c r="L138" i="1"/>
  <c r="M138" i="1"/>
  <c r="H139" i="1"/>
  <c r="H140" i="1"/>
  <c r="H141" i="1"/>
  <c r="H142" i="1"/>
  <c r="F134" i="1"/>
  <c r="F135" i="1"/>
  <c r="F136" i="1"/>
  <c r="F137" i="1"/>
  <c r="F138" i="1"/>
  <c r="F139" i="1"/>
  <c r="F140" i="1"/>
  <c r="F141" i="1"/>
  <c r="F142" i="1"/>
  <c r="F135" i="2"/>
  <c r="G141" i="1" s="1"/>
  <c r="F134" i="2"/>
  <c r="K134" i="2" s="1"/>
  <c r="L140" i="1" s="1"/>
  <c r="I134" i="2"/>
  <c r="J140" i="1" s="1"/>
  <c r="F133" i="2"/>
  <c r="G139" i="1" s="1"/>
  <c r="H129" i="2"/>
  <c r="I135" i="1" s="1"/>
  <c r="H130" i="2"/>
  <c r="I136" i="1" s="1"/>
  <c r="H131" i="2"/>
  <c r="I137" i="1" s="1"/>
  <c r="H132" i="2"/>
  <c r="I138" i="1" s="1"/>
  <c r="H128" i="2"/>
  <c r="I134" i="1" s="1"/>
  <c r="F132" i="2"/>
  <c r="G138" i="1" s="1"/>
  <c r="F131" i="2"/>
  <c r="G137" i="1" s="1"/>
  <c r="F130" i="2"/>
  <c r="G136" i="1" s="1"/>
  <c r="F129" i="2"/>
  <c r="G135" i="1" s="1"/>
  <c r="F128" i="2"/>
  <c r="G134" i="1" s="1"/>
  <c r="F136" i="2"/>
  <c r="O136" i="2" s="1"/>
  <c r="J151" i="2"/>
  <c r="K157" i="1"/>
  <c r="I151" i="2"/>
  <c r="J157" i="1" s="1"/>
  <c r="L151" i="2"/>
  <c r="M157" i="1" s="1"/>
  <c r="J145" i="2"/>
  <c r="K151" i="1" s="1"/>
  <c r="I145" i="2"/>
  <c r="J151" i="1" s="1"/>
  <c r="L135" i="2"/>
  <c r="M141" i="1" s="1"/>
  <c r="G140" i="1"/>
  <c r="H134" i="2"/>
  <c r="I140" i="1" s="1"/>
  <c r="H135" i="2"/>
  <c r="I141" i="1" s="1"/>
  <c r="H129" i="1"/>
  <c r="J129" i="1"/>
  <c r="K129" i="1"/>
  <c r="L129" i="1"/>
  <c r="M129" i="1"/>
  <c r="F123" i="2"/>
  <c r="H123" i="2"/>
  <c r="I129" i="1"/>
  <c r="H130" i="1"/>
  <c r="J130" i="1"/>
  <c r="K130" i="1"/>
  <c r="L130" i="1"/>
  <c r="M130" i="1"/>
  <c r="H131" i="1"/>
  <c r="J131" i="1"/>
  <c r="K131" i="1"/>
  <c r="L131" i="1"/>
  <c r="M131" i="1"/>
  <c r="H132" i="1"/>
  <c r="J132" i="1"/>
  <c r="K132" i="1"/>
  <c r="L132" i="1"/>
  <c r="M132" i="1"/>
  <c r="H133" i="1"/>
  <c r="F130" i="1"/>
  <c r="F131" i="1"/>
  <c r="F132" i="1"/>
  <c r="F133" i="1"/>
  <c r="H126" i="2"/>
  <c r="I132" i="1" s="1"/>
  <c r="H125" i="2"/>
  <c r="I131" i="1"/>
  <c r="H124" i="2"/>
  <c r="I130" i="1" s="1"/>
  <c r="F125" i="2"/>
  <c r="G131" i="1" s="1"/>
  <c r="F126" i="2"/>
  <c r="G132" i="1" s="1"/>
  <c r="F127" i="2"/>
  <c r="L127" i="2" s="1"/>
  <c r="M133" i="1" s="1"/>
  <c r="F124" i="2"/>
  <c r="G130" i="1" s="1"/>
  <c r="G129" i="1"/>
  <c r="I128" i="1"/>
  <c r="J128" i="1"/>
  <c r="K128" i="1"/>
  <c r="L128" i="1"/>
  <c r="M128" i="1"/>
  <c r="F128" i="1"/>
  <c r="F129" i="1"/>
  <c r="G122" i="2"/>
  <c r="H128" i="1" s="1"/>
  <c r="F122" i="2"/>
  <c r="G128" i="1" s="1"/>
  <c r="I124" i="1"/>
  <c r="J124" i="1"/>
  <c r="K124" i="1"/>
  <c r="L124" i="1"/>
  <c r="M124" i="1"/>
  <c r="I125" i="1"/>
  <c r="J125" i="1"/>
  <c r="K125" i="1"/>
  <c r="L125" i="1"/>
  <c r="M125" i="1"/>
  <c r="I126" i="1"/>
  <c r="J126" i="1"/>
  <c r="K126" i="1"/>
  <c r="L126" i="1"/>
  <c r="M126" i="1"/>
  <c r="G119" i="2"/>
  <c r="H125" i="1"/>
  <c r="G120" i="2"/>
  <c r="H126" i="1" s="1"/>
  <c r="G118" i="2"/>
  <c r="H124" i="1" s="1"/>
  <c r="F119" i="2"/>
  <c r="G125" i="1" s="1"/>
  <c r="F120" i="2"/>
  <c r="G126" i="1" s="1"/>
  <c r="F118" i="2"/>
  <c r="G124" i="1" s="1"/>
  <c r="F125" i="1"/>
  <c r="F126" i="1"/>
  <c r="F127" i="1"/>
  <c r="F124" i="1"/>
  <c r="F121" i="2"/>
  <c r="H121" i="2" s="1"/>
  <c r="I127" i="1" s="1"/>
  <c r="J121" i="2"/>
  <c r="K127" i="1" s="1"/>
  <c r="F123" i="1"/>
  <c r="D114" i="2"/>
  <c r="F114" i="2" s="1"/>
  <c r="G118" i="1" s="1"/>
  <c r="D113" i="2"/>
  <c r="F113" i="2" s="1"/>
  <c r="F112" i="2"/>
  <c r="D111" i="2"/>
  <c r="H111" i="2" s="1"/>
  <c r="I115" i="1"/>
  <c r="D110" i="2"/>
  <c r="F110" i="2" s="1"/>
  <c r="G114" i="1" s="1"/>
  <c r="F109" i="2"/>
  <c r="F96" i="2"/>
  <c r="G100" i="1" s="1"/>
  <c r="H108" i="2"/>
  <c r="I112" i="1" s="1"/>
  <c r="F108" i="2"/>
  <c r="G112" i="1" s="1"/>
  <c r="H107" i="2"/>
  <c r="I111" i="1" s="1"/>
  <c r="F107" i="2"/>
  <c r="G111" i="1" s="1"/>
  <c r="I93" i="2"/>
  <c r="J97" i="1"/>
  <c r="G92" i="2"/>
  <c r="H96" i="1" s="1"/>
  <c r="N96" i="1" s="1"/>
  <c r="F92" i="2"/>
  <c r="G96" i="1"/>
  <c r="F93" i="2"/>
  <c r="G97" i="1" s="1"/>
  <c r="D91" i="2"/>
  <c r="G91" i="2" s="1"/>
  <c r="H95" i="1" s="1"/>
  <c r="D90" i="2"/>
  <c r="G90" i="2" s="1"/>
  <c r="H94" i="1" s="1"/>
  <c r="D89" i="2"/>
  <c r="F89" i="2"/>
  <c r="G93" i="1" s="1"/>
  <c r="F88" i="2"/>
  <c r="H88" i="2" s="1"/>
  <c r="I92" i="1" s="1"/>
  <c r="F87" i="2"/>
  <c r="G91" i="1" s="1"/>
  <c r="F86" i="2"/>
  <c r="G90" i="1" s="1"/>
  <c r="D85" i="2"/>
  <c r="F85" i="2" s="1"/>
  <c r="G89" i="1" s="1"/>
  <c r="D84" i="2"/>
  <c r="F84" i="2" s="1"/>
  <c r="H84" i="2" s="1"/>
  <c r="I88" i="1" s="1"/>
  <c r="F83" i="2"/>
  <c r="H83" i="2" s="1"/>
  <c r="I87" i="1" s="1"/>
  <c r="D81" i="2"/>
  <c r="F81" i="2" s="1"/>
  <c r="H79" i="2"/>
  <c r="I83" i="1" s="1"/>
  <c r="H80" i="2"/>
  <c r="I84" i="1" s="1"/>
  <c r="N84" i="1" s="1"/>
  <c r="H78" i="2"/>
  <c r="I82" i="1" s="1"/>
  <c r="F80" i="2"/>
  <c r="G84" i="1" s="1"/>
  <c r="F79" i="2"/>
  <c r="G83" i="1" s="1"/>
  <c r="F78" i="2"/>
  <c r="G82" i="1" s="1"/>
  <c r="D106" i="2"/>
  <c r="F106" i="2" s="1"/>
  <c r="G110" i="1" s="1"/>
  <c r="D105" i="2"/>
  <c r="F105" i="2" s="1"/>
  <c r="F104" i="2"/>
  <c r="G103" i="2"/>
  <c r="H107" i="1" s="1"/>
  <c r="F103" i="2"/>
  <c r="G107" i="1" s="1"/>
  <c r="G102" i="2"/>
  <c r="H106" i="1" s="1"/>
  <c r="F102" i="2"/>
  <c r="G106" i="1" s="1"/>
  <c r="D101" i="2"/>
  <c r="F101" i="2" s="1"/>
  <c r="K101" i="2" s="1"/>
  <c r="L105" i="1" s="1"/>
  <c r="D100" i="2"/>
  <c r="F100" i="2" s="1"/>
  <c r="J100" i="2" s="1"/>
  <c r="K104" i="1" s="1"/>
  <c r="G98" i="2"/>
  <c r="H102" i="1" s="1"/>
  <c r="G97" i="2"/>
  <c r="H101" i="1" s="1"/>
  <c r="F99" i="2"/>
  <c r="F98" i="2"/>
  <c r="G102" i="1" s="1"/>
  <c r="F97" i="2"/>
  <c r="G101" i="1" s="1"/>
  <c r="H95" i="2"/>
  <c r="I99" i="1" s="1"/>
  <c r="F95" i="2"/>
  <c r="G99" i="1" s="1"/>
  <c r="H94" i="2"/>
  <c r="I98" i="1" s="1"/>
  <c r="F94" i="2"/>
  <c r="G98" i="1" s="1"/>
  <c r="I74" i="2"/>
  <c r="J78" i="1"/>
  <c r="J74" i="2"/>
  <c r="K78" i="1" s="1"/>
  <c r="K74" i="2"/>
  <c r="L78" i="1"/>
  <c r="L74" i="2"/>
  <c r="M78" i="1" s="1"/>
  <c r="H74" i="2"/>
  <c r="I78" i="1"/>
  <c r="F74" i="2"/>
  <c r="G78" i="1" s="1"/>
  <c r="F73" i="2"/>
  <c r="G77" i="1" s="1"/>
  <c r="G73" i="2"/>
  <c r="N77" i="1"/>
  <c r="F72" i="2"/>
  <c r="G76" i="1" s="1"/>
  <c r="G72" i="2"/>
  <c r="N76" i="1" s="1"/>
  <c r="F71" i="2"/>
  <c r="G75" i="1" s="1"/>
  <c r="G71" i="2"/>
  <c r="N75" i="1" s="1"/>
  <c r="G70" i="2"/>
  <c r="F70" i="2"/>
  <c r="G74" i="1" s="1"/>
  <c r="G62" i="2"/>
  <c r="H66" i="1" s="1"/>
  <c r="F62" i="2"/>
  <c r="G66" i="1" s="1"/>
  <c r="G61" i="2"/>
  <c r="H65" i="1" s="1"/>
  <c r="G60" i="2"/>
  <c r="H64" i="1" s="1"/>
  <c r="F61" i="2"/>
  <c r="G65" i="1" s="1"/>
  <c r="F60" i="2"/>
  <c r="G64" i="1" s="1"/>
  <c r="I88" i="2"/>
  <c r="J92" i="1" s="1"/>
  <c r="G92" i="1"/>
  <c r="L96" i="2"/>
  <c r="M100" i="1" s="1"/>
  <c r="G121" i="2"/>
  <c r="H127" i="1" s="1"/>
  <c r="K121" i="2"/>
  <c r="L127" i="1" s="1"/>
  <c r="I121" i="2"/>
  <c r="J127" i="1" s="1"/>
  <c r="G127" i="1"/>
  <c r="L121" i="2"/>
  <c r="M127" i="1" s="1"/>
  <c r="K127" i="2"/>
  <c r="L133" i="1" s="1"/>
  <c r="L88" i="2"/>
  <c r="M92" i="1" s="1"/>
  <c r="K88" i="2"/>
  <c r="L92" i="1" s="1"/>
  <c r="F111" i="2"/>
  <c r="G115" i="1" s="1"/>
  <c r="F90" i="2"/>
  <c r="G94" i="1" s="1"/>
  <c r="H106" i="2"/>
  <c r="I110" i="1" s="1"/>
  <c r="J106" i="2"/>
  <c r="K110" i="1" s="1"/>
  <c r="H86" i="2"/>
  <c r="I90" i="1" s="1"/>
  <c r="I89" i="2"/>
  <c r="J93" i="1" s="1"/>
  <c r="L89" i="2"/>
  <c r="M93" i="1" s="1"/>
  <c r="F64" i="1"/>
  <c r="F167" i="2"/>
  <c r="O167" i="2" s="1"/>
  <c r="F159" i="2"/>
  <c r="L159" i="2" s="1"/>
  <c r="M171" i="1" s="1"/>
  <c r="F160" i="2"/>
  <c r="F162" i="2"/>
  <c r="F163" i="2"/>
  <c r="F164" i="2"/>
  <c r="L164" i="2" s="1"/>
  <c r="M176" i="1" s="1"/>
  <c r="F165" i="2"/>
  <c r="O165" i="2" s="1"/>
  <c r="Q165" i="2" s="1"/>
  <c r="F166" i="2"/>
  <c r="I166" i="2" s="1"/>
  <c r="J178" i="1" s="1"/>
  <c r="F158" i="2"/>
  <c r="F57" i="2"/>
  <c r="G56" i="2"/>
  <c r="H58" i="1" s="1"/>
  <c r="F56" i="2"/>
  <c r="G58" i="1" s="1"/>
  <c r="F55" i="2"/>
  <c r="G57" i="1" s="1"/>
  <c r="G55" i="2"/>
  <c r="H57" i="1" s="1"/>
  <c r="G54" i="2"/>
  <c r="H56" i="1" s="1"/>
  <c r="F54" i="2"/>
  <c r="G56" i="1" s="1"/>
  <c r="F53" i="2"/>
  <c r="G47" i="2"/>
  <c r="H49" i="1" s="1"/>
  <c r="G52" i="2"/>
  <c r="H54" i="1"/>
  <c r="F52" i="2"/>
  <c r="G54" i="1" s="1"/>
  <c r="G51" i="2"/>
  <c r="H53" i="1" s="1"/>
  <c r="F51" i="2"/>
  <c r="G53" i="1" s="1"/>
  <c r="F47" i="2"/>
  <c r="G49" i="1" s="1"/>
  <c r="F32" i="2"/>
  <c r="G34" i="1" s="1"/>
  <c r="K158" i="2"/>
  <c r="H158" i="2"/>
  <c r="I170" i="1" s="1"/>
  <c r="G179" i="1"/>
  <c r="J166" i="2"/>
  <c r="K178" i="1" s="1"/>
  <c r="K166" i="2"/>
  <c r="L178" i="1" s="1"/>
  <c r="G178" i="1"/>
  <c r="J162" i="2"/>
  <c r="K174" i="1" s="1"/>
  <c r="G162" i="2"/>
  <c r="H174" i="1" s="1"/>
  <c r="H162" i="2"/>
  <c r="I174" i="1" s="1"/>
  <c r="L162" i="2"/>
  <c r="M174" i="1" s="1"/>
  <c r="L163" i="2"/>
  <c r="M175" i="1" s="1"/>
  <c r="G163" i="2"/>
  <c r="H175" i="1" s="1"/>
  <c r="J163" i="2"/>
  <c r="K175" i="1" s="1"/>
  <c r="J165" i="2"/>
  <c r="K177" i="1" s="1"/>
  <c r="G165" i="2"/>
  <c r="H177" i="1" s="1"/>
  <c r="L165" i="2"/>
  <c r="M177" i="1" s="1"/>
  <c r="K160" i="2"/>
  <c r="L172" i="1" s="1"/>
  <c r="H160" i="2"/>
  <c r="I172" i="1" s="1"/>
  <c r="L160" i="2"/>
  <c r="M172" i="1" s="1"/>
  <c r="J160" i="2"/>
  <c r="K172" i="1" s="1"/>
  <c r="G164" i="2"/>
  <c r="H176" i="1" s="1"/>
  <c r="G171" i="1"/>
  <c r="J159" i="2"/>
  <c r="K171" i="1" s="1"/>
  <c r="G170" i="1"/>
  <c r="L57" i="2"/>
  <c r="M59" i="1" s="1"/>
  <c r="L53" i="2"/>
  <c r="M55" i="1" s="1"/>
  <c r="H32" i="2"/>
  <c r="I34" i="1" s="1"/>
  <c r="F31" i="2"/>
  <c r="G33" i="1" s="1"/>
  <c r="H31" i="2"/>
  <c r="I33" i="1" s="1"/>
  <c r="H30" i="2"/>
  <c r="I32" i="1" s="1"/>
  <c r="F30" i="2"/>
  <c r="G32" i="1" s="1"/>
  <c r="G10" i="2"/>
  <c r="H12" i="1" s="1"/>
  <c r="F10" i="2"/>
  <c r="G12" i="1" s="1"/>
  <c r="F9" i="2"/>
  <c r="G11" i="1" s="1"/>
  <c r="G11" i="2"/>
  <c r="H13" i="1"/>
  <c r="F11" i="2"/>
  <c r="G13" i="1" s="1"/>
  <c r="G9" i="2"/>
  <c r="H11" i="1" s="1"/>
  <c r="O169" i="1"/>
  <c r="E5" i="6"/>
  <c r="G5" i="6"/>
  <c r="E10" i="6"/>
  <c r="G10" i="6"/>
  <c r="E4" i="2"/>
  <c r="E2" i="2" s="1"/>
  <c r="F2" i="2" s="1"/>
  <c r="E12" i="6"/>
  <c r="G12" i="6"/>
  <c r="E36" i="2"/>
  <c r="F36" i="2" s="1"/>
  <c r="E13" i="6"/>
  <c r="E4" i="6"/>
  <c r="G4" i="6"/>
  <c r="G11" i="6"/>
  <c r="F6" i="2"/>
  <c r="G13" i="6"/>
  <c r="F7" i="2"/>
  <c r="E7" i="2"/>
  <c r="G15" i="6"/>
  <c r="E6" i="2"/>
  <c r="G8" i="6"/>
  <c r="E21" i="2"/>
  <c r="F21" i="2" s="1"/>
  <c r="G23" i="1" s="1"/>
  <c r="E14" i="2"/>
  <c r="F14" i="2" s="1"/>
  <c r="G16" i="1" s="1"/>
  <c r="G7" i="2"/>
  <c r="H9" i="1" s="1"/>
  <c r="G16" i="6"/>
  <c r="N12" i="1" l="1"/>
  <c r="N101" i="1"/>
  <c r="G5" i="5"/>
  <c r="N56" i="1"/>
  <c r="N58" i="1"/>
  <c r="N64" i="1"/>
  <c r="I9" i="5"/>
  <c r="I5" i="5"/>
  <c r="E6" i="5"/>
  <c r="I113" i="2"/>
  <c r="J117" i="1" s="1"/>
  <c r="G117" i="1"/>
  <c r="J113" i="2"/>
  <c r="K117" i="1" s="1"/>
  <c r="H113" i="2"/>
  <c r="I117" i="1" s="1"/>
  <c r="K113" i="2"/>
  <c r="L117" i="1" s="1"/>
  <c r="G85" i="1"/>
  <c r="L81" i="2"/>
  <c r="M85" i="1" s="1"/>
  <c r="G8" i="1"/>
  <c r="O6" i="2"/>
  <c r="Q6" i="2" s="1"/>
  <c r="J164" i="2"/>
  <c r="K176" i="1" s="1"/>
  <c r="H164" i="2"/>
  <c r="I176" i="1" s="1"/>
  <c r="K164" i="2"/>
  <c r="L176" i="1" s="1"/>
  <c r="G177" i="1"/>
  <c r="K165" i="2"/>
  <c r="L177" i="1" s="1"/>
  <c r="K162" i="2"/>
  <c r="L174" i="1" s="1"/>
  <c r="O162" i="2"/>
  <c r="Q162" i="2" s="1"/>
  <c r="L101" i="2"/>
  <c r="M105" i="1" s="1"/>
  <c r="L106" i="2"/>
  <c r="M110" i="1" s="1"/>
  <c r="I83" i="2"/>
  <c r="J87" i="1" s="1"/>
  <c r="I104" i="2"/>
  <c r="J108" i="1" s="1"/>
  <c r="O99" i="2"/>
  <c r="H110" i="2"/>
  <c r="I114" i="1" s="1"/>
  <c r="G116" i="1"/>
  <c r="O112" i="2"/>
  <c r="Q112" i="2" s="1"/>
  <c r="G18" i="1"/>
  <c r="O16" i="2"/>
  <c r="L27" i="2"/>
  <c r="M29" i="1" s="1"/>
  <c r="L29" i="2"/>
  <c r="M31" i="1" s="1"/>
  <c r="G30" i="1"/>
  <c r="O28" i="2"/>
  <c r="I57" i="2"/>
  <c r="J59" i="1" s="1"/>
  <c r="G59" i="1"/>
  <c r="G15" i="1"/>
  <c r="O13" i="2"/>
  <c r="P13" i="2" s="1"/>
  <c r="J36" i="2"/>
  <c r="K38" i="1" s="1"/>
  <c r="G7" i="5" s="1"/>
  <c r="G38" i="1"/>
  <c r="J7" i="2"/>
  <c r="K9" i="1" s="1"/>
  <c r="G9" i="1"/>
  <c r="O7" i="2"/>
  <c r="Q7" i="2" s="1"/>
  <c r="K159" i="2"/>
  <c r="L171" i="1" s="1"/>
  <c r="I159" i="2"/>
  <c r="J171" i="1" s="1"/>
  <c r="H159" i="2"/>
  <c r="I171" i="1" s="1"/>
  <c r="I164" i="2"/>
  <c r="J176" i="1" s="1"/>
  <c r="G176" i="1"/>
  <c r="J53" i="2"/>
  <c r="K55" i="1" s="1"/>
  <c r="G55" i="1"/>
  <c r="G172" i="1"/>
  <c r="O160" i="2"/>
  <c r="Q160" i="2" s="1"/>
  <c r="J96" i="2"/>
  <c r="K100" i="1" s="1"/>
  <c r="K83" i="2"/>
  <c r="L87" i="1" s="1"/>
  <c r="G20" i="1"/>
  <c r="O18" i="2"/>
  <c r="Q18" i="2" s="1"/>
  <c r="G37" i="1"/>
  <c r="O35" i="2"/>
  <c r="Q35" i="2" s="1"/>
  <c r="I161" i="2"/>
  <c r="J173" i="1" s="1"/>
  <c r="O161" i="2"/>
  <c r="Q161" i="2" s="1"/>
  <c r="K144" i="2"/>
  <c r="L150" i="1" s="1"/>
  <c r="O144" i="2"/>
  <c r="Q144" i="2" s="1"/>
  <c r="G25" i="1"/>
  <c r="O23" i="2"/>
  <c r="Q23" i="2" s="1"/>
  <c r="G80" i="1"/>
  <c r="G81" i="1"/>
  <c r="H161" i="2"/>
  <c r="I173" i="1" s="1"/>
  <c r="G159" i="2"/>
  <c r="H171" i="1" s="1"/>
  <c r="I160" i="2"/>
  <c r="J172" i="1" s="1"/>
  <c r="G160" i="2"/>
  <c r="H172" i="1" s="1"/>
  <c r="H165" i="2"/>
  <c r="I177" i="1" s="1"/>
  <c r="I165" i="2"/>
  <c r="J177" i="1" s="1"/>
  <c r="L166" i="2"/>
  <c r="M178" i="1" s="1"/>
  <c r="G175" i="1"/>
  <c r="O163" i="2"/>
  <c r="Q163" i="2" s="1"/>
  <c r="P167" i="2"/>
  <c r="Q167" i="2"/>
  <c r="G88" i="2"/>
  <c r="H92" i="1" s="1"/>
  <c r="J88" i="2"/>
  <c r="K92" i="1" s="1"/>
  <c r="K106" i="2"/>
  <c r="L110" i="1" s="1"/>
  <c r="F91" i="2"/>
  <c r="G95" i="1" s="1"/>
  <c r="I127" i="2"/>
  <c r="J133" i="1" s="1"/>
  <c r="L83" i="2"/>
  <c r="M87" i="1" s="1"/>
  <c r="G108" i="1"/>
  <c r="O104" i="2"/>
  <c r="P104" i="2" s="1"/>
  <c r="H144" i="2"/>
  <c r="I150" i="1" s="1"/>
  <c r="H12" i="2"/>
  <c r="I14" i="1" s="1"/>
  <c r="G14" i="1"/>
  <c r="L28" i="2"/>
  <c r="M30" i="1" s="1"/>
  <c r="H28" i="2"/>
  <c r="I30" i="1" s="1"/>
  <c r="G27" i="2"/>
  <c r="H29" i="1" s="1"/>
  <c r="G19" i="1"/>
  <c r="O17" i="2"/>
  <c r="H8" i="2"/>
  <c r="I10" i="1" s="1"/>
  <c r="G10" i="1"/>
  <c r="O8" i="2"/>
  <c r="L77" i="2"/>
  <c r="M81" i="1" s="1"/>
  <c r="J77" i="2"/>
  <c r="K81" i="1" s="1"/>
  <c r="L161" i="2"/>
  <c r="M173" i="1" s="1"/>
  <c r="G161" i="2"/>
  <c r="H173" i="1" s="1"/>
  <c r="F7" i="5"/>
  <c r="F4" i="2"/>
  <c r="J81" i="2"/>
  <c r="K85" i="1" s="1"/>
  <c r="G106" i="2"/>
  <c r="H110" i="1" s="1"/>
  <c r="I96" i="2"/>
  <c r="J100" i="1" s="1"/>
  <c r="G133" i="1"/>
  <c r="J134" i="2"/>
  <c r="K140" i="1" s="1"/>
  <c r="L134" i="2"/>
  <c r="M140" i="1" s="1"/>
  <c r="I106" i="2"/>
  <c r="J110" i="1" s="1"/>
  <c r="G105" i="1"/>
  <c r="K133" i="2"/>
  <c r="L139" i="1" s="1"/>
  <c r="G68" i="2"/>
  <c r="E14" i="5"/>
  <c r="H160" i="1"/>
  <c r="G63" i="2"/>
  <c r="H7" i="2"/>
  <c r="I9" i="1" s="1"/>
  <c r="K81" i="2"/>
  <c r="L85" i="1" s="1"/>
  <c r="H101" i="2"/>
  <c r="I105" i="1" s="1"/>
  <c r="G65" i="2"/>
  <c r="G84" i="2"/>
  <c r="H88" i="1" s="1"/>
  <c r="J57" i="2"/>
  <c r="K59" i="1" s="1"/>
  <c r="I101" i="2"/>
  <c r="J105" i="1" s="1"/>
  <c r="L84" i="2"/>
  <c r="M88" i="1" s="1"/>
  <c r="J84" i="2"/>
  <c r="K88" i="1" s="1"/>
  <c r="G14" i="5" s="1"/>
  <c r="G81" i="2"/>
  <c r="H85" i="1" s="1"/>
  <c r="J101" i="2"/>
  <c r="K105" i="1" s="1"/>
  <c r="L76" i="2"/>
  <c r="M80" i="1" s="1"/>
  <c r="I8" i="5"/>
  <c r="K84" i="2"/>
  <c r="L88" i="1" s="1"/>
  <c r="H14" i="5" s="1"/>
  <c r="H81" i="2"/>
  <c r="I85" i="1" s="1"/>
  <c r="N85" i="1" s="1"/>
  <c r="O85" i="1" s="1"/>
  <c r="I81" i="2"/>
  <c r="J85" i="1" s="1"/>
  <c r="G88" i="1"/>
  <c r="K76" i="2"/>
  <c r="L80" i="1" s="1"/>
  <c r="I76" i="2"/>
  <c r="J80" i="1" s="1"/>
  <c r="L36" i="2"/>
  <c r="M38" i="1" s="1"/>
  <c r="I7" i="5" s="1"/>
  <c r="I4" i="2"/>
  <c r="J6" i="1" s="1"/>
  <c r="J4" i="2"/>
  <c r="K6" i="1" s="1"/>
  <c r="G4" i="2"/>
  <c r="H6" i="1" s="1"/>
  <c r="L170" i="1"/>
  <c r="G109" i="1"/>
  <c r="J105" i="2"/>
  <c r="K109" i="1" s="1"/>
  <c r="I105" i="2"/>
  <c r="J109" i="1" s="1"/>
  <c r="H105" i="2"/>
  <c r="I109" i="1" s="1"/>
  <c r="L105" i="2"/>
  <c r="M109" i="1" s="1"/>
  <c r="G105" i="2"/>
  <c r="H109" i="1" s="1"/>
  <c r="K105" i="2"/>
  <c r="L109" i="1" s="1"/>
  <c r="H13" i="5" s="1"/>
  <c r="J158" i="2"/>
  <c r="G158" i="2"/>
  <c r="L158" i="2"/>
  <c r="I158" i="2"/>
  <c r="F168" i="2"/>
  <c r="H167" i="2"/>
  <c r="I179" i="1" s="1"/>
  <c r="I167" i="2"/>
  <c r="J179" i="1" s="1"/>
  <c r="K167" i="2"/>
  <c r="L179" i="1" s="1"/>
  <c r="N179" i="1" s="1"/>
  <c r="O179" i="1" s="1"/>
  <c r="L167" i="2"/>
  <c r="M179" i="1" s="1"/>
  <c r="J167" i="2"/>
  <c r="K179" i="1" s="1"/>
  <c r="G167" i="2"/>
  <c r="H179" i="1" s="1"/>
  <c r="L104" i="2"/>
  <c r="M108" i="1" s="1"/>
  <c r="K100" i="2"/>
  <c r="L104" i="1" s="1"/>
  <c r="H99" i="2"/>
  <c r="I103" i="1" s="1"/>
  <c r="I85" i="2"/>
  <c r="J89" i="1" s="1"/>
  <c r="K114" i="2"/>
  <c r="L118" i="1" s="1"/>
  <c r="H17" i="5" s="1"/>
  <c r="I100" i="2"/>
  <c r="J104" i="1" s="1"/>
  <c r="I99" i="2"/>
  <c r="J103" i="1" s="1"/>
  <c r="H114" i="2"/>
  <c r="I118" i="1" s="1"/>
  <c r="I112" i="2"/>
  <c r="J116" i="1" s="1"/>
  <c r="J120" i="1" s="1"/>
  <c r="J104" i="2"/>
  <c r="K108" i="1" s="1"/>
  <c r="G100" i="2"/>
  <c r="H104" i="1" s="1"/>
  <c r="H87" i="2"/>
  <c r="I91" i="1" s="1"/>
  <c r="J114" i="2"/>
  <c r="K118" i="1" s="1"/>
  <c r="K87" i="2"/>
  <c r="L91" i="1" s="1"/>
  <c r="J112" i="2"/>
  <c r="K116" i="1" s="1"/>
  <c r="G87" i="2"/>
  <c r="H91" i="1" s="1"/>
  <c r="K112" i="2"/>
  <c r="L116" i="1" s="1"/>
  <c r="J133" i="2"/>
  <c r="K139" i="1" s="1"/>
  <c r="H133" i="2"/>
  <c r="I139" i="1" s="1"/>
  <c r="L133" i="2"/>
  <c r="M139" i="1" s="1"/>
  <c r="I133" i="2"/>
  <c r="J139" i="1" s="1"/>
  <c r="N139" i="1" s="1"/>
  <c r="O139" i="1" s="1"/>
  <c r="E26" i="2"/>
  <c r="F26" i="2" s="1"/>
  <c r="G28" i="1" s="1"/>
  <c r="H27" i="2"/>
  <c r="I29" i="1" s="1"/>
  <c r="J27" i="2"/>
  <c r="K29" i="1" s="1"/>
  <c r="K27" i="2"/>
  <c r="L29" i="1" s="1"/>
  <c r="N29" i="1" s="1"/>
  <c r="O29" i="1" s="1"/>
  <c r="G24" i="2"/>
  <c r="H26" i="1" s="1"/>
  <c r="F24" i="2"/>
  <c r="F37" i="2"/>
  <c r="G39" i="1" s="1"/>
  <c r="H37" i="2"/>
  <c r="I39" i="1" s="1"/>
  <c r="E7" i="5" s="1"/>
  <c r="H163" i="2"/>
  <c r="I175" i="1" s="1"/>
  <c r="J87" i="2"/>
  <c r="K91" i="1" s="1"/>
  <c r="L99" i="2"/>
  <c r="M103" i="1" s="1"/>
  <c r="K104" i="2"/>
  <c r="L108" i="1" s="1"/>
  <c r="J85" i="2"/>
  <c r="K89" i="1" s="1"/>
  <c r="H85" i="2"/>
  <c r="I89" i="1" s="1"/>
  <c r="I163" i="2"/>
  <c r="J175" i="1" s="1"/>
  <c r="I162" i="2"/>
  <c r="J174" i="1" s="1"/>
  <c r="J181" i="1" s="1"/>
  <c r="G103" i="1"/>
  <c r="H96" i="2"/>
  <c r="I100" i="1" s="1"/>
  <c r="K96" i="2"/>
  <c r="L100" i="1" s="1"/>
  <c r="J135" i="2"/>
  <c r="K141" i="1" s="1"/>
  <c r="K159" i="1" s="1"/>
  <c r="K162" i="1" s="1"/>
  <c r="K135" i="2"/>
  <c r="L141" i="1" s="1"/>
  <c r="I135" i="2"/>
  <c r="J141" i="1" s="1"/>
  <c r="G158" i="1"/>
  <c r="L152" i="2"/>
  <c r="M158" i="1" s="1"/>
  <c r="N158" i="1" s="1"/>
  <c r="O158" i="1" s="1"/>
  <c r="K152" i="2"/>
  <c r="L158" i="1" s="1"/>
  <c r="J152" i="2"/>
  <c r="K158" i="1" s="1"/>
  <c r="I152" i="2"/>
  <c r="J158" i="1" s="1"/>
  <c r="G167" i="1"/>
  <c r="G180" i="1" s="1"/>
  <c r="G71" i="1"/>
  <c r="G67" i="2"/>
  <c r="K136" i="2"/>
  <c r="L142" i="1" s="1"/>
  <c r="L136" i="2"/>
  <c r="M142" i="1" s="1"/>
  <c r="M160" i="1" s="1"/>
  <c r="H136" i="2"/>
  <c r="I142" i="1" s="1"/>
  <c r="H20" i="2"/>
  <c r="I22" i="1" s="1"/>
  <c r="K163" i="2"/>
  <c r="L175" i="1" s="1"/>
  <c r="G174" i="1"/>
  <c r="G181" i="1" s="1"/>
  <c r="G104" i="1"/>
  <c r="H29" i="2"/>
  <c r="I31" i="1" s="1"/>
  <c r="I29" i="2"/>
  <c r="J31" i="1" s="1"/>
  <c r="J29" i="2"/>
  <c r="K31" i="1" s="1"/>
  <c r="G29" i="2"/>
  <c r="H31" i="1" s="1"/>
  <c r="G166" i="2"/>
  <c r="H178" i="1" s="1"/>
  <c r="H166" i="2"/>
  <c r="I178" i="1" s="1"/>
  <c r="J86" i="2"/>
  <c r="K90" i="1" s="1"/>
  <c r="G17" i="5" s="1"/>
  <c r="J99" i="2"/>
  <c r="K103" i="1" s="1"/>
  <c r="G89" i="2"/>
  <c r="H93" i="1" s="1"/>
  <c r="K86" i="2"/>
  <c r="L90" i="1" s="1"/>
  <c r="H104" i="2"/>
  <c r="I108" i="1" s="1"/>
  <c r="G101" i="2"/>
  <c r="H105" i="1" s="1"/>
  <c r="K99" i="2"/>
  <c r="L103" i="1" s="1"/>
  <c r="J89" i="2"/>
  <c r="K93" i="1" s="1"/>
  <c r="L86" i="2"/>
  <c r="M90" i="1" s="1"/>
  <c r="G104" i="2"/>
  <c r="H108" i="1" s="1"/>
  <c r="K85" i="2"/>
  <c r="L89" i="1" s="1"/>
  <c r="G85" i="2"/>
  <c r="H89" i="1" s="1"/>
  <c r="L85" i="2"/>
  <c r="M89" i="1" s="1"/>
  <c r="I84" i="2"/>
  <c r="J88" i="1" s="1"/>
  <c r="F14" i="5" s="1"/>
  <c r="L114" i="2"/>
  <c r="M118" i="1" s="1"/>
  <c r="L112" i="2"/>
  <c r="M116" i="1" s="1"/>
  <c r="K89" i="2"/>
  <c r="L93" i="1" s="1"/>
  <c r="I87" i="2"/>
  <c r="J91" i="1" s="1"/>
  <c r="L100" i="2"/>
  <c r="M104" i="1" s="1"/>
  <c r="I114" i="2"/>
  <c r="J118" i="1" s="1"/>
  <c r="L113" i="2"/>
  <c r="M117" i="1" s="1"/>
  <c r="N117" i="1" s="1"/>
  <c r="O117" i="1" s="1"/>
  <c r="H112" i="2"/>
  <c r="I116" i="1" s="1"/>
  <c r="I86" i="2"/>
  <c r="J90" i="1" s="1"/>
  <c r="G99" i="2"/>
  <c r="H103" i="1" s="1"/>
  <c r="H127" i="2"/>
  <c r="I133" i="1" s="1"/>
  <c r="E24" i="5" s="1"/>
  <c r="J127" i="2"/>
  <c r="K133" i="1" s="1"/>
  <c r="G86" i="2"/>
  <c r="H90" i="1" s="1"/>
  <c r="L87" i="2"/>
  <c r="M91" i="1" s="1"/>
  <c r="H100" i="2"/>
  <c r="I104" i="1" s="1"/>
  <c r="N104" i="1" s="1"/>
  <c r="O104" i="1" s="1"/>
  <c r="H89" i="2"/>
  <c r="I93" i="1" s="1"/>
  <c r="J83" i="2"/>
  <c r="K87" i="1" s="1"/>
  <c r="G87" i="1"/>
  <c r="G113" i="1"/>
  <c r="L109" i="2"/>
  <c r="M113" i="1" s="1"/>
  <c r="I18" i="5" s="1"/>
  <c r="I109" i="2"/>
  <c r="J113" i="1" s="1"/>
  <c r="H109" i="2"/>
  <c r="I113" i="1" s="1"/>
  <c r="J109" i="2"/>
  <c r="K113" i="1" s="1"/>
  <c r="N113" i="1" s="1"/>
  <c r="O113" i="1" s="1"/>
  <c r="K109" i="2"/>
  <c r="L113" i="1" s="1"/>
  <c r="J136" i="2"/>
  <c r="K142" i="1" s="1"/>
  <c r="H152" i="2"/>
  <c r="I158" i="1" s="1"/>
  <c r="I136" i="2"/>
  <c r="J142" i="1" s="1"/>
  <c r="N142" i="1" s="1"/>
  <c r="G142" i="1"/>
  <c r="G160" i="1" s="1"/>
  <c r="L144" i="2"/>
  <c r="M150" i="1" s="1"/>
  <c r="I144" i="2"/>
  <c r="J150" i="1" s="1"/>
  <c r="J144" i="2"/>
  <c r="K150" i="1" s="1"/>
  <c r="N150" i="1" s="1"/>
  <c r="O150" i="1" s="1"/>
  <c r="G151" i="1"/>
  <c r="H145" i="2"/>
  <c r="I151" i="1" s="1"/>
  <c r="L145" i="2"/>
  <c r="M151" i="1" s="1"/>
  <c r="K29" i="2"/>
  <c r="L31" i="1" s="1"/>
  <c r="G73" i="1"/>
  <c r="G69" i="2"/>
  <c r="F9" i="5"/>
  <c r="H167" i="1"/>
  <c r="K161" i="2"/>
  <c r="L173" i="1" s="1"/>
  <c r="N35" i="1"/>
  <c r="G70" i="1"/>
  <c r="G157" i="1"/>
  <c r="F6" i="5"/>
  <c r="G19" i="2"/>
  <c r="H21" i="1" s="1"/>
  <c r="F19" i="2"/>
  <c r="H5" i="5"/>
  <c r="N79" i="1"/>
  <c r="O79" i="1" s="1"/>
  <c r="K36" i="2"/>
  <c r="L38" i="1" s="1"/>
  <c r="K57" i="2"/>
  <c r="L59" i="1" s="1"/>
  <c r="K53" i="2"/>
  <c r="L55" i="1" s="1"/>
  <c r="N92" i="1"/>
  <c r="O92" i="1" s="1"/>
  <c r="F22" i="2"/>
  <c r="I53" i="2"/>
  <c r="J55" i="1" s="1"/>
  <c r="H53" i="2"/>
  <c r="I55" i="1" s="1"/>
  <c r="N55" i="1" s="1"/>
  <c r="O55" i="1" s="1"/>
  <c r="G53" i="2"/>
  <c r="H55" i="1" s="1"/>
  <c r="G57" i="2"/>
  <c r="H59" i="1" s="1"/>
  <c r="H57" i="2"/>
  <c r="I59" i="1" s="1"/>
  <c r="G4" i="1"/>
  <c r="H2" i="2"/>
  <c r="I4" i="1" s="1"/>
  <c r="G2" i="2"/>
  <c r="H4" i="1" s="1"/>
  <c r="I23" i="2"/>
  <c r="J25" i="1" s="1"/>
  <c r="L23" i="2"/>
  <c r="M25" i="1" s="1"/>
  <c r="J23" i="2"/>
  <c r="K25" i="1" s="1"/>
  <c r="G23" i="2"/>
  <c r="H25" i="1" s="1"/>
  <c r="K23" i="2"/>
  <c r="L25" i="1" s="1"/>
  <c r="H23" i="2"/>
  <c r="I25" i="1" s="1"/>
  <c r="H16" i="2"/>
  <c r="I18" i="1" s="1"/>
  <c r="L16" i="2"/>
  <c r="M18" i="1" s="1"/>
  <c r="G16" i="2"/>
  <c r="H18" i="1" s="1"/>
  <c r="K16" i="2"/>
  <c r="L18" i="1" s="1"/>
  <c r="I16" i="2"/>
  <c r="J18" i="1" s="1"/>
  <c r="I7" i="2"/>
  <c r="J9" i="1" s="1"/>
  <c r="L7" i="2"/>
  <c r="M9" i="1" s="1"/>
  <c r="L4" i="2"/>
  <c r="M6" i="1" s="1"/>
  <c r="H34" i="2"/>
  <c r="I36" i="1" s="1"/>
  <c r="N36" i="1" s="1"/>
  <c r="O36" i="1" s="1"/>
  <c r="F15" i="2"/>
  <c r="H35" i="2"/>
  <c r="I37" i="1" s="1"/>
  <c r="K7" i="2"/>
  <c r="L9" i="1" s="1"/>
  <c r="N9" i="1" s="1"/>
  <c r="O9" i="1" s="1"/>
  <c r="K4" i="2"/>
  <c r="L6" i="1" s="1"/>
  <c r="G12" i="2"/>
  <c r="H14" i="1" s="1"/>
  <c r="F33" i="2"/>
  <c r="J23" i="5"/>
  <c r="N127" i="1"/>
  <c r="O127" i="1" s="1"/>
  <c r="O84" i="1"/>
  <c r="N46" i="1"/>
  <c r="O46" i="1" s="1"/>
  <c r="H9" i="5"/>
  <c r="G9" i="5"/>
  <c r="F5" i="5"/>
  <c r="N107" i="1"/>
  <c r="O107" i="1" s="1"/>
  <c r="I14" i="5"/>
  <c r="N83" i="1"/>
  <c r="O83" i="1" s="1"/>
  <c r="D18" i="5"/>
  <c r="D6" i="5"/>
  <c r="N20" i="1"/>
  <c r="O20" i="1" s="1"/>
  <c r="N53" i="1"/>
  <c r="O53" i="1" s="1"/>
  <c r="N54" i="1"/>
  <c r="O54" i="1" s="1"/>
  <c r="N57" i="1"/>
  <c r="O57" i="1" s="1"/>
  <c r="N65" i="1"/>
  <c r="O65" i="1" s="1"/>
  <c r="N66" i="1"/>
  <c r="O66" i="1" s="1"/>
  <c r="N74" i="1"/>
  <c r="O74" i="1" s="1"/>
  <c r="N98" i="1"/>
  <c r="N99" i="1"/>
  <c r="O99" i="1" s="1"/>
  <c r="N94" i="1"/>
  <c r="O94" i="1" s="1"/>
  <c r="N97" i="1"/>
  <c r="N111" i="1"/>
  <c r="O111" i="1" s="1"/>
  <c r="N112" i="1"/>
  <c r="O112" i="1" s="1"/>
  <c r="N115" i="1"/>
  <c r="O115" i="1" s="1"/>
  <c r="N95" i="1"/>
  <c r="O95" i="1" s="1"/>
  <c r="N40" i="1"/>
  <c r="O40" i="1" s="1"/>
  <c r="N45" i="1"/>
  <c r="O45" i="1" s="1"/>
  <c r="N26" i="1"/>
  <c r="N11" i="1"/>
  <c r="O11" i="1" s="1"/>
  <c r="N33" i="1"/>
  <c r="O33" i="1" s="1"/>
  <c r="N49" i="1"/>
  <c r="O49" i="1" s="1"/>
  <c r="N102" i="1"/>
  <c r="O102" i="1" s="1"/>
  <c r="N106" i="1"/>
  <c r="O106" i="1" s="1"/>
  <c r="N82" i="1"/>
  <c r="O82" i="1" s="1"/>
  <c r="N48" i="1"/>
  <c r="O48" i="1" s="1"/>
  <c r="N81" i="1"/>
  <c r="O81" i="1" s="1"/>
  <c r="J167" i="1"/>
  <c r="M167" i="1"/>
  <c r="N100" i="1"/>
  <c r="O100" i="1" s="1"/>
  <c r="O64" i="1"/>
  <c r="H24" i="5"/>
  <c r="G13" i="5"/>
  <c r="F16" i="5"/>
  <c r="N110" i="1"/>
  <c r="O110" i="1" s="1"/>
  <c r="N172" i="1"/>
  <c r="O172" i="1" s="1"/>
  <c r="M181" i="1"/>
  <c r="O76" i="1"/>
  <c r="G24" i="5"/>
  <c r="I22" i="5"/>
  <c r="D16" i="5"/>
  <c r="D24" i="5"/>
  <c r="D14" i="5"/>
  <c r="O77" i="1"/>
  <c r="D5" i="5"/>
  <c r="O98" i="1"/>
  <c r="F22" i="5"/>
  <c r="J20" i="5"/>
  <c r="J4" i="5"/>
  <c r="F24" i="5"/>
  <c r="O56" i="1"/>
  <c r="N178" i="1"/>
  <c r="O178" i="1" s="1"/>
  <c r="E5" i="5"/>
  <c r="I167" i="1"/>
  <c r="K167" i="1"/>
  <c r="O58" i="1"/>
  <c r="N108" i="1"/>
  <c r="O108" i="1" s="1"/>
  <c r="N69" i="1"/>
  <c r="O69" i="1" s="1"/>
  <c r="E16" i="5"/>
  <c r="O75" i="1"/>
  <c r="O101" i="1"/>
  <c r="H22" i="5"/>
  <c r="N129" i="1"/>
  <c r="O129" i="1" s="1"/>
  <c r="N177" i="1"/>
  <c r="O177" i="1" s="1"/>
  <c r="I181" i="1"/>
  <c r="I16" i="5"/>
  <c r="N124" i="1"/>
  <c r="O124" i="1" s="1"/>
  <c r="N125" i="1"/>
  <c r="O125" i="1" s="1"/>
  <c r="G25" i="5"/>
  <c r="N67" i="1"/>
  <c r="O67" i="1" s="1"/>
  <c r="G8" i="5"/>
  <c r="N153" i="1"/>
  <c r="O153" i="1" s="1"/>
  <c r="N73" i="1"/>
  <c r="O73" i="1" s="1"/>
  <c r="I13" i="5"/>
  <c r="H25" i="5"/>
  <c r="N14" i="1"/>
  <c r="O14" i="1" s="1"/>
  <c r="D8" i="5"/>
  <c r="O12" i="1"/>
  <c r="F8" i="5"/>
  <c r="N118" i="1"/>
  <c r="O118" i="1" s="1"/>
  <c r="D13" i="5"/>
  <c r="N87" i="1"/>
  <c r="O87" i="1" s="1"/>
  <c r="N78" i="1"/>
  <c r="O78" i="1" s="1"/>
  <c r="H16" i="5"/>
  <c r="O97" i="1"/>
  <c r="I160" i="1"/>
  <c r="F21" i="5"/>
  <c r="H21" i="5"/>
  <c r="N136" i="1"/>
  <c r="O136" i="1" s="1"/>
  <c r="F25" i="5"/>
  <c r="N143" i="1"/>
  <c r="O143" i="1" s="1"/>
  <c r="E21" i="5"/>
  <c r="N149" i="1"/>
  <c r="O149" i="1" s="1"/>
  <c r="I21" i="5"/>
  <c r="N144" i="1"/>
  <c r="O144" i="1" s="1"/>
  <c r="N154" i="1"/>
  <c r="O154" i="1" s="1"/>
  <c r="N123" i="1"/>
  <c r="O123" i="1" s="1"/>
  <c r="N52" i="1"/>
  <c r="O52" i="1" s="1"/>
  <c r="N51" i="1"/>
  <c r="O51" i="1" s="1"/>
  <c r="N44" i="1"/>
  <c r="O44" i="1" s="1"/>
  <c r="N42" i="1"/>
  <c r="O42" i="1" s="1"/>
  <c r="D9" i="5"/>
  <c r="N38" i="1"/>
  <c r="O38" i="1" s="1"/>
  <c r="L181" i="1"/>
  <c r="N175" i="1"/>
  <c r="O175" i="1" s="1"/>
  <c r="N88" i="1"/>
  <c r="O88" i="1" s="1"/>
  <c r="D17" i="5"/>
  <c r="N126" i="1"/>
  <c r="O126" i="1" s="1"/>
  <c r="E25" i="5"/>
  <c r="G22" i="5"/>
  <c r="N131" i="1"/>
  <c r="O131" i="1" s="1"/>
  <c r="D22" i="5"/>
  <c r="N145" i="1"/>
  <c r="O145" i="1" s="1"/>
  <c r="N151" i="1"/>
  <c r="O151" i="1" s="1"/>
  <c r="N27" i="1"/>
  <c r="O27" i="1" s="1"/>
  <c r="N86" i="1"/>
  <c r="O86" i="1" s="1"/>
  <c r="N68" i="1"/>
  <c r="O68" i="1" s="1"/>
  <c r="F17" i="5"/>
  <c r="H120" i="1"/>
  <c r="N166" i="1"/>
  <c r="O166" i="1" s="1"/>
  <c r="N173" i="1"/>
  <c r="O173" i="1" s="1"/>
  <c r="N4" i="1"/>
  <c r="L14" i="2"/>
  <c r="M16" i="1" s="1"/>
  <c r="J14" i="2"/>
  <c r="K16" i="1" s="1"/>
  <c r="I14" i="2"/>
  <c r="J16" i="1" s="1"/>
  <c r="K14" i="2"/>
  <c r="L16" i="1" s="1"/>
  <c r="H14" i="2"/>
  <c r="I16" i="1" s="1"/>
  <c r="G14" i="2"/>
  <c r="H16" i="1" s="1"/>
  <c r="I21" i="2"/>
  <c r="J23" i="1" s="1"/>
  <c r="G21" i="2"/>
  <c r="H23" i="1" s="1"/>
  <c r="K21" i="2"/>
  <c r="L23" i="1" s="1"/>
  <c r="H21" i="2"/>
  <c r="I23" i="1" s="1"/>
  <c r="L21" i="2"/>
  <c r="M23" i="1" s="1"/>
  <c r="J21" i="2"/>
  <c r="K23" i="1" s="1"/>
  <c r="H7" i="5"/>
  <c r="H6" i="2"/>
  <c r="I8" i="1" s="1"/>
  <c r="L6" i="2"/>
  <c r="M8" i="1" s="1"/>
  <c r="K6" i="2"/>
  <c r="L8" i="1" s="1"/>
  <c r="N13" i="1"/>
  <c r="O13" i="1" s="1"/>
  <c r="N176" i="1"/>
  <c r="O176" i="1" s="1"/>
  <c r="K181" i="1"/>
  <c r="H181" i="1"/>
  <c r="N171" i="1"/>
  <c r="J6" i="2"/>
  <c r="K8" i="1" s="1"/>
  <c r="G6" i="2"/>
  <c r="H8" i="1" s="1"/>
  <c r="I6" i="2"/>
  <c r="J8" i="1" s="1"/>
  <c r="N32" i="1"/>
  <c r="O32" i="1" s="1"/>
  <c r="E8" i="5"/>
  <c r="E9" i="5"/>
  <c r="N34" i="1"/>
  <c r="O34" i="1" s="1"/>
  <c r="N109" i="1"/>
  <c r="O109" i="1" s="1"/>
  <c r="K120" i="1"/>
  <c r="E22" i="5"/>
  <c r="I25" i="5"/>
  <c r="N128" i="1"/>
  <c r="O128" i="1" s="1"/>
  <c r="N132" i="1"/>
  <c r="O132" i="1" s="1"/>
  <c r="N146" i="1"/>
  <c r="O146" i="1" s="1"/>
  <c r="L160" i="1"/>
  <c r="H17" i="2"/>
  <c r="I19" i="1" s="1"/>
  <c r="G17" i="2"/>
  <c r="H19" i="1" s="1"/>
  <c r="H13" i="2"/>
  <c r="I15" i="1" s="1"/>
  <c r="G13" i="2"/>
  <c r="H15" i="1" s="1"/>
  <c r="N21" i="1"/>
  <c r="G26" i="5"/>
  <c r="N50" i="1"/>
  <c r="O50" i="1" s="1"/>
  <c r="G6" i="5"/>
  <c r="N47" i="1"/>
  <c r="O47" i="1" s="1"/>
  <c r="N43" i="1"/>
  <c r="O43" i="1" s="1"/>
  <c r="N72" i="1"/>
  <c r="O72" i="1" s="1"/>
  <c r="N71" i="1"/>
  <c r="O71" i="1" s="1"/>
  <c r="N140" i="1"/>
  <c r="O140" i="1" s="1"/>
  <c r="N148" i="1"/>
  <c r="O148" i="1" s="1"/>
  <c r="N156" i="1"/>
  <c r="O156" i="1" s="1"/>
  <c r="N152" i="1"/>
  <c r="O152" i="1" s="1"/>
  <c r="N30" i="1"/>
  <c r="O30" i="1" s="1"/>
  <c r="F5" i="2"/>
  <c r="E3" i="2"/>
  <c r="F3" i="2" s="1"/>
  <c r="M159" i="1"/>
  <c r="M162" i="1" s="1"/>
  <c r="I26" i="5"/>
  <c r="N165" i="1"/>
  <c r="O165" i="1" s="1"/>
  <c r="L167" i="1"/>
  <c r="N91" i="1"/>
  <c r="O91" i="1" s="1"/>
  <c r="N130" i="1"/>
  <c r="O130" i="1" s="1"/>
  <c r="D25" i="5"/>
  <c r="N157" i="1"/>
  <c r="J160" i="1"/>
  <c r="N138" i="1"/>
  <c r="O138" i="1" s="1"/>
  <c r="G21" i="5"/>
  <c r="N137" i="1"/>
  <c r="O137" i="1" s="1"/>
  <c r="N135" i="1"/>
  <c r="O135" i="1" s="1"/>
  <c r="N134" i="1"/>
  <c r="O134" i="1" s="1"/>
  <c r="N147" i="1"/>
  <c r="O147" i="1" s="1"/>
  <c r="N155" i="1"/>
  <c r="O155" i="1" s="1"/>
  <c r="O96" i="1"/>
  <c r="D21" i="5"/>
  <c r="J8" i="2"/>
  <c r="K10" i="1" s="1"/>
  <c r="I8" i="2"/>
  <c r="J10" i="1" s="1"/>
  <c r="L8" i="2"/>
  <c r="M10" i="1" s="1"/>
  <c r="K8" i="2"/>
  <c r="L10" i="1" s="1"/>
  <c r="G8" i="2"/>
  <c r="H10" i="1" s="1"/>
  <c r="J15" i="2"/>
  <c r="K17" i="1" s="1"/>
  <c r="G15" i="2"/>
  <c r="H17" i="1" s="1"/>
  <c r="H15" i="2"/>
  <c r="I17" i="1" s="1"/>
  <c r="I15" i="2"/>
  <c r="J17" i="1" s="1"/>
  <c r="K15" i="2"/>
  <c r="L17" i="1" s="1"/>
  <c r="E26" i="5"/>
  <c r="I6" i="5"/>
  <c r="N41" i="1"/>
  <c r="O41" i="1" s="1"/>
  <c r="D7" i="5"/>
  <c r="N37" i="1"/>
  <c r="O37" i="1" s="1"/>
  <c r="L119" i="1"/>
  <c r="L122" i="1" s="1"/>
  <c r="N114" i="1"/>
  <c r="O114" i="1" s="1"/>
  <c r="N22" i="1"/>
  <c r="O22" i="1" s="1"/>
  <c r="N70" i="1"/>
  <c r="O70" i="1" s="1"/>
  <c r="H159" i="1"/>
  <c r="H119" i="1"/>
  <c r="H122" i="1" s="1"/>
  <c r="J16" i="2"/>
  <c r="K18" i="1" s="1"/>
  <c r="N18" i="1" s="1"/>
  <c r="L159" i="1"/>
  <c r="L162" i="1" s="1"/>
  <c r="J159" i="1"/>
  <c r="J162" i="1" s="1"/>
  <c r="M120" i="1"/>
  <c r="I120" i="1"/>
  <c r="K160" i="1"/>
  <c r="I119" i="1"/>
  <c r="I122" i="1" s="1"/>
  <c r="J15" i="5"/>
  <c r="J12" i="5"/>
  <c r="F18" i="5"/>
  <c r="H18" i="5"/>
  <c r="E18" i="5"/>
  <c r="G18" i="5"/>
  <c r="M119" i="1" l="1"/>
  <c r="M122" i="1" s="1"/>
  <c r="F13" i="5"/>
  <c r="N105" i="1"/>
  <c r="O105" i="1" s="1"/>
  <c r="I24" i="5"/>
  <c r="J24" i="5" s="1"/>
  <c r="H161" i="1"/>
  <c r="H162" i="1"/>
  <c r="N141" i="1"/>
  <c r="O141" i="1" s="1"/>
  <c r="E17" i="5"/>
  <c r="N174" i="1"/>
  <c r="O174" i="1" s="1"/>
  <c r="O157" i="1"/>
  <c r="N133" i="1"/>
  <c r="O133" i="1" s="1"/>
  <c r="O4" i="1"/>
  <c r="E13" i="5"/>
  <c r="N90" i="1"/>
  <c r="O90" i="1" s="1"/>
  <c r="I17" i="5"/>
  <c r="G159" i="1"/>
  <c r="G162" i="1" s="1"/>
  <c r="E153" i="2" s="1"/>
  <c r="G120" i="1"/>
  <c r="J119" i="1"/>
  <c r="J122" i="1" s="1"/>
  <c r="K119" i="1"/>
  <c r="K122" i="1" s="1"/>
  <c r="N39" i="1"/>
  <c r="O39" i="1" s="1"/>
  <c r="I159" i="1"/>
  <c r="I162" i="1" s="1"/>
  <c r="N80" i="1"/>
  <c r="O80" i="1" s="1"/>
  <c r="G5" i="1"/>
  <c r="O3" i="2"/>
  <c r="N116" i="1"/>
  <c r="O116" i="1" s="1"/>
  <c r="H8" i="5"/>
  <c r="H4" i="2"/>
  <c r="I6" i="1" s="1"/>
  <c r="N6" i="1" s="1"/>
  <c r="G6" i="1"/>
  <c r="Q28" i="2"/>
  <c r="P28" i="2"/>
  <c r="P16" i="2"/>
  <c r="Q16" i="2"/>
  <c r="G7" i="1"/>
  <c r="O5" i="2"/>
  <c r="P5" i="2" s="1"/>
  <c r="G35" i="1"/>
  <c r="O35" i="1" s="1"/>
  <c r="G21" i="1"/>
  <c r="O21" i="1" s="1"/>
  <c r="O19" i="2"/>
  <c r="Q19" i="2" s="1"/>
  <c r="Q17" i="2"/>
  <c r="P17" i="2"/>
  <c r="L15" i="2"/>
  <c r="M17" i="1" s="1"/>
  <c r="G17" i="1"/>
  <c r="O15" i="2"/>
  <c r="N59" i="1"/>
  <c r="H22" i="2"/>
  <c r="I24" i="1" s="1"/>
  <c r="G24" i="1"/>
  <c r="O22" i="2"/>
  <c r="Q22" i="2" s="1"/>
  <c r="G26" i="1"/>
  <c r="O26" i="1" s="1"/>
  <c r="O24" i="2"/>
  <c r="P24" i="2" s="1"/>
  <c r="P8" i="2"/>
  <c r="Q8" i="2"/>
  <c r="O176" i="2"/>
  <c r="Q99" i="2"/>
  <c r="O175" i="2"/>
  <c r="G119" i="1"/>
  <c r="G122" i="1" s="1"/>
  <c r="E115" i="2" s="1"/>
  <c r="G29" i="5"/>
  <c r="I29" i="5"/>
  <c r="N89" i="1"/>
  <c r="O89" i="1" s="1"/>
  <c r="N93" i="1"/>
  <c r="O93" i="1" s="1"/>
  <c r="G182" i="1"/>
  <c r="E29" i="5"/>
  <c r="I180" i="1"/>
  <c r="F29" i="5"/>
  <c r="N31" i="1"/>
  <c r="O31" i="1" s="1"/>
  <c r="H29" i="5"/>
  <c r="L180" i="1"/>
  <c r="D29" i="5"/>
  <c r="J14" i="5"/>
  <c r="J121" i="1"/>
  <c r="I115" i="2" s="1"/>
  <c r="G153" i="2"/>
  <c r="J5" i="5"/>
  <c r="O59" i="1"/>
  <c r="G16" i="5"/>
  <c r="G11" i="5" s="1"/>
  <c r="H121" i="1"/>
  <c r="G115" i="2" s="1"/>
  <c r="H10" i="5"/>
  <c r="H3" i="5" s="1"/>
  <c r="N25" i="1"/>
  <c r="O25" i="1" s="1"/>
  <c r="L120" i="1"/>
  <c r="L121" i="1" s="1"/>
  <c r="K115" i="2" s="1"/>
  <c r="I168" i="2"/>
  <c r="J170" i="1"/>
  <c r="H168" i="2"/>
  <c r="K168" i="2"/>
  <c r="N103" i="1"/>
  <c r="L168" i="2"/>
  <c r="M170" i="1"/>
  <c r="M180" i="1" s="1"/>
  <c r="M182" i="1" s="1"/>
  <c r="G26" i="2"/>
  <c r="H28" i="1" s="1"/>
  <c r="H60" i="1" s="1"/>
  <c r="H26" i="2"/>
  <c r="I28" i="1" s="1"/>
  <c r="G168" i="2"/>
  <c r="H170" i="1"/>
  <c r="H180" i="1" s="1"/>
  <c r="H182" i="1" s="1"/>
  <c r="K170" i="1"/>
  <c r="J168" i="2"/>
  <c r="J22" i="2"/>
  <c r="K24" i="1" s="1"/>
  <c r="I22" i="2"/>
  <c r="J24" i="1" s="1"/>
  <c r="G22" i="2"/>
  <c r="H24" i="1" s="1"/>
  <c r="K22" i="2"/>
  <c r="L24" i="1" s="1"/>
  <c r="L22" i="2"/>
  <c r="M24" i="1" s="1"/>
  <c r="J7" i="5"/>
  <c r="H19" i="5"/>
  <c r="J13" i="5"/>
  <c r="F11" i="5"/>
  <c r="D11" i="5"/>
  <c r="I11" i="5"/>
  <c r="N181" i="1"/>
  <c r="O181" i="1" s="1"/>
  <c r="D10" i="5"/>
  <c r="D3" i="5" s="1"/>
  <c r="L60" i="1"/>
  <c r="G10" i="5"/>
  <c r="G3" i="5" s="1"/>
  <c r="K60" i="1"/>
  <c r="J26" i="5"/>
  <c r="J25" i="5"/>
  <c r="H11" i="5"/>
  <c r="N167" i="1"/>
  <c r="J9" i="5"/>
  <c r="I121" i="1"/>
  <c r="H115" i="2" s="1"/>
  <c r="J161" i="1"/>
  <c r="F10" i="5"/>
  <c r="F3" i="5" s="1"/>
  <c r="I10" i="5"/>
  <c r="I3" i="5" s="1"/>
  <c r="M121" i="1"/>
  <c r="L115" i="2" s="1"/>
  <c r="L161" i="1"/>
  <c r="N15" i="1"/>
  <c r="O15" i="1" s="1"/>
  <c r="F19" i="5"/>
  <c r="N17" i="1"/>
  <c r="H3" i="2"/>
  <c r="I5" i="1" s="1"/>
  <c r="G3" i="2"/>
  <c r="H5" i="1" s="1"/>
  <c r="J6" i="5"/>
  <c r="K161" i="1"/>
  <c r="J60" i="1"/>
  <c r="J8" i="5"/>
  <c r="G161" i="1"/>
  <c r="D19" i="5"/>
  <c r="J21" i="5"/>
  <c r="G19" i="5"/>
  <c r="N160" i="1"/>
  <c r="O160" i="1" s="1"/>
  <c r="O142" i="1"/>
  <c r="H5" i="2"/>
  <c r="I7" i="1" s="1"/>
  <c r="I5" i="2"/>
  <c r="J7" i="1" s="1"/>
  <c r="K5" i="2"/>
  <c r="L7" i="1" s="1"/>
  <c r="L61" i="1" s="1"/>
  <c r="G5" i="2"/>
  <c r="H7" i="1" s="1"/>
  <c r="J5" i="2"/>
  <c r="K7" i="1" s="1"/>
  <c r="L5" i="2"/>
  <c r="M7" i="1" s="1"/>
  <c r="N19" i="1"/>
  <c r="O19" i="1" s="1"/>
  <c r="N8" i="1"/>
  <c r="O8" i="1" s="1"/>
  <c r="N16" i="1"/>
  <c r="O16" i="1" s="1"/>
  <c r="M60" i="1"/>
  <c r="O18" i="1"/>
  <c r="N10" i="1"/>
  <c r="O10" i="1" s="1"/>
  <c r="E19" i="5"/>
  <c r="J22" i="5"/>
  <c r="N23" i="1"/>
  <c r="O23" i="1" s="1"/>
  <c r="M161" i="1"/>
  <c r="O171" i="1"/>
  <c r="J18" i="5"/>
  <c r="J17" i="5" l="1"/>
  <c r="O6" i="1"/>
  <c r="E11" i="5"/>
  <c r="I19" i="5"/>
  <c r="G121" i="1"/>
  <c r="K121" i="1"/>
  <c r="J115" i="2" s="1"/>
  <c r="G60" i="1"/>
  <c r="G63" i="1" s="1"/>
  <c r="E58" i="2" s="1"/>
  <c r="M184" i="1"/>
  <c r="M63" i="1"/>
  <c r="N159" i="1"/>
  <c r="N162" i="1" s="1"/>
  <c r="J184" i="1"/>
  <c r="J63" i="1"/>
  <c r="L184" i="1"/>
  <c r="L63" i="1"/>
  <c r="I161" i="1"/>
  <c r="I60" i="1"/>
  <c r="O17" i="1"/>
  <c r="H184" i="1"/>
  <c r="H63" i="1"/>
  <c r="K184" i="1"/>
  <c r="K63" i="1"/>
  <c r="Q15" i="2"/>
  <c r="P15" i="2"/>
  <c r="O174" i="2"/>
  <c r="O170" i="2"/>
  <c r="O172" i="2"/>
  <c r="Q3" i="2"/>
  <c r="Q170" i="2" s="1"/>
  <c r="P170" i="2"/>
  <c r="G61" i="1"/>
  <c r="G185" i="1" s="1"/>
  <c r="G191" i="1" s="1"/>
  <c r="E10" i="5"/>
  <c r="E3" i="5" s="1"/>
  <c r="J3" i="5" s="1"/>
  <c r="N119" i="1"/>
  <c r="K61" i="1"/>
  <c r="K185" i="1" s="1"/>
  <c r="K191" i="1" s="1"/>
  <c r="L182" i="1"/>
  <c r="H28" i="5"/>
  <c r="H27" i="5" s="1"/>
  <c r="J180" i="1"/>
  <c r="J182" i="1" s="1"/>
  <c r="I182" i="1"/>
  <c r="E28" i="5"/>
  <c r="E27" i="5" s="1"/>
  <c r="K180" i="1"/>
  <c r="K182" i="1" s="1"/>
  <c r="O167" i="1"/>
  <c r="J29" i="5"/>
  <c r="H153" i="2"/>
  <c r="J16" i="5"/>
  <c r="J11" i="5" s="1"/>
  <c r="J153" i="2"/>
  <c r="L153" i="2"/>
  <c r="I153" i="2"/>
  <c r="L185" i="1"/>
  <c r="L191" i="1" s="1"/>
  <c r="K153" i="2"/>
  <c r="F153" i="2"/>
  <c r="F115" i="2"/>
  <c r="N28" i="1"/>
  <c r="O28" i="1" s="1"/>
  <c r="N170" i="1"/>
  <c r="N180" i="1" s="1"/>
  <c r="N182" i="1" s="1"/>
  <c r="M168" i="2"/>
  <c r="I28" i="5"/>
  <c r="I27" i="5" s="1"/>
  <c r="O103" i="1"/>
  <c r="N120" i="1"/>
  <c r="O120" i="1" s="1"/>
  <c r="N24" i="1"/>
  <c r="O24" i="1" s="1"/>
  <c r="H61" i="1"/>
  <c r="H185" i="1" s="1"/>
  <c r="M61" i="1"/>
  <c r="M185" i="1" s="1"/>
  <c r="J61" i="1"/>
  <c r="J185" i="1" s="1"/>
  <c r="I61" i="1"/>
  <c r="I185" i="1" s="1"/>
  <c r="N161" i="1"/>
  <c r="O159" i="1"/>
  <c r="N5" i="1"/>
  <c r="N7" i="1"/>
  <c r="O7" i="1" s="1"/>
  <c r="J19" i="5"/>
  <c r="L62" i="1"/>
  <c r="K58" i="2" s="1"/>
  <c r="M186" i="1" l="1"/>
  <c r="H186" i="1"/>
  <c r="G28" i="5"/>
  <c r="G27" i="5" s="1"/>
  <c r="G184" i="1"/>
  <c r="J186" i="1"/>
  <c r="O119" i="1"/>
  <c r="N122" i="1"/>
  <c r="I184" i="1"/>
  <c r="I186" i="1" s="1"/>
  <c r="I63" i="1"/>
  <c r="P174" i="2"/>
  <c r="K186" i="1"/>
  <c r="K62" i="1"/>
  <c r="J58" i="2" s="1"/>
  <c r="J10" i="5"/>
  <c r="F28" i="5"/>
  <c r="F27" i="5" s="1"/>
  <c r="L186" i="1"/>
  <c r="L188" i="1"/>
  <c r="H31" i="5" s="1"/>
  <c r="G186" i="1"/>
  <c r="J62" i="1"/>
  <c r="N60" i="1"/>
  <c r="N121" i="1"/>
  <c r="D28" i="5"/>
  <c r="O170" i="1"/>
  <c r="O161" i="1"/>
  <c r="O5" i="1"/>
  <c r="N61" i="1"/>
  <c r="N185" i="1" s="1"/>
  <c r="J191" i="1"/>
  <c r="M62" i="1"/>
  <c r="M191" i="1"/>
  <c r="I62" i="1"/>
  <c r="H62" i="1"/>
  <c r="H191" i="1"/>
  <c r="G62" i="1"/>
  <c r="N184" i="1" l="1"/>
  <c r="N186" i="1" s="1"/>
  <c r="N63" i="1"/>
  <c r="K188" i="1"/>
  <c r="G31" i="5" s="1"/>
  <c r="F58" i="2"/>
  <c r="G58" i="2"/>
  <c r="H188" i="1"/>
  <c r="D31" i="5" s="1"/>
  <c r="H58" i="2"/>
  <c r="I188" i="1"/>
  <c r="E31" i="5" s="1"/>
  <c r="I58" i="2"/>
  <c r="J188" i="1"/>
  <c r="F31" i="5" s="1"/>
  <c r="L58" i="2"/>
  <c r="M188" i="1"/>
  <c r="I31" i="5" s="1"/>
  <c r="O162" i="1"/>
  <c r="O60" i="1"/>
  <c r="O180" i="1"/>
  <c r="D27" i="5"/>
  <c r="J28" i="5"/>
  <c r="J27" i="5" s="1"/>
  <c r="O122" i="1"/>
  <c r="O121" i="1"/>
  <c r="N62" i="1"/>
  <c r="I191" i="1"/>
  <c r="O184" i="1"/>
  <c r="O61" i="1"/>
  <c r="G188" i="1" l="1"/>
  <c r="G190" i="1" s="1"/>
  <c r="P181" i="1"/>
  <c r="O182" i="1"/>
  <c r="P180" i="1"/>
  <c r="O62" i="1"/>
  <c r="O186" i="1"/>
  <c r="O185" i="1"/>
  <c r="N191" i="1"/>
  <c r="G192" i="1" l="1"/>
  <c r="O63" i="1"/>
  <c r="N188" i="1"/>
  <c r="O191" i="1"/>
  <c r="L190" i="1" l="1"/>
  <c r="L192" i="1" s="1"/>
  <c r="H30" i="5"/>
  <c r="H32" i="5" s="1"/>
  <c r="M190" i="1"/>
  <c r="M192" i="1" s="1"/>
  <c r="I30" i="5"/>
  <c r="I32" i="5" s="1"/>
  <c r="J190" i="1"/>
  <c r="J192" i="1" s="1"/>
  <c r="F30" i="5"/>
  <c r="F32" i="5" s="1"/>
  <c r="O188" i="1"/>
  <c r="N190" i="1"/>
  <c r="N192" i="1" s="1"/>
  <c r="K190" i="1"/>
  <c r="K192" i="1" s="1"/>
  <c r="G30" i="5"/>
  <c r="G32" i="5" s="1"/>
  <c r="I190" i="1"/>
  <c r="I192" i="1" s="1"/>
  <c r="E30" i="5"/>
  <c r="E32" i="5" s="1"/>
  <c r="H190" i="1"/>
  <c r="H192" i="1" s="1"/>
  <c r="O190" i="1" l="1"/>
  <c r="N196" i="1"/>
  <c r="N195" i="1" s="1"/>
  <c r="Q181" i="1"/>
  <c r="D30" i="5"/>
  <c r="D32" i="5" s="1"/>
  <c r="J31" i="5"/>
  <c r="J30" i="5" s="1"/>
  <c r="J32" i="5" s="1"/>
  <c r="Q180" i="1"/>
  <c r="O192" i="1"/>
</calcChain>
</file>

<file path=xl/sharedStrings.xml><?xml version="1.0" encoding="utf-8"?>
<sst xmlns="http://schemas.openxmlformats.org/spreadsheetml/2006/main" count="1057" uniqueCount="544">
  <si>
    <t>Detailed Budget Notes</t>
  </si>
  <si>
    <t>Unit</t>
  </si>
  <si>
    <t>Quantity</t>
  </si>
  <si>
    <t>Unit cost</t>
  </si>
  <si>
    <t>Total cost</t>
  </si>
  <si>
    <t>Year 1</t>
  </si>
  <si>
    <t>Year 2</t>
  </si>
  <si>
    <t>Year 3</t>
  </si>
  <si>
    <t>Year 4</t>
  </si>
  <si>
    <t>Year 5</t>
  </si>
  <si>
    <t>Year 6</t>
  </si>
  <si>
    <t>A1</t>
  </si>
  <si>
    <t>Contractual services for an engineer to develop site-specific engineering designs for climate-proofing 51 priority buildings. This includes an assessment of each building as well as the production of the designs for each priority building to receive climate-proofing interventions. This cost was calculated as 5% of the total installation cost of climate-proofing interventions, which is based on national standards of Antigua and Barbuda.</t>
  </si>
  <si>
    <t xml:space="preserve">Contract </t>
  </si>
  <si>
    <t>A2</t>
  </si>
  <si>
    <t>A3</t>
  </si>
  <si>
    <t>A4</t>
  </si>
  <si>
    <t>A5</t>
  </si>
  <si>
    <t xml:space="preserve">Contractual services to install climate-proofing measures on 51 priority buildings using the engineering designs developed. These measures include roof structural upgrades, roof cover and fastening upgrades, replacing windows and frames and replacing doors and frames. This installation includes project development, management and implementation with a 10% engineering contingency.	 </t>
  </si>
  <si>
    <t>A6</t>
  </si>
  <si>
    <t>A7</t>
  </si>
  <si>
    <t>A8</t>
  </si>
  <si>
    <t>A9</t>
  </si>
  <si>
    <t>A10</t>
  </si>
  <si>
    <t>Local consultant contracted to develop site-specific operational procedures for long-term maintenance of climate-proofing interventions for each priority building.</t>
  </si>
  <si>
    <t>Days</t>
  </si>
  <si>
    <t>A11</t>
  </si>
  <si>
    <t>DSA for the local consultant that will develop the site-specific operational procedures.</t>
  </si>
  <si>
    <t>A12</t>
  </si>
  <si>
    <t>Hold a validation workshop with relevant stakeholders from public institutions for the integration of site-specific operational procedures into existing building O&amp;M frameworks.</t>
  </si>
  <si>
    <t>Validation meeting</t>
  </si>
  <si>
    <t>A13</t>
  </si>
  <si>
    <t xml:space="preserve">Contractual services for the engineers, architects, mechanics and other relevant personnel required for the detailed design and management of the construction process for the five hurricane shelters that will be attached to five public clinics. In addition, this cost includes site assessments and validation for construction of these shelters. The cost of these contractual services is 15% of the total construction cost of the shelters, which is in line with Antigua and Barbuda's national standards. </t>
  </si>
  <si>
    <t>A14</t>
  </si>
  <si>
    <t>A15</t>
  </si>
  <si>
    <t>A16</t>
  </si>
  <si>
    <t>Contractual services to equip the five hurricane shelters (with a 230 m2 floor size each) with renewable energy and climate-resilient water harvesting solutions. The cost of installing renewable energy solutions is US$290 per m2. The total cost of installing renewable energy solutions on all five shelters is therefore US$333,500. Additionally, the cost of installing climate-resilient water harvesting solutions is US$104 per m2. The total cost of installing climate-resilient water harvesting solutions on all five shelters is therefore US$119,600. This installation includes project development, management and implementation with a 10% engineering contingency, specifically for the installation of renewable energy and climate-resilient water harvesting solutions.</t>
  </si>
  <si>
    <t>A17</t>
  </si>
  <si>
    <t xml:space="preserve">Five stakeholder engagement workshops with relevant stakeholders from each clinic for the development of emergency protocols for each shelter. </t>
  </si>
  <si>
    <t>Engagement workshops</t>
  </si>
  <si>
    <t>A18</t>
  </si>
  <si>
    <t xml:space="preserve">Local consultant to develop emergency protocols for each shelter in accordance with national guidelines. </t>
  </si>
  <si>
    <t>A19</t>
  </si>
  <si>
    <t>DSA for the local consultant that will develop the emergency protocols for each shelter attached to public clinics.</t>
  </si>
  <si>
    <t>A20</t>
  </si>
  <si>
    <t xml:space="preserve">Contractual services for the engineers, architects, mechanics and other relevant personnel required for the detailed design and management of the construction process for the climate-resilient bunker. In addition, this cost includes site assessments and validation for construction of the bunker. The cost of these contractual services is 15% of the total construction cost of the shelters, which is in line with Antigua and Barbuda's national standards. </t>
  </si>
  <si>
    <t>Contract</t>
  </si>
  <si>
    <t>A21</t>
  </si>
  <si>
    <t>A22</t>
  </si>
  <si>
    <t>A23</t>
  </si>
  <si>
    <t>Purchase and stockpile off-site emergency renewable energy strategic stock, including PV panels, racking and BOS strategic stock. This strategic stock will be used to replace renewable energy equipment that may be damaged during a storm.</t>
  </si>
  <si>
    <t>Off-site renewable energy equipment</t>
  </si>
  <si>
    <t>A24</t>
  </si>
  <si>
    <t>A25</t>
  </si>
  <si>
    <t xml:space="preserve">One stakeholder engagement workshop with relevant representatives from MoHWE, MoW, PWD, DoE, Ministry of Social Transformation and other relevant stakeholders for the development of an operational protocol for the stock and distribution management of emergency supplies that will be stored within the bunker. The bunker will be managed by a ministerial sub-committee and the Chairperson of this committee will participate in this engagement workshop. </t>
  </si>
  <si>
    <t>Engagement workshop</t>
  </si>
  <si>
    <t>A26</t>
  </si>
  <si>
    <t>International consultant to develop the operational protocol for the climate-resilient bunker based on the outcomes of the engagement workshop and in accordance with national guidelines.</t>
  </si>
  <si>
    <t>A27</t>
  </si>
  <si>
    <t>DSA for the international consultant to develop the operational protocol for the climate-resilient bunker based on the outcomes of the engagement workshop and in accordance with national guidelines.</t>
  </si>
  <si>
    <t>A28</t>
  </si>
  <si>
    <t>One return flight for the international consultant to develop the operational protocol for the climate-resilient bunker based on the outcomes of the engagement workshop and in accordance with national guidelines.</t>
  </si>
  <si>
    <t>Return flight</t>
  </si>
  <si>
    <t>A29</t>
  </si>
  <si>
    <t>Local consultant to assist the international consultant with developing the operational protocol for the climate-resilient bunker based on the outcomes of the engagement workshop and in accordance with national guidelines.</t>
  </si>
  <si>
    <t>A30</t>
  </si>
  <si>
    <t>DSA for the local consultant contracted to assist the international consultant with developing the operational protocol for the climate-resilient bunker based on the outcomes of the engagement workshop and in accordance with national guidelines.</t>
  </si>
  <si>
    <t>A31</t>
  </si>
  <si>
    <t>One engagement workshop with relevant representatives from MoHWE, MoW, PWD, DoE and other relevant stakeholders for the development of a battery recharge and replacement protocol for critical services.</t>
  </si>
  <si>
    <t>A32</t>
  </si>
  <si>
    <t>Local consultant to develop the battery recharge and replacement protocol for critical services.</t>
  </si>
  <si>
    <t>A33</t>
  </si>
  <si>
    <t>DSA for the local consultant contracted to develop the battery recharge and replacement protocol for critical services.</t>
  </si>
  <si>
    <t>A34</t>
  </si>
  <si>
    <t>A35</t>
  </si>
  <si>
    <t>A36</t>
  </si>
  <si>
    <t xml:space="preserve">Contractual services to install energy efficiency and renewable energy solutions on 34 priority buildings. These solutions include rooftop or local ground mount PV panels and Li battery banks. The installation fee includes project development, management and implementation with a 10% engineering contingency.	 </t>
  </si>
  <si>
    <t>A37</t>
  </si>
  <si>
    <t>A38</t>
  </si>
  <si>
    <t>A39</t>
  </si>
  <si>
    <t>A40</t>
  </si>
  <si>
    <t>A41</t>
  </si>
  <si>
    <t>A42</t>
  </si>
  <si>
    <t xml:space="preserve">Contractual services to install climate-resilient water harvesting solutions on 50 priority buildings. These solutions include potable water reserve tanks and solar hot water units. The installation fee includes project development, management and implementation with a 10% engineering contingency.	 </t>
  </si>
  <si>
    <t>A43</t>
  </si>
  <si>
    <t>A44</t>
  </si>
  <si>
    <t>A45</t>
  </si>
  <si>
    <t>A46</t>
  </si>
  <si>
    <t xml:space="preserve">Four engagement workshops with representatives from hospitals, clinics, fire and police services for the development of backup protocols for the preservation of vital information.    </t>
  </si>
  <si>
    <t>A47</t>
  </si>
  <si>
    <t>International consultant to develop backup protocols for the preservation of vital information within critical public institutions such as hospitals, clinics, police and fire stations. These protocols will be informed by the engagement workshops held with relevant stakeholders from these public institutions.</t>
  </si>
  <si>
    <t>A48</t>
  </si>
  <si>
    <t>DSA for the international consultant contracted to develop backup protocols.</t>
  </si>
  <si>
    <t>A49</t>
  </si>
  <si>
    <t>One return flight for the international consultant contracted to develop backup protocols.</t>
  </si>
  <si>
    <t>A50</t>
  </si>
  <si>
    <t>Local consultant to assist the international consultant with developing backup protocols for the preservation of vital information within critical public institutions such as hospitals, clinics, police and fire stations. These protocols will be informed by the engagement workshops held with relevant stakeholders from these public institutions.</t>
  </si>
  <si>
    <t>A51</t>
  </si>
  <si>
    <t>DSA for the local consultant contracted to assist the international consultant with developing the backup protocols for preserving vital information.</t>
  </si>
  <si>
    <t>A52</t>
  </si>
  <si>
    <t xml:space="preserve">Two training workshops per year for IT teams housed within relevant critical public institutions on the protocols for backing up vital data hosted within these institutions. </t>
  </si>
  <si>
    <t>Training workshops</t>
  </si>
  <si>
    <t>A53</t>
  </si>
  <si>
    <t xml:space="preserve">Four engagement workshops with representatives from hospitals, clinics, fire and police services for the appropriate design of physical protection measures for critical IT infrastructure. </t>
  </si>
  <si>
    <t>A54</t>
  </si>
  <si>
    <t xml:space="preserve">Contractual services to design physical protection measures for critical IT infrastructure based on inputs from the relevant stakeholders engaged. </t>
  </si>
  <si>
    <t>A55</t>
  </si>
  <si>
    <t>Four training workshops for relevant stakeholders from hospitals, clinics, fire and police stations on how to implement the backup protocols for preserving vital information.</t>
  </si>
  <si>
    <t>A56</t>
  </si>
  <si>
    <t>Workshops</t>
  </si>
  <si>
    <t>B1</t>
  </si>
  <si>
    <t>Local consultant to review the Physical Planning Act and draft amendments to the act to make provision for the national building code.</t>
  </si>
  <si>
    <t>B2</t>
  </si>
  <si>
    <t>DSA for local consultant contracted to draft amendments to the Physical Planning Act.</t>
  </si>
  <si>
    <t>B3</t>
  </si>
  <si>
    <t>Hold a validation workshop with relevant project stakeholders from DCA, MoHWE and other relevant entities to validate the draft amendments developed by the local consultant.</t>
  </si>
  <si>
    <t>Validation workshop</t>
  </si>
  <si>
    <t>B4</t>
  </si>
  <si>
    <t xml:space="preserve">Conduct two workshops with relevant stakeholders from the DoE, DCA, MoW and other relevant entities to review the EMS plans and identify entry points for updating these plans to include climate change adaptation measures for the building sector.  </t>
  </si>
  <si>
    <t>B5</t>
  </si>
  <si>
    <t>Local consultant to draft recommendations for updating the EMS plans based on the workshops conducted to include climate change adaptation for the building sector.</t>
  </si>
  <si>
    <t>B6</t>
  </si>
  <si>
    <t>DSA for the local consultant to draft recommendations for the updating of the EMS plans.</t>
  </si>
  <si>
    <t>B7</t>
  </si>
  <si>
    <t>B8</t>
  </si>
  <si>
    <t xml:space="preserve">Conduct annual workshops, starting in Year 2 and continuing for the remaining project period, with relevant stakeholders from the DoE, DCA, MoW and other relevant entities to review the EMS plans and update these plans where necessary based on changing climatic conditions. </t>
  </si>
  <si>
    <t>B9</t>
  </si>
  <si>
    <t>Engagement meetings with local training institutions such as ABICE to establish partnerships for the development and delivery of certified courses to the public and private sectors on climate change adaptation measures specific to the building sector, including best practices for implementing, monitoring and maintaining these measures in line with the national building code.</t>
  </si>
  <si>
    <t>Engagement meetings</t>
  </si>
  <si>
    <t>B10</t>
  </si>
  <si>
    <t>Contractual services for the partner institution to develop certified training programmes on climate change adaptation measures specific to the building sector, including best practices for implementing, monitoring and maintaining these measures in line with the national building code.</t>
  </si>
  <si>
    <t>B11</t>
  </si>
  <si>
    <t>B13</t>
  </si>
  <si>
    <t>B14</t>
  </si>
  <si>
    <t>B15</t>
  </si>
  <si>
    <t>B16</t>
  </si>
  <si>
    <t>B17</t>
  </si>
  <si>
    <t>Return flights</t>
  </si>
  <si>
    <t>B18</t>
  </si>
  <si>
    <t>Local consultant to design a gender-sensitive awareness campaign targeting the public and private sectors on the updated Building Code, the benefits of taking up climate-adaptive solutions within the buildings sector as well as the availability of certified climate change courses.</t>
  </si>
  <si>
    <t>B19</t>
  </si>
  <si>
    <t>DSA for the local consultant contracted to design the awareness raising campaign.</t>
  </si>
  <si>
    <t>B20</t>
  </si>
  <si>
    <t>Campaign materials</t>
  </si>
  <si>
    <t>B21</t>
  </si>
  <si>
    <t xml:space="preserve">Local consultant contracted for the annual implementation the awareness raising campaign. The Communications Officer and Monitoring and Gender Officer will assist with the implementation of the awareness raising campaign to ensure that it is conducted in a gender-sensitive and that communication of information is undertaken in an easily interpreted and locally appropriate manner. </t>
  </si>
  <si>
    <t>B22</t>
  </si>
  <si>
    <t>DSA for the local consultant to implement the awareness raising campaign.</t>
  </si>
  <si>
    <t>B23</t>
  </si>
  <si>
    <t>Local consultant to design a gender-sensitive awareness-raising campaign within the government system on the availability of the courses developed under Sub-activity 2.1.1.</t>
  </si>
  <si>
    <t>B24</t>
  </si>
  <si>
    <t>DSA for the international consultant contracted to design the awareness raising campaign.</t>
  </si>
  <si>
    <t>B25</t>
  </si>
  <si>
    <t>B26</t>
  </si>
  <si>
    <t xml:space="preserve">Local consultant contracted for the annual implementation the awareness raising campaign, specifically targeting relevant government stakeholders. The Communications Officer and Monitoring and Gender Officer will assist with the implementation of the awareness raising campaign to ensure that it is conducted in a gender-sensitive and that communication of information is undertaken in an easily interpreted and locally appropriate manner. </t>
  </si>
  <si>
    <t>B27</t>
  </si>
  <si>
    <t>B28</t>
  </si>
  <si>
    <t>B29</t>
  </si>
  <si>
    <t>DSA for the international finance expert.</t>
  </si>
  <si>
    <t>B30</t>
  </si>
  <si>
    <t>One return flight for the international finance expert.</t>
  </si>
  <si>
    <t>Hold annual engagement workshops with representatives from the SIRF Fund, relevant government entities and the private sector to review the funding processes and procedures for climate proofing infrastructure and update them where necessary.</t>
  </si>
  <si>
    <t>International consultant to provide annual training to decision-makers from NODS, DCA and PWD on how to access financial resources from the SIRF Fund for implementing climate change adaptation measures in the building sector.</t>
  </si>
  <si>
    <t>Annual training workshops facilitated by the international consultant for decision-makers from NODS, DCA and PWD on how to access financial resources from the SIRF Fund for implementing climate change adaptation measures in the building sector.</t>
  </si>
  <si>
    <t>B37</t>
  </si>
  <si>
    <t>Annual engagement workshops to collate and share lessons learned generated from interactions on the use of the SIRF Fund as well as SIRF Fund application &amp; funding process, including fund replenishment.</t>
  </si>
  <si>
    <t>B38</t>
  </si>
  <si>
    <t xml:space="preserve">Two training workshops per year for the duration of the project period for building inspectors from DCA, building maintenance teams from PWD as well as other technical staff from these institutions on the implementation of the operational procedures for the long-term maintenance of climate-proofing interventions in the target buildings, based on building-specific O&amp;M plans and updated national building code. </t>
  </si>
  <si>
    <t>B39</t>
  </si>
  <si>
    <t>International consultant to design and implement a long-term monitoring framework for building-specific climate-proofing measures – including cost-benefit analyses – to demonstrate the long-term adaptation benefits.</t>
  </si>
  <si>
    <t>B40</t>
  </si>
  <si>
    <t>DSA for the international consultant contracted to design the long-term monitoring framework.</t>
  </si>
  <si>
    <t>B41</t>
  </si>
  <si>
    <t>One return flight for the international consultant contracted to design the long-term monitoring framework.</t>
  </si>
  <si>
    <t>B42</t>
  </si>
  <si>
    <t>One engagement workshop with relevant stakeholders conducted at mid-term (Year 3) to assess the monitoring framework developed for building-specific climate-proofing measures and update the framework where necessary.</t>
  </si>
  <si>
    <t>B43</t>
  </si>
  <si>
    <t xml:space="preserve">Engagement meetings with local training institutions such as ABICE to establish partnerships for the development and delivery of certified courses to develop and deliver a training programme that targets the local workforce on how to install, operate and maintain climate change adaptation technologies in the building sector as well as implement early action protocols.   </t>
  </si>
  <si>
    <t>B44</t>
  </si>
  <si>
    <t>Contractual services for the development of training modules based on the engagement meetings conducted with relevant local training institutions and in line with regional and international occupational standards for climate change adaptation in the building sector.</t>
  </si>
  <si>
    <t>B45</t>
  </si>
  <si>
    <t>Contractual services for the annual delivery of training modules developed in line with regional and international occupational standards for climate change adaptation in the building sector.</t>
  </si>
  <si>
    <t>B46</t>
  </si>
  <si>
    <t xml:space="preserve">Local consultant to design an awareness building campaign on the opportunity for training on the installation, operation and maintenance of climate change adaptation technologies in the building sector, with the support of training institutions.   </t>
  </si>
  <si>
    <t>B47</t>
  </si>
  <si>
    <t>B48</t>
  </si>
  <si>
    <t xml:space="preserve">Local consultant to implement the awareness building campaign on the opportunity for training on the installation, operation and maintenance of climate change adaptation technologies in the building sector, with the support of training institutions. The Communications Officer and Monitoring and Gender Officer will assist with the implementation of the awareness raising campaign to ensure that it is conducted in a gender-sensitive and that communication of information is undertaken in an easily interpreted and locally appropriate manner.   </t>
  </si>
  <si>
    <t>DSA for the local consultant contracted to implement the awareness raising campaign.</t>
  </si>
  <si>
    <t>C1</t>
  </si>
  <si>
    <t xml:space="preserve">Contractual services for the installation of the centralised online server and associated software to be housed within ABMS. This cost also includes procurement and uninterrupted power supply, which will allow the server to function during power outages that result from a storm. </t>
  </si>
  <si>
    <t>C2</t>
  </si>
  <si>
    <t>International consultant to develop training modules on how to collect, process and manage climate data in real time using the centralised online server.</t>
  </si>
  <si>
    <t>C3</t>
  </si>
  <si>
    <t>DSA for the international consultant contracted to develop training modules on the collection, processing and management of climate data in real time using the centralised online server.</t>
  </si>
  <si>
    <t>C4</t>
  </si>
  <si>
    <t>One return flight for the international consultant contracted to develop training modules on the collection, processing and management of climate data in real time using the centralised online server.</t>
  </si>
  <si>
    <t>C5</t>
  </si>
  <si>
    <t>Conduct annual training workshops, using the training modules developed, for relevant technical staff from ABMS on how to collect, process and manage climate data in real time using the centralised online server.</t>
  </si>
  <si>
    <t>C6</t>
  </si>
  <si>
    <t>Meeting</t>
  </si>
  <si>
    <t>C7</t>
  </si>
  <si>
    <t>Knowledge exchange trip</t>
  </si>
  <si>
    <t>C8</t>
  </si>
  <si>
    <t>International consultant to develop training modules for technical staff from AMBS on how to develop early warning information products, including infographics that are locally appropriate and easily interpreted by vulnerable communities.</t>
  </si>
  <si>
    <t>C9</t>
  </si>
  <si>
    <t xml:space="preserve">DSA for the international consultant contracted to develop training modules for ABMS on how to develop early warning information products. </t>
  </si>
  <si>
    <t>C10</t>
  </si>
  <si>
    <t xml:space="preserve">One return flight for the international consultant contracted to develop training modules for ABMS on how to develop early warning information products. </t>
  </si>
  <si>
    <t>C11</t>
  </si>
  <si>
    <t>C12</t>
  </si>
  <si>
    <t>International consultant to design and operationalise a formal communication protocol to facilitate effective communication of impact-based forecasts from ABMS to decision-makers within relevant government entities responsible for preparation ahead of an extreme climate event. The Communications Officer will oversee the design and operationalisation of this protocol to ensure that the protocol is designed in a locally appropriate, easily interpreted manner.</t>
  </si>
  <si>
    <t>C13</t>
  </si>
  <si>
    <t>DSA for the international consultant contracted to design and operationalise the communication protocol.</t>
  </si>
  <si>
    <t>C14</t>
  </si>
  <si>
    <t>C15</t>
  </si>
  <si>
    <t xml:space="preserve">Local consultant to assist the international consultant in the design and operationalisation of the communication protocol. </t>
  </si>
  <si>
    <t>C16</t>
  </si>
  <si>
    <t>DSA for the local consultant contracted to assist the international consultant with the design and operationalisation of the communication protocol.</t>
  </si>
  <si>
    <t>C17</t>
  </si>
  <si>
    <t>Two training workshops per year, starting in Year 2, for relevant staff from ABMS, NODS, MoW, MoHWE, MoEST and other relevant government entities on how to use the formalised communication protocol effectively.</t>
  </si>
  <si>
    <t>C18</t>
  </si>
  <si>
    <t>Local consultant to design and conduct an awareness raising campaign within the government system on the existence and application of the formalised communication protocol to facilitate effective communication of impact-based forecasts from ABMS to decision-makers within relevant government entities responsible for preparation ahead of an extreme climate event. The Communications Officer will oversee the design and implementation of this awareness campaign to ensure that the protocol is designed in a locally appropriate, easily interpreted manner.</t>
  </si>
  <si>
    <t>C19</t>
  </si>
  <si>
    <t>DSA for the local consultant contracted to design and implement the awareness campaign on the existence and application of the formal communication protocol.</t>
  </si>
  <si>
    <t>C20</t>
  </si>
  <si>
    <t>Purchase campaign materials.</t>
  </si>
  <si>
    <t>C21</t>
  </si>
  <si>
    <t>International consultant to design and implement early action protocols for critical public service and community buildings with variable responses dependent on the anticipated intensity of the incoming storm. The Communications Officer will oversee the design and implementation of this protocol to ensure that the protocol is designed in a locally appropriate, easily interpreted manner.</t>
  </si>
  <si>
    <t>C22</t>
  </si>
  <si>
    <t>DSA for the international consultant contracted to design and implement the early action protocol.</t>
  </si>
  <si>
    <t>C23</t>
  </si>
  <si>
    <t>One return flight for the international consultant contracted to design and implement the early action protocol.</t>
  </si>
  <si>
    <t>C24</t>
  </si>
  <si>
    <t xml:space="preserve">Local consultant to assist the international consultant with the design and implementation of the early action protocol. </t>
  </si>
  <si>
    <t>C25</t>
  </si>
  <si>
    <t xml:space="preserve">DSA for the local consultant contracted to assist the international consultant with the design and implementation of the early action protocol. </t>
  </si>
  <si>
    <t>C26</t>
  </si>
  <si>
    <t>Local consultant to design and conduct an awareness raising campaign within the government system on the existence and application of early action protocols for critical public service and community buildings with variable responses dependent on the anticipated intensity of the incoming storm. The Communications Officer will oversee the design and implementation of this awareness campaign to ensure that the protocol is designed in a locally appropriate, easily interpreted manner.</t>
  </si>
  <si>
    <t>C27</t>
  </si>
  <si>
    <t xml:space="preserve">DSA for the local consultant contracted to design and implement the awareness campaign on the existence and application of the early action protocols. </t>
  </si>
  <si>
    <t>C28</t>
  </si>
  <si>
    <t>C29</t>
  </si>
  <si>
    <t>Three training workshops per year, starting in Year 2, for relevant staff from ABMS, NODS, MoW, MoHWE, MoEST, other relevant public sector entities and private sector representatives on how to use the early action protocol effectively.</t>
  </si>
  <si>
    <t>C30</t>
  </si>
  <si>
    <t>C31</t>
  </si>
  <si>
    <t>C32</t>
  </si>
  <si>
    <t>C33</t>
  </si>
  <si>
    <t>Local consultant to assist the international consultant with the development of training modules for relevant staff from ABMS on the effective dissemination of early warning information products to critical service providers as well as the private sectors to facilitate early action.</t>
  </si>
  <si>
    <t>C34</t>
  </si>
  <si>
    <t>DSA for the local consultant contracted to assist the international consultant with the development of training modules for relevant staff from ABMS on the effective dissemination of early warning information products.</t>
  </si>
  <si>
    <t>C35</t>
  </si>
  <si>
    <t>C36</t>
  </si>
  <si>
    <t xml:space="preserve">Annual engagement workshops for relevant staff from ABMS, NODS, MoHWE, MoEST and other relevant critical public service representatives to collate and share lessons learned generated from the use of effective methods for disseminating early warning information products. </t>
  </si>
  <si>
    <t>PMU1</t>
  </si>
  <si>
    <t>Salary</t>
  </si>
  <si>
    <t>PMU2</t>
  </si>
  <si>
    <t>Project Coordinator</t>
  </si>
  <si>
    <t>PMU3</t>
  </si>
  <si>
    <t>PMU4</t>
  </si>
  <si>
    <t>PMU5</t>
  </si>
  <si>
    <t>PMU6</t>
  </si>
  <si>
    <t>PMU7</t>
  </si>
  <si>
    <t>PMU8</t>
  </si>
  <si>
    <t>PMU9</t>
  </si>
  <si>
    <t>Rent for office space</t>
  </si>
  <si>
    <t>Annex 4. Detailed budget plan</t>
  </si>
  <si>
    <t>Project/Programme Title: Resilience to hurricanes, floods and droughts in the building sector in Antigua and Barbuda</t>
  </si>
  <si>
    <t>Output</t>
  </si>
  <si>
    <t>Activity</t>
  </si>
  <si>
    <t>Sub-activity</t>
  </si>
  <si>
    <t>Financing Source</t>
  </si>
  <si>
    <t xml:space="preserve">Budget Account Description </t>
  </si>
  <si>
    <t>Notes and Assumptions*</t>
  </si>
  <si>
    <t>Total cost (USD)</t>
  </si>
  <si>
    <t>Amount Year 1 (USD)</t>
  </si>
  <si>
    <t>Amount Year 2 (USD)</t>
  </si>
  <si>
    <t>Amount Year 3 (USD)</t>
  </si>
  <si>
    <t>Amount Year 4 (USD)</t>
  </si>
  <si>
    <t>Amount Year 5 (USD)</t>
  </si>
  <si>
    <t>Amount Year 6 (USD)</t>
  </si>
  <si>
    <t>Total (USD)</t>
  </si>
  <si>
    <t>Check</t>
  </si>
  <si>
    <t>Output 1. Climate-proofing interventions implemented in critical public service and community buildings to improve resilience to, and recovery from, extreme climate events.</t>
  </si>
  <si>
    <t>Activity 1.1. Implement climate-proofing measures on critical infrastructure.</t>
  </si>
  <si>
    <t>Sub-activity 1.1.1 Develop site-specific engineering designs for climate proofing 52 priority buildings.</t>
  </si>
  <si>
    <t>GCF</t>
  </si>
  <si>
    <t xml:space="preserve">Professional or contractual services </t>
  </si>
  <si>
    <t>GoAB</t>
  </si>
  <si>
    <t>International consultant</t>
  </si>
  <si>
    <t xml:space="preserve">Sub-activity 1.1.2 Install climate proofing measures on 52 priority buildings based on engineering designs developed in Sub-activity 1.1.1. </t>
  </si>
  <si>
    <t>Sub-activity 1.1.3 Develop site-specific operational procedures for long-term maintenance of climate-proofing interventions for each priority building and integrate these procedures into the project O&amp;M Framework.</t>
  </si>
  <si>
    <t>Local consultants</t>
  </si>
  <si>
    <t>Travel</t>
  </si>
  <si>
    <t>Training, workshops, and conferences</t>
  </si>
  <si>
    <t>Activity 1.2 Construct climate-resilient storm shelters attached to public clinics.</t>
  </si>
  <si>
    <t>Sub-activity 1.2.1 Develop detailed, site-specific construction plans for hurricane shelters at five public clinics.</t>
  </si>
  <si>
    <t>Sub-activity 1.2.2 Construct hurricane shelters based on the designs developed under Sub-activity 1.2.1.</t>
  </si>
  <si>
    <t>Sub-activity 1.2.3 Equip hurricane shelters with renewable energy and climate-resilient water harvesting systems.</t>
  </si>
  <si>
    <t xml:space="preserve">Sub-activity 1.2.4 Develop emergency protocols for each shelter according to national guidelines. </t>
  </si>
  <si>
    <t>Activity 1.3 Construct a climate-resilient bunker to store emergency supplies for the health, energy, building and welfare sectors.</t>
  </si>
  <si>
    <t>Sub-activity 1.3.1 Complete a detailed design and construction plan for the bunker.</t>
  </si>
  <si>
    <t>Sub-activity 1.3.2 Construct the bunker based on the design in Sub-activity 1.3.1.</t>
  </si>
  <si>
    <t>Equipment</t>
  </si>
  <si>
    <t xml:space="preserve">Sub-activity 1.3.3 Develop an operational protocol for the stock and distribution management of emergency supplies that will be stored within the bunker.  </t>
  </si>
  <si>
    <t>Sub-activity 1.3.4 Develop a battery recharge and replacement protocol for critical services.</t>
  </si>
  <si>
    <t>Subtotal GCF cost for Output 1</t>
  </si>
  <si>
    <t>Subtotal GoAB cost for Output 1</t>
  </si>
  <si>
    <t>Subtotal Output 1</t>
  </si>
  <si>
    <t xml:space="preserve">Output 2. Climate change adaptation mainstreamed into the building sector and relevant financial mechanisms. </t>
  </si>
  <si>
    <t>Activity 2.2 Mainstream climate change adaptation for the building sector into public and private financial, insurance and banking sectors.</t>
  </si>
  <si>
    <t>Sub-activity 2.2.4 Collate and share lessons learned from SIRF Fund application &amp; funding process, including fund replenishment.</t>
  </si>
  <si>
    <t>Sub-activity 2.3.2 Design and implement a long-term monitoring framework for building-specific climate-proofing measures – including cost-benefit analyses – to demonstrate the long-term adaptation benefits.</t>
  </si>
  <si>
    <t>Activity 2.4 Train the local workforce on the installation, operation and maintenance of climate-proofing measures for the targeted buildings.</t>
  </si>
  <si>
    <t xml:space="preserve">Sub-activity 2.4.1 Engage with suitable training institutions such as ABICE and UWI to develop and deliver a training programme that targets the local workforce on how to install, operate and maintain climate change adaptation technologies in the building sector as well as implement early action protocols.   </t>
  </si>
  <si>
    <t>Sub-activity 2.4.2 Develop training modules in line with regional and international occupational standards for climate change adaptation in the building sector.</t>
  </si>
  <si>
    <t xml:space="preserve">Sub-activity 2.4.3 Deliver training modules developed under Sub-activity 2.4.2. </t>
  </si>
  <si>
    <t xml:space="preserve">Sub-activity 2.4.4 Design and conduct an awareness building campaign on the opportunity for training on the installation, operation and maintenance of climate change adaptation technologies in the building sector, with the support of training institutions.   </t>
  </si>
  <si>
    <t>Subtotal GCF cost for Output 2</t>
  </si>
  <si>
    <t>Subtotal GoAB cost for Output 2</t>
  </si>
  <si>
    <t>Subtotal Output 2</t>
  </si>
  <si>
    <t>Output 3. Climate information services strengthened to facilitate early action within the building sector to respond to extreme climate events.</t>
  </si>
  <si>
    <t>Activity 3.1 Climate information services strengthened to facilitate early action for extreme climate events.</t>
  </si>
  <si>
    <t>Sub-activity 3.1.1 Establish a centralised online server to enhance real-time processing of climate data.</t>
  </si>
  <si>
    <t>Sub-activity 3.1.2 Increase the technical capacity of staff within ABMS to collect, process and manage climate data in real time.</t>
  </si>
  <si>
    <t>Sub-activity 3.1.4 Increase the technical and institutional capacity of AMBS to develop early warning information products, including infographics that are locally appropriate and easily interpreted by vulnerable communities.</t>
  </si>
  <si>
    <t>Activity 3.2 Establish a formalised communication protocol to facilitate rapid information sharing and early action preceding an extreme climate event.</t>
  </si>
  <si>
    <t>Sub-activity 3.2.1 Design and operationalise a formal communication protocol to facilitate effective communication of impact-based forecasts from ABMS to decision-makers within relevant government entities responsible for preparation ahead of an extreme climate event.</t>
  </si>
  <si>
    <t>Sub-activity 3.2.2 Design and implement early action protocols for critical public service and community buildings with variable responses dependent on the anticipated intensity of the incoming storm.</t>
  </si>
  <si>
    <t xml:space="preserve">Sub-activity 3.2.3 Train public and private sector actors on the application of the early action protocols designed and developed under Sub-activity 3.2.2.  </t>
  </si>
  <si>
    <t>Sub-activity 3.2.4 Improve the capacity of ABMS to disseminate early warning information products to critical service providers as well as the private sector to facilitate early action.</t>
  </si>
  <si>
    <t>Subtotal GCF cost for Output 3</t>
  </si>
  <si>
    <t>Subtotal GoAB cost for Output 3</t>
  </si>
  <si>
    <t>Subtotal Output 3</t>
  </si>
  <si>
    <t>Project management costs</t>
  </si>
  <si>
    <t>PM1</t>
  </si>
  <si>
    <t>PM2</t>
  </si>
  <si>
    <t>PM3</t>
  </si>
  <si>
    <t>PM4</t>
  </si>
  <si>
    <t>PM5</t>
  </si>
  <si>
    <t>PM6</t>
  </si>
  <si>
    <t>PM7</t>
  </si>
  <si>
    <t>PM8</t>
  </si>
  <si>
    <t>PM9</t>
  </si>
  <si>
    <t>Subtotal GoAB project management costs</t>
  </si>
  <si>
    <t>Total GCF cost for project interventions</t>
  </si>
  <si>
    <t>Total GoAB cost for project interventions</t>
  </si>
  <si>
    <t>Total cost of project interventions</t>
  </si>
  <si>
    <t>Total GoAB project cost including PMC</t>
  </si>
  <si>
    <t>Total project cost</t>
  </si>
  <si>
    <t>Cost categories</t>
  </si>
  <si>
    <t>Budget note descriptions for each cost category</t>
  </si>
  <si>
    <t xml:space="preserve">Staff cost </t>
  </si>
  <si>
    <t>Please eloborate on staff position involved in this particular stage of the project as well as associated costs</t>
  </si>
  <si>
    <t>BN to detail unit cost and duration of consultant(s) work and position</t>
  </si>
  <si>
    <t>Similar to above (A2)</t>
  </si>
  <si>
    <t>Include machinery spec, equipment name, quantity and unit cost in BN</t>
  </si>
  <si>
    <t>Ensure the number of workshops anticipated, number of people attending, target group, cost per work workshop, venue cost is provided</t>
  </si>
  <si>
    <t>Breakdown travel cost information by number of people and cost per person and separating DSA where applicable.</t>
  </si>
  <si>
    <t xml:space="preserve">Identify professional costs. NB. Auditing costs are Project Management Costs. </t>
  </si>
  <si>
    <t>Funding source</t>
  </si>
  <si>
    <t>Intervention</t>
  </si>
  <si>
    <t xml:space="preserve">Cost </t>
  </si>
  <si>
    <t>Total building footprint (m2)</t>
  </si>
  <si>
    <t>Cost per m2</t>
  </si>
  <si>
    <t>Total floor size of buildings to receive interventions</t>
  </si>
  <si>
    <t>Total cost of interventions for all priority buildings</t>
  </si>
  <si>
    <t>Non-adaptation upgrades</t>
  </si>
  <si>
    <t>General structural repairs</t>
  </si>
  <si>
    <t>General building repairs</t>
  </si>
  <si>
    <t>General electrical</t>
  </si>
  <si>
    <t>Wastewater treatment</t>
  </si>
  <si>
    <t>Subtotal non-adaptation upgrades</t>
  </si>
  <si>
    <t>Adaptation upgrades</t>
  </si>
  <si>
    <t>Extreme weather resistance (roofs, doors and windows)</t>
  </si>
  <si>
    <t>On-site back-up power RE supply and storage</t>
  </si>
  <si>
    <t xml:space="preserve">Off-site emergency RE strategic stocks </t>
  </si>
  <si>
    <t xml:space="preserve">Water storage and supply </t>
  </si>
  <si>
    <t xml:space="preserve">Stormwater drainage </t>
  </si>
  <si>
    <t>Subtotal adaptation upgrades</t>
  </si>
  <si>
    <t>Total cost of interventions</t>
  </si>
  <si>
    <t>Total floor size of the Good Shepherd Children’s Home to receive intervention</t>
  </si>
  <si>
    <t>Total cost of interventions for the Good Shepherd Children’s Home</t>
  </si>
  <si>
    <t>On-site Back-Up RE power supply and storage</t>
  </si>
  <si>
    <t xml:space="preserve">Total cost of all interventions for Good Shepherd Children’s Home  </t>
  </si>
  <si>
    <t>Description</t>
  </si>
  <si>
    <t>Total</t>
  </si>
  <si>
    <t>Output 1</t>
  </si>
  <si>
    <t>Output 2</t>
  </si>
  <si>
    <t xml:space="preserve">Professional / Contractual Services </t>
  </si>
  <si>
    <t>Output 3</t>
  </si>
  <si>
    <t xml:space="preserve">Project Manager </t>
  </si>
  <si>
    <t xml:space="preserve"> Technical Advisors (Renewable energy and Gender sensitive training)</t>
  </si>
  <si>
    <t xml:space="preserve">Conduct one validation workshop with relevant stakeholders from the DoE, DCA, MoW and other relevant entities to validate the recommendations made for updating the EMS plans to include climate change adaptation for the building sector. </t>
  </si>
  <si>
    <t>Sub-activity 1.1.5 Install EE and RE solutions at priority buildings.</t>
  </si>
  <si>
    <t>Sub-activity 2.3.3 Partner with local training institutions such as ABICE to develop and deliver training programmes for relevant technical staff from MoW and DCA; building inspectors, engineers, architects and draughtsmen; and the private sector on best practices for implementing, monitoring and maintaining climate change adaptation technologies, including climate-resilient RE and water harvesting solutions, and how to apply the updated national building code during the installation of these technologies.</t>
  </si>
  <si>
    <t>Sub-activity 2.3.4 Design and conduct a gender-sensitive awareness campaign targeting the public and private sectors on the updated Building Code, the benefits of taking up climate-adaptive solutions within the building sector as well as the availability of certified climate change courses.</t>
  </si>
  <si>
    <t xml:space="preserve">Sub-activity 2.3.5 Develop and implement a gender-sensitive awareness-raising campaign within the government system on the availability of the courses developed under Sub-activity 2.3.3   </t>
  </si>
  <si>
    <t>Sub-activity 1.1.4 Design climate-resilient renewable energy solutions for priority buildings taking into consideration energy efficiency (EE) and indoor air quality for those buildings that have heating, ventilation and air conditioning (HVAC) systems.</t>
  </si>
  <si>
    <t>Activity 1.4 Implement measures to preserve vital information/data within public institutions.</t>
  </si>
  <si>
    <t>Sub-activity 1.4.1 Develop backup protocols for critical information.</t>
  </si>
  <si>
    <t>Sub-activity 1.4.2 Train IT teams on the implementation of backup protocols.</t>
  </si>
  <si>
    <t xml:space="preserve">Sub-activity 1.4.3 Design physical protection measures for critical IT infrastructure. </t>
  </si>
  <si>
    <t>Sub-activity 1.4.4 Implement physical protection measures for critical IT infrastructure.</t>
  </si>
  <si>
    <t>One validation workshop annually with relevant project stakeholders to validate the revised EMS plans.</t>
  </si>
  <si>
    <t>Meetings</t>
  </si>
  <si>
    <t>Annual meetings, starting in Year 3 and continuing for the duration of the implementation period, with participation from relevant stakeholders to collate and share lessons learned from implementing the EMS plans.</t>
  </si>
  <si>
    <t>Local consultant to update the EMS plans based on the outcomes of the annual engagement workshops (@20 days per year starting in Year 3 and continuing for the duration of the project implementation period)</t>
  </si>
  <si>
    <t>Contractual services for the annual delivery (starting in Year 2) of certified training programmes on climate change adaptation measures specific to relevant technical staff from MoW and DCA, as well as building inspectors, engineers, architects and draughtsmen on climate change adaptation technologies, including climate-resilient RE and water harvesting solutions, and how to apply the updated national building code during the installation of these technologies.</t>
  </si>
  <si>
    <t>Activity 2.1 Mainstream climate change adaptation into the building sector by making provision for the building code in the Physical Planning Act (2003) and updating the EMS plans.</t>
  </si>
  <si>
    <t>Activity 2.3 Train relevant staff from the National Office of Disaster Services (NODS), Development Control Authority (DCA) and the Public Works Department (PWD) as well as the private sector on operational procedures for long-term monitoring, maintenance and upscaling of climate-resilient renewable energy (RE) and water harvesting technologies in accordance with the national building code.</t>
  </si>
  <si>
    <t>Sub-activity 1.1.6 Design water harvesting solutions for priority buildings as well as stormwater drainage solutions for buildings in flood risk areas.</t>
  </si>
  <si>
    <t>Sub-activity 1.1.7 Install water harvesting solutions for priority buildings as well as stormwater drainage solutions for buildings in flood risk areas.</t>
  </si>
  <si>
    <t>Contractual services for an engineer to design stormwater drainage solutions for 14 critical buildings situated in inundation zones in the country. This includes an assessment of each building as well as the production of the designs for each priority building to receive stormwater drainage solutions. This cost was calculated as 5% of the total installation cost of climate-proofing interventions, which is based on national standards of Antigua and Barbuda. Site-specific designs will be conducted for the following critical buildings: 
•	Barbuda Fire Station
•	Bendals health clinic
•	Bolans health clinic
•	Bolans Primary School
•	Cedar Grove Primary
•	Clare Hall Secondary School
•	Freetown Primary School
•	Gray's Farm Clinic
•	Grays Farm Police Station
•	Jennings Primary School
•	Liberta Police Station
•	Liberta Primary School
•	Ministry of Finance 
•	Parham health clinic</t>
  </si>
  <si>
    <t xml:space="preserve">Contractual services to install stormwater drainage solutions (e.g. roof guttering) on 14 critical buildings in inundation zones in the country. The total floor size of these buildings is 8,079 m2 and the cost per m2 for installing stormwater drainage solutions on these buildings is ~US$28 per m2. The total cost of the installation of these solutions is therefore ~US$227,029. Further details on the per m2 costing for this intervention are presented in the 'Cost calculations for upgrades' tab in this Excel sheet (Annex 4: Detailed budget). The installation fee includes project development, management and implementation with a 10% engineering contingency. Appropriate stormwater drainage solutions will be installed on the following critical buildings: 
•	Barbuda Fire Station
•	Bendals health clinic
•	Bolans health clinic
•	Bolans Primary School
•	Cedar Grove Primary
•	Clare Hall Secondary School
•	Freetown Primary School
•	Gray's Farm Clinic
•	Grays Farm Police Station
•	Jennings Primary School
•	Liberta Police Station
•	Liberta Primary School
•	Ministry of Finance 
•	Parham health clinic	 </t>
  </si>
  <si>
    <t>Conduct three annual engagement workshops with representatives from the SIRF Fund, relevant government entities and the private sector to facilitate interactions on how to refine the SIRF Fund's list of adaptation options using an evidenced-based approach that draws lessons from the SCCF and EDA projects as well as the implementation of on-the-ground adaptation interventions under Activity 1.1.</t>
  </si>
  <si>
    <t xml:space="preserve">Local consultant to develop a refined list of adaptation options for the SIRF Fund based on the engagements with relevant stakeholders and using an evidenced-based approach that draws lessons from the SCCF and EDA projects as well as the implementation of on-the-ground adaptation interventions under Activity 1.1. </t>
  </si>
  <si>
    <t>B12</t>
  </si>
  <si>
    <t>B31</t>
  </si>
  <si>
    <t>B32</t>
  </si>
  <si>
    <t>B33</t>
  </si>
  <si>
    <t>B34</t>
  </si>
  <si>
    <t>B35</t>
  </si>
  <si>
    <t>B36</t>
  </si>
  <si>
    <t>International finance expert contracted to consult with representatives from the public and private sector to identify entry points for accessing the SIRF fund for climate change adaptation measures that exceed the current thresholds of the fund, including introducing incremental cost reasoning to selection criteria, combined with incentive programmes, levies, insurance/risk management products and increased replenishment.</t>
  </si>
  <si>
    <t>Sub-activity 2.2.1. Consult with representatives from the public and private sectors to identify entry points for accessing the SIRF fund for climate change adaptation measures that exceed the current thresholds of the fund, including introducing incremental cost reasoning to selection criteria, combined with incentive programmes, levies, insurance/risk management products and increased replenishment.</t>
  </si>
  <si>
    <t xml:space="preserve">Independent Monitoring and Evaluation costs </t>
  </si>
  <si>
    <t>M&amp;E1</t>
  </si>
  <si>
    <t>M&amp;E2</t>
  </si>
  <si>
    <t>Total M&amp;E costs</t>
  </si>
  <si>
    <t>PMU10</t>
  </si>
  <si>
    <t>PM10</t>
  </si>
  <si>
    <t>Sub-activity 2.1.1 Draft regulations for the Physical Planning Act (2003) that makes provision for the Building Code for submission to and enactment by parliament.</t>
  </si>
  <si>
    <t xml:space="preserve">Sub-activity 2.1.3 Make recommendations for the EMS Plans to be updated to include climate change adaptation measures for the building sector.  </t>
  </si>
  <si>
    <t xml:space="preserve">Sub-activity 2.1.2. Conduct Strategic Impact Assessment (SIA) of the building code regulations to assess the environmental and social safeguards and gender risks, consequences and mitigation measures related to the enactment of these regulations.  </t>
  </si>
  <si>
    <t>B49</t>
  </si>
  <si>
    <t xml:space="preserve">Contract for an ESS and Gender Expert for the strategic impact assessment (SIA) of the building code regulations to assess the environmental and social safeguards and gender risks, consequences and mitigation measures related to the enactment of these regulations.  </t>
  </si>
  <si>
    <t>Contract for a construction sector expert to assist with the SIA.</t>
  </si>
  <si>
    <t>Contract for a economist to assist with conducting the trade-off analysis as well as the cost-benefit analysis for the SIA.</t>
  </si>
  <si>
    <t>Contract for a report writer to assist with documenting the SIA.</t>
  </si>
  <si>
    <t>Three publications of the SIA in a local newspaper</t>
  </si>
  <si>
    <t>Three SIA consultations</t>
  </si>
  <si>
    <t>NGO assessment of the inputs required to inform the SIA process</t>
  </si>
  <si>
    <t>B50</t>
  </si>
  <si>
    <t>B51</t>
  </si>
  <si>
    <t>B52</t>
  </si>
  <si>
    <t>B53</t>
  </si>
  <si>
    <t>B54</t>
  </si>
  <si>
    <t>B55</t>
  </si>
  <si>
    <t>SIA consultations</t>
  </si>
  <si>
    <t>International consultant to conduct the Independent Interim Evaluation for the project.</t>
  </si>
  <si>
    <t>International consultant to conduct the Final Evaluation Report for the project.</t>
  </si>
  <si>
    <t>IIE contract</t>
  </si>
  <si>
    <t>FER contract</t>
  </si>
  <si>
    <t>cash</t>
  </si>
  <si>
    <t xml:space="preserve">cash and Kind </t>
  </si>
  <si>
    <t xml:space="preserve">Cash  </t>
  </si>
  <si>
    <t>Materials, Labour and Insurance will be provide (Cash and in-Kind)</t>
  </si>
  <si>
    <t xml:space="preserve">cash.  </t>
  </si>
  <si>
    <t>70% cash, 30% in kind</t>
  </si>
  <si>
    <t xml:space="preserve">100% in kind </t>
  </si>
  <si>
    <t>40% cash, 60% in Kind</t>
  </si>
  <si>
    <r>
      <t xml:space="preserve">The cost calculations presented in the table above are present the non-adaptation and adaptation cost of upgrading the Good Shepherd Children's Home only.  These upgrades that are </t>
    </r>
    <r>
      <rPr>
        <b/>
        <u/>
        <sz val="11"/>
        <color theme="1"/>
        <rFont val="Calibri (Body)"/>
      </rPr>
      <t>considered cofinancing</t>
    </r>
    <r>
      <rPr>
        <sz val="11"/>
        <color theme="1"/>
        <rFont val="Calibri"/>
        <family val="2"/>
        <scheme val="minor"/>
      </rPr>
      <t xml:space="preserve"> will be funded by the SIRF Fund and the Ministry of Finance.  The SIRF Fund which is a government fund that finances climate change adaptation intiatives. The costs of the interventions presented above are taken from Annex 22: Building assessment. In this assessment, the cost of implementing adaptation and non-adaptation interventions was determined by square metre of floor size for the representative sample. The cost per metre squared of floor space has been extrapolated across the total relevant floor size of priority buildings to receive upgrades. The building matrix that presents the floor size of all 54 priortiy buildings, including the Good Shepherd's Children Home, to be targeted under the project is presented in Section 10 of Annex 2: Feasibility Study. </t>
    </r>
  </si>
  <si>
    <t xml:space="preserve">Technical Officer  - Coordinator for the Monitoring and reporting of Public Sector adaptation Infrastructure projects  (2) </t>
  </si>
  <si>
    <t>Environmental,  Social and Gender Officers  person</t>
  </si>
  <si>
    <t xml:space="preserve">IN kind  </t>
  </si>
  <si>
    <t xml:space="preserve">In kind  </t>
  </si>
  <si>
    <t xml:space="preserve">in Kind  </t>
  </si>
  <si>
    <t xml:space="preserve">In Kind  </t>
  </si>
  <si>
    <t xml:space="preserve">in kind </t>
  </si>
  <si>
    <t>in kind:  The value of the land, heavy duty equipment, transportation cost of the materials;</t>
  </si>
  <si>
    <t xml:space="preserve">In kind provide by the MOW </t>
  </si>
  <si>
    <t>in kind  via budget allocation and in kind by MOW</t>
  </si>
  <si>
    <t>In kind.  Using staff of MOW</t>
  </si>
  <si>
    <t>ADFD Loan/ cash, and 20% in kind MOW</t>
  </si>
  <si>
    <t xml:space="preserve">The cost calculations presented in the table above are taken from Annex 22: Building assessment.  In this assessment, the cost of implementing adaptation and non-adaptation interventions was determined by square metre of floor size for the representative sample. The cost per metre squared of floor space has been extrapolated across the total relevant floor size of priority buildings to receive upgrades. The building matrix that presents the floor size of all 54 priortiy buildings to be targeted under the project is presented in Section 10 of Annex 2: Feasibility Study.    Since this study was completed more detailed pricing has come into the DOE.   As a result of the hurricanes in the region and the demand for building supplies the cost has increase.  The % increase  over cost in the techncial feasibility study is over 50%. The cost was adjust for the GCF to 50% for buyildings only.   The Government will then cover the additional cost increase which is expected during the life of the project.   This is only expected to impact on the building cost only and not the Renewable energy. </t>
  </si>
  <si>
    <r>
      <t xml:space="preserve">Contractual services for the adaptation costs required to construct five hurricane shelters with a 230 m2 floor size each to be attached to five public clinics identified under Sub-activity 1.2.1. The cost of constructing these shelters is US$996 per m2 </t>
    </r>
    <r>
      <rPr>
        <b/>
        <sz val="11"/>
        <color theme="1"/>
        <rFont val="Calibri"/>
        <family val="2"/>
        <scheme val="minor"/>
      </rPr>
      <t>(with changes 1390.00/M2) .</t>
    </r>
    <r>
      <rPr>
        <sz val="11"/>
        <color theme="1"/>
        <rFont val="Calibri"/>
        <family val="2"/>
        <scheme val="minor"/>
      </rPr>
      <t xml:space="preserve"> Using the findings of the building assessment (Annex 22) as a guide, the adaptation costs of constructing climate-resilient hurricane shelters that are able to withstand the impacts of a Category 5 hurricane is 56% of the total construction cost.  	</t>
    </r>
    <r>
      <rPr>
        <sz val="11"/>
        <color rgb="FFFF0000"/>
        <rFont val="Calibri (Body)"/>
      </rPr>
      <t xml:space="preserve">(changed cost/m2 and ratio) </t>
    </r>
  </si>
  <si>
    <t>Contingency fee</t>
  </si>
  <si>
    <t>Total GCF project cost including PMC and contingency</t>
  </si>
  <si>
    <t>the government will be using their internal architects to do this work. 100% in kind</t>
  </si>
  <si>
    <t>In kind MOW:   labour, heavy duty equipment, insurance</t>
  </si>
  <si>
    <t>Contractual services for an engineer to design climate-resilient renewable energy solutions for 34 priority buildings taking into consideration energy efficiency (EE) and indoor air quality. This includes an assessment of each building as well as the production of the designs for each priority building to receive renewable energy solutions. This cost was calculated as 5% of the total installation cost of climate-proofing interventions, which is based on national standards of Antigua and Barbuda.</t>
  </si>
  <si>
    <t>materials (cash) and in kind installation by the Public Works;</t>
  </si>
  <si>
    <r>
      <t xml:space="preserve">Contractual services for the construction of the climate-resilient bunker that is able to withstand the impacts of a Category 5 hurricane with a floor size of 749 m2 (8050 sq. ft). The purpose of this bunker will be to  store emergency supplies for the health, energy, building and welfare sectors. The estimated cost of this bunker will be </t>
    </r>
    <r>
      <rPr>
        <sz val="11"/>
        <color rgb="FFFF0000"/>
        <rFont val="Calibri (Body)"/>
      </rPr>
      <t xml:space="preserve">US$2,018 per m2. (1.5 price adjustment). </t>
    </r>
  </si>
  <si>
    <t>Annual workshops for relevant stakeholders from hospitals, clinics, police and fire stations on the effective implementation of backup protocols. These annual workshops will be held to ensure that the institutional capacity for the implementation of these protocols is not lost because of staff turnover etc.</t>
  </si>
  <si>
    <t xml:space="preserve">DSA for the international consultant contracted to provide training to decision-makers on accessing financing for implementing climate change adaptation measures in the building sector. </t>
  </si>
  <si>
    <t xml:space="preserve">One return flight per year for the international consultant contracted to provide training to decision-makers on accessing financing for implementing climate change adaptation measures in the building sector. </t>
  </si>
  <si>
    <t>Annual training workshops starting in Year 2 for technical staff from ABMS on how to develop early warning information products using the modules developed by the international consultant.</t>
  </si>
  <si>
    <t>One return flight for the international consultant contracted to design and operationalise a formal communication protocol.</t>
  </si>
  <si>
    <t>International consultant to develop training modules for relevant staff from ABMS on the effective dissemination of early warning information products to critical service providers as well as the private sectors to facilitate early action. The Communications Officer will oversee the development of these training modules to ensure that they are designed to be locally appropriate and easily interpreted.</t>
  </si>
  <si>
    <t xml:space="preserve">DSA for the international consultant contracted to develop training modules on the effective dissemination of early warning information products. </t>
  </si>
  <si>
    <t xml:space="preserve">One return flight for the international consultant contracted to develop training modules on the effective dissemination of early warning information products. </t>
  </si>
  <si>
    <t xml:space="preserve">Two training workshops per year, starting in Year 2, for relevant staff from ABMS on how to effectively disseminate early warning information products that are locally appropriate and easily interpreted by all citizens of Antigua and Barbuda. These workshops will be informed by the training modules developed by the international and local consultants. </t>
  </si>
  <si>
    <t>Contingency fee for Output 1 (10% of the total cost of project interventions under this output)</t>
  </si>
  <si>
    <t>Contingency fee for Output 2 (5% of the total cost of project interventions under this output)</t>
  </si>
  <si>
    <t>Contingency fee for Output 3 (5% of the total cost of project interventions under this output)</t>
  </si>
  <si>
    <t>Contingency fee requested from the GCF</t>
  </si>
  <si>
    <t>C37</t>
  </si>
  <si>
    <t>B56</t>
  </si>
  <si>
    <t>A57</t>
  </si>
  <si>
    <t>Subtotal GCF project management costs, including the MTE and TE costs (Row 167)</t>
  </si>
  <si>
    <t>Total project management costs, including the MTE and TE costs (Row 167)</t>
  </si>
  <si>
    <t>Cash</t>
  </si>
  <si>
    <t>In-kind</t>
  </si>
  <si>
    <t>Sub-activity 3.1.3 Conduct a knowledge exchange trip to the nearest Regional Climate Centre (RCC), which is under the auspices of the World Meteorological Organization (WMO), to strengthen the technical and institutional capacity within ABMS for impact-based forecasting.</t>
  </si>
  <si>
    <t>One meeting between the WMO Regional Climate Centre and ABMS to sign a MoU for a knowledge exchange trip to be conducted for relevant staff from ABMS to strengthen their technical and institutional capacity to implement impact-based forecasting.</t>
  </si>
  <si>
    <t xml:space="preserve">Conduct a knowledge exchange trip for senior staff and technical experts from ABMS to the nearest Regional Climate Centre, which is under the auspices of the World Meteorological Organization (WMO), to strengthen the technical and institutional capacity within ABMS for impact-based forecasting. This cost includes return flights for four senior staff from ABMS @US$3,000 each, DSA of US$367 each for two weeks and a two week workshop (10 days) @US$3,750 per workshop. </t>
  </si>
  <si>
    <t>PMC including M&amp;E</t>
  </si>
  <si>
    <r>
      <t xml:space="preserve">Contractual services for an engineer to develop site-specific engineering designs for climate-proofing the Good Shepherd Children's Home. This includes an assessment of the building as well as the production of the designs for the building to receive climate-proofing interventions. This cost was calculated as 5% of the total installation cost of climate-proofing interventions, which is based on national standards of Antigua and Barbuda. 
</t>
    </r>
    <r>
      <rPr>
        <sz val="11"/>
        <color theme="5" tint="-0.249977111117893"/>
        <rFont val="Calibri"/>
        <family val="2"/>
        <scheme val="minor"/>
      </rPr>
      <t>(The government will be using their internal architects to do this work and this will therefore financed using in-kind co-financing).</t>
    </r>
    <r>
      <rPr>
        <sz val="11"/>
        <color theme="1"/>
        <rFont val="Calibri"/>
        <family val="2"/>
        <scheme val="minor"/>
      </rPr>
      <t xml:space="preserve"> </t>
    </r>
  </si>
  <si>
    <r>
      <t xml:space="preserve">Contractual services to install climate-proofing measures on the Good Shepherd Children's Home using the engineering designs developed. These measures include roof structural upgrades, roof cover and fastening upgrades, replacing windows and frames and replacing doors and frames. This installation includes project development, management and implementation with a 10% engineering contingency.
</t>
    </r>
    <r>
      <rPr>
        <sz val="11"/>
        <color theme="5" tint="-0.249977111117893"/>
        <rFont val="Calibri"/>
        <family val="2"/>
        <scheme val="minor"/>
      </rPr>
      <t>(This will be financed using cash co-financing.)</t>
    </r>
    <r>
      <rPr>
        <sz val="11"/>
        <color theme="1"/>
        <rFont val="Calibri"/>
        <family val="2"/>
        <scheme val="minor"/>
      </rPr>
      <t xml:space="preserve">	 </t>
    </r>
  </si>
  <si>
    <r>
      <t xml:space="preserve">Contractual services for an engineer to design climate-resilient renewable energy solutions for the Good Shepherd Children's Home taking into consideration energy efficiency (EE) and indoor air quality. This includes an assessment of the building as well as the production of the designs for the building to receive renewable energy solutions. This cost was calculated as 5% of the total installation cost of climate-proofing interventions, which is based on national standards of Antigua and Barbuda.
</t>
    </r>
    <r>
      <rPr>
        <sz val="11"/>
        <color theme="5" tint="-0.249977111117893"/>
        <rFont val="Calibri"/>
        <family val="2"/>
        <scheme val="minor"/>
      </rPr>
      <t>(This will be financed using cash co-financing.)</t>
    </r>
    <r>
      <rPr>
        <sz val="11"/>
        <color theme="1"/>
        <rFont val="Calibri"/>
        <family val="2"/>
        <scheme val="minor"/>
      </rPr>
      <t xml:space="preserve">	</t>
    </r>
  </si>
  <si>
    <r>
      <t xml:space="preserve">Contractual services to undertake wastewater treatment required for the Good Shepherd Children's Home. This installation includes project development, management and implementation with a 10% engineering contingency.	
</t>
    </r>
    <r>
      <rPr>
        <sz val="11"/>
        <color theme="5" tint="-0.249977111117893"/>
        <rFont val="Calibri"/>
        <family val="2"/>
        <scheme val="minor"/>
      </rPr>
      <t xml:space="preserve">(This will be financed using cash co-financing.)	</t>
    </r>
  </si>
  <si>
    <r>
      <t xml:space="preserve">Purchase materials for the awareness raising campaign.
</t>
    </r>
    <r>
      <rPr>
        <sz val="11"/>
        <color theme="5" tint="-0.249977111117893"/>
        <rFont val="Calibri"/>
        <family val="2"/>
        <scheme val="minor"/>
      </rPr>
      <t xml:space="preserve">(This will be financed using cash co-financing.)	</t>
    </r>
  </si>
  <si>
    <r>
      <t xml:space="preserve">Contractual services to undertake general structural repairs required for priority buildings. This installation includes project development, management and implementation with a 10% engineering contingency.
</t>
    </r>
    <r>
      <rPr>
        <sz val="11"/>
        <color theme="5" tint="-0.249977111117893"/>
        <rFont val="Calibri"/>
        <family val="2"/>
        <scheme val="minor"/>
      </rPr>
      <t xml:space="preserve">(This will be financed using in-kind co-financing through MoW for labour, heavy duty equipment, insurance etc.)
</t>
    </r>
    <r>
      <rPr>
        <sz val="11"/>
        <color theme="1"/>
        <rFont val="Calibri"/>
        <family val="2"/>
        <scheme val="minor"/>
      </rPr>
      <t xml:space="preserve">
	</t>
    </r>
  </si>
  <si>
    <r>
      <t xml:space="preserve">Contractual services to undertake general building repairs required for 47 priority buildings. This installation includes project development, management and implementation with a 10% engineering contingency.
</t>
    </r>
    <r>
      <rPr>
        <sz val="11"/>
        <color theme="5" tint="-0.249977111117893"/>
        <rFont val="Calibri"/>
        <family val="2"/>
        <scheme val="minor"/>
      </rPr>
      <t>(This will be financed using in-kind co-financing through MoW for labour, heavy duty equipment, insurance etc.)</t>
    </r>
    <r>
      <rPr>
        <sz val="11"/>
        <color theme="1"/>
        <rFont val="Calibri"/>
        <family val="2"/>
        <scheme val="minor"/>
      </rPr>
      <t xml:space="preserve">	</t>
    </r>
  </si>
  <si>
    <r>
      <t xml:space="preserve">Contractual services to undertake general building repairs required for the Good Shepherd Children's Home. This installation includes project development, management and implementation with a 10% engineering contingency.	
</t>
    </r>
    <r>
      <rPr>
        <sz val="11"/>
        <color theme="5" tint="-0.249977111117893"/>
        <rFont val="Calibri"/>
        <family val="2"/>
        <scheme val="minor"/>
      </rPr>
      <t>(This will be financed using cash and in-kind co-financing for material and labour costs, split 70% and 30%, respectively.)</t>
    </r>
  </si>
  <si>
    <r>
      <t xml:space="preserve">Contractual services to install energy efficiency and renewable energy solutions on the Good Shepherd Children's Home. These solutions include rooftop or local ground mount PV panels and Li battery banks. The installation fee includes project development, management and implementation with a 10% engineering contingency.	 
</t>
    </r>
    <r>
      <rPr>
        <sz val="11"/>
        <color theme="5" tint="-0.249977111117893"/>
        <rFont val="Calibri"/>
        <family val="2"/>
        <scheme val="minor"/>
      </rPr>
      <t>(This will be financed using cash and in-kind co-financing for material and labour costs, split 70% and 30%, respectively.)</t>
    </r>
  </si>
  <si>
    <r>
      <t xml:space="preserve">Contractual services to undertake general electrical repairs required for the Good Shepherd Children's Home. This installation includes project development, management and implementation with a 10% engineering contingency.	
</t>
    </r>
    <r>
      <rPr>
        <sz val="11"/>
        <color theme="5" tint="-0.249977111117893"/>
        <rFont val="Calibri"/>
        <family val="2"/>
        <scheme val="minor"/>
      </rPr>
      <t>(This will be financed using cash and in-kind co-financing for material and labour costs, split 70% and 30%, respectively.)</t>
    </r>
  </si>
  <si>
    <r>
      <t xml:space="preserve">Contractual services for the baseline / general construction costs required to construct five hurricane shelters with a 230 m2 floor size each to be attached to five public clinics identified under Sub-activity 1.2.1. The cost of constructing these shelters is </t>
    </r>
    <r>
      <rPr>
        <b/>
        <sz val="11"/>
        <color theme="1"/>
        <rFont val="Calibri"/>
        <family val="2"/>
        <scheme val="minor"/>
      </rPr>
      <t>US$996 per m2</t>
    </r>
    <r>
      <rPr>
        <sz val="11"/>
        <color theme="1"/>
        <rFont val="Calibri"/>
        <family val="2"/>
        <scheme val="minor"/>
      </rPr>
      <t>. Using the findings of the building assessment</t>
    </r>
    <r>
      <rPr>
        <b/>
        <sz val="11"/>
        <color theme="1"/>
        <rFont val="Calibri"/>
        <family val="2"/>
        <scheme val="minor"/>
      </rPr>
      <t xml:space="preserve"> (Annex 22) as a guide and adjust for actual pricing</t>
    </r>
    <r>
      <rPr>
        <sz val="11"/>
        <color theme="1"/>
        <rFont val="Calibri"/>
        <family val="2"/>
        <scheme val="minor"/>
      </rPr>
      <t xml:space="preserve">, the baseline costs of constructing climate-resilient hurricane shelters that are able to withstand the impacts of a Category 5 hurricane is 100% of the total construction cost.  	 
</t>
    </r>
    <r>
      <rPr>
        <sz val="11"/>
        <color theme="5" tint="-0.249977111117893"/>
        <rFont val="Calibri"/>
        <family val="2"/>
        <scheme val="minor"/>
      </rPr>
      <t>(This will be financed using cash and in-kind co-financing for material and labour costs, split 70% and 30%, respectively.)</t>
    </r>
  </si>
  <si>
    <r>
      <t xml:space="preserve">Office space for the project management unit
</t>
    </r>
    <r>
      <rPr>
        <sz val="11"/>
        <color theme="5" tint="-0.249977111117893"/>
        <rFont val="Calibri"/>
        <family val="2"/>
        <scheme val="minor"/>
      </rPr>
      <t>(This will be financed using cash and in-kind co-financing for material staff costs, split 40% and 60%, respectively.)</t>
    </r>
    <r>
      <rPr>
        <sz val="11"/>
        <color theme="1"/>
        <rFont val="Calibri"/>
        <family val="2"/>
        <scheme val="minor"/>
      </rPr>
      <t xml:space="preserve"> </t>
    </r>
  </si>
  <si>
    <r>
      <t xml:space="preserve">Contractual services for an engineer to design climate-resilient water harvesting solutions for 50 priority buildings. This includes an assessment of each building as well as the production of the designs for each priority building to receive climate-resilient water harvesting solutions. This cost was calculated as 5% of the total installation cost of climate-proofing interventions, which is based on national standards of Antigua and Barbuda.
</t>
    </r>
    <r>
      <rPr>
        <sz val="11"/>
        <color theme="5" tint="-0.249977111117893"/>
        <rFont val="Calibri"/>
        <family val="2"/>
        <scheme val="minor"/>
      </rPr>
      <t>(This will be financed using in-kind co-financing from the GoAB.)</t>
    </r>
  </si>
  <si>
    <r>
      <t xml:space="preserve">Contractual services for an engineer to design climate-resilient water harvesting solutions for the Good Shepherd Children's Home. This includes an assessment of the building as well as the production of the designs for the building to receive climate-resilient water harvesting solutions. This cost was calculated as 5% of the total installation cost of climate-proofing interventions, which is based on national standards of Antigua and Barbuda.
</t>
    </r>
    <r>
      <rPr>
        <sz val="11"/>
        <color theme="5" tint="-0.249977111117893"/>
        <rFont val="Calibri"/>
        <family val="2"/>
        <scheme val="minor"/>
      </rPr>
      <t xml:space="preserve">
(This will be financed using in-kind co-financing from the GoAB.)</t>
    </r>
  </si>
  <si>
    <r>
      <t xml:space="preserve">Contractual services to install climate-resilient water harvesting solutions on the Good Shepherd Children's Home. These solutions include potable water reserve tanks and solar hot water units. The installation fee includes project development, management and implementation with a 10% engineering contingency.	 
</t>
    </r>
    <r>
      <rPr>
        <sz val="11"/>
        <color theme="5" tint="-0.249977111117893"/>
        <rFont val="Calibri"/>
        <family val="2"/>
        <scheme val="minor"/>
      </rPr>
      <t>(This will be financed using in-kind co-financing from the MoW.)</t>
    </r>
  </si>
  <si>
    <r>
      <t xml:space="preserve">Contractual services to undertake wastewater treatment required for 45 priority buildings. This installation includes project development, management and implementation with a 10% engineering contingency.	
</t>
    </r>
    <r>
      <rPr>
        <sz val="11"/>
        <color theme="5" tint="-0.249977111117893"/>
        <rFont val="Calibri"/>
        <family val="2"/>
        <scheme val="minor"/>
      </rPr>
      <t>(This will be financed using in-kind co-financing from the MoW.)</t>
    </r>
  </si>
  <si>
    <r>
      <t>Contractual services for the baseline elements (including general building activities and electrical wiring) of constructing the climate-resilient bunker that is able to withstand the impacts of a Category 5 hurricane with a</t>
    </r>
    <r>
      <rPr>
        <sz val="11"/>
        <color rgb="FFFF0000"/>
        <rFont val="Calibri (Body)"/>
      </rPr>
      <t xml:space="preserve"> 749</t>
    </r>
    <r>
      <rPr>
        <sz val="11"/>
        <color theme="1"/>
        <rFont val="Calibri"/>
        <family val="2"/>
        <scheme val="minor"/>
      </rPr>
      <t xml:space="preserve"> m2 floor. The purpose of this bunker will be to  store emergency supplies for the health, energy, building and welfare sectors. The estimated cost of this bunker will be US$2,018 per m2</t>
    </r>
    <r>
      <rPr>
        <sz val="11"/>
        <color rgb="FFFF0000"/>
        <rFont val="Calibri (Body)"/>
      </rPr>
      <t xml:space="preserve"> (1.5 price adjustment).</t>
    </r>
    <r>
      <rPr>
        <sz val="11"/>
        <color theme="1"/>
        <rFont val="Calibri"/>
        <family val="2"/>
        <scheme val="minor"/>
      </rPr>
      <t xml:space="preserve"> Using the findings of the building assessment (Annex 22) as a guide, the baseline / business as usual costs of constructing the climate-resilient bunker to withstand the impacts of a Category 5 hurricane is 44% of the total construction cost.  
</t>
    </r>
    <r>
      <rPr>
        <sz val="11"/>
        <color theme="5" tint="-0.249977111117893"/>
        <rFont val="Calibri"/>
        <family val="2"/>
        <scheme val="minor"/>
      </rPr>
      <t>(This will be financed using in-kind co-financing from the GoAB for the value of the land, heavy duty equipment and transportation cost of materials.)</t>
    </r>
    <r>
      <rPr>
        <sz val="11"/>
        <color theme="1"/>
        <rFont val="Calibri"/>
        <family val="2"/>
        <scheme val="minor"/>
      </rPr>
      <t xml:space="preserve">	</t>
    </r>
  </si>
  <si>
    <r>
      <t xml:space="preserve">Purchase materials for the awareness raising campaign.
</t>
    </r>
    <r>
      <rPr>
        <sz val="11"/>
        <color theme="5" tint="-0.249977111117893"/>
        <rFont val="Calibri"/>
        <family val="2"/>
        <scheme val="minor"/>
      </rPr>
      <t>(This will be financed using in-kind co-financing from the GoAB.)</t>
    </r>
  </si>
  <si>
    <r>
      <t xml:space="preserve">Purchase campaign materials.
</t>
    </r>
    <r>
      <rPr>
        <sz val="11"/>
        <color theme="5" tint="-0.249977111117893"/>
        <rFont val="Calibri"/>
        <family val="2"/>
        <scheme val="minor"/>
      </rPr>
      <t xml:space="preserve">
(This will be financed using in-kind co-financing from the GoAB.)</t>
    </r>
  </si>
  <si>
    <r>
      <t xml:space="preserve">Financial Officer
</t>
    </r>
    <r>
      <rPr>
        <sz val="11"/>
        <color theme="5" tint="-0.249977111117893"/>
        <rFont val="Calibri"/>
        <family val="2"/>
        <scheme val="minor"/>
      </rPr>
      <t xml:space="preserve">
(This will be financed using in-kind co-financing from the GoAB.)</t>
    </r>
  </si>
  <si>
    <r>
      <t xml:space="preserve">Procurement Officer
</t>
    </r>
    <r>
      <rPr>
        <sz val="11"/>
        <color theme="5" tint="-0.249977111117893"/>
        <rFont val="Calibri"/>
        <family val="2"/>
        <scheme val="minor"/>
      </rPr>
      <t xml:space="preserve">
(This will be financed using in-kind co-financing from the GoAB.)</t>
    </r>
  </si>
  <si>
    <r>
      <t xml:space="preserve">Administrative Officer 
</t>
    </r>
    <r>
      <rPr>
        <sz val="11"/>
        <color theme="5" tint="-0.249977111117893"/>
        <rFont val="Calibri"/>
        <family val="2"/>
        <scheme val="minor"/>
      </rPr>
      <t xml:space="preserve">
(This will be financed using in-kind co-financing from the GoAB.)</t>
    </r>
  </si>
  <si>
    <r>
      <t xml:space="preserve">Monitoring and evaluation officer specializing in training impacts on a gender basis 
</t>
    </r>
    <r>
      <rPr>
        <sz val="11"/>
        <color theme="5" tint="-0.249977111117893"/>
        <rFont val="Calibri"/>
        <family val="2"/>
        <scheme val="minor"/>
      </rPr>
      <t xml:space="preserve">
(This will be financed using in-kind co-financing from the GoAB.)</t>
    </r>
  </si>
  <si>
    <r>
      <t xml:space="preserve">Communications Officer
</t>
    </r>
    <r>
      <rPr>
        <sz val="11"/>
        <color theme="5" tint="-0.249977111117893"/>
        <rFont val="Calibri"/>
        <family val="2"/>
        <scheme val="minor"/>
      </rPr>
      <t>(This will be financed using in-kind co-financing from the GoAB.)</t>
    </r>
  </si>
  <si>
    <r>
      <t xml:space="preserve">Contractual services to undertake general electrical repairs required for 52 priority buildings. This installation includes project development, management and implementation with a 10% engineering contingency.
</t>
    </r>
    <r>
      <rPr>
        <sz val="11"/>
        <color theme="5" tint="-0.249977111117893"/>
        <rFont val="Calibri"/>
        <family val="2"/>
        <scheme val="minor"/>
      </rPr>
      <t xml:space="preserve">
(This will be financed using cash and in-kind co-financing, from the ADFD and MoW, respectively. The ADFD portion will be 80% of this cost, and MoW's portion will be 20% of this cost.)</t>
    </r>
    <r>
      <rPr>
        <sz val="11"/>
        <color theme="1"/>
        <rFont val="Calibri"/>
        <family val="2"/>
        <scheme val="minor"/>
      </rPr>
      <t xml:space="preserve"> </t>
    </r>
  </si>
  <si>
    <t>O1</t>
  </si>
  <si>
    <t>O2</t>
  </si>
  <si>
    <t>O3</t>
  </si>
  <si>
    <t>Contingency</t>
  </si>
  <si>
    <t>A contingency fee has been included in the project budget to mitigate the risk of increasing project input costs affecting the implementation of project interventions. As noted in Annex 22: Building assessment, a post-disaster scenario in Antigua and Barbuda (whereby the country experiences a hurricane or other extreme event) results in an estimated 30% increase in input costs, particularly around materials, staff costs and equipment required to install climate-resilient solutions on infrastructure. Antigua and Barbuda is currently experiencing the post-disaster impacts of Hurricane Irma (2017), and data this is currently being collected is showing that the cost of climate-proofing critical infrastructure is significantly higher than estimated. It is also likely that Antigua and Barbuda will experience a hurricane during the project period. This would compound the post-disaster impacts of Hurricane Irma that are currently being absorbed by the national government and population.  A 10% contingency is therefore being requested for Project Output 1 to mitigate the risk of the abovementioned factors affecting the implementation of project interventions. This contingency will be used only if necessary and in line with the agreements between the Accredited Entity and the GCF.</t>
  </si>
  <si>
    <t>A contingency fee has been included in the project budget to mitigate the risk of increasing project input costs affecting the implementation of project interventions. As noted in Annex 22: Building assessment, a post-disaster scenario in Antigua and Barbuda (whereby the country experiences a hurricane or other extreme event) results in an estimated 30% increase in input costs, particularly around materials, staff costs and equipment required to install climate-resilient solutions on infrastructure. Antigua and Barbuda is currently experiencing the post-disaster impacts of Hurricane Irma (2017), and data this is currently being collected is showing that the cost of climate-proofing critical infrastructure is significantly higher than estimated. It is also likely that Antigua and Barbuda will experience a hurricane during the project period. This would compound the post-disaster impacts of Hurricane Irma that are currently being absorbed by the national government and population.  A 5% contingency is therefore being requested for Project Output 2 to mitigate the risk of the abovementioned factors affecting the implementation of project interventions. This contingency will be used only if necessary and in line with the agreements between the Accredited Entity and the GCF.</t>
  </si>
  <si>
    <t>A contingency fee has been included in the project budget to mitigate the risk of increasing project input costs affecting the implementation of project interventions. As noted in Annex 22: Building assessment, a post-disaster scenario in Antigua and Barbuda (whereby the country experiences a hurricane or other extreme event) results in an estimated 30% increase in input costs, particularly around materials, staff costs and equipment required to install climate-resilient solutions on infrastructure. Antigua and Barbuda is currently experiencing the post-disaster impacts of Hurricane Irma (2017), and data this is currently being collected is showing that the cost of climate-proofing critical infrastructure is significantly higher than estimated. It is also likely that Antigua and Barbuda will experience a hurricane during the project period. This would compound the post-disaster impacts of Hurricane Irma that are currently being absorbed by the national government and population. A 5% contingency is therefore being requested for Project Output 3 to mitigate the risk of the abovementioned factors affecting the implementation of project interventions. This contingency will be used only if necessary and in line with the agreements between the Accredited Entity and the GCF.</t>
  </si>
  <si>
    <r>
      <rPr>
        <b/>
        <sz val="11"/>
        <color theme="1"/>
        <rFont val="Calibri"/>
        <family val="2"/>
        <scheme val="minor"/>
      </rPr>
      <t>Note</t>
    </r>
    <r>
      <rPr>
        <sz val="11"/>
        <color theme="1"/>
        <rFont val="Calibri"/>
        <family val="2"/>
        <scheme val="minor"/>
      </rPr>
      <t xml:space="preserve">:  The project cost estimates were conducted in 2018 and early 2019, 12 months after the Hurricane Season. The initial reconstruction began with materials sent from bilaterial donors such as China.  This did not give the AE time to understand any price increases from the private sector. True prices are being understood now that private sector reconstruction is being undertaken.  The DOE is noting a price increase of 40 - 80% on imported materials. This is mainly driven by demand from all of the countries hit by the hurricanes in 2017 and then again in 2019. The budget has therefore been increased by an additonal 50% for construction and water interventions. The RE intervention is not affected. </t>
    </r>
  </si>
  <si>
    <t xml:space="preserve">Sub-activity 2.1.4 Conduct annual meetings with participation from relevant stakeholders to collate and share lessons learned from implementing the EMS plans and ensure that these plans are updated regularly where necessary. </t>
  </si>
  <si>
    <t xml:space="preserve">Sub-activity 2.2.2 Refine the SIRF Fund’s list of adaptation options using an evidence-based approach that  draws lessons learned from the SCCF, EDA projects, as well as lessons learnt the implementation of adaptation interventions under Activity 1.1 of this project. </t>
  </si>
  <si>
    <t xml:space="preserve">Sub-activity 2.2.3 Train decision-makers from NODS, DCA and PWD on how to (a) assess, calculate  and report on the incremental cost of adaptation in public sector projects for the purposes of tracking the implementation of Article 2.1c of the Paris agreement (b)  implement the new building codes and regulations to assess planning applications (c)  to provide trained technical assistance to the SIRF Fund in the evaluation of private sector applications for loans and grants.  </t>
  </si>
  <si>
    <t xml:space="preserve">Sub-activity 2.3.1 Train building inspectors from DCA, building maintenance teams from PWD as well as technical staff from NODS and other relevant institutions on the implementation of the operational procedures for the long-term maintenance of climate-proofing interventions in the target buildings, based on building-specific O&amp;M plans and updated national building code.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</si>
</sst>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00_-;\-* #,##0.00_-;_-* &quot;-&quot;??_-;_-@_-"/>
    <numFmt numFmtId="165" formatCode="_-[$$-409]* #,##0_ ;_-[$$-409]* \-#,##0\ ;_-[$$-409]* &quot;-&quot;_ ;_-@_ "/>
    <numFmt numFmtId="166" formatCode="_-* #,##0_-;\-* #,##0_-;_-* &quot;-&quot;??_-;_-@_-"/>
    <numFmt numFmtId="167" formatCode="_-[$$-409]* #,##0.00_ ;_-[$$-409]* \-#,##0.00\ ;_-[$$-409]* &quot;-&quot;??_ ;_-@_ "/>
    <numFmt numFmtId="168" formatCode="_-[$$-409]* #,##0_ ;_-[$$-409]* \-#,##0\ ;_-[$$-409]* &quot;-&quot;??_ ;_-@_ "/>
  </numFmts>
  <fonts count="11">
    <font>
      <sz val="11"/>
      <color theme="1"/>
      <name val="Calibri"/>
      <family val="2"/>
      <scheme val="minor"/>
    </font>
    <font>
      <b/>
      <sz val="14"/>
      <color theme="1"/>
      <name val="Calibri"/>
      <family val="2"/>
      <scheme val="minor"/>
    </font>
    <font>
      <b/>
      <sz val="11"/>
      <color theme="1"/>
      <name val="Calibri"/>
      <family val="2"/>
      <scheme val="minor"/>
    </font>
    <font>
      <sz val="8"/>
      <name val="Calibri"/>
      <family val="2"/>
      <scheme val="minor"/>
    </font>
    <font>
      <sz val="11"/>
      <color theme="1"/>
      <name val="Calibri"/>
      <family val="2"/>
      <scheme val="minor"/>
    </font>
    <font>
      <b/>
      <sz val="11"/>
      <name val="Calibri"/>
      <family val="2"/>
      <scheme val="minor"/>
    </font>
    <font>
      <b/>
      <u/>
      <sz val="11"/>
      <color theme="1"/>
      <name val="Calibri (Body)"/>
    </font>
    <font>
      <sz val="11"/>
      <color rgb="FFFF0000"/>
      <name val="Calibri (Body)"/>
    </font>
    <font>
      <sz val="11"/>
      <color theme="5" tint="-0.249977111117893"/>
      <name val="Calibri"/>
      <family val="2"/>
      <scheme val="minor"/>
    </font>
    <font>
      <sz val="11"/>
      <name val="Calibri"/>
      <family val="2"/>
      <scheme val="minor"/>
    </font>
    <font>
      <b/>
      <sz val="9"/>
      <color theme="1"/>
      <name val="Calibri"/>
      <family val="2"/>
      <scheme val="minor"/>
    </font>
  </fonts>
  <fills count="10">
    <fill>
      <patternFill patternType="none"/>
    </fill>
    <fill>
      <patternFill patternType="gray125"/>
    </fill>
    <fill>
      <patternFill patternType="solid">
        <fgColor theme="8" tint="0.79998168889431442"/>
        <bgColor indexed="64"/>
      </patternFill>
    </fill>
    <fill>
      <patternFill patternType="solid">
        <fgColor theme="8" tint="0.59999389629810485"/>
        <bgColor indexed="64"/>
      </patternFill>
    </fill>
    <fill>
      <patternFill patternType="solid">
        <fgColor theme="9" tint="0.79998168889431442"/>
        <bgColor indexed="64"/>
      </patternFill>
    </fill>
    <fill>
      <patternFill patternType="solid">
        <fgColor theme="9" tint="0.59999389629810485"/>
        <bgColor indexed="64"/>
      </patternFill>
    </fill>
    <fill>
      <patternFill patternType="solid">
        <fgColor theme="9" tint="0.39997558519241921"/>
        <bgColor indexed="64"/>
      </patternFill>
    </fill>
    <fill>
      <patternFill patternType="solid">
        <fgColor theme="7" tint="0.79998168889431442"/>
        <bgColor indexed="64"/>
      </patternFill>
    </fill>
    <fill>
      <patternFill patternType="solid">
        <fgColor rgb="FF92D050"/>
        <bgColor indexed="64"/>
      </patternFill>
    </fill>
    <fill>
      <patternFill patternType="solid">
        <fgColor rgb="FFFFFF00"/>
        <bgColor indexed="64"/>
      </patternFill>
    </fill>
  </fills>
  <borders count="3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top/>
      <bottom/>
      <diagonal/>
    </border>
    <border>
      <left/>
      <right style="thin">
        <color indexed="64"/>
      </right>
      <top/>
      <bottom style="thin">
        <color indexed="64"/>
      </bottom>
      <diagonal/>
    </border>
    <border>
      <left/>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medium">
        <color indexed="64"/>
      </top>
      <bottom style="medium">
        <color indexed="64"/>
      </bottom>
      <diagonal/>
    </border>
    <border>
      <left/>
      <right/>
      <top style="thin">
        <color indexed="64"/>
      </top>
      <bottom/>
      <diagonal/>
    </border>
    <border>
      <left style="thin">
        <color indexed="64"/>
      </left>
      <right/>
      <top style="thin">
        <color indexed="64"/>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medium">
        <color indexed="64"/>
      </right>
      <top/>
      <bottom/>
      <diagonal/>
    </border>
  </borders>
  <cellStyleXfs count="3">
    <xf numFmtId="0" fontId="0" fillId="0" borderId="0"/>
    <xf numFmtId="164" fontId="4" fillId="0" borderId="0" applyFont="0" applyFill="0" applyBorder="0" applyAlignment="0" applyProtection="0"/>
    <xf numFmtId="9" fontId="4" fillId="0" borderId="0" applyFont="0" applyFill="0" applyBorder="0" applyAlignment="0" applyProtection="0"/>
  </cellStyleXfs>
  <cellXfs count="212">
    <xf numFmtId="0" fontId="0" fillId="0" borderId="0" xfId="0"/>
    <xf numFmtId="0" fontId="0" fillId="0" borderId="1" xfId="0" applyBorder="1"/>
    <xf numFmtId="0" fontId="1" fillId="0" borderId="0" xfId="0" applyFont="1"/>
    <xf numFmtId="0" fontId="0" fillId="0" borderId="1" xfId="0" applyFill="1" applyBorder="1" applyAlignment="1">
      <alignment horizontal="left" vertical="top" wrapText="1"/>
    </xf>
    <xf numFmtId="0" fontId="2" fillId="0" borderId="5" xfId="0" applyFont="1" applyFill="1" applyBorder="1" applyAlignment="1">
      <alignment vertical="top" wrapText="1"/>
    </xf>
    <xf numFmtId="0" fontId="2" fillId="0" borderId="6" xfId="0" applyFont="1" applyFill="1" applyBorder="1" applyAlignment="1">
      <alignment vertical="top" wrapText="1"/>
    </xf>
    <xf numFmtId="165" fontId="2" fillId="0" borderId="6" xfId="0" applyNumberFormat="1" applyFont="1" applyFill="1" applyBorder="1" applyAlignment="1">
      <alignment vertical="top" wrapText="1"/>
    </xf>
    <xf numFmtId="165" fontId="2" fillId="0" borderId="7" xfId="0" applyNumberFormat="1" applyFont="1" applyFill="1" applyBorder="1" applyAlignment="1">
      <alignment vertical="top" wrapText="1"/>
    </xf>
    <xf numFmtId="165" fontId="0" fillId="0" borderId="0" xfId="0" applyNumberFormat="1"/>
    <xf numFmtId="165" fontId="0" fillId="0" borderId="0" xfId="0" applyNumberFormat="1" applyFill="1" applyBorder="1" applyAlignment="1">
      <alignment wrapText="1"/>
    </xf>
    <xf numFmtId="0" fontId="0" fillId="0" borderId="0" xfId="0" applyAlignment="1">
      <alignment vertical="top" wrapText="1"/>
    </xf>
    <xf numFmtId="0" fontId="0" fillId="0" borderId="11" xfId="0" applyBorder="1" applyAlignment="1">
      <alignment horizontal="left" vertical="top" wrapText="1"/>
    </xf>
    <xf numFmtId="0" fontId="0" fillId="0" borderId="8" xfId="0" applyBorder="1" applyAlignment="1">
      <alignment horizontal="left" vertical="top" wrapText="1"/>
    </xf>
    <xf numFmtId="0" fontId="0" fillId="0" borderId="2" xfId="0" applyBorder="1" applyAlignment="1">
      <alignment wrapText="1"/>
    </xf>
    <xf numFmtId="0" fontId="2" fillId="0" borderId="0" xfId="0" applyFont="1" applyFill="1" applyBorder="1" applyAlignment="1">
      <alignment horizontal="left" vertical="top" wrapText="1"/>
    </xf>
    <xf numFmtId="0" fontId="0" fillId="0" borderId="0" xfId="0" applyFill="1"/>
    <xf numFmtId="0" fontId="0" fillId="0" borderId="0" xfId="0" applyFill="1" applyBorder="1" applyAlignment="1">
      <alignment horizontal="center" vertical="center" wrapText="1"/>
    </xf>
    <xf numFmtId="165" fontId="0" fillId="0" borderId="0" xfId="0" applyNumberFormat="1" applyFill="1" applyBorder="1"/>
    <xf numFmtId="0" fontId="0" fillId="0" borderId="0" xfId="0" applyFill="1" applyBorder="1" applyAlignment="1">
      <alignment horizontal="left" vertical="top"/>
    </xf>
    <xf numFmtId="0" fontId="0" fillId="0" borderId="0" xfId="0" applyFill="1" applyAlignment="1">
      <alignment horizontal="left" vertical="top" wrapText="1"/>
    </xf>
    <xf numFmtId="0" fontId="0" fillId="5" borderId="0" xfId="0" applyFill="1"/>
    <xf numFmtId="0" fontId="0" fillId="0" borderId="1" xfId="0" applyFill="1" applyBorder="1"/>
    <xf numFmtId="0" fontId="0" fillId="5" borderId="1" xfId="0" applyFill="1" applyBorder="1"/>
    <xf numFmtId="165" fontId="0" fillId="4" borderId="1" xfId="0" applyNumberFormat="1" applyFill="1" applyBorder="1"/>
    <xf numFmtId="165" fontId="0" fillId="0" borderId="1" xfId="0" applyNumberFormat="1" applyBorder="1"/>
    <xf numFmtId="0" fontId="0" fillId="5" borderId="4" xfId="0" applyFill="1" applyBorder="1" applyAlignment="1">
      <alignment horizontal="center" wrapText="1"/>
    </xf>
    <xf numFmtId="0" fontId="0" fillId="5" borderId="1" xfId="0" applyFill="1" applyBorder="1" applyAlignment="1">
      <alignment horizontal="center" wrapText="1"/>
    </xf>
    <xf numFmtId="0" fontId="0" fillId="0" borderId="0" xfId="0" applyAlignment="1">
      <alignment wrapText="1"/>
    </xf>
    <xf numFmtId="0" fontId="2" fillId="0" borderId="0" xfId="0" applyFont="1" applyFill="1"/>
    <xf numFmtId="0" fontId="0" fillId="5" borderId="0" xfId="0" applyFill="1" applyBorder="1" applyAlignment="1">
      <alignment horizontal="left" vertical="top"/>
    </xf>
    <xf numFmtId="0" fontId="2" fillId="5" borderId="1" xfId="0" applyFont="1" applyFill="1" applyBorder="1"/>
    <xf numFmtId="0" fontId="0" fillId="6" borderId="2" xfId="0" applyFill="1" applyBorder="1" applyAlignment="1">
      <alignment horizontal="center" vertical="center" wrapText="1"/>
    </xf>
    <xf numFmtId="0" fontId="0" fillId="6" borderId="1" xfId="0" applyFill="1" applyBorder="1" applyAlignment="1">
      <alignment horizontal="center" vertical="center" wrapText="1"/>
    </xf>
    <xf numFmtId="0" fontId="2" fillId="2" borderId="5" xfId="0" applyFont="1" applyFill="1" applyBorder="1" applyAlignment="1">
      <alignment vertical="top" wrapText="1"/>
    </xf>
    <xf numFmtId="0" fontId="2" fillId="2" borderId="6" xfId="0" applyFont="1" applyFill="1" applyBorder="1" applyAlignment="1">
      <alignment vertical="top" wrapText="1"/>
    </xf>
    <xf numFmtId="0" fontId="2" fillId="2" borderId="7" xfId="0" applyFont="1" applyFill="1" applyBorder="1" applyAlignment="1">
      <alignment vertical="top" wrapText="1"/>
    </xf>
    <xf numFmtId="165" fontId="2" fillId="2" borderId="9" xfId="0" applyNumberFormat="1" applyFont="1" applyFill="1" applyBorder="1" applyAlignment="1">
      <alignment horizontal="left" vertical="top" wrapText="1"/>
    </xf>
    <xf numFmtId="165" fontId="2" fillId="2" borderId="7" xfId="0" applyNumberFormat="1" applyFont="1" applyFill="1" applyBorder="1" applyAlignment="1">
      <alignment horizontal="left" vertical="top" wrapText="1"/>
    </xf>
    <xf numFmtId="165" fontId="2" fillId="3" borderId="7" xfId="0" applyNumberFormat="1" applyFont="1" applyFill="1" applyBorder="1" applyAlignment="1">
      <alignment horizontal="left" vertical="top" wrapText="1"/>
    </xf>
    <xf numFmtId="165" fontId="2" fillId="3" borderId="12" xfId="0" applyNumberFormat="1" applyFont="1" applyFill="1" applyBorder="1" applyAlignment="1">
      <alignment horizontal="left" vertical="top" wrapText="1"/>
    </xf>
    <xf numFmtId="0" fontId="0" fillId="0" borderId="1" xfId="0" applyFill="1" applyBorder="1" applyAlignment="1">
      <alignment vertical="top" wrapText="1"/>
    </xf>
    <xf numFmtId="0" fontId="0" fillId="0" borderId="0" xfId="0" applyBorder="1"/>
    <xf numFmtId="0" fontId="0" fillId="0" borderId="0" xfId="0" applyFill="1" applyBorder="1" applyAlignment="1">
      <alignment horizontal="center" wrapText="1"/>
    </xf>
    <xf numFmtId="0" fontId="0" fillId="0" borderId="0" xfId="0" applyFill="1" applyBorder="1"/>
    <xf numFmtId="165" fontId="2" fillId="0" borderId="0" xfId="0" applyNumberFormat="1" applyFont="1" applyFill="1" applyBorder="1" applyAlignment="1">
      <alignment horizontal="left" vertical="top" wrapText="1"/>
    </xf>
    <xf numFmtId="9" fontId="0" fillId="0" borderId="0" xfId="2" applyFont="1"/>
    <xf numFmtId="165" fontId="0" fillId="0" borderId="0" xfId="0" applyNumberFormat="1" applyAlignment="1">
      <alignment vertical="top" wrapText="1"/>
    </xf>
    <xf numFmtId="9" fontId="0" fillId="0" borderId="0" xfId="2" applyFont="1" applyAlignment="1">
      <alignment vertical="top" wrapText="1"/>
    </xf>
    <xf numFmtId="165" fontId="0" fillId="0" borderId="1" xfId="0" applyNumberFormat="1" applyFill="1" applyBorder="1"/>
    <xf numFmtId="0" fontId="2" fillId="2" borderId="28" xfId="0" applyFont="1" applyFill="1" applyBorder="1" applyAlignment="1">
      <alignment vertical="top" wrapText="1"/>
    </xf>
    <xf numFmtId="0" fontId="2" fillId="2" borderId="29" xfId="0" applyFont="1" applyFill="1" applyBorder="1" applyAlignment="1">
      <alignment vertical="top" wrapText="1"/>
    </xf>
    <xf numFmtId="0" fontId="0" fillId="0" borderId="1" xfId="0" applyFill="1" applyBorder="1" applyAlignment="1">
      <alignment horizontal="center" wrapText="1"/>
    </xf>
    <xf numFmtId="0" fontId="0" fillId="0" borderId="0" xfId="0" applyFill="1" applyBorder="1" applyAlignment="1">
      <alignment vertical="top" wrapText="1"/>
    </xf>
    <xf numFmtId="0" fontId="0" fillId="0" borderId="2" xfId="0" applyFill="1" applyBorder="1" applyAlignment="1">
      <alignment horizontal="center" wrapText="1"/>
    </xf>
    <xf numFmtId="165" fontId="0" fillId="0" borderId="1" xfId="0" applyNumberFormat="1" applyFill="1" applyBorder="1" applyAlignment="1">
      <alignment horizontal="center" wrapText="1"/>
    </xf>
    <xf numFmtId="165" fontId="2" fillId="0" borderId="23" xfId="0" applyNumberFormat="1" applyFont="1" applyFill="1" applyBorder="1"/>
    <xf numFmtId="0" fontId="0" fillId="0" borderId="22" xfId="0" applyFill="1" applyBorder="1" applyAlignment="1">
      <alignment horizontal="left" vertical="center"/>
    </xf>
    <xf numFmtId="0" fontId="0" fillId="0" borderId="22" xfId="0" applyFont="1" applyFill="1" applyBorder="1" applyAlignment="1">
      <alignment horizontal="left" vertical="top"/>
    </xf>
    <xf numFmtId="0" fontId="0" fillId="0" borderId="22" xfId="0" applyFont="1" applyFill="1" applyBorder="1" applyAlignment="1">
      <alignment horizontal="left" vertical="center"/>
    </xf>
    <xf numFmtId="166" fontId="0" fillId="0" borderId="1" xfId="1" applyNumberFormat="1" applyFont="1" applyFill="1" applyBorder="1"/>
    <xf numFmtId="165" fontId="0" fillId="0" borderId="1" xfId="1" applyNumberFormat="1" applyFont="1" applyFill="1" applyBorder="1"/>
    <xf numFmtId="165" fontId="0" fillId="0" borderId="23" xfId="0" applyNumberFormat="1" applyFill="1" applyBorder="1"/>
    <xf numFmtId="167" fontId="0" fillId="0" borderId="0" xfId="0" applyNumberFormat="1"/>
    <xf numFmtId="165" fontId="2" fillId="4" borderId="1" xfId="0" applyNumberFormat="1" applyFont="1" applyFill="1" applyBorder="1"/>
    <xf numFmtId="0" fontId="0" fillId="0" borderId="1" xfId="0" applyFill="1" applyBorder="1" applyAlignment="1">
      <alignment wrapText="1"/>
    </xf>
    <xf numFmtId="0" fontId="0" fillId="0" borderId="2" xfId="0" applyFill="1" applyBorder="1" applyAlignment="1">
      <alignment vertical="center" wrapText="1"/>
    </xf>
    <xf numFmtId="0" fontId="0" fillId="0" borderId="1" xfId="0" applyFill="1" applyBorder="1" applyAlignment="1">
      <alignment vertical="center" wrapText="1"/>
    </xf>
    <xf numFmtId="2" fontId="0" fillId="0" borderId="0" xfId="0" applyNumberFormat="1"/>
    <xf numFmtId="165" fontId="2" fillId="5" borderId="1" xfId="0" applyNumberFormat="1" applyFont="1" applyFill="1" applyBorder="1"/>
    <xf numFmtId="0" fontId="0" fillId="0" borderId="2" xfId="0" applyBorder="1" applyAlignment="1">
      <alignment horizontal="left" vertical="top" wrapText="1"/>
    </xf>
    <xf numFmtId="0" fontId="0" fillId="0" borderId="3" xfId="0" applyBorder="1" applyAlignment="1">
      <alignment horizontal="left" vertical="top" wrapText="1"/>
    </xf>
    <xf numFmtId="9" fontId="2" fillId="0" borderId="11" xfId="2" applyFont="1" applyFill="1" applyBorder="1"/>
    <xf numFmtId="165" fontId="0" fillId="0" borderId="0" xfId="0" applyNumberFormat="1" applyFill="1"/>
    <xf numFmtId="9" fontId="2" fillId="7" borderId="0" xfId="2" applyFont="1" applyFill="1" applyBorder="1" applyAlignment="1">
      <alignment horizontal="left" vertical="top" wrapText="1"/>
    </xf>
    <xf numFmtId="9" fontId="0" fillId="7" borderId="0" xfId="2" applyFont="1" applyFill="1"/>
    <xf numFmtId="9" fontId="0" fillId="0" borderId="0" xfId="2" applyFont="1" applyFill="1"/>
    <xf numFmtId="165" fontId="0" fillId="0" borderId="0" xfId="0" applyNumberFormat="1" applyBorder="1"/>
    <xf numFmtId="0" fontId="2" fillId="0" borderId="0" xfId="0" applyFont="1" applyBorder="1" applyAlignment="1">
      <alignment horizontal="center"/>
    </xf>
    <xf numFmtId="3" fontId="0" fillId="0" borderId="0" xfId="0" applyNumberFormat="1" applyBorder="1"/>
    <xf numFmtId="0" fontId="0" fillId="0" borderId="7" xfId="0" applyFill="1" applyBorder="1" applyAlignment="1">
      <alignment horizontal="left" vertical="top" wrapText="1"/>
    </xf>
    <xf numFmtId="165" fontId="0" fillId="0" borderId="1" xfId="0" applyNumberFormat="1" applyFill="1" applyBorder="1" applyAlignment="1">
      <alignment wrapText="1"/>
    </xf>
    <xf numFmtId="0" fontId="0" fillId="0" borderId="1" xfId="0" applyFill="1" applyBorder="1" applyAlignment="1"/>
    <xf numFmtId="0" fontId="0" fillId="0" borderId="2" xfId="0" applyBorder="1" applyAlignment="1">
      <alignment horizontal="left" vertical="top" wrapText="1"/>
    </xf>
    <xf numFmtId="9" fontId="2" fillId="0" borderId="0" xfId="2" applyFont="1" applyFill="1" applyBorder="1"/>
    <xf numFmtId="165" fontId="2" fillId="0" borderId="0" xfId="2" applyNumberFormat="1" applyFont="1" applyFill="1" applyBorder="1"/>
    <xf numFmtId="165" fontId="2" fillId="0" borderId="0" xfId="0" applyNumberFormat="1" applyFont="1" applyFill="1" applyBorder="1"/>
    <xf numFmtId="0" fontId="2" fillId="0" borderId="0" xfId="0" applyFont="1" applyFill="1" applyBorder="1"/>
    <xf numFmtId="165" fontId="0" fillId="0" borderId="2" xfId="0" applyNumberFormat="1" applyFill="1" applyBorder="1" applyAlignment="1">
      <alignment horizontal="center" wrapText="1"/>
    </xf>
    <xf numFmtId="165" fontId="2" fillId="2" borderId="6" xfId="0" applyNumberFormat="1" applyFont="1" applyFill="1" applyBorder="1" applyAlignment="1">
      <alignment horizontal="left" vertical="top" wrapText="1"/>
    </xf>
    <xf numFmtId="165" fontId="2" fillId="0" borderId="6" xfId="0" applyNumberFormat="1" applyFont="1" applyFill="1" applyBorder="1" applyAlignment="1">
      <alignment horizontal="left" vertical="top" wrapText="1"/>
    </xf>
    <xf numFmtId="165" fontId="2" fillId="0" borderId="7" xfId="0" applyNumberFormat="1" applyFont="1" applyFill="1" applyBorder="1" applyAlignment="1">
      <alignment horizontal="left" vertical="top" wrapText="1"/>
    </xf>
    <xf numFmtId="0" fontId="0" fillId="0" borderId="1" xfId="0" applyFont="1" applyFill="1" applyBorder="1" applyAlignment="1">
      <alignment vertical="top" wrapText="1"/>
    </xf>
    <xf numFmtId="165" fontId="0" fillId="0" borderId="1" xfId="0" applyNumberFormat="1" applyFont="1" applyFill="1" applyBorder="1" applyAlignment="1">
      <alignment horizontal="left" vertical="top" wrapText="1"/>
    </xf>
    <xf numFmtId="165" fontId="2" fillId="2" borderId="1" xfId="0" applyNumberFormat="1" applyFont="1" applyFill="1" applyBorder="1" applyAlignment="1">
      <alignment horizontal="left" vertical="top" wrapText="1"/>
    </xf>
    <xf numFmtId="0" fontId="0" fillId="0" borderId="5" xfId="0" applyBorder="1"/>
    <xf numFmtId="165" fontId="2" fillId="0" borderId="0" xfId="0" applyNumberFormat="1" applyFont="1" applyFill="1"/>
    <xf numFmtId="9" fontId="2" fillId="0" borderId="0" xfId="2" applyFont="1" applyFill="1"/>
    <xf numFmtId="3" fontId="0" fillId="0" borderId="0" xfId="0" applyNumberFormat="1"/>
    <xf numFmtId="4" fontId="0" fillId="0" borderId="0" xfId="0" applyNumberFormat="1"/>
    <xf numFmtId="168" fontId="0" fillId="0" borderId="0" xfId="0" applyNumberFormat="1"/>
    <xf numFmtId="168" fontId="0" fillId="6" borderId="0" xfId="0" applyNumberFormat="1" applyFill="1"/>
    <xf numFmtId="0" fontId="2" fillId="5" borderId="0" xfId="0" applyFont="1" applyFill="1" applyBorder="1"/>
    <xf numFmtId="3" fontId="0" fillId="0" borderId="0" xfId="0" applyNumberFormat="1" applyFill="1"/>
    <xf numFmtId="0" fontId="0" fillId="7" borderId="0" xfId="0" applyFill="1" applyAlignment="1">
      <alignment vertical="top" wrapText="1"/>
    </xf>
    <xf numFmtId="0" fontId="0" fillId="7" borderId="0" xfId="0" applyFill="1"/>
    <xf numFmtId="0" fontId="0" fillId="7" borderId="0" xfId="0" applyFill="1" applyAlignment="1">
      <alignment wrapText="1"/>
    </xf>
    <xf numFmtId="165" fontId="0" fillId="0" borderId="10" xfId="0" applyNumberFormat="1" applyFill="1" applyBorder="1"/>
    <xf numFmtId="0" fontId="0" fillId="0" borderId="10" xfId="0" applyFill="1" applyBorder="1"/>
    <xf numFmtId="167" fontId="0" fillId="0" borderId="10" xfId="0" applyNumberFormat="1" applyFill="1" applyBorder="1"/>
    <xf numFmtId="0" fontId="0" fillId="0" borderId="2" xfId="0" applyBorder="1"/>
    <xf numFmtId="165" fontId="0" fillId="0" borderId="3" xfId="0" applyNumberFormat="1" applyFill="1" applyBorder="1"/>
    <xf numFmtId="0" fontId="0" fillId="0" borderId="3" xfId="0" applyFill="1" applyBorder="1"/>
    <xf numFmtId="167" fontId="0" fillId="0" borderId="3" xfId="0" applyNumberFormat="1" applyFill="1" applyBorder="1"/>
    <xf numFmtId="165" fontId="0" fillId="8" borderId="3" xfId="0" applyNumberFormat="1" applyFill="1" applyBorder="1"/>
    <xf numFmtId="0" fontId="0" fillId="8" borderId="3" xfId="0" applyFill="1" applyBorder="1"/>
    <xf numFmtId="0" fontId="0" fillId="8" borderId="0" xfId="0" applyFill="1"/>
    <xf numFmtId="0" fontId="0" fillId="0" borderId="2" xfId="0" applyFill="1" applyBorder="1" applyAlignment="1">
      <alignment horizontal="left" vertical="top" wrapText="1"/>
    </xf>
    <xf numFmtId="0" fontId="0" fillId="0" borderId="3" xfId="0" applyFill="1" applyBorder="1" applyAlignment="1">
      <alignment horizontal="left" vertical="top" wrapText="1"/>
    </xf>
    <xf numFmtId="0" fontId="0" fillId="0" borderId="4" xfId="0" applyFill="1" applyBorder="1" applyAlignment="1">
      <alignment horizontal="left" vertical="top" wrapText="1"/>
    </xf>
    <xf numFmtId="0" fontId="2" fillId="3" borderId="13" xfId="0" applyFont="1" applyFill="1" applyBorder="1" applyAlignment="1">
      <alignment horizontal="left" vertical="top" wrapText="1"/>
    </xf>
    <xf numFmtId="0" fontId="2" fillId="3" borderId="12" xfId="0" applyFont="1" applyFill="1" applyBorder="1" applyAlignment="1">
      <alignment horizontal="left" vertical="top" wrapText="1"/>
    </xf>
    <xf numFmtId="0" fontId="2" fillId="3" borderId="5" xfId="0" applyFont="1" applyFill="1" applyBorder="1" applyAlignment="1">
      <alignment horizontal="left" vertical="top" wrapText="1"/>
    </xf>
    <xf numFmtId="0" fontId="2" fillId="3" borderId="6" xfId="0" applyFont="1" applyFill="1" applyBorder="1" applyAlignment="1">
      <alignment horizontal="left" vertical="top" wrapText="1"/>
    </xf>
    <xf numFmtId="0" fontId="2" fillId="3" borderId="7" xfId="0" applyFont="1" applyFill="1" applyBorder="1" applyAlignment="1">
      <alignment horizontal="left" vertical="top" wrapText="1"/>
    </xf>
    <xf numFmtId="0" fontId="0" fillId="0" borderId="9" xfId="0" applyFill="1" applyBorder="1" applyAlignment="1">
      <alignment horizontal="left" vertical="top" wrapText="1"/>
    </xf>
    <xf numFmtId="0" fontId="0" fillId="0" borderId="10" xfId="0" applyFill="1" applyBorder="1" applyAlignment="1">
      <alignment horizontal="left" vertical="top" wrapText="1"/>
    </xf>
    <xf numFmtId="1" fontId="0" fillId="0" borderId="1" xfId="0" applyNumberFormat="1" applyFill="1" applyBorder="1"/>
    <xf numFmtId="3" fontId="0" fillId="0" borderId="1" xfId="0" applyNumberFormat="1" applyFill="1" applyBorder="1"/>
    <xf numFmtId="4" fontId="0" fillId="0" borderId="1" xfId="0" applyNumberFormat="1" applyFill="1" applyBorder="1"/>
    <xf numFmtId="0" fontId="0" fillId="0" borderId="2" xfId="0" applyFill="1" applyBorder="1"/>
    <xf numFmtId="0" fontId="0" fillId="0" borderId="9" xfId="0" applyFill="1" applyBorder="1"/>
    <xf numFmtId="165" fontId="2" fillId="6" borderId="4" xfId="0" applyNumberFormat="1" applyFont="1" applyFill="1" applyBorder="1"/>
    <xf numFmtId="165" fontId="2" fillId="6" borderId="12" xfId="0" applyNumberFormat="1" applyFont="1" applyFill="1" applyBorder="1"/>
    <xf numFmtId="0" fontId="2" fillId="0" borderId="16" xfId="0" applyFont="1" applyFill="1" applyBorder="1"/>
    <xf numFmtId="0" fontId="2" fillId="0" borderId="17" xfId="0" applyFont="1" applyFill="1" applyBorder="1"/>
    <xf numFmtId="0" fontId="2" fillId="0" borderId="17" xfId="0" applyFont="1" applyFill="1" applyBorder="1" applyAlignment="1">
      <alignment wrapText="1"/>
    </xf>
    <xf numFmtId="0" fontId="2" fillId="0" borderId="17" xfId="0" applyFont="1" applyFill="1" applyBorder="1" applyAlignment="1">
      <alignment vertical="top" wrapText="1"/>
    </xf>
    <xf numFmtId="0" fontId="2" fillId="0" borderId="18" xfId="0" applyFont="1" applyFill="1" applyBorder="1" applyAlignment="1">
      <alignment vertical="top" wrapText="1"/>
    </xf>
    <xf numFmtId="165" fontId="2" fillId="0" borderId="26" xfId="0" applyNumberFormat="1" applyFont="1" applyFill="1" applyBorder="1"/>
    <xf numFmtId="165" fontId="2" fillId="0" borderId="18" xfId="0" applyNumberFormat="1" applyFont="1" applyFill="1" applyBorder="1"/>
    <xf numFmtId="0" fontId="0" fillId="0" borderId="0" xfId="0" applyFill="1" applyBorder="1" applyAlignment="1">
      <alignment horizontal="left" vertical="top" wrapText="1"/>
    </xf>
    <xf numFmtId="165" fontId="0" fillId="0" borderId="34" xfId="0" applyNumberFormat="1" applyFill="1" applyBorder="1"/>
    <xf numFmtId="165" fontId="2" fillId="0" borderId="33" xfId="0" applyNumberFormat="1" applyFont="1" applyFill="1" applyBorder="1"/>
    <xf numFmtId="165" fontId="0" fillId="0" borderId="2" xfId="0" applyNumberFormat="1" applyFill="1" applyBorder="1" applyAlignment="1">
      <alignment wrapText="1"/>
    </xf>
    <xf numFmtId="0" fontId="0" fillId="2" borderId="1" xfId="0" applyFont="1" applyFill="1" applyBorder="1" applyAlignment="1">
      <alignment horizontal="center" wrapText="1"/>
    </xf>
    <xf numFmtId="0" fontId="0" fillId="0" borderId="2" xfId="0" applyFill="1" applyBorder="1" applyAlignment="1">
      <alignment wrapText="1"/>
    </xf>
    <xf numFmtId="0" fontId="0" fillId="0" borderId="10" xfId="0" applyFill="1" applyBorder="1" applyAlignment="1">
      <alignment horizontal="center" vertical="center" wrapText="1"/>
    </xf>
    <xf numFmtId="0" fontId="9" fillId="0" borderId="1" xfId="0" applyFont="1" applyFill="1" applyBorder="1" applyAlignment="1">
      <alignment vertical="top" wrapText="1"/>
    </xf>
    <xf numFmtId="0" fontId="9" fillId="0" borderId="1" xfId="0" applyFont="1" applyFill="1" applyBorder="1" applyAlignment="1">
      <alignment horizontal="center" vertical="center" wrapText="1"/>
    </xf>
    <xf numFmtId="0" fontId="9" fillId="0" borderId="1" xfId="0" applyFont="1" applyFill="1" applyBorder="1" applyAlignment="1">
      <alignment wrapText="1"/>
    </xf>
    <xf numFmtId="0" fontId="9" fillId="0" borderId="2" xfId="0" applyFont="1" applyFill="1" applyBorder="1" applyAlignment="1">
      <alignment horizontal="left" vertical="top" wrapText="1"/>
    </xf>
    <xf numFmtId="0" fontId="9" fillId="0" borderId="1" xfId="0" applyFont="1" applyFill="1" applyBorder="1" applyAlignment="1">
      <alignment horizontal="center" wrapText="1"/>
    </xf>
    <xf numFmtId="165" fontId="9" fillId="0" borderId="1" xfId="0" applyNumberFormat="1" applyFont="1" applyFill="1" applyBorder="1" applyAlignment="1">
      <alignment wrapText="1"/>
    </xf>
    <xf numFmtId="165" fontId="2" fillId="3" borderId="1" xfId="0" applyNumberFormat="1" applyFont="1" applyFill="1" applyBorder="1" applyAlignment="1">
      <alignment horizontal="left" wrapText="1"/>
    </xf>
    <xf numFmtId="0" fontId="0" fillId="0" borderId="2" xfId="0" applyFill="1" applyBorder="1" applyAlignment="1">
      <alignment horizontal="left" vertical="top" wrapText="1"/>
    </xf>
    <xf numFmtId="0" fontId="0" fillId="0" borderId="3" xfId="0" applyFill="1" applyBorder="1" applyAlignment="1">
      <alignment horizontal="left" vertical="top" wrapText="1"/>
    </xf>
    <xf numFmtId="0" fontId="0" fillId="0" borderId="4" xfId="0" applyFill="1" applyBorder="1" applyAlignment="1">
      <alignment horizontal="left" vertical="top" wrapText="1"/>
    </xf>
    <xf numFmtId="165" fontId="0" fillId="9" borderId="1" xfId="0" applyNumberFormat="1" applyFill="1" applyBorder="1"/>
    <xf numFmtId="165" fontId="10" fillId="0" borderId="0" xfId="0" applyNumberFormat="1" applyFont="1" applyFill="1" applyBorder="1"/>
    <xf numFmtId="0" fontId="0" fillId="0" borderId="7" xfId="0" applyFill="1" applyBorder="1" applyAlignment="1">
      <alignment horizontal="left" vertical="top" wrapText="1"/>
    </xf>
    <xf numFmtId="0" fontId="2" fillId="2" borderId="5" xfId="0" applyFont="1" applyFill="1" applyBorder="1" applyAlignment="1">
      <alignment horizontal="left" vertical="top" wrapText="1"/>
    </xf>
    <xf numFmtId="0" fontId="2" fillId="2" borderId="6" xfId="0" applyFont="1" applyFill="1" applyBorder="1" applyAlignment="1">
      <alignment horizontal="left" vertical="top" wrapText="1"/>
    </xf>
    <xf numFmtId="0" fontId="0" fillId="0" borderId="2" xfId="0" applyFill="1" applyBorder="1" applyAlignment="1">
      <alignment horizontal="left" vertical="top" wrapText="1"/>
    </xf>
    <xf numFmtId="0" fontId="0" fillId="0" borderId="3" xfId="0" applyFill="1" applyBorder="1" applyAlignment="1">
      <alignment horizontal="left" vertical="top" wrapText="1"/>
    </xf>
    <xf numFmtId="0" fontId="0" fillId="0" borderId="4" xfId="0" applyFill="1" applyBorder="1" applyAlignment="1">
      <alignment horizontal="left" vertical="top" wrapText="1"/>
    </xf>
    <xf numFmtId="0" fontId="0" fillId="0" borderId="9" xfId="0" applyFill="1" applyBorder="1" applyAlignment="1">
      <alignment horizontal="left" vertical="top" wrapText="1"/>
    </xf>
    <xf numFmtId="0" fontId="0" fillId="0" borderId="12" xfId="0" applyFill="1" applyBorder="1" applyAlignment="1">
      <alignment horizontal="left" vertical="top" wrapText="1"/>
    </xf>
    <xf numFmtId="0" fontId="0" fillId="0" borderId="10" xfId="0" applyFill="1" applyBorder="1" applyAlignment="1">
      <alignment horizontal="left" vertical="top" wrapText="1"/>
    </xf>
    <xf numFmtId="0" fontId="2" fillId="3" borderId="8" xfId="0" applyFont="1" applyFill="1" applyBorder="1" applyAlignment="1">
      <alignment horizontal="left" vertical="top" wrapText="1"/>
    </xf>
    <xf numFmtId="0" fontId="2" fillId="3" borderId="13" xfId="0" applyFont="1" applyFill="1" applyBorder="1" applyAlignment="1">
      <alignment horizontal="left" vertical="top" wrapText="1"/>
    </xf>
    <xf numFmtId="0" fontId="2" fillId="3" borderId="12" xfId="0" applyFont="1" applyFill="1" applyBorder="1" applyAlignment="1">
      <alignment horizontal="left" vertical="top" wrapText="1"/>
    </xf>
    <xf numFmtId="0" fontId="2" fillId="2" borderId="5" xfId="0" applyFont="1" applyFill="1" applyBorder="1" applyAlignment="1">
      <alignment horizontal="left" vertical="center" wrapText="1"/>
    </xf>
    <xf numFmtId="0" fontId="2" fillId="2" borderId="6" xfId="0" applyFont="1" applyFill="1" applyBorder="1" applyAlignment="1">
      <alignment horizontal="left" vertical="center" wrapText="1"/>
    </xf>
    <xf numFmtId="0" fontId="2" fillId="2" borderId="7" xfId="0" applyFont="1" applyFill="1" applyBorder="1" applyAlignment="1">
      <alignment horizontal="left" vertical="center" wrapText="1"/>
    </xf>
    <xf numFmtId="0" fontId="2" fillId="2" borderId="7" xfId="0" applyFont="1" applyFill="1" applyBorder="1" applyAlignment="1">
      <alignment horizontal="left" vertical="top" wrapText="1"/>
    </xf>
    <xf numFmtId="0" fontId="2" fillId="3" borderId="5" xfId="0" applyFont="1" applyFill="1" applyBorder="1" applyAlignment="1">
      <alignment horizontal="left" vertical="top" wrapText="1"/>
    </xf>
    <xf numFmtId="0" fontId="2" fillId="3" borderId="6" xfId="0" applyFont="1" applyFill="1" applyBorder="1" applyAlignment="1">
      <alignment horizontal="left" vertical="top" wrapText="1"/>
    </xf>
    <xf numFmtId="0" fontId="2" fillId="3" borderId="7" xfId="0" applyFont="1" applyFill="1" applyBorder="1" applyAlignment="1">
      <alignment horizontal="left" vertical="top" wrapText="1"/>
    </xf>
    <xf numFmtId="0" fontId="2" fillId="0" borderId="5" xfId="0" applyFont="1" applyFill="1" applyBorder="1" applyAlignment="1">
      <alignment horizontal="left" vertical="top" wrapText="1"/>
    </xf>
    <xf numFmtId="0" fontId="2" fillId="0" borderId="6" xfId="0" applyFont="1" applyFill="1" applyBorder="1" applyAlignment="1">
      <alignment horizontal="left" vertical="top" wrapText="1"/>
    </xf>
    <xf numFmtId="0" fontId="2" fillId="0" borderId="7" xfId="0" applyFont="1" applyFill="1" applyBorder="1" applyAlignment="1">
      <alignment horizontal="left" vertical="top" wrapText="1"/>
    </xf>
    <xf numFmtId="0" fontId="0" fillId="0" borderId="5" xfId="0" applyFont="1" applyFill="1" applyBorder="1" applyAlignment="1">
      <alignment horizontal="left" vertical="top" wrapText="1"/>
    </xf>
    <xf numFmtId="0" fontId="0" fillId="0" borderId="6" xfId="0" applyFont="1" applyFill="1" applyBorder="1" applyAlignment="1">
      <alignment horizontal="left" vertical="top" wrapText="1"/>
    </xf>
    <xf numFmtId="0" fontId="0" fillId="0" borderId="7" xfId="0" applyFont="1" applyFill="1" applyBorder="1" applyAlignment="1">
      <alignment horizontal="left" vertical="top" wrapText="1"/>
    </xf>
    <xf numFmtId="0" fontId="2" fillId="5" borderId="5" xfId="0" applyFont="1" applyFill="1" applyBorder="1" applyAlignment="1">
      <alignment horizontal="center" vertical="center"/>
    </xf>
    <xf numFmtId="0" fontId="2" fillId="5" borderId="6" xfId="0" applyFont="1" applyFill="1" applyBorder="1" applyAlignment="1">
      <alignment horizontal="center" vertical="center"/>
    </xf>
    <xf numFmtId="0" fontId="0" fillId="0" borderId="28" xfId="0" applyFill="1" applyBorder="1" applyAlignment="1">
      <alignment wrapText="1"/>
    </xf>
    <xf numFmtId="0" fontId="0" fillId="0" borderId="5" xfId="0" applyFill="1" applyBorder="1" applyAlignment="1">
      <alignment horizontal="left" vertical="top" wrapText="1"/>
    </xf>
    <xf numFmtId="0" fontId="0" fillId="0" borderId="6" xfId="0" applyFill="1" applyBorder="1" applyAlignment="1">
      <alignment horizontal="left" vertical="top" wrapText="1"/>
    </xf>
    <xf numFmtId="0" fontId="0" fillId="0" borderId="7" xfId="0" applyFill="1" applyBorder="1" applyAlignment="1">
      <alignment horizontal="left" vertical="top" wrapText="1"/>
    </xf>
    <xf numFmtId="0" fontId="2" fillId="0" borderId="19" xfId="0" applyFont="1" applyFill="1" applyBorder="1" applyAlignment="1">
      <alignment horizontal="left" vertical="top"/>
    </xf>
    <xf numFmtId="0" fontId="2" fillId="0" borderId="20" xfId="0" applyFont="1" applyFill="1" applyBorder="1" applyAlignment="1">
      <alignment horizontal="left" vertical="top"/>
    </xf>
    <xf numFmtId="0" fontId="2" fillId="0" borderId="21" xfId="0" applyFont="1" applyFill="1" applyBorder="1" applyAlignment="1">
      <alignment horizontal="left" vertical="top"/>
    </xf>
    <xf numFmtId="0" fontId="2" fillId="0" borderId="30" xfId="0" applyFont="1" applyFill="1" applyBorder="1" applyAlignment="1">
      <alignment horizontal="left" vertical="top"/>
    </xf>
    <xf numFmtId="0" fontId="2" fillId="0" borderId="4" xfId="0" applyFont="1" applyFill="1" applyBorder="1" applyAlignment="1">
      <alignment horizontal="left" vertical="top"/>
    </xf>
    <xf numFmtId="0" fontId="2" fillId="0" borderId="31" xfId="0" applyFont="1" applyFill="1" applyBorder="1" applyAlignment="1">
      <alignment horizontal="left" vertical="top"/>
    </xf>
    <xf numFmtId="0" fontId="2" fillId="0" borderId="24" xfId="0" applyFont="1" applyFill="1" applyBorder="1" applyAlignment="1">
      <alignment horizontal="left" vertical="center"/>
    </xf>
    <xf numFmtId="0" fontId="2" fillId="0" borderId="25" xfId="0" applyFont="1" applyFill="1" applyBorder="1" applyAlignment="1">
      <alignment horizontal="left" vertical="center"/>
    </xf>
    <xf numFmtId="0" fontId="2" fillId="0" borderId="32" xfId="0" applyFont="1" applyFill="1" applyBorder="1" applyAlignment="1">
      <alignment horizontal="left" vertical="center"/>
    </xf>
    <xf numFmtId="0" fontId="2" fillId="0" borderId="2" xfId="0" applyFont="1" applyFill="1" applyBorder="1" applyAlignment="1">
      <alignment horizontal="left" vertical="center"/>
    </xf>
    <xf numFmtId="0" fontId="5" fillId="0" borderId="14" xfId="0" applyFont="1" applyFill="1" applyBorder="1" applyAlignment="1">
      <alignment horizontal="left" vertical="center"/>
    </xf>
    <xf numFmtId="0" fontId="5" fillId="0" borderId="15" xfId="0" applyFont="1" applyFill="1" applyBorder="1" applyAlignment="1">
      <alignment horizontal="left" vertical="center"/>
    </xf>
    <xf numFmtId="0" fontId="5" fillId="0" borderId="27" xfId="0" applyFont="1" applyFill="1" applyBorder="1" applyAlignment="1">
      <alignment horizontal="left" vertical="center"/>
    </xf>
    <xf numFmtId="0" fontId="2" fillId="0" borderId="24" xfId="0" applyFont="1" applyFill="1" applyBorder="1" applyAlignment="1">
      <alignment horizontal="left" vertical="top"/>
    </xf>
    <xf numFmtId="0" fontId="2" fillId="0" borderId="25" xfId="0" applyFont="1" applyFill="1" applyBorder="1" applyAlignment="1">
      <alignment horizontal="left" vertical="top"/>
    </xf>
    <xf numFmtId="0" fontId="2" fillId="0" borderId="14" xfId="0" applyFont="1" applyFill="1" applyBorder="1" applyAlignment="1">
      <alignment horizontal="left" vertical="top"/>
    </xf>
    <xf numFmtId="0" fontId="2" fillId="0" borderId="15" xfId="0" applyFont="1" applyFill="1" applyBorder="1" applyAlignment="1">
      <alignment horizontal="left" vertical="top"/>
    </xf>
    <xf numFmtId="0" fontId="2" fillId="0" borderId="27" xfId="0" applyFont="1" applyFill="1" applyBorder="1" applyAlignment="1">
      <alignment horizontal="left" vertical="top"/>
    </xf>
    <xf numFmtId="0" fontId="2" fillId="4" borderId="5" xfId="0" applyFont="1" applyFill="1" applyBorder="1" applyAlignment="1">
      <alignment horizontal="left" vertical="top"/>
    </xf>
    <xf numFmtId="0" fontId="2" fillId="4" borderId="7" xfId="0" applyFont="1" applyFill="1" applyBorder="1" applyAlignment="1">
      <alignment horizontal="left" vertical="top"/>
    </xf>
    <xf numFmtId="0" fontId="2" fillId="5" borderId="5" xfId="0" applyFont="1" applyFill="1" applyBorder="1" applyAlignment="1">
      <alignment horizontal="left" vertical="top"/>
    </xf>
    <xf numFmtId="0" fontId="2" fillId="5" borderId="7" xfId="0" applyFont="1" applyFill="1" applyBorder="1" applyAlignment="1">
      <alignment horizontal="left" vertical="top"/>
    </xf>
  </cellXfs>
  <cellStyles count="3">
    <cellStyle name="Comma" xfId="1" builtinId="3"/>
    <cellStyle name="Normal" xfId="0" builtinId="0"/>
    <cellStyle name="Per cent"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externalLinks/_rels/externalLink1.xml.rels><?xml version="1.0" encoding="UTF-8" standalone="yes"?>
<Relationships xmlns="http://schemas.openxmlformats.org/package/2006/relationships"><Relationship Id="rId2" Type="http://schemas.microsoft.com/office/2019/04/relationships/externalLinkLongPath" Target="/personal/michai_robertson_ab_gov_ag/Documents/Michai%20Robertson%20-%20DOE/Green%20Climate%20Fund/Accredited%20Entity/FP%205%20-%20GCF%20Build/DOE%20ATG%20-%20GCF%20Build%20Project%20-%202020-03-26/GCF%20FP_Antigua%20and%20Barbuda_Build_Annex%2012_AE%20Fee%20Request_25%20March%202020.xlsx?893B7896" TargetMode="External"/><Relationship Id="rId1" Type="http://schemas.openxmlformats.org/officeDocument/2006/relationships/externalLinkPath" Target="file:///893B7896/GCF%20FP_Antigua%20and%20Barbuda_Build_Annex%2012_AE%20Fee%20Request_25%20March%20202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E fee request"/>
    </sheetNames>
    <sheetDataSet>
      <sheetData sheetId="0"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U204"/>
  <sheetViews>
    <sheetView tabSelected="1" zoomScale="55" zoomScaleNormal="55" workbookViewId="0">
      <pane ySplit="3" topLeftCell="A4" activePane="bottomLeft" state="frozen"/>
      <selection pane="bottomLeft" activeCell="G7" sqref="G7"/>
    </sheetView>
  </sheetViews>
  <sheetFormatPr baseColWidth="10" defaultColWidth="8.83203125" defaultRowHeight="15"/>
  <cols>
    <col min="1" max="1" width="41.33203125" customWidth="1"/>
    <col min="2" max="2" width="53" customWidth="1"/>
    <col min="3" max="3" width="50.6640625" customWidth="1"/>
    <col min="4" max="4" width="16.5" customWidth="1"/>
    <col min="5" max="5" width="14.6640625" customWidth="1"/>
    <col min="6" max="6" width="23" bestFit="1" customWidth="1"/>
    <col min="7" max="8" width="19.5" bestFit="1" customWidth="1"/>
    <col min="9" max="13" width="20" customWidth="1"/>
    <col min="14" max="14" width="21.5" bestFit="1" customWidth="1"/>
    <col min="15" max="15" width="13.5" customWidth="1"/>
    <col min="16" max="16" width="23.83203125" bestFit="1" customWidth="1"/>
    <col min="17" max="17" width="15.1640625" bestFit="1" customWidth="1"/>
    <col min="18" max="18" width="15.5" bestFit="1" customWidth="1"/>
    <col min="19" max="19" width="16" bestFit="1" customWidth="1"/>
    <col min="20" max="21" width="15" bestFit="1" customWidth="1"/>
  </cols>
  <sheetData>
    <row r="1" spans="1:17" ht="19">
      <c r="A1" s="2" t="s">
        <v>265</v>
      </c>
    </row>
    <row r="2" spans="1:17" ht="19">
      <c r="A2" s="2" t="s">
        <v>266</v>
      </c>
      <c r="O2" s="15"/>
    </row>
    <row r="3" spans="1:17" ht="32">
      <c r="A3" s="31" t="s">
        <v>267</v>
      </c>
      <c r="B3" s="32" t="s">
        <v>268</v>
      </c>
      <c r="C3" s="32" t="s">
        <v>269</v>
      </c>
      <c r="D3" s="32" t="s">
        <v>270</v>
      </c>
      <c r="E3" s="32" t="s">
        <v>271</v>
      </c>
      <c r="F3" s="32" t="s">
        <v>272</v>
      </c>
      <c r="G3" s="32" t="s">
        <v>273</v>
      </c>
      <c r="H3" s="32" t="s">
        <v>274</v>
      </c>
      <c r="I3" s="32" t="s">
        <v>275</v>
      </c>
      <c r="J3" s="32" t="s">
        <v>276</v>
      </c>
      <c r="K3" s="32" t="s">
        <v>277</v>
      </c>
      <c r="L3" s="32" t="s">
        <v>278</v>
      </c>
      <c r="M3" s="32" t="s">
        <v>279</v>
      </c>
      <c r="N3" s="32" t="s">
        <v>280</v>
      </c>
      <c r="O3" s="16" t="s">
        <v>281</v>
      </c>
    </row>
    <row r="4" spans="1:17" ht="64">
      <c r="A4" s="69" t="s">
        <v>282</v>
      </c>
      <c r="B4" s="162" t="s">
        <v>283</v>
      </c>
      <c r="C4" s="162" t="s">
        <v>284</v>
      </c>
      <c r="D4" s="65" t="s">
        <v>285</v>
      </c>
      <c r="E4" s="19" t="s">
        <v>286</v>
      </c>
      <c r="F4" s="53" t="str">
        <f>'Notes and Assumptions'!A2</f>
        <v>A1</v>
      </c>
      <c r="G4" s="87">
        <f>'Notes and Assumptions'!F2</f>
        <v>378721.88494167553</v>
      </c>
      <c r="H4" s="87">
        <f>'Notes and Assumptions'!G2</f>
        <v>189360.94247083776</v>
      </c>
      <c r="I4" s="87">
        <f>'Notes and Assumptions'!H2</f>
        <v>189360.94247083776</v>
      </c>
      <c r="J4" s="87">
        <f>'Notes and Assumptions'!I2</f>
        <v>0</v>
      </c>
      <c r="K4" s="87">
        <f>'Notes and Assumptions'!J2</f>
        <v>0</v>
      </c>
      <c r="L4" s="87">
        <f>'Notes and Assumptions'!K2</f>
        <v>0</v>
      </c>
      <c r="M4" s="87">
        <f>'Notes and Assumptions'!L2</f>
        <v>0</v>
      </c>
      <c r="N4" s="143">
        <f>SUM(H4:M4)</f>
        <v>378721.88494167553</v>
      </c>
      <c r="O4" s="9" t="b">
        <f>G4=N4</f>
        <v>1</v>
      </c>
    </row>
    <row r="5" spans="1:17" ht="48">
      <c r="A5" s="70"/>
      <c r="B5" s="163"/>
      <c r="C5" s="163"/>
      <c r="D5" s="65" t="s">
        <v>287</v>
      </c>
      <c r="E5" s="3" t="s">
        <v>286</v>
      </c>
      <c r="F5" s="53" t="str">
        <f>'Notes and Assumptions'!A3</f>
        <v>A2</v>
      </c>
      <c r="G5" s="87">
        <f>'Notes and Assumptions'!F3</f>
        <v>2273.3032873807001</v>
      </c>
      <c r="H5" s="87">
        <f>'Notes and Assumptions'!G3</f>
        <v>1136.6516436903501</v>
      </c>
      <c r="I5" s="87">
        <f>'Notes and Assumptions'!H3</f>
        <v>1136.6516436903501</v>
      </c>
      <c r="J5" s="87">
        <f>'Notes and Assumptions'!I3</f>
        <v>0</v>
      </c>
      <c r="K5" s="87">
        <f>'Notes and Assumptions'!J3</f>
        <v>0</v>
      </c>
      <c r="L5" s="87">
        <f>'Notes and Assumptions'!K3</f>
        <v>0</v>
      </c>
      <c r="M5" s="87">
        <f>'Notes and Assumptions'!L3</f>
        <v>0</v>
      </c>
      <c r="N5" s="143">
        <f>SUM(H5:M5)</f>
        <v>2273.3032873807001</v>
      </c>
      <c r="O5" s="9" t="b">
        <f>G5=N5</f>
        <v>1</v>
      </c>
    </row>
    <row r="6" spans="1:17" ht="48">
      <c r="A6" s="70"/>
      <c r="B6" s="163"/>
      <c r="C6" s="162" t="s">
        <v>289</v>
      </c>
      <c r="D6" s="66" t="s">
        <v>285</v>
      </c>
      <c r="E6" s="3" t="s">
        <v>286</v>
      </c>
      <c r="F6" s="53" t="str">
        <f>'Notes and Assumptions'!A4</f>
        <v>A3</v>
      </c>
      <c r="G6" s="87">
        <f>'Notes and Assumptions'!F4</f>
        <v>7574437.6988335103</v>
      </c>
      <c r="H6" s="87">
        <f>'Notes and Assumptions'!G4</f>
        <v>1262406.2831389185</v>
      </c>
      <c r="I6" s="87">
        <f>'Notes and Assumptions'!H4</f>
        <v>1262406.2831389185</v>
      </c>
      <c r="J6" s="87">
        <f>'Notes and Assumptions'!I4</f>
        <v>1262406.2831389185</v>
      </c>
      <c r="K6" s="87">
        <f>'Notes and Assumptions'!J4</f>
        <v>1262406.2831389185</v>
      </c>
      <c r="L6" s="87">
        <f>'Notes and Assumptions'!K4</f>
        <v>1262406.2831389185</v>
      </c>
      <c r="M6" s="87">
        <f>'Notes and Assumptions'!L4</f>
        <v>1262406.2831389185</v>
      </c>
      <c r="N6" s="143">
        <f t="shared" ref="N6:N59" si="0">SUM(H6:M6)</f>
        <v>7574437.6988335112</v>
      </c>
      <c r="O6" s="9" t="b">
        <f>G6=N6</f>
        <v>1</v>
      </c>
    </row>
    <row r="7" spans="1:17" ht="48">
      <c r="A7" s="70"/>
      <c r="B7" s="163"/>
      <c r="C7" s="163"/>
      <c r="D7" s="66" t="s">
        <v>287</v>
      </c>
      <c r="E7" s="3" t="s">
        <v>286</v>
      </c>
      <c r="F7" s="53" t="str">
        <f>'Notes and Assumptions'!A5</f>
        <v>A4</v>
      </c>
      <c r="G7" s="87">
        <f>'Notes and Assumptions'!F5</f>
        <v>45466.065747613997</v>
      </c>
      <c r="H7" s="87">
        <f>'Notes and Assumptions'!G5</f>
        <v>7577.6776246023328</v>
      </c>
      <c r="I7" s="87">
        <f>'Notes and Assumptions'!H5</f>
        <v>7577.6776246023328</v>
      </c>
      <c r="J7" s="87">
        <f>'Notes and Assumptions'!I5</f>
        <v>7577.6776246023328</v>
      </c>
      <c r="K7" s="87">
        <f>'Notes and Assumptions'!J5</f>
        <v>7577.6776246023328</v>
      </c>
      <c r="L7" s="87">
        <f>'Notes and Assumptions'!K5</f>
        <v>7577.6776246023328</v>
      </c>
      <c r="M7" s="87">
        <f>'Notes and Assumptions'!L5</f>
        <v>7577.6776246023328</v>
      </c>
      <c r="N7" s="143">
        <f t="shared" si="0"/>
        <v>45466.065747614004</v>
      </c>
      <c r="O7" s="9" t="b">
        <f>G7=N7</f>
        <v>1</v>
      </c>
    </row>
    <row r="8" spans="1:17" ht="48">
      <c r="A8" s="70"/>
      <c r="B8" s="163"/>
      <c r="C8" s="163"/>
      <c r="D8" s="66" t="s">
        <v>287</v>
      </c>
      <c r="E8" s="3" t="s">
        <v>286</v>
      </c>
      <c r="F8" s="53" t="str">
        <f>'Notes and Assumptions'!A6</f>
        <v>A5</v>
      </c>
      <c r="G8" s="87">
        <f>'Notes and Assumptions'!F6</f>
        <v>1434717.3913043479</v>
      </c>
      <c r="H8" s="87">
        <f>'Notes and Assumptions'!G6</f>
        <v>239119.56521739133</v>
      </c>
      <c r="I8" s="87">
        <f>'Notes and Assumptions'!H6</f>
        <v>239119.56521739133</v>
      </c>
      <c r="J8" s="87">
        <f>'Notes and Assumptions'!I6</f>
        <v>239119.56521739133</v>
      </c>
      <c r="K8" s="87">
        <f>'Notes and Assumptions'!J6</f>
        <v>239119.56521739133</v>
      </c>
      <c r="L8" s="87">
        <f>'Notes and Assumptions'!K6</f>
        <v>239119.56521739133</v>
      </c>
      <c r="M8" s="87">
        <f>'Notes and Assumptions'!L6</f>
        <v>239119.56521739133</v>
      </c>
      <c r="N8" s="143">
        <f t="shared" si="0"/>
        <v>1434717.3913043479</v>
      </c>
      <c r="O8" s="9" t="b">
        <f t="shared" ref="O8:O63" si="1">G8=N8</f>
        <v>1</v>
      </c>
    </row>
    <row r="9" spans="1:17" ht="48">
      <c r="A9" s="70"/>
      <c r="B9" s="163"/>
      <c r="C9" s="163"/>
      <c r="D9" s="66" t="s">
        <v>287</v>
      </c>
      <c r="E9" s="3" t="s">
        <v>286</v>
      </c>
      <c r="F9" s="53" t="str">
        <f>'Notes and Assumptions'!A7</f>
        <v>A6</v>
      </c>
      <c r="G9" s="87">
        <f>'Notes and Assumptions'!F7</f>
        <v>2679474.5493107103</v>
      </c>
      <c r="H9" s="87">
        <f>'Notes and Assumptions'!G7</f>
        <v>446579.09155178507</v>
      </c>
      <c r="I9" s="87">
        <f>'Notes and Assumptions'!H7</f>
        <v>446579.09155178507</v>
      </c>
      <c r="J9" s="87">
        <f>'Notes and Assumptions'!I7</f>
        <v>446579.09155178507</v>
      </c>
      <c r="K9" s="87">
        <f>'Notes and Assumptions'!J7</f>
        <v>446579.09155178507</v>
      </c>
      <c r="L9" s="87">
        <f>'Notes and Assumptions'!K7</f>
        <v>446579.09155178507</v>
      </c>
      <c r="M9" s="87">
        <f>'Notes and Assumptions'!L7</f>
        <v>446579.09155178507</v>
      </c>
      <c r="N9" s="143">
        <f t="shared" si="0"/>
        <v>2679474.5493107103</v>
      </c>
      <c r="O9" s="9" t="b">
        <f t="shared" si="1"/>
        <v>1</v>
      </c>
    </row>
    <row r="10" spans="1:17" ht="48">
      <c r="A10" s="70"/>
      <c r="B10" s="163"/>
      <c r="C10" s="164"/>
      <c r="D10" s="66" t="s">
        <v>287</v>
      </c>
      <c r="E10" s="3" t="s">
        <v>286</v>
      </c>
      <c r="F10" s="53" t="str">
        <f>'Notes and Assumptions'!A8</f>
        <v>A7</v>
      </c>
      <c r="G10" s="87">
        <f>'Notes and Assumptions'!F8</f>
        <v>45466.065747613997</v>
      </c>
      <c r="H10" s="87">
        <f>'Notes and Assumptions'!G8</f>
        <v>7577.6776246023328</v>
      </c>
      <c r="I10" s="87">
        <f>'Notes and Assumptions'!H8</f>
        <v>7577.6776246023328</v>
      </c>
      <c r="J10" s="87">
        <f>'Notes and Assumptions'!I8</f>
        <v>7577.6776246023328</v>
      </c>
      <c r="K10" s="87">
        <f>'Notes and Assumptions'!J8</f>
        <v>7577.6776246023328</v>
      </c>
      <c r="L10" s="87">
        <f>'Notes and Assumptions'!K8</f>
        <v>7577.6776246023328</v>
      </c>
      <c r="M10" s="87">
        <f>'Notes and Assumptions'!L8</f>
        <v>7577.6776246023328</v>
      </c>
      <c r="N10" s="143">
        <f t="shared" si="0"/>
        <v>45466.065747614004</v>
      </c>
      <c r="O10" s="9" t="b">
        <f t="shared" si="1"/>
        <v>1</v>
      </c>
    </row>
    <row r="11" spans="1:17" ht="16">
      <c r="A11" s="70"/>
      <c r="B11" s="163"/>
      <c r="C11" s="162" t="s">
        <v>290</v>
      </c>
      <c r="D11" s="66" t="s">
        <v>285</v>
      </c>
      <c r="E11" s="3" t="s">
        <v>291</v>
      </c>
      <c r="F11" s="53" t="str">
        <f>'Notes and Assumptions'!A9</f>
        <v>A8</v>
      </c>
      <c r="G11" s="87">
        <f>'Notes and Assumptions'!F9</f>
        <v>121500</v>
      </c>
      <c r="H11" s="87">
        <f>'Notes and Assumptions'!G9</f>
        <v>121500</v>
      </c>
      <c r="I11" s="87">
        <f>'Notes and Assumptions'!H9</f>
        <v>0</v>
      </c>
      <c r="J11" s="87">
        <f>'Notes and Assumptions'!I9</f>
        <v>0</v>
      </c>
      <c r="K11" s="87">
        <f>'Notes and Assumptions'!J9</f>
        <v>0</v>
      </c>
      <c r="L11" s="87">
        <f>'Notes and Assumptions'!K9</f>
        <v>0</v>
      </c>
      <c r="M11" s="87">
        <f>'Notes and Assumptions'!L9</f>
        <v>0</v>
      </c>
      <c r="N11" s="143">
        <f t="shared" si="0"/>
        <v>121500</v>
      </c>
      <c r="O11" s="9" t="b">
        <f t="shared" si="1"/>
        <v>1</v>
      </c>
    </row>
    <row r="12" spans="1:17" ht="16">
      <c r="A12" s="70"/>
      <c r="B12" s="163"/>
      <c r="C12" s="163"/>
      <c r="D12" s="66" t="s">
        <v>285</v>
      </c>
      <c r="E12" s="3" t="s">
        <v>292</v>
      </c>
      <c r="F12" s="53" t="str">
        <f>'Notes and Assumptions'!A10</f>
        <v>A9</v>
      </c>
      <c r="G12" s="87">
        <f>'Notes and Assumptions'!F10</f>
        <v>42120</v>
      </c>
      <c r="H12" s="87">
        <f>'Notes and Assumptions'!G10</f>
        <v>42120</v>
      </c>
      <c r="I12" s="87">
        <f>'Notes and Assumptions'!H10</f>
        <v>0</v>
      </c>
      <c r="J12" s="87">
        <f>'Notes and Assumptions'!I10</f>
        <v>0</v>
      </c>
      <c r="K12" s="87">
        <f>'Notes and Assumptions'!J10</f>
        <v>0</v>
      </c>
      <c r="L12" s="87">
        <f>'Notes and Assumptions'!K10</f>
        <v>0</v>
      </c>
      <c r="M12" s="87">
        <f>'Notes and Assumptions'!L10</f>
        <v>0</v>
      </c>
      <c r="N12" s="143">
        <f t="shared" si="0"/>
        <v>42120</v>
      </c>
      <c r="O12" s="9" t="b">
        <f t="shared" si="1"/>
        <v>1</v>
      </c>
    </row>
    <row r="13" spans="1:17" ht="48">
      <c r="A13" s="70"/>
      <c r="B13" s="163"/>
      <c r="C13" s="164"/>
      <c r="D13" s="66" t="s">
        <v>285</v>
      </c>
      <c r="E13" s="3" t="s">
        <v>293</v>
      </c>
      <c r="F13" s="53" t="str">
        <f>'Notes and Assumptions'!A11</f>
        <v>A10</v>
      </c>
      <c r="G13" s="87">
        <f>'Notes and Assumptions'!F11</f>
        <v>3750</v>
      </c>
      <c r="H13" s="87">
        <f>'Notes and Assumptions'!G11</f>
        <v>3750</v>
      </c>
      <c r="I13" s="87">
        <f>'Notes and Assumptions'!H11</f>
        <v>0</v>
      </c>
      <c r="J13" s="87">
        <f>'Notes and Assumptions'!I11</f>
        <v>0</v>
      </c>
      <c r="K13" s="87">
        <f>'Notes and Assumptions'!J11</f>
        <v>0</v>
      </c>
      <c r="L13" s="87">
        <f>'Notes and Assumptions'!K11</f>
        <v>0</v>
      </c>
      <c r="M13" s="87">
        <f>'Notes and Assumptions'!L11</f>
        <v>0</v>
      </c>
      <c r="N13" s="143">
        <f t="shared" si="0"/>
        <v>3750</v>
      </c>
      <c r="O13" s="9" t="b">
        <f t="shared" si="1"/>
        <v>1</v>
      </c>
      <c r="P13" s="8"/>
      <c r="Q13" s="8"/>
    </row>
    <row r="14" spans="1:17" ht="60" customHeight="1">
      <c r="A14" s="11"/>
      <c r="B14" s="163"/>
      <c r="C14" s="165" t="s">
        <v>397</v>
      </c>
      <c r="D14" s="66" t="s">
        <v>285</v>
      </c>
      <c r="E14" s="3" t="s">
        <v>286</v>
      </c>
      <c r="F14" s="53" t="str">
        <f>'Notes and Assumptions'!A12</f>
        <v>A11</v>
      </c>
      <c r="G14" s="87">
        <f>'Notes and Assumptions'!F12</f>
        <v>401679.56</v>
      </c>
      <c r="H14" s="87">
        <f>'Notes and Assumptions'!G12</f>
        <v>200839.78</v>
      </c>
      <c r="I14" s="87">
        <f>'Notes and Assumptions'!H12</f>
        <v>200839.78</v>
      </c>
      <c r="J14" s="87">
        <f>'Notes and Assumptions'!I12</f>
        <v>0</v>
      </c>
      <c r="K14" s="87">
        <f>'Notes and Assumptions'!J12</f>
        <v>0</v>
      </c>
      <c r="L14" s="87">
        <f>'Notes and Assumptions'!K12</f>
        <v>0</v>
      </c>
      <c r="M14" s="87">
        <f>'Notes and Assumptions'!L12</f>
        <v>0</v>
      </c>
      <c r="N14" s="143">
        <f t="shared" ref="N14:N27" si="2">SUM(H14:M14)</f>
        <v>401679.56</v>
      </c>
      <c r="O14" s="9" t="b">
        <f t="shared" ref="O14:O27" si="3">G14=N14</f>
        <v>1</v>
      </c>
      <c r="Q14" s="8"/>
    </row>
    <row r="15" spans="1:17" ht="48">
      <c r="A15" s="11"/>
      <c r="B15" s="163"/>
      <c r="C15" s="166"/>
      <c r="D15" s="66" t="s">
        <v>287</v>
      </c>
      <c r="E15" s="3" t="s">
        <v>286</v>
      </c>
      <c r="F15" s="53" t="str">
        <f>'Notes and Assumptions'!A13</f>
        <v>A12</v>
      </c>
      <c r="G15" s="87">
        <f>'Notes and Assumptions'!F13</f>
        <v>4103.9501590668078</v>
      </c>
      <c r="H15" s="87">
        <f>'Notes and Assumptions'!G13</f>
        <v>2051.9750795334039</v>
      </c>
      <c r="I15" s="87">
        <f>'Notes and Assumptions'!H13</f>
        <v>2051.9750795334039</v>
      </c>
      <c r="J15" s="87">
        <f>'Notes and Assumptions'!I13</f>
        <v>0</v>
      </c>
      <c r="K15" s="87">
        <f>'Notes and Assumptions'!J13</f>
        <v>0</v>
      </c>
      <c r="L15" s="87">
        <f>'Notes and Assumptions'!K13</f>
        <v>0</v>
      </c>
      <c r="M15" s="87">
        <f>'Notes and Assumptions'!L13</f>
        <v>0</v>
      </c>
      <c r="N15" s="143">
        <f t="shared" si="2"/>
        <v>4103.9501590668078</v>
      </c>
      <c r="O15" s="9" t="b">
        <f t="shared" si="3"/>
        <v>1</v>
      </c>
      <c r="Q15" s="8"/>
    </row>
    <row r="16" spans="1:17" ht="48">
      <c r="A16" s="11"/>
      <c r="B16" s="163"/>
      <c r="C16" s="165" t="s">
        <v>393</v>
      </c>
      <c r="D16" s="66" t="s">
        <v>285</v>
      </c>
      <c r="E16" s="3" t="s">
        <v>286</v>
      </c>
      <c r="F16" s="53" t="str">
        <f>'Notes and Assumptions'!A14</f>
        <v>A13</v>
      </c>
      <c r="G16" s="87">
        <f>'Notes and Assumptions'!F14</f>
        <v>7462228.5259809112</v>
      </c>
      <c r="H16" s="87">
        <f>'Notes and Assumptions'!G14</f>
        <v>1243704.7543301519</v>
      </c>
      <c r="I16" s="87">
        <f>'Notes and Assumptions'!H14</f>
        <v>1243704.7543301519</v>
      </c>
      <c r="J16" s="87">
        <f>'Notes and Assumptions'!I14</f>
        <v>1243704.7543301519</v>
      </c>
      <c r="K16" s="87">
        <f>'Notes and Assumptions'!J14</f>
        <v>1243704.7543301519</v>
      </c>
      <c r="L16" s="87">
        <f>'Notes and Assumptions'!K14</f>
        <v>1243704.7543301519</v>
      </c>
      <c r="M16" s="87">
        <f>'Notes and Assumptions'!L14</f>
        <v>1243704.7543301519</v>
      </c>
      <c r="N16" s="143">
        <f t="shared" si="2"/>
        <v>7462228.5259809112</v>
      </c>
      <c r="O16" s="9" t="b">
        <f t="shared" si="3"/>
        <v>1</v>
      </c>
      <c r="Q16" s="8"/>
    </row>
    <row r="17" spans="1:17" ht="48">
      <c r="A17" s="11"/>
      <c r="B17" s="163"/>
      <c r="C17" s="167"/>
      <c r="D17" s="66" t="s">
        <v>287</v>
      </c>
      <c r="E17" s="3" t="s">
        <v>286</v>
      </c>
      <c r="F17" s="53" t="str">
        <f>'Notes and Assumptions'!A15</f>
        <v>A14</v>
      </c>
      <c r="G17" s="87">
        <f>'Notes and Assumptions'!F15</f>
        <v>82079.003181336157</v>
      </c>
      <c r="H17" s="87">
        <f>'Notes and Assumptions'!G15</f>
        <v>13679.833863556027</v>
      </c>
      <c r="I17" s="87">
        <f>'Notes and Assumptions'!H15</f>
        <v>13679.833863556027</v>
      </c>
      <c r="J17" s="87">
        <f>'Notes and Assumptions'!I15</f>
        <v>13679.833863556027</v>
      </c>
      <c r="K17" s="87">
        <f>'Notes and Assumptions'!J15</f>
        <v>13679.833863556027</v>
      </c>
      <c r="L17" s="87">
        <f>'Notes and Assumptions'!K15</f>
        <v>13679.833863556027</v>
      </c>
      <c r="M17" s="87">
        <f>'Notes and Assumptions'!L15</f>
        <v>13679.833863556027</v>
      </c>
      <c r="N17" s="143">
        <f t="shared" si="2"/>
        <v>82079.003181336157</v>
      </c>
      <c r="O17" s="9" t="b">
        <f t="shared" si="3"/>
        <v>1</v>
      </c>
      <c r="Q17" s="8"/>
    </row>
    <row r="18" spans="1:17" ht="48">
      <c r="A18" s="11"/>
      <c r="B18" s="163"/>
      <c r="C18" s="167"/>
      <c r="D18" s="66" t="s">
        <v>287</v>
      </c>
      <c r="E18" s="3" t="s">
        <v>286</v>
      </c>
      <c r="F18" s="53" t="str">
        <f>'Notes and Assumptions'!A16</f>
        <v>A15</v>
      </c>
      <c r="G18" s="87">
        <f>'Notes and Assumptions'!F16</f>
        <v>5392323.4358430542</v>
      </c>
      <c r="H18" s="87">
        <f>'Notes and Assumptions'!G16</f>
        <v>898720.572640509</v>
      </c>
      <c r="I18" s="87">
        <f>'Notes and Assumptions'!H16</f>
        <v>898720.572640509</v>
      </c>
      <c r="J18" s="87">
        <f>'Notes and Assumptions'!I16</f>
        <v>898720.572640509</v>
      </c>
      <c r="K18" s="87">
        <f>'Notes and Assumptions'!J16</f>
        <v>898720.572640509</v>
      </c>
      <c r="L18" s="87">
        <f>'Notes and Assumptions'!K16</f>
        <v>898720.572640509</v>
      </c>
      <c r="M18" s="87">
        <f>'Notes and Assumptions'!L16</f>
        <v>898720.572640509</v>
      </c>
      <c r="N18" s="143">
        <f t="shared" si="2"/>
        <v>5392323.4358430542</v>
      </c>
      <c r="O18" s="9" t="b">
        <f t="shared" si="3"/>
        <v>1</v>
      </c>
      <c r="Q18" s="8"/>
    </row>
    <row r="19" spans="1:17" ht="48">
      <c r="A19" s="11"/>
      <c r="B19" s="163"/>
      <c r="C19" s="166"/>
      <c r="D19" s="66" t="s">
        <v>287</v>
      </c>
      <c r="E19" s="3" t="s">
        <v>286</v>
      </c>
      <c r="F19" s="53" t="str">
        <f>'Notes and Assumptions'!A17</f>
        <v>A16</v>
      </c>
      <c r="G19" s="87">
        <f>'Notes and Assumptions'!F17</f>
        <v>48167.020148462354</v>
      </c>
      <c r="H19" s="87">
        <f>'Notes and Assumptions'!G17</f>
        <v>24083.510074231177</v>
      </c>
      <c r="I19" s="87">
        <f>'Notes and Assumptions'!H17</f>
        <v>24083.510074231177</v>
      </c>
      <c r="J19" s="87">
        <f>'Notes and Assumptions'!I17</f>
        <v>0</v>
      </c>
      <c r="K19" s="87">
        <f>'Notes and Assumptions'!J17</f>
        <v>0</v>
      </c>
      <c r="L19" s="87">
        <f>'Notes and Assumptions'!K17</f>
        <v>0</v>
      </c>
      <c r="M19" s="87">
        <f>'Notes and Assumptions'!L17</f>
        <v>0</v>
      </c>
      <c r="N19" s="143">
        <f t="shared" si="2"/>
        <v>48167.020148462354</v>
      </c>
      <c r="O19" s="9" t="b">
        <f t="shared" si="3"/>
        <v>1</v>
      </c>
    </row>
    <row r="20" spans="1:17" ht="48">
      <c r="A20" s="11"/>
      <c r="B20" s="163"/>
      <c r="C20" s="162" t="s">
        <v>410</v>
      </c>
      <c r="D20" s="66" t="s">
        <v>287</v>
      </c>
      <c r="E20" s="3" t="s">
        <v>286</v>
      </c>
      <c r="F20" s="53" t="str">
        <f>'Notes and Assumptions'!A18</f>
        <v>A17</v>
      </c>
      <c r="G20" s="87">
        <f>'Notes and Assumptions'!F18</f>
        <v>168538.8</v>
      </c>
      <c r="H20" s="87">
        <f>'Notes and Assumptions'!G18</f>
        <v>84269.4</v>
      </c>
      <c r="I20" s="87">
        <f>'Notes and Assumptions'!H18</f>
        <v>84269.4</v>
      </c>
      <c r="J20" s="87">
        <f>'Notes and Assumptions'!I18</f>
        <v>0</v>
      </c>
      <c r="K20" s="87">
        <f>'Notes and Assumptions'!J18</f>
        <v>0</v>
      </c>
      <c r="L20" s="87">
        <f>'Notes and Assumptions'!K18</f>
        <v>0</v>
      </c>
      <c r="M20" s="87">
        <f>'Notes and Assumptions'!L18</f>
        <v>0</v>
      </c>
      <c r="N20" s="143">
        <f t="shared" si="2"/>
        <v>168538.8</v>
      </c>
      <c r="O20" s="9" t="b">
        <f t="shared" si="3"/>
        <v>1</v>
      </c>
    </row>
    <row r="21" spans="1:17" ht="48">
      <c r="A21" s="11"/>
      <c r="B21" s="163"/>
      <c r="C21" s="163"/>
      <c r="D21" s="66" t="s">
        <v>287</v>
      </c>
      <c r="E21" s="3" t="s">
        <v>286</v>
      </c>
      <c r="F21" s="53" t="str">
        <f>'Notes and Assumptions'!A19</f>
        <v>A18</v>
      </c>
      <c r="G21" s="87">
        <f>'Notes and Assumptions'!F19</f>
        <v>1470.5196182396608</v>
      </c>
      <c r="H21" s="87">
        <f>'Notes and Assumptions'!G19</f>
        <v>1470.5196182396608</v>
      </c>
      <c r="I21" s="87">
        <f>'Notes and Assumptions'!H19</f>
        <v>0</v>
      </c>
      <c r="J21" s="87">
        <f>'Notes and Assumptions'!I19</f>
        <v>0</v>
      </c>
      <c r="K21" s="87">
        <f>'Notes and Assumptions'!J19</f>
        <v>0</v>
      </c>
      <c r="L21" s="87">
        <f>'Notes and Assumptions'!K19</f>
        <v>0</v>
      </c>
      <c r="M21" s="87">
        <f>'Notes and Assumptions'!L19</f>
        <v>0</v>
      </c>
      <c r="N21" s="143">
        <f t="shared" si="2"/>
        <v>1470.5196182396608</v>
      </c>
      <c r="O21" s="9" t="b">
        <f t="shared" si="3"/>
        <v>1</v>
      </c>
    </row>
    <row r="22" spans="1:17" ht="48">
      <c r="A22" s="11"/>
      <c r="B22" s="163"/>
      <c r="C22" s="164"/>
      <c r="D22" s="66" t="s">
        <v>285</v>
      </c>
      <c r="E22" s="3" t="s">
        <v>286</v>
      </c>
      <c r="F22" s="53" t="str">
        <f>'Notes and Assumptions'!A20</f>
        <v>A19</v>
      </c>
      <c r="G22" s="87">
        <f>'Notes and Assumptions'!F20</f>
        <v>11351.442205726402</v>
      </c>
      <c r="H22" s="87">
        <f>'Notes and Assumptions'!G20</f>
        <v>0</v>
      </c>
      <c r="I22" s="87">
        <f>'Notes and Assumptions'!H20</f>
        <v>11351.442205726402</v>
      </c>
      <c r="J22" s="87">
        <f>'Notes and Assumptions'!I20</f>
        <v>0</v>
      </c>
      <c r="K22" s="87">
        <f>'Notes and Assumptions'!J20</f>
        <v>0</v>
      </c>
      <c r="L22" s="87">
        <f>'Notes and Assumptions'!K20</f>
        <v>0</v>
      </c>
      <c r="M22" s="87">
        <f>'Notes and Assumptions'!L20</f>
        <v>0</v>
      </c>
      <c r="N22" s="143">
        <f t="shared" si="2"/>
        <v>11351.442205726402</v>
      </c>
      <c r="O22" s="9" t="b">
        <f t="shared" si="3"/>
        <v>1</v>
      </c>
    </row>
    <row r="23" spans="1:17" ht="48">
      <c r="A23" s="11"/>
      <c r="B23" s="163"/>
      <c r="C23" s="162" t="s">
        <v>411</v>
      </c>
      <c r="D23" s="66" t="s">
        <v>285</v>
      </c>
      <c r="E23" s="3" t="s">
        <v>286</v>
      </c>
      <c r="F23" s="53" t="str">
        <f>'Notes and Assumptions'!A21</f>
        <v>A20</v>
      </c>
      <c r="G23" s="87">
        <f>'Notes and Assumptions'!F21</f>
        <v>3341353.1283138921</v>
      </c>
      <c r="H23" s="87">
        <f>'Notes and Assumptions'!G21</f>
        <v>556892.18805231538</v>
      </c>
      <c r="I23" s="87">
        <f>'Notes and Assumptions'!H21</f>
        <v>556892.18805231538</v>
      </c>
      <c r="J23" s="87">
        <f>'Notes and Assumptions'!I21</f>
        <v>556892.18805231538</v>
      </c>
      <c r="K23" s="87">
        <f>'Notes and Assumptions'!J21</f>
        <v>556892.18805231538</v>
      </c>
      <c r="L23" s="87">
        <f>'Notes and Assumptions'!K21</f>
        <v>556892.18805231538</v>
      </c>
      <c r="M23" s="87">
        <f>'Notes and Assumptions'!L21</f>
        <v>556892.18805231538</v>
      </c>
      <c r="N23" s="143">
        <f t="shared" si="2"/>
        <v>3341353.1283138921</v>
      </c>
      <c r="O23" s="9" t="b">
        <f t="shared" si="3"/>
        <v>1</v>
      </c>
    </row>
    <row r="24" spans="1:17" ht="48">
      <c r="A24" s="11"/>
      <c r="B24" s="163"/>
      <c r="C24" s="163"/>
      <c r="D24" s="66" t="s">
        <v>287</v>
      </c>
      <c r="E24" s="3" t="s">
        <v>286</v>
      </c>
      <c r="F24" s="53" t="str">
        <f>'Notes and Assumptions'!A22</f>
        <v>A21</v>
      </c>
      <c r="G24" s="87">
        <f>'Notes and Assumptions'!F22</f>
        <v>29410.392364793213</v>
      </c>
      <c r="H24" s="87">
        <f>'Notes and Assumptions'!G22</f>
        <v>4901.7320607988686</v>
      </c>
      <c r="I24" s="87">
        <f>'Notes and Assumptions'!H22</f>
        <v>4901.7320607988686</v>
      </c>
      <c r="J24" s="87">
        <f>'Notes and Assumptions'!I22</f>
        <v>4901.7320607988686</v>
      </c>
      <c r="K24" s="87">
        <f>'Notes and Assumptions'!J22</f>
        <v>4901.7320607988686</v>
      </c>
      <c r="L24" s="87">
        <f>'Notes and Assumptions'!K22</f>
        <v>4901.7320607988686</v>
      </c>
      <c r="M24" s="87">
        <f>'Notes and Assumptions'!L22</f>
        <v>4901.7320607988686</v>
      </c>
      <c r="N24" s="143">
        <f t="shared" si="2"/>
        <v>29410.392364793213</v>
      </c>
      <c r="O24" s="9" t="b">
        <f t="shared" si="3"/>
        <v>1</v>
      </c>
    </row>
    <row r="25" spans="1:17" ht="48">
      <c r="A25" s="11"/>
      <c r="B25" s="163"/>
      <c r="C25" s="163"/>
      <c r="D25" s="66" t="s">
        <v>287</v>
      </c>
      <c r="E25" s="3" t="s">
        <v>286</v>
      </c>
      <c r="F25" s="53" t="str">
        <f>'Notes and Assumptions'!A23</f>
        <v>A22</v>
      </c>
      <c r="G25" s="87">
        <f>'Notes and Assumptions'!F23</f>
        <v>928504.77200424182</v>
      </c>
      <c r="H25" s="87">
        <f>'Notes and Assumptions'!G23</f>
        <v>154750.7953340403</v>
      </c>
      <c r="I25" s="87">
        <f>'Notes and Assumptions'!H23</f>
        <v>154750.7953340403</v>
      </c>
      <c r="J25" s="87">
        <f>'Notes and Assumptions'!I23</f>
        <v>154750.7953340403</v>
      </c>
      <c r="K25" s="87">
        <f>'Notes and Assumptions'!J23</f>
        <v>154750.7953340403</v>
      </c>
      <c r="L25" s="87">
        <f>'Notes and Assumptions'!K23</f>
        <v>154750.7953340403</v>
      </c>
      <c r="M25" s="87">
        <f>'Notes and Assumptions'!L23</f>
        <v>154750.7953340403</v>
      </c>
      <c r="N25" s="143">
        <f t="shared" si="2"/>
        <v>928504.77200424182</v>
      </c>
      <c r="O25" s="9" t="b">
        <f t="shared" si="3"/>
        <v>1</v>
      </c>
    </row>
    <row r="26" spans="1:17" ht="48">
      <c r="A26" s="11"/>
      <c r="B26" s="163"/>
      <c r="C26" s="163"/>
      <c r="D26" s="66" t="s">
        <v>287</v>
      </c>
      <c r="E26" s="3" t="s">
        <v>286</v>
      </c>
      <c r="F26" s="53" t="str">
        <f>'Notes and Assumptions'!A24</f>
        <v>A23</v>
      </c>
      <c r="G26" s="87">
        <f>'Notes and Assumptions'!F24</f>
        <v>1500.5302226935314</v>
      </c>
      <c r="H26" s="87">
        <f>'Notes and Assumptions'!G24</f>
        <v>1500.5302226935314</v>
      </c>
      <c r="I26" s="87">
        <f>'Notes and Assumptions'!H24</f>
        <v>0</v>
      </c>
      <c r="J26" s="87">
        <f>'Notes and Assumptions'!I24</f>
        <v>0</v>
      </c>
      <c r="K26" s="87">
        <f>'Notes and Assumptions'!J24</f>
        <v>0</v>
      </c>
      <c r="L26" s="87">
        <f>'Notes and Assumptions'!K24</f>
        <v>0</v>
      </c>
      <c r="M26" s="87">
        <f>'Notes and Assumptions'!L24</f>
        <v>0</v>
      </c>
      <c r="N26" s="143">
        <f t="shared" si="2"/>
        <v>1500.5302226935314</v>
      </c>
      <c r="O26" s="9" t="b">
        <f t="shared" si="3"/>
        <v>1</v>
      </c>
    </row>
    <row r="27" spans="1:17" ht="48">
      <c r="A27" s="11"/>
      <c r="B27" s="164"/>
      <c r="C27" s="164"/>
      <c r="D27" s="66" t="s">
        <v>285</v>
      </c>
      <c r="E27" s="3" t="s">
        <v>286</v>
      </c>
      <c r="F27" s="53" t="str">
        <f>'Notes and Assumptions'!A25</f>
        <v>A24</v>
      </c>
      <c r="G27" s="87">
        <f>'Notes and Assumptions'!F25</f>
        <v>227028.84411452801</v>
      </c>
      <c r="H27" s="87">
        <f>'Notes and Assumptions'!G25</f>
        <v>0</v>
      </c>
      <c r="I27" s="87">
        <f>'Notes and Assumptions'!H25</f>
        <v>113514.422057264</v>
      </c>
      <c r="J27" s="87">
        <f>'Notes and Assumptions'!I25</f>
        <v>113514.422057264</v>
      </c>
      <c r="K27" s="87">
        <f>'Notes and Assumptions'!J25</f>
        <v>0</v>
      </c>
      <c r="L27" s="87">
        <f>'Notes and Assumptions'!K25</f>
        <v>0</v>
      </c>
      <c r="M27" s="87">
        <f>'Notes and Assumptions'!L25</f>
        <v>0</v>
      </c>
      <c r="N27" s="143">
        <f t="shared" si="2"/>
        <v>227028.84411452801</v>
      </c>
      <c r="O27" s="9" t="b">
        <f t="shared" si="3"/>
        <v>1</v>
      </c>
      <c r="P27" s="8"/>
    </row>
    <row r="28" spans="1:17" ht="48">
      <c r="A28" s="11"/>
      <c r="B28" s="116" t="s">
        <v>294</v>
      </c>
      <c r="C28" s="79" t="s">
        <v>295</v>
      </c>
      <c r="D28" s="66" t="s">
        <v>285</v>
      </c>
      <c r="E28" s="3" t="s">
        <v>286</v>
      </c>
      <c r="F28" s="53" t="str">
        <f>'Notes and Assumptions'!A26</f>
        <v>A25</v>
      </c>
      <c r="G28" s="87">
        <f>'Notes and Assumptions'!F26</f>
        <v>179831.25</v>
      </c>
      <c r="H28" s="87">
        <f>'Notes and Assumptions'!G26</f>
        <v>89915.625</v>
      </c>
      <c r="I28" s="87">
        <f>'Notes and Assumptions'!H26</f>
        <v>89915.625</v>
      </c>
      <c r="J28" s="87">
        <f>'Notes and Assumptions'!I26</f>
        <v>0</v>
      </c>
      <c r="K28" s="87">
        <f>'Notes and Assumptions'!J26</f>
        <v>0</v>
      </c>
      <c r="L28" s="87">
        <f>'Notes and Assumptions'!K26</f>
        <v>0</v>
      </c>
      <c r="M28" s="87">
        <f>'Notes and Assumptions'!L26</f>
        <v>0</v>
      </c>
      <c r="N28" s="143">
        <f t="shared" si="0"/>
        <v>179831.25</v>
      </c>
      <c r="O28" s="9" t="b">
        <f t="shared" si="1"/>
        <v>1</v>
      </c>
    </row>
    <row r="29" spans="1:17" ht="48">
      <c r="A29" s="11"/>
      <c r="B29" s="117"/>
      <c r="C29" s="162" t="s">
        <v>296</v>
      </c>
      <c r="D29" s="66" t="s">
        <v>285</v>
      </c>
      <c r="E29" s="3" t="s">
        <v>286</v>
      </c>
      <c r="F29" s="53" t="str">
        <f>'Notes and Assumptions'!A27</f>
        <v>A26</v>
      </c>
      <c r="G29" s="87">
        <f>'Notes and Assumptions'!F27</f>
        <v>1198875</v>
      </c>
      <c r="H29" s="87">
        <f>'Notes and Assumptions'!G27</f>
        <v>199812.5</v>
      </c>
      <c r="I29" s="87">
        <f>'Notes and Assumptions'!H27</f>
        <v>199812.5</v>
      </c>
      <c r="J29" s="87">
        <f>'Notes and Assumptions'!I27</f>
        <v>199812.5</v>
      </c>
      <c r="K29" s="87">
        <f>'Notes and Assumptions'!J27</f>
        <v>199812.5</v>
      </c>
      <c r="L29" s="87">
        <f>'Notes and Assumptions'!K27</f>
        <v>199812.5</v>
      </c>
      <c r="M29" s="87">
        <f>'Notes and Assumptions'!L27</f>
        <v>199812.5</v>
      </c>
      <c r="N29" s="143">
        <f t="shared" si="0"/>
        <v>1198875</v>
      </c>
      <c r="O29" s="9" t="b">
        <f t="shared" si="1"/>
        <v>1</v>
      </c>
    </row>
    <row r="30" spans="1:17" ht="48">
      <c r="A30" s="11"/>
      <c r="B30" s="117"/>
      <c r="C30" s="164"/>
      <c r="D30" s="66" t="s">
        <v>287</v>
      </c>
      <c r="E30" s="3" t="s">
        <v>286</v>
      </c>
      <c r="F30" s="53" t="str">
        <f>'Notes and Assumptions'!A28</f>
        <v>A27</v>
      </c>
      <c r="G30" s="87">
        <f>'Notes and Assumptions'!F28</f>
        <v>399625</v>
      </c>
      <c r="H30" s="87">
        <f>'Notes and Assumptions'!G28</f>
        <v>66604.166666666672</v>
      </c>
      <c r="I30" s="87">
        <f>'Notes and Assumptions'!H28</f>
        <v>66604.166666666672</v>
      </c>
      <c r="J30" s="87">
        <f>'Notes and Assumptions'!I28</f>
        <v>66604.166666666672</v>
      </c>
      <c r="K30" s="87">
        <f>'Notes and Assumptions'!J28</f>
        <v>66604.166666666672</v>
      </c>
      <c r="L30" s="87">
        <f>'Notes and Assumptions'!K28</f>
        <v>66604.166666666672</v>
      </c>
      <c r="M30" s="87">
        <f>'Notes and Assumptions'!L28</f>
        <v>66604.166666666672</v>
      </c>
      <c r="N30" s="143">
        <f t="shared" si="0"/>
        <v>399625.00000000006</v>
      </c>
      <c r="O30" s="9" t="b">
        <f t="shared" si="1"/>
        <v>1</v>
      </c>
    </row>
    <row r="31" spans="1:17" ht="48">
      <c r="A31" s="11"/>
      <c r="B31" s="117"/>
      <c r="C31" s="116" t="s">
        <v>297</v>
      </c>
      <c r="D31" s="66" t="s">
        <v>285</v>
      </c>
      <c r="E31" s="3" t="s">
        <v>286</v>
      </c>
      <c r="F31" s="53" t="str">
        <f>'Notes and Assumptions'!A29</f>
        <v>A28</v>
      </c>
      <c r="G31" s="87">
        <f>'Notes and Assumptions'!F29</f>
        <v>453100</v>
      </c>
      <c r="H31" s="87">
        <f>'Notes and Assumptions'!G29</f>
        <v>75516.666666666672</v>
      </c>
      <c r="I31" s="87">
        <f>'Notes and Assumptions'!H29</f>
        <v>75516.666666666672</v>
      </c>
      <c r="J31" s="87">
        <f>'Notes and Assumptions'!I29</f>
        <v>75516.666666666672</v>
      </c>
      <c r="K31" s="87">
        <f>'Notes and Assumptions'!J29</f>
        <v>75516.666666666672</v>
      </c>
      <c r="L31" s="87">
        <f>'Notes and Assumptions'!K29</f>
        <v>75516.666666666672</v>
      </c>
      <c r="M31" s="87">
        <f>'Notes and Assumptions'!L29</f>
        <v>75516.666666666672</v>
      </c>
      <c r="N31" s="143">
        <f t="shared" si="0"/>
        <v>453100.00000000006</v>
      </c>
      <c r="O31" s="9" t="b">
        <f t="shared" si="1"/>
        <v>1</v>
      </c>
    </row>
    <row r="32" spans="1:17" ht="48">
      <c r="A32" s="11"/>
      <c r="B32" s="117"/>
      <c r="C32" s="162" t="s">
        <v>298</v>
      </c>
      <c r="D32" s="66" t="s">
        <v>285</v>
      </c>
      <c r="E32" s="3" t="s">
        <v>293</v>
      </c>
      <c r="F32" s="53" t="str">
        <f>'Notes and Assumptions'!A30</f>
        <v>A29</v>
      </c>
      <c r="G32" s="87">
        <f>'Notes and Assumptions'!F30</f>
        <v>18750</v>
      </c>
      <c r="H32" s="87">
        <f>'Notes and Assumptions'!G30</f>
        <v>0</v>
      </c>
      <c r="I32" s="87">
        <f>'Notes and Assumptions'!H30</f>
        <v>18750</v>
      </c>
      <c r="J32" s="87">
        <f>'Notes and Assumptions'!I30</f>
        <v>0</v>
      </c>
      <c r="K32" s="87">
        <f>'Notes and Assumptions'!J30</f>
        <v>0</v>
      </c>
      <c r="L32" s="87">
        <f>'Notes and Assumptions'!K30</f>
        <v>0</v>
      </c>
      <c r="M32" s="87">
        <f>'Notes and Assumptions'!L30</f>
        <v>0</v>
      </c>
      <c r="N32" s="143">
        <f t="shared" si="0"/>
        <v>18750</v>
      </c>
      <c r="O32" s="9" t="b">
        <f t="shared" si="1"/>
        <v>1</v>
      </c>
    </row>
    <row r="33" spans="1:15" ht="16">
      <c r="A33" s="11"/>
      <c r="B33" s="117"/>
      <c r="C33" s="163"/>
      <c r="D33" s="66" t="s">
        <v>285</v>
      </c>
      <c r="E33" s="3" t="s">
        <v>291</v>
      </c>
      <c r="F33" s="53" t="str">
        <f>'Notes and Assumptions'!A31</f>
        <v>A30</v>
      </c>
      <c r="G33" s="87">
        <f>'Notes and Assumptions'!F31</f>
        <v>11250</v>
      </c>
      <c r="H33" s="87">
        <f>'Notes and Assumptions'!G31</f>
        <v>0</v>
      </c>
      <c r="I33" s="87">
        <f>'Notes and Assumptions'!H31</f>
        <v>11250</v>
      </c>
      <c r="J33" s="87">
        <f>'Notes and Assumptions'!I31</f>
        <v>0</v>
      </c>
      <c r="K33" s="87">
        <f>'Notes and Assumptions'!J31</f>
        <v>0</v>
      </c>
      <c r="L33" s="87">
        <f>'Notes and Assumptions'!K31</f>
        <v>0</v>
      </c>
      <c r="M33" s="87">
        <f>'Notes and Assumptions'!L31</f>
        <v>0</v>
      </c>
      <c r="N33" s="143">
        <f t="shared" si="0"/>
        <v>11250</v>
      </c>
      <c r="O33" s="9" t="b">
        <f t="shared" si="1"/>
        <v>1</v>
      </c>
    </row>
    <row r="34" spans="1:15" ht="16">
      <c r="A34" s="11"/>
      <c r="B34" s="118"/>
      <c r="C34" s="164"/>
      <c r="D34" s="66" t="s">
        <v>285</v>
      </c>
      <c r="E34" s="3" t="s">
        <v>292</v>
      </c>
      <c r="F34" s="53" t="str">
        <f>'Notes and Assumptions'!A32</f>
        <v>A31</v>
      </c>
      <c r="G34" s="87">
        <f>'Notes and Assumptions'!F32</f>
        <v>3900</v>
      </c>
      <c r="H34" s="87">
        <f>'Notes and Assumptions'!G32</f>
        <v>0</v>
      </c>
      <c r="I34" s="87">
        <f>'Notes and Assumptions'!H32</f>
        <v>3900</v>
      </c>
      <c r="J34" s="87">
        <f>'Notes and Assumptions'!I32</f>
        <v>0</v>
      </c>
      <c r="K34" s="87">
        <f>'Notes and Assumptions'!J32</f>
        <v>0</v>
      </c>
      <c r="L34" s="87">
        <f>'Notes and Assumptions'!K32</f>
        <v>0</v>
      </c>
      <c r="M34" s="87">
        <f>'Notes and Assumptions'!L32</f>
        <v>0</v>
      </c>
      <c r="N34" s="143">
        <f t="shared" si="0"/>
        <v>3900</v>
      </c>
      <c r="O34" s="9" t="b">
        <f t="shared" si="1"/>
        <v>1</v>
      </c>
    </row>
    <row r="35" spans="1:15" ht="48">
      <c r="A35" s="11"/>
      <c r="B35" s="116" t="s">
        <v>299</v>
      </c>
      <c r="C35" s="79" t="s">
        <v>300</v>
      </c>
      <c r="D35" s="66" t="s">
        <v>285</v>
      </c>
      <c r="E35" s="3" t="s">
        <v>286</v>
      </c>
      <c r="F35" s="53" t="str">
        <f>'Notes and Assumptions'!A33</f>
        <v>A32</v>
      </c>
      <c r="G35" s="87">
        <f>'Notes and Assumptions'!F33</f>
        <v>489320.55</v>
      </c>
      <c r="H35" s="87">
        <f>'Notes and Assumptions'!G33</f>
        <v>489320.55</v>
      </c>
      <c r="I35" s="87">
        <f>'Notes and Assumptions'!H33</f>
        <v>0</v>
      </c>
      <c r="J35" s="87">
        <f>'Notes and Assumptions'!I33</f>
        <v>0</v>
      </c>
      <c r="K35" s="87">
        <f>'Notes and Assumptions'!J33</f>
        <v>0</v>
      </c>
      <c r="L35" s="87">
        <f>'Notes and Assumptions'!K33</f>
        <v>0</v>
      </c>
      <c r="M35" s="87">
        <f>'Notes and Assumptions'!L33</f>
        <v>0</v>
      </c>
      <c r="N35" s="143">
        <f t="shared" si="0"/>
        <v>489320.55</v>
      </c>
      <c r="O35" s="9" t="b">
        <f t="shared" si="1"/>
        <v>1</v>
      </c>
    </row>
    <row r="36" spans="1:15" ht="48">
      <c r="A36" s="11"/>
      <c r="B36" s="117"/>
      <c r="C36" s="162" t="s">
        <v>301</v>
      </c>
      <c r="D36" s="66" t="s">
        <v>285</v>
      </c>
      <c r="E36" s="3" t="s">
        <v>286</v>
      </c>
      <c r="F36" s="53" t="str">
        <f>'Notes and Assumptions'!A34</f>
        <v>A33</v>
      </c>
      <c r="G36" s="87">
        <f>'Notes and Assumptions'!F34</f>
        <v>2267223</v>
      </c>
      <c r="H36" s="87">
        <f>'Notes and Assumptions'!G34</f>
        <v>0</v>
      </c>
      <c r="I36" s="87">
        <f>'Notes and Assumptions'!H34</f>
        <v>2267223</v>
      </c>
      <c r="J36" s="87">
        <f>'Notes and Assumptions'!I34</f>
        <v>0</v>
      </c>
      <c r="K36" s="87">
        <f>'Notes and Assumptions'!J34</f>
        <v>0</v>
      </c>
      <c r="L36" s="87">
        <f>'Notes and Assumptions'!K34</f>
        <v>0</v>
      </c>
      <c r="M36" s="87">
        <f>'Notes and Assumptions'!L34</f>
        <v>0</v>
      </c>
      <c r="N36" s="143">
        <f t="shared" si="0"/>
        <v>2267223</v>
      </c>
      <c r="O36" s="9" t="b">
        <f t="shared" si="1"/>
        <v>1</v>
      </c>
    </row>
    <row r="37" spans="1:15" ht="48">
      <c r="A37" s="11"/>
      <c r="B37" s="117"/>
      <c r="C37" s="163"/>
      <c r="D37" s="66" t="s">
        <v>287</v>
      </c>
      <c r="E37" s="3" t="s">
        <v>286</v>
      </c>
      <c r="F37" s="53" t="str">
        <f>'Notes and Assumptions'!A35</f>
        <v>A34</v>
      </c>
      <c r="G37" s="87">
        <f>'Notes and Assumptions'!F35</f>
        <v>994914</v>
      </c>
      <c r="H37" s="87">
        <f>'Notes and Assumptions'!G35</f>
        <v>0</v>
      </c>
      <c r="I37" s="87">
        <f>'Notes and Assumptions'!H35</f>
        <v>994914</v>
      </c>
      <c r="J37" s="87">
        <f>'Notes and Assumptions'!I35</f>
        <v>0</v>
      </c>
      <c r="K37" s="87">
        <f>'Notes and Assumptions'!J35</f>
        <v>0</v>
      </c>
      <c r="L37" s="87">
        <f>'Notes and Assumptions'!K35</f>
        <v>0</v>
      </c>
      <c r="M37" s="87">
        <f>'Notes and Assumptions'!L35</f>
        <v>0</v>
      </c>
      <c r="N37" s="143">
        <f t="shared" si="0"/>
        <v>994914</v>
      </c>
      <c r="O37" s="9" t="b">
        <f t="shared" si="1"/>
        <v>1</v>
      </c>
    </row>
    <row r="38" spans="1:15" ht="16">
      <c r="A38" s="11"/>
      <c r="B38" s="117"/>
      <c r="C38" s="163"/>
      <c r="D38" s="66" t="s">
        <v>285</v>
      </c>
      <c r="E38" s="3" t="s">
        <v>302</v>
      </c>
      <c r="F38" s="53" t="str">
        <f>'Notes and Assumptions'!A36</f>
        <v>A35</v>
      </c>
      <c r="G38" s="87">
        <f>'Notes and Assumptions'!F36</f>
        <v>639609.75609756098</v>
      </c>
      <c r="H38" s="87">
        <f>'Notes and Assumptions'!G36</f>
        <v>0</v>
      </c>
      <c r="I38" s="87">
        <f>'Notes and Assumptions'!H36</f>
        <v>0</v>
      </c>
      <c r="J38" s="87">
        <f>'Notes and Assumptions'!I36</f>
        <v>0</v>
      </c>
      <c r="K38" s="87">
        <f>'Notes and Assumptions'!J36</f>
        <v>213203.25203252034</v>
      </c>
      <c r="L38" s="87">
        <f>'Notes and Assumptions'!K36</f>
        <v>213203.25203252034</v>
      </c>
      <c r="M38" s="87">
        <f>'Notes and Assumptions'!L36</f>
        <v>213203.25203252034</v>
      </c>
      <c r="N38" s="143">
        <f t="shared" si="0"/>
        <v>639609.75609756098</v>
      </c>
      <c r="O38" s="9" t="b">
        <f t="shared" si="1"/>
        <v>1</v>
      </c>
    </row>
    <row r="39" spans="1:15" ht="16">
      <c r="A39" s="11"/>
      <c r="B39" s="117"/>
      <c r="C39" s="164"/>
      <c r="D39" s="66" t="s">
        <v>285</v>
      </c>
      <c r="E39" s="3" t="s">
        <v>302</v>
      </c>
      <c r="F39" s="53" t="str">
        <f>'Notes and Assumptions'!A37</f>
        <v>A36</v>
      </c>
      <c r="G39" s="87">
        <f>'Notes and Assumptions'!F37</f>
        <v>6602.3329798515369</v>
      </c>
      <c r="H39" s="87">
        <f>'Notes and Assumptions'!G37</f>
        <v>0</v>
      </c>
      <c r="I39" s="87">
        <f>'Notes and Assumptions'!H37</f>
        <v>6602.3329798515369</v>
      </c>
      <c r="J39" s="87">
        <f>'Notes and Assumptions'!I37</f>
        <v>0</v>
      </c>
      <c r="K39" s="87">
        <f>'Notes and Assumptions'!J37</f>
        <v>0</v>
      </c>
      <c r="L39" s="87">
        <f>'Notes and Assumptions'!K37</f>
        <v>0</v>
      </c>
      <c r="M39" s="87">
        <f>'Notes and Assumptions'!L37</f>
        <v>0</v>
      </c>
      <c r="N39" s="143">
        <f t="shared" si="0"/>
        <v>6602.3329798515369</v>
      </c>
      <c r="O39" s="9" t="b">
        <f t="shared" si="1"/>
        <v>1</v>
      </c>
    </row>
    <row r="40" spans="1:15" ht="48">
      <c r="A40" s="11"/>
      <c r="B40" s="117"/>
      <c r="C40" s="162" t="s">
        <v>303</v>
      </c>
      <c r="D40" s="66" t="s">
        <v>285</v>
      </c>
      <c r="E40" s="3" t="s">
        <v>293</v>
      </c>
      <c r="F40" s="53" t="str">
        <f>'Notes and Assumptions'!A38</f>
        <v>A37</v>
      </c>
      <c r="G40" s="87">
        <f>'Notes and Assumptions'!F38</f>
        <v>3750</v>
      </c>
      <c r="H40" s="87">
        <f>'Notes and Assumptions'!G38</f>
        <v>3750</v>
      </c>
      <c r="I40" s="87">
        <f>'Notes and Assumptions'!H38</f>
        <v>0</v>
      </c>
      <c r="J40" s="87">
        <f>'Notes and Assumptions'!I38</f>
        <v>0</v>
      </c>
      <c r="K40" s="87">
        <f>'Notes and Assumptions'!J38</f>
        <v>0</v>
      </c>
      <c r="L40" s="87">
        <f>'Notes and Assumptions'!K38</f>
        <v>0</v>
      </c>
      <c r="M40" s="87">
        <f>'Notes and Assumptions'!L38</f>
        <v>0</v>
      </c>
      <c r="N40" s="143">
        <f t="shared" si="0"/>
        <v>3750</v>
      </c>
      <c r="O40" s="9" t="b">
        <f t="shared" si="1"/>
        <v>1</v>
      </c>
    </row>
    <row r="41" spans="1:15" ht="32">
      <c r="A41" s="11"/>
      <c r="B41" s="117"/>
      <c r="C41" s="163"/>
      <c r="D41" s="66" t="s">
        <v>285</v>
      </c>
      <c r="E41" s="3" t="s">
        <v>288</v>
      </c>
      <c r="F41" s="53" t="str">
        <f>'Notes and Assumptions'!A39</f>
        <v>A38</v>
      </c>
      <c r="G41" s="87">
        <f>'Notes and Assumptions'!F39</f>
        <v>11250</v>
      </c>
      <c r="H41" s="87">
        <f>'Notes and Assumptions'!G39</f>
        <v>11250</v>
      </c>
      <c r="I41" s="87">
        <f>'Notes and Assumptions'!H39</f>
        <v>0</v>
      </c>
      <c r="J41" s="87">
        <f>'Notes and Assumptions'!I39</f>
        <v>0</v>
      </c>
      <c r="K41" s="87">
        <f>'Notes and Assumptions'!J39</f>
        <v>0</v>
      </c>
      <c r="L41" s="87">
        <f>'Notes and Assumptions'!K39</f>
        <v>0</v>
      </c>
      <c r="M41" s="87">
        <f>'Notes and Assumptions'!L39</f>
        <v>0</v>
      </c>
      <c r="N41" s="143">
        <f t="shared" si="0"/>
        <v>11250</v>
      </c>
      <c r="O41" s="9" t="b">
        <f t="shared" si="1"/>
        <v>1</v>
      </c>
    </row>
    <row r="42" spans="1:15" ht="16">
      <c r="A42" s="11"/>
      <c r="B42" s="117"/>
      <c r="C42" s="163"/>
      <c r="D42" s="66" t="s">
        <v>285</v>
      </c>
      <c r="E42" s="3" t="s">
        <v>292</v>
      </c>
      <c r="F42" s="53" t="str">
        <f>'Notes and Assumptions'!A40</f>
        <v>A39</v>
      </c>
      <c r="G42" s="87">
        <f>'Notes and Assumptions'!F40</f>
        <v>2340</v>
      </c>
      <c r="H42" s="87">
        <f>'Notes and Assumptions'!G40</f>
        <v>2340</v>
      </c>
      <c r="I42" s="87">
        <f>'Notes and Assumptions'!H40</f>
        <v>0</v>
      </c>
      <c r="J42" s="87">
        <f>'Notes and Assumptions'!I40</f>
        <v>0</v>
      </c>
      <c r="K42" s="87">
        <f>'Notes and Assumptions'!J40</f>
        <v>0</v>
      </c>
      <c r="L42" s="87">
        <f>'Notes and Assumptions'!K40</f>
        <v>0</v>
      </c>
      <c r="M42" s="87">
        <f>'Notes and Assumptions'!L40</f>
        <v>0</v>
      </c>
      <c r="N42" s="143">
        <f t="shared" si="0"/>
        <v>2340</v>
      </c>
      <c r="O42" s="9" t="b">
        <f t="shared" si="1"/>
        <v>1</v>
      </c>
    </row>
    <row r="43" spans="1:15" ht="16">
      <c r="A43" s="11"/>
      <c r="B43" s="117"/>
      <c r="C43" s="163"/>
      <c r="D43" s="66" t="s">
        <v>285</v>
      </c>
      <c r="E43" s="3" t="s">
        <v>292</v>
      </c>
      <c r="F43" s="53" t="str">
        <f>'Notes and Assumptions'!A41</f>
        <v>A40</v>
      </c>
      <c r="G43" s="87">
        <f>'Notes and Assumptions'!F41</f>
        <v>3000</v>
      </c>
      <c r="H43" s="87">
        <f>'Notes and Assumptions'!G41</f>
        <v>3000</v>
      </c>
      <c r="I43" s="87">
        <f>'Notes and Assumptions'!H41</f>
        <v>0</v>
      </c>
      <c r="J43" s="87">
        <f>'Notes and Assumptions'!I41</f>
        <v>0</v>
      </c>
      <c r="K43" s="87">
        <f>'Notes and Assumptions'!J41</f>
        <v>0</v>
      </c>
      <c r="L43" s="87">
        <f>'Notes and Assumptions'!K41</f>
        <v>0</v>
      </c>
      <c r="M43" s="87">
        <f>'Notes and Assumptions'!L41</f>
        <v>0</v>
      </c>
      <c r="N43" s="143">
        <f t="shared" si="0"/>
        <v>3000</v>
      </c>
      <c r="O43" s="9" t="b">
        <f t="shared" si="1"/>
        <v>1</v>
      </c>
    </row>
    <row r="44" spans="1:15" ht="16">
      <c r="A44" s="11"/>
      <c r="B44" s="117"/>
      <c r="C44" s="163"/>
      <c r="D44" s="66" t="s">
        <v>285</v>
      </c>
      <c r="E44" s="3" t="s">
        <v>291</v>
      </c>
      <c r="F44" s="53" t="str">
        <f>'Notes and Assumptions'!A42</f>
        <v>A41</v>
      </c>
      <c r="G44" s="87">
        <f>'Notes and Assumptions'!F42</f>
        <v>9000</v>
      </c>
      <c r="H44" s="87">
        <f>'Notes and Assumptions'!G42</f>
        <v>9000</v>
      </c>
      <c r="I44" s="87">
        <f>'Notes and Assumptions'!H42</f>
        <v>0</v>
      </c>
      <c r="J44" s="87">
        <f>'Notes and Assumptions'!I42</f>
        <v>0</v>
      </c>
      <c r="K44" s="87">
        <f>'Notes and Assumptions'!J42</f>
        <v>0</v>
      </c>
      <c r="L44" s="87">
        <f>'Notes and Assumptions'!K42</f>
        <v>0</v>
      </c>
      <c r="M44" s="87">
        <f>'Notes and Assumptions'!L42</f>
        <v>0</v>
      </c>
      <c r="N44" s="143">
        <f t="shared" si="0"/>
        <v>9000</v>
      </c>
      <c r="O44" s="9" t="b">
        <f t="shared" si="1"/>
        <v>1</v>
      </c>
    </row>
    <row r="45" spans="1:15" ht="16">
      <c r="A45" s="11"/>
      <c r="B45" s="117"/>
      <c r="C45" s="164"/>
      <c r="D45" s="66" t="s">
        <v>285</v>
      </c>
      <c r="E45" s="3" t="s">
        <v>292</v>
      </c>
      <c r="F45" s="53" t="str">
        <f>'Notes and Assumptions'!A43</f>
        <v>A42</v>
      </c>
      <c r="G45" s="87">
        <f>'Notes and Assumptions'!F43</f>
        <v>3120</v>
      </c>
      <c r="H45" s="87">
        <f>'Notes and Assumptions'!G43</f>
        <v>3120</v>
      </c>
      <c r="I45" s="87">
        <f>'Notes and Assumptions'!H43</f>
        <v>0</v>
      </c>
      <c r="J45" s="87">
        <f>'Notes and Assumptions'!I43</f>
        <v>0</v>
      </c>
      <c r="K45" s="87">
        <f>'Notes and Assumptions'!J43</f>
        <v>0</v>
      </c>
      <c r="L45" s="87">
        <f>'Notes and Assumptions'!K43</f>
        <v>0</v>
      </c>
      <c r="M45" s="87">
        <f>'Notes and Assumptions'!L43</f>
        <v>0</v>
      </c>
      <c r="N45" s="143">
        <f t="shared" si="0"/>
        <v>3120</v>
      </c>
      <c r="O45" s="9" t="b">
        <f t="shared" si="1"/>
        <v>1</v>
      </c>
    </row>
    <row r="46" spans="1:15" ht="48">
      <c r="A46" s="11"/>
      <c r="B46" s="117"/>
      <c r="C46" s="162" t="s">
        <v>304</v>
      </c>
      <c r="D46" s="66" t="s">
        <v>285</v>
      </c>
      <c r="E46" s="3" t="s">
        <v>293</v>
      </c>
      <c r="F46" s="53" t="str">
        <f>'Notes and Assumptions'!A44</f>
        <v>A43</v>
      </c>
      <c r="G46" s="87">
        <f>'Notes and Assumptions'!F44</f>
        <v>3750</v>
      </c>
      <c r="H46" s="87">
        <f>'Notes and Assumptions'!G44</f>
        <v>3750</v>
      </c>
      <c r="I46" s="87">
        <f>'Notes and Assumptions'!H44</f>
        <v>0</v>
      </c>
      <c r="J46" s="87">
        <f>'Notes and Assumptions'!I44</f>
        <v>0</v>
      </c>
      <c r="K46" s="87">
        <f>'Notes and Assumptions'!J44</f>
        <v>0</v>
      </c>
      <c r="L46" s="87">
        <f>'Notes and Assumptions'!K44</f>
        <v>0</v>
      </c>
      <c r="M46" s="87">
        <f>'Notes and Assumptions'!L44</f>
        <v>0</v>
      </c>
      <c r="N46" s="143">
        <f t="shared" si="0"/>
        <v>3750</v>
      </c>
      <c r="O46" s="9" t="b">
        <f t="shared" si="1"/>
        <v>1</v>
      </c>
    </row>
    <row r="47" spans="1:15" ht="16">
      <c r="A47" s="11"/>
      <c r="B47" s="117"/>
      <c r="C47" s="163"/>
      <c r="D47" s="66" t="s">
        <v>285</v>
      </c>
      <c r="E47" s="3" t="s">
        <v>291</v>
      </c>
      <c r="F47" s="53" t="str">
        <f>'Notes and Assumptions'!A45</f>
        <v>A44</v>
      </c>
      <c r="G47" s="87">
        <f>'Notes and Assumptions'!F45</f>
        <v>9000</v>
      </c>
      <c r="H47" s="87">
        <f>'Notes and Assumptions'!G45</f>
        <v>9000</v>
      </c>
      <c r="I47" s="87">
        <f>'Notes and Assumptions'!H45</f>
        <v>0</v>
      </c>
      <c r="J47" s="87">
        <f>'Notes and Assumptions'!I45</f>
        <v>0</v>
      </c>
      <c r="K47" s="87">
        <f>'Notes and Assumptions'!J45</f>
        <v>0</v>
      </c>
      <c r="L47" s="87">
        <f>'Notes and Assumptions'!K45</f>
        <v>0</v>
      </c>
      <c r="M47" s="87">
        <f>'Notes and Assumptions'!L45</f>
        <v>0</v>
      </c>
      <c r="N47" s="143">
        <f t="shared" si="0"/>
        <v>9000</v>
      </c>
      <c r="O47" s="9" t="b">
        <f t="shared" si="1"/>
        <v>1</v>
      </c>
    </row>
    <row r="48" spans="1:15" ht="16">
      <c r="A48" s="11"/>
      <c r="B48" s="117"/>
      <c r="C48" s="164"/>
      <c r="D48" s="66" t="s">
        <v>285</v>
      </c>
      <c r="E48" s="3" t="s">
        <v>292</v>
      </c>
      <c r="F48" s="53" t="str">
        <f>'Notes and Assumptions'!A46</f>
        <v>A45</v>
      </c>
      <c r="G48" s="87">
        <f>'Notes and Assumptions'!F46</f>
        <v>3120</v>
      </c>
      <c r="H48" s="87">
        <f>'Notes and Assumptions'!G46</f>
        <v>3120</v>
      </c>
      <c r="I48" s="87">
        <f>'Notes and Assumptions'!H46</f>
        <v>0</v>
      </c>
      <c r="J48" s="87">
        <f>'Notes and Assumptions'!I46</f>
        <v>0</v>
      </c>
      <c r="K48" s="87">
        <f>'Notes and Assumptions'!J46</f>
        <v>0</v>
      </c>
      <c r="L48" s="87">
        <f>'Notes and Assumptions'!K46</f>
        <v>0</v>
      </c>
      <c r="M48" s="87">
        <f>'Notes and Assumptions'!L46</f>
        <v>0</v>
      </c>
      <c r="N48" s="143">
        <f t="shared" si="0"/>
        <v>3120</v>
      </c>
      <c r="O48" s="9" t="b">
        <f t="shared" si="1"/>
        <v>1</v>
      </c>
    </row>
    <row r="49" spans="1:17" ht="48">
      <c r="A49" s="11"/>
      <c r="B49" s="154" t="s">
        <v>398</v>
      </c>
      <c r="C49" s="162" t="s">
        <v>399</v>
      </c>
      <c r="D49" s="66" t="s">
        <v>285</v>
      </c>
      <c r="E49" s="3" t="s">
        <v>293</v>
      </c>
      <c r="F49" s="53" t="str">
        <f>'Notes and Assumptions'!A47</f>
        <v>A46</v>
      </c>
      <c r="G49" s="87">
        <f>'Notes and Assumptions'!F47</f>
        <v>15000</v>
      </c>
      <c r="H49" s="87">
        <f>'Notes and Assumptions'!G47</f>
        <v>15000</v>
      </c>
      <c r="I49" s="87">
        <f>'Notes and Assumptions'!H47</f>
        <v>0</v>
      </c>
      <c r="J49" s="87">
        <f>'Notes and Assumptions'!I47</f>
        <v>0</v>
      </c>
      <c r="K49" s="87">
        <f>'Notes and Assumptions'!J47</f>
        <v>0</v>
      </c>
      <c r="L49" s="87">
        <f>'Notes and Assumptions'!K47</f>
        <v>0</v>
      </c>
      <c r="M49" s="87">
        <f>'Notes and Assumptions'!L47</f>
        <v>0</v>
      </c>
      <c r="N49" s="143">
        <f t="shared" si="0"/>
        <v>15000</v>
      </c>
      <c r="O49" s="9" t="b">
        <f t="shared" si="1"/>
        <v>1</v>
      </c>
    </row>
    <row r="50" spans="1:17" ht="32">
      <c r="A50" s="11"/>
      <c r="B50" s="155"/>
      <c r="C50" s="163"/>
      <c r="D50" s="66" t="s">
        <v>285</v>
      </c>
      <c r="E50" s="3" t="s">
        <v>288</v>
      </c>
      <c r="F50" s="53" t="str">
        <f>'Notes and Assumptions'!A48</f>
        <v>A47</v>
      </c>
      <c r="G50" s="87">
        <f>'Notes and Assumptions'!F48</f>
        <v>9000</v>
      </c>
      <c r="H50" s="87">
        <f>'Notes and Assumptions'!G48</f>
        <v>9000</v>
      </c>
      <c r="I50" s="87">
        <f>'Notes and Assumptions'!H48</f>
        <v>0</v>
      </c>
      <c r="J50" s="87">
        <f>'Notes and Assumptions'!I48</f>
        <v>0</v>
      </c>
      <c r="K50" s="87">
        <f>'Notes and Assumptions'!J48</f>
        <v>0</v>
      </c>
      <c r="L50" s="87">
        <f>'Notes and Assumptions'!K48</f>
        <v>0</v>
      </c>
      <c r="M50" s="87">
        <f>'Notes and Assumptions'!L48</f>
        <v>0</v>
      </c>
      <c r="N50" s="143">
        <f t="shared" si="0"/>
        <v>9000</v>
      </c>
      <c r="O50" s="9" t="b">
        <f t="shared" si="1"/>
        <v>1</v>
      </c>
    </row>
    <row r="51" spans="1:17" ht="16">
      <c r="A51" s="11"/>
      <c r="B51" s="155"/>
      <c r="C51" s="163"/>
      <c r="D51" s="66" t="s">
        <v>285</v>
      </c>
      <c r="E51" s="3" t="s">
        <v>292</v>
      </c>
      <c r="F51" s="53" t="str">
        <f>'Notes and Assumptions'!A49</f>
        <v>A48</v>
      </c>
      <c r="G51" s="87">
        <f>'Notes and Assumptions'!F49</f>
        <v>3120</v>
      </c>
      <c r="H51" s="87">
        <f>'Notes and Assumptions'!G49</f>
        <v>3120</v>
      </c>
      <c r="I51" s="87">
        <f>'Notes and Assumptions'!H49</f>
        <v>0</v>
      </c>
      <c r="J51" s="87">
        <f>'Notes and Assumptions'!I49</f>
        <v>0</v>
      </c>
      <c r="K51" s="87">
        <f>'Notes and Assumptions'!J49</f>
        <v>0</v>
      </c>
      <c r="L51" s="87">
        <f>'Notes and Assumptions'!K49</f>
        <v>0</v>
      </c>
      <c r="M51" s="87">
        <f>'Notes and Assumptions'!L49</f>
        <v>0</v>
      </c>
      <c r="N51" s="143">
        <f t="shared" si="0"/>
        <v>3120</v>
      </c>
      <c r="O51" s="9" t="b">
        <f t="shared" si="1"/>
        <v>1</v>
      </c>
    </row>
    <row r="52" spans="1:17" ht="16">
      <c r="A52" s="11"/>
      <c r="B52" s="155"/>
      <c r="C52" s="163"/>
      <c r="D52" s="66" t="s">
        <v>285</v>
      </c>
      <c r="E52" s="3" t="s">
        <v>292</v>
      </c>
      <c r="F52" s="53" t="str">
        <f>'Notes and Assumptions'!A50</f>
        <v>A49</v>
      </c>
      <c r="G52" s="87">
        <f>'Notes and Assumptions'!F50</f>
        <v>3000</v>
      </c>
      <c r="H52" s="87">
        <f>'Notes and Assumptions'!G50</f>
        <v>3000</v>
      </c>
      <c r="I52" s="87">
        <f>'Notes and Assumptions'!H50</f>
        <v>0</v>
      </c>
      <c r="J52" s="87">
        <f>'Notes and Assumptions'!I50</f>
        <v>0</v>
      </c>
      <c r="K52" s="87">
        <f>'Notes and Assumptions'!J50</f>
        <v>0</v>
      </c>
      <c r="L52" s="87">
        <f>'Notes and Assumptions'!K50</f>
        <v>0</v>
      </c>
      <c r="M52" s="87">
        <f>'Notes and Assumptions'!L50</f>
        <v>0</v>
      </c>
      <c r="N52" s="143">
        <f t="shared" si="0"/>
        <v>3000</v>
      </c>
      <c r="O52" s="9" t="b">
        <f t="shared" si="1"/>
        <v>1</v>
      </c>
    </row>
    <row r="53" spans="1:17" ht="16">
      <c r="A53" s="11"/>
      <c r="B53" s="155"/>
      <c r="C53" s="163"/>
      <c r="D53" s="66" t="s">
        <v>285</v>
      </c>
      <c r="E53" s="3" t="s">
        <v>291</v>
      </c>
      <c r="F53" s="53" t="str">
        <f>'Notes and Assumptions'!A51</f>
        <v>A50</v>
      </c>
      <c r="G53" s="87">
        <f>'Notes and Assumptions'!F51</f>
        <v>18000</v>
      </c>
      <c r="H53" s="87">
        <f>'Notes and Assumptions'!G51</f>
        <v>18000</v>
      </c>
      <c r="I53" s="87">
        <f>'Notes and Assumptions'!H51</f>
        <v>0</v>
      </c>
      <c r="J53" s="87">
        <f>'Notes and Assumptions'!I51</f>
        <v>0</v>
      </c>
      <c r="K53" s="87">
        <f>'Notes and Assumptions'!J51</f>
        <v>0</v>
      </c>
      <c r="L53" s="87">
        <f>'Notes and Assumptions'!K51</f>
        <v>0</v>
      </c>
      <c r="M53" s="87">
        <f>'Notes and Assumptions'!L51</f>
        <v>0</v>
      </c>
      <c r="N53" s="143">
        <f t="shared" si="0"/>
        <v>18000</v>
      </c>
      <c r="O53" s="9" t="b">
        <f t="shared" si="1"/>
        <v>1</v>
      </c>
    </row>
    <row r="54" spans="1:17" ht="16">
      <c r="A54" s="11"/>
      <c r="B54" s="155"/>
      <c r="C54" s="163"/>
      <c r="D54" s="66" t="s">
        <v>285</v>
      </c>
      <c r="E54" s="3" t="s">
        <v>292</v>
      </c>
      <c r="F54" s="53" t="str">
        <f>'Notes and Assumptions'!A52</f>
        <v>A51</v>
      </c>
      <c r="G54" s="87">
        <f>'Notes and Assumptions'!F52</f>
        <v>6240</v>
      </c>
      <c r="H54" s="87">
        <f>'Notes and Assumptions'!G52</f>
        <v>6240</v>
      </c>
      <c r="I54" s="87">
        <f>'Notes and Assumptions'!H52</f>
        <v>0</v>
      </c>
      <c r="J54" s="87">
        <f>'Notes and Assumptions'!I52</f>
        <v>0</v>
      </c>
      <c r="K54" s="87">
        <f>'Notes and Assumptions'!J52</f>
        <v>0</v>
      </c>
      <c r="L54" s="87">
        <f>'Notes and Assumptions'!K52</f>
        <v>0</v>
      </c>
      <c r="M54" s="87">
        <f>'Notes and Assumptions'!L52</f>
        <v>0</v>
      </c>
      <c r="N54" s="143">
        <f t="shared" si="0"/>
        <v>6240</v>
      </c>
      <c r="O54" s="9" t="b">
        <f t="shared" si="1"/>
        <v>1</v>
      </c>
    </row>
    <row r="55" spans="1:17" ht="48">
      <c r="A55" s="11"/>
      <c r="B55" s="155"/>
      <c r="C55" s="79" t="s">
        <v>400</v>
      </c>
      <c r="D55" s="66" t="s">
        <v>285</v>
      </c>
      <c r="E55" s="3" t="s">
        <v>293</v>
      </c>
      <c r="F55" s="53" t="str">
        <f>'Notes and Assumptions'!A53</f>
        <v>A52</v>
      </c>
      <c r="G55" s="87">
        <f>'Notes and Assumptions'!F53</f>
        <v>45000</v>
      </c>
      <c r="H55" s="87">
        <f>'Notes and Assumptions'!G53</f>
        <v>7500</v>
      </c>
      <c r="I55" s="87">
        <f>'Notes and Assumptions'!H53</f>
        <v>7500</v>
      </c>
      <c r="J55" s="87">
        <f>'Notes and Assumptions'!I53</f>
        <v>7500</v>
      </c>
      <c r="K55" s="87">
        <f>'Notes and Assumptions'!J53</f>
        <v>7500</v>
      </c>
      <c r="L55" s="87">
        <f>'Notes and Assumptions'!K53</f>
        <v>7500</v>
      </c>
      <c r="M55" s="87">
        <f>'Notes and Assumptions'!L53</f>
        <v>7500</v>
      </c>
      <c r="N55" s="143">
        <f t="shared" si="0"/>
        <v>45000</v>
      </c>
      <c r="O55" s="9" t="b">
        <f t="shared" si="1"/>
        <v>1</v>
      </c>
    </row>
    <row r="56" spans="1:17" ht="48">
      <c r="A56" s="11"/>
      <c r="B56" s="155"/>
      <c r="C56" s="162" t="s">
        <v>401</v>
      </c>
      <c r="D56" s="66" t="s">
        <v>285</v>
      </c>
      <c r="E56" s="3" t="s">
        <v>293</v>
      </c>
      <c r="F56" s="53" t="str">
        <f>'Notes and Assumptions'!A54</f>
        <v>A53</v>
      </c>
      <c r="G56" s="87">
        <f>'Notes and Assumptions'!F54</f>
        <v>15000</v>
      </c>
      <c r="H56" s="87">
        <f>'Notes and Assumptions'!G54</f>
        <v>15000</v>
      </c>
      <c r="I56" s="87">
        <f>'Notes and Assumptions'!H54</f>
        <v>0</v>
      </c>
      <c r="J56" s="87">
        <f>'Notes and Assumptions'!I54</f>
        <v>0</v>
      </c>
      <c r="K56" s="87">
        <f>'Notes and Assumptions'!J54</f>
        <v>0</v>
      </c>
      <c r="L56" s="87">
        <f>'Notes and Assumptions'!K54</f>
        <v>0</v>
      </c>
      <c r="M56" s="87">
        <f>'Notes and Assumptions'!L54</f>
        <v>0</v>
      </c>
      <c r="N56" s="143">
        <f t="shared" si="0"/>
        <v>15000</v>
      </c>
      <c r="O56" s="9" t="b">
        <f t="shared" si="1"/>
        <v>1</v>
      </c>
    </row>
    <row r="57" spans="1:17" ht="48">
      <c r="A57" s="11"/>
      <c r="B57" s="155"/>
      <c r="C57" s="164"/>
      <c r="D57" s="66" t="s">
        <v>285</v>
      </c>
      <c r="E57" s="3" t="s">
        <v>286</v>
      </c>
      <c r="F57" s="53" t="str">
        <f>'Notes and Assumptions'!A55</f>
        <v>A54</v>
      </c>
      <c r="G57" s="87">
        <f>'Notes and Assumptions'!F55</f>
        <v>50000</v>
      </c>
      <c r="H57" s="87">
        <f>'Notes and Assumptions'!G55</f>
        <v>50000</v>
      </c>
      <c r="I57" s="87">
        <f>'Notes and Assumptions'!H55</f>
        <v>0</v>
      </c>
      <c r="J57" s="87">
        <f>'Notes and Assumptions'!I55</f>
        <v>0</v>
      </c>
      <c r="K57" s="87">
        <f>'Notes and Assumptions'!J55</f>
        <v>0</v>
      </c>
      <c r="L57" s="87">
        <f>'Notes and Assumptions'!K55</f>
        <v>0</v>
      </c>
      <c r="M57" s="87">
        <f>'Notes and Assumptions'!L55</f>
        <v>0</v>
      </c>
      <c r="N57" s="143">
        <f t="shared" si="0"/>
        <v>50000</v>
      </c>
      <c r="O57" s="9" t="b">
        <f t="shared" si="1"/>
        <v>1</v>
      </c>
    </row>
    <row r="58" spans="1:17" ht="48">
      <c r="A58" s="11"/>
      <c r="B58" s="155"/>
      <c r="C58" s="162" t="s">
        <v>402</v>
      </c>
      <c r="D58" s="66" t="s">
        <v>285</v>
      </c>
      <c r="E58" s="3" t="s">
        <v>293</v>
      </c>
      <c r="F58" s="53" t="str">
        <f>'Notes and Assumptions'!A56</f>
        <v>A55</v>
      </c>
      <c r="G58" s="87">
        <f>'Notes and Assumptions'!F56</f>
        <v>15000</v>
      </c>
      <c r="H58" s="87">
        <f>'Notes and Assumptions'!G56</f>
        <v>15000</v>
      </c>
      <c r="I58" s="87">
        <f>'Notes and Assumptions'!H56</f>
        <v>0</v>
      </c>
      <c r="J58" s="87">
        <f>'Notes and Assumptions'!I56</f>
        <v>0</v>
      </c>
      <c r="K58" s="87">
        <f>'Notes and Assumptions'!J56</f>
        <v>0</v>
      </c>
      <c r="L58" s="87">
        <f>'Notes and Assumptions'!K56</f>
        <v>0</v>
      </c>
      <c r="M58" s="87">
        <f>'Notes and Assumptions'!L56</f>
        <v>0</v>
      </c>
      <c r="N58" s="143">
        <f t="shared" si="0"/>
        <v>15000</v>
      </c>
      <c r="O58" s="9" t="b">
        <f t="shared" si="1"/>
        <v>1</v>
      </c>
    </row>
    <row r="59" spans="1:17" ht="48">
      <c r="A59" s="12"/>
      <c r="B59" s="156"/>
      <c r="C59" s="164"/>
      <c r="D59" s="66" t="s">
        <v>285</v>
      </c>
      <c r="E59" s="3" t="s">
        <v>293</v>
      </c>
      <c r="F59" s="53" t="str">
        <f>'Notes and Assumptions'!A57</f>
        <v>A56</v>
      </c>
      <c r="G59" s="87">
        <f>'Notes and Assumptions'!F57</f>
        <v>22500</v>
      </c>
      <c r="H59" s="87">
        <f>'Notes and Assumptions'!G57</f>
        <v>3750</v>
      </c>
      <c r="I59" s="87">
        <f>'Notes and Assumptions'!H57</f>
        <v>3750</v>
      </c>
      <c r="J59" s="87">
        <f>'Notes and Assumptions'!I57</f>
        <v>3750</v>
      </c>
      <c r="K59" s="87">
        <f>'Notes and Assumptions'!J57</f>
        <v>3750</v>
      </c>
      <c r="L59" s="87">
        <f>'Notes and Assumptions'!K57</f>
        <v>3750</v>
      </c>
      <c r="M59" s="87">
        <f>'Notes and Assumptions'!L57</f>
        <v>3750</v>
      </c>
      <c r="N59" s="143">
        <f t="shared" si="0"/>
        <v>22500</v>
      </c>
      <c r="O59" s="9" t="b">
        <f t="shared" si="1"/>
        <v>1</v>
      </c>
    </row>
    <row r="60" spans="1:17" ht="16">
      <c r="A60" s="33" t="s">
        <v>305</v>
      </c>
      <c r="B60" s="34"/>
      <c r="C60" s="34"/>
      <c r="D60" s="34"/>
      <c r="E60" s="34"/>
      <c r="F60" s="35"/>
      <c r="G60" s="36">
        <f>SUMIF($D$4:$D$59, "GCF",G4:G59)</f>
        <v>25082822.973467655</v>
      </c>
      <c r="H60" s="36">
        <f t="shared" ref="H60:N60" si="4">SUMIF($D$4:$D$59, "GCF",H4:H59)</f>
        <v>4669079.2896588901</v>
      </c>
      <c r="I60" s="36">
        <f t="shared" si="4"/>
        <v>6262289.9369017314</v>
      </c>
      <c r="J60" s="36">
        <f t="shared" si="4"/>
        <v>3463096.8142453162</v>
      </c>
      <c r="K60" s="36">
        <f t="shared" si="4"/>
        <v>3562785.6442205724</v>
      </c>
      <c r="L60" s="36">
        <f t="shared" si="4"/>
        <v>3562785.6442205724</v>
      </c>
      <c r="M60" s="36">
        <f t="shared" si="4"/>
        <v>3562785.6442205724</v>
      </c>
      <c r="N60" s="36">
        <f t="shared" si="4"/>
        <v>25082822.973467659</v>
      </c>
      <c r="O60" s="9" t="b">
        <f t="shared" si="1"/>
        <v>1</v>
      </c>
      <c r="P60" s="8"/>
      <c r="Q60" s="8"/>
    </row>
    <row r="61" spans="1:17" ht="16">
      <c r="A61" s="33" t="s">
        <v>306</v>
      </c>
      <c r="B61" s="34"/>
      <c r="C61" s="34"/>
      <c r="D61" s="34"/>
      <c r="E61" s="34"/>
      <c r="F61" s="35"/>
      <c r="G61" s="36">
        <f>SUMIF($D$4:$D$59,"GoAB",G4:G59)</f>
        <v>12258034.798939552</v>
      </c>
      <c r="H61" s="36">
        <f t="shared" ref="H61:N61" si="5">SUMIF($D$4:$D$59,"GoAB",H4:H59)</f>
        <v>1954023.69922234</v>
      </c>
      <c r="I61" s="36">
        <f t="shared" si="5"/>
        <v>2945966.6493814066</v>
      </c>
      <c r="J61" s="36">
        <f t="shared" si="5"/>
        <v>1839511.1125839518</v>
      </c>
      <c r="K61" s="36">
        <f t="shared" si="5"/>
        <v>1839511.1125839518</v>
      </c>
      <c r="L61" s="36">
        <f t="shared" si="5"/>
        <v>1839511.1125839518</v>
      </c>
      <c r="M61" s="36">
        <f t="shared" si="5"/>
        <v>1839511.1125839518</v>
      </c>
      <c r="N61" s="36">
        <f t="shared" si="5"/>
        <v>12258034.798939552</v>
      </c>
      <c r="O61" s="9" t="b">
        <f t="shared" si="1"/>
        <v>1</v>
      </c>
    </row>
    <row r="62" spans="1:17" ht="16">
      <c r="A62" s="33" t="s">
        <v>307</v>
      </c>
      <c r="B62" s="34"/>
      <c r="C62" s="34"/>
      <c r="D62" s="34"/>
      <c r="E62" s="34"/>
      <c r="F62" s="35"/>
      <c r="G62" s="37">
        <f t="shared" ref="G62:N62" si="6">SUM(G60:G61)</f>
        <v>37340857.772407204</v>
      </c>
      <c r="H62" s="37">
        <f t="shared" si="6"/>
        <v>6623102.9888812304</v>
      </c>
      <c r="I62" s="37">
        <f t="shared" si="6"/>
        <v>9208256.586283138</v>
      </c>
      <c r="J62" s="37">
        <f t="shared" si="6"/>
        <v>5302607.9268292682</v>
      </c>
      <c r="K62" s="37">
        <f t="shared" si="6"/>
        <v>5402296.756804524</v>
      </c>
      <c r="L62" s="37">
        <f t="shared" si="6"/>
        <v>5402296.756804524</v>
      </c>
      <c r="M62" s="37">
        <f t="shared" si="6"/>
        <v>5402296.756804524</v>
      </c>
      <c r="N62" s="37">
        <f t="shared" si="6"/>
        <v>37340857.772407211</v>
      </c>
      <c r="O62" s="9" t="b">
        <f t="shared" si="1"/>
        <v>1</v>
      </c>
    </row>
    <row r="63" spans="1:17" ht="32">
      <c r="A63" s="33" t="s">
        <v>492</v>
      </c>
      <c r="B63" s="49"/>
      <c r="C63" s="49"/>
      <c r="D63" s="34"/>
      <c r="E63" s="34"/>
      <c r="F63" s="144" t="str">
        <f>'Notes and Assumptions'!A58</f>
        <v>A57</v>
      </c>
      <c r="G63" s="37">
        <f>10%*G60</f>
        <v>2508282.2973467656</v>
      </c>
      <c r="H63" s="37">
        <f t="shared" ref="H63:N63" si="7">10%*H60</f>
        <v>466907.92896588903</v>
      </c>
      <c r="I63" s="37">
        <f t="shared" si="7"/>
        <v>626228.99369017314</v>
      </c>
      <c r="J63" s="37">
        <f t="shared" si="7"/>
        <v>346309.68142453162</v>
      </c>
      <c r="K63" s="37">
        <f t="shared" si="7"/>
        <v>356278.56442205724</v>
      </c>
      <c r="L63" s="37">
        <f t="shared" si="7"/>
        <v>356278.56442205724</v>
      </c>
      <c r="M63" s="37">
        <f t="shared" si="7"/>
        <v>356278.56442205724</v>
      </c>
      <c r="N63" s="37">
        <f t="shared" si="7"/>
        <v>2508282.2973467661</v>
      </c>
      <c r="O63" s="9" t="b">
        <f t="shared" si="1"/>
        <v>1</v>
      </c>
    </row>
    <row r="64" spans="1:17" ht="48">
      <c r="A64" s="116" t="s">
        <v>308</v>
      </c>
      <c r="B64" s="124" t="s">
        <v>408</v>
      </c>
      <c r="C64" s="162" t="s">
        <v>431</v>
      </c>
      <c r="D64" s="64" t="s">
        <v>285</v>
      </c>
      <c r="E64" s="3" t="s">
        <v>291</v>
      </c>
      <c r="F64" s="51" t="str">
        <f>'Notes and Assumptions'!A60</f>
        <v>B1</v>
      </c>
      <c r="G64" s="54">
        <f>'Notes and Assumptions'!F60</f>
        <v>18000</v>
      </c>
      <c r="H64" s="54">
        <f>'Notes and Assumptions'!G60</f>
        <v>18000</v>
      </c>
      <c r="I64" s="54">
        <f>'Notes and Assumptions'!H60</f>
        <v>0</v>
      </c>
      <c r="J64" s="54">
        <f>'Notes and Assumptions'!I60</f>
        <v>0</v>
      </c>
      <c r="K64" s="54">
        <f>'Notes and Assumptions'!J60</f>
        <v>0</v>
      </c>
      <c r="L64" s="54">
        <f>'Notes and Assumptions'!K60</f>
        <v>0</v>
      </c>
      <c r="M64" s="54">
        <f>'Notes and Assumptions'!L60</f>
        <v>0</v>
      </c>
      <c r="N64" s="80">
        <f>SUM(H64:M64)</f>
        <v>18000</v>
      </c>
      <c r="O64" s="9" t="b">
        <f t="shared" ref="O64:O122" si="8">G64=N64</f>
        <v>1</v>
      </c>
    </row>
    <row r="65" spans="1:15" ht="15" customHeight="1">
      <c r="A65" s="117"/>
      <c r="B65" s="125"/>
      <c r="C65" s="163"/>
      <c r="D65" s="64" t="s">
        <v>285</v>
      </c>
      <c r="E65" s="3" t="s">
        <v>292</v>
      </c>
      <c r="F65" s="51" t="str">
        <f>'Notes and Assumptions'!A61</f>
        <v>B2</v>
      </c>
      <c r="G65" s="54">
        <f>'Notes and Assumptions'!F61</f>
        <v>6240</v>
      </c>
      <c r="H65" s="54">
        <f>'Notes and Assumptions'!G61</f>
        <v>6240</v>
      </c>
      <c r="I65" s="54">
        <f>'Notes and Assumptions'!H61</f>
        <v>0</v>
      </c>
      <c r="J65" s="54">
        <f>'Notes and Assumptions'!I61</f>
        <v>0</v>
      </c>
      <c r="K65" s="54">
        <f>'Notes and Assumptions'!J61</f>
        <v>0</v>
      </c>
      <c r="L65" s="54">
        <f>'Notes and Assumptions'!K61</f>
        <v>0</v>
      </c>
      <c r="M65" s="54">
        <f>'Notes and Assumptions'!L61</f>
        <v>0</v>
      </c>
      <c r="N65" s="80">
        <f t="shared" ref="N65:N91" si="9">SUM(H65:M65)</f>
        <v>6240</v>
      </c>
      <c r="O65" s="9" t="b">
        <f t="shared" si="8"/>
        <v>1</v>
      </c>
    </row>
    <row r="66" spans="1:15" ht="48">
      <c r="A66" s="117"/>
      <c r="B66" s="125"/>
      <c r="C66" s="164"/>
      <c r="D66" s="64" t="s">
        <v>285</v>
      </c>
      <c r="E66" s="3" t="s">
        <v>293</v>
      </c>
      <c r="F66" s="51" t="str">
        <f>'Notes and Assumptions'!A62</f>
        <v>B3</v>
      </c>
      <c r="G66" s="54">
        <f>'Notes and Assumptions'!F62</f>
        <v>3750</v>
      </c>
      <c r="H66" s="54">
        <f>'Notes and Assumptions'!G62</f>
        <v>3750</v>
      </c>
      <c r="I66" s="54">
        <f>'Notes and Assumptions'!H62</f>
        <v>0</v>
      </c>
      <c r="J66" s="54">
        <f>'Notes and Assumptions'!I62</f>
        <v>0</v>
      </c>
      <c r="K66" s="54">
        <f>'Notes and Assumptions'!J62</f>
        <v>0</v>
      </c>
      <c r="L66" s="54">
        <f>'Notes and Assumptions'!K62</f>
        <v>0</v>
      </c>
      <c r="M66" s="54">
        <f>'Notes and Assumptions'!L62</f>
        <v>0</v>
      </c>
      <c r="N66" s="80">
        <f t="shared" si="9"/>
        <v>3750</v>
      </c>
      <c r="O66" s="9" t="b">
        <f t="shared" si="8"/>
        <v>1</v>
      </c>
    </row>
    <row r="67" spans="1:15" ht="64">
      <c r="A67" s="117"/>
      <c r="B67" s="125"/>
      <c r="C67" s="117" t="s">
        <v>433</v>
      </c>
      <c r="D67" s="64" t="s">
        <v>285</v>
      </c>
      <c r="E67" s="3" t="s">
        <v>286</v>
      </c>
      <c r="F67" s="51" t="str">
        <f>'Notes and Assumptions'!A63</f>
        <v>B4</v>
      </c>
      <c r="G67" s="54">
        <f>'Notes and Assumptions'!F63</f>
        <v>10000</v>
      </c>
      <c r="H67" s="54">
        <f>'Notes and Assumptions'!G63</f>
        <v>10000</v>
      </c>
      <c r="I67" s="54">
        <f>'Notes and Assumptions'!H63</f>
        <v>0</v>
      </c>
      <c r="J67" s="54">
        <f>'Notes and Assumptions'!I63</f>
        <v>0</v>
      </c>
      <c r="K67" s="54">
        <f>'Notes and Assumptions'!J63</f>
        <v>0</v>
      </c>
      <c r="L67" s="54">
        <f>'Notes and Assumptions'!K63</f>
        <v>0</v>
      </c>
      <c r="M67" s="54">
        <f>'Notes and Assumptions'!L63</f>
        <v>0</v>
      </c>
      <c r="N67" s="80">
        <f t="shared" si="9"/>
        <v>10000</v>
      </c>
      <c r="O67" s="9" t="b">
        <f t="shared" si="8"/>
        <v>1</v>
      </c>
    </row>
    <row r="68" spans="1:15" ht="48">
      <c r="A68" s="117"/>
      <c r="B68" s="125"/>
      <c r="C68" s="117"/>
      <c r="D68" s="64" t="s">
        <v>285</v>
      </c>
      <c r="E68" s="3" t="s">
        <v>286</v>
      </c>
      <c r="F68" s="51" t="str">
        <f>'Notes and Assumptions'!A64</f>
        <v>B5</v>
      </c>
      <c r="G68" s="54">
        <f>'Notes and Assumptions'!F64</f>
        <v>15000</v>
      </c>
      <c r="H68" s="54">
        <f>'Notes and Assumptions'!G64</f>
        <v>15000</v>
      </c>
      <c r="I68" s="54">
        <f>'Notes and Assumptions'!H64</f>
        <v>0</v>
      </c>
      <c r="J68" s="54">
        <f>'Notes and Assumptions'!I64</f>
        <v>0</v>
      </c>
      <c r="K68" s="54">
        <f>'Notes and Assumptions'!J64</f>
        <v>0</v>
      </c>
      <c r="L68" s="54">
        <f>'Notes and Assumptions'!K64</f>
        <v>0</v>
      </c>
      <c r="M68" s="54">
        <f>'Notes and Assumptions'!L64</f>
        <v>0</v>
      </c>
      <c r="N68" s="80">
        <f t="shared" si="9"/>
        <v>15000</v>
      </c>
      <c r="O68" s="9" t="b">
        <f t="shared" si="8"/>
        <v>1</v>
      </c>
    </row>
    <row r="69" spans="1:15" ht="48">
      <c r="A69" s="117"/>
      <c r="B69" s="125"/>
      <c r="C69" s="117"/>
      <c r="D69" s="64" t="s">
        <v>285</v>
      </c>
      <c r="E69" s="3" t="s">
        <v>286</v>
      </c>
      <c r="F69" s="51" t="str">
        <f>'Notes and Assumptions'!A65</f>
        <v>B6</v>
      </c>
      <c r="G69" s="54">
        <f>'Notes and Assumptions'!F65</f>
        <v>25000</v>
      </c>
      <c r="H69" s="54">
        <f>'Notes and Assumptions'!G65</f>
        <v>25000</v>
      </c>
      <c r="I69" s="54">
        <f>'Notes and Assumptions'!H65</f>
        <v>0</v>
      </c>
      <c r="J69" s="54">
        <f>'Notes and Assumptions'!I65</f>
        <v>0</v>
      </c>
      <c r="K69" s="54">
        <f>'Notes and Assumptions'!J65</f>
        <v>0</v>
      </c>
      <c r="L69" s="54">
        <f>'Notes and Assumptions'!K65</f>
        <v>0</v>
      </c>
      <c r="M69" s="54">
        <f>'Notes and Assumptions'!L65</f>
        <v>0</v>
      </c>
      <c r="N69" s="80">
        <f t="shared" si="9"/>
        <v>25000</v>
      </c>
      <c r="O69" s="9" t="b">
        <f t="shared" si="8"/>
        <v>1</v>
      </c>
    </row>
    <row r="70" spans="1:15" ht="48">
      <c r="A70" s="117"/>
      <c r="B70" s="125"/>
      <c r="C70" s="117"/>
      <c r="D70" s="64" t="s">
        <v>285</v>
      </c>
      <c r="E70" s="3" t="s">
        <v>286</v>
      </c>
      <c r="F70" s="51" t="str">
        <f>'Notes and Assumptions'!A66</f>
        <v>B7</v>
      </c>
      <c r="G70" s="54">
        <f>'Notes and Assumptions'!F66</f>
        <v>5000</v>
      </c>
      <c r="H70" s="54">
        <f>'Notes and Assumptions'!G66</f>
        <v>5000</v>
      </c>
      <c r="I70" s="54">
        <f>'Notes and Assumptions'!H66</f>
        <v>0</v>
      </c>
      <c r="J70" s="54">
        <f>'Notes and Assumptions'!I66</f>
        <v>0</v>
      </c>
      <c r="K70" s="54">
        <f>'Notes and Assumptions'!J66</f>
        <v>0</v>
      </c>
      <c r="L70" s="54">
        <f>'Notes and Assumptions'!K66</f>
        <v>0</v>
      </c>
      <c r="M70" s="54">
        <f>'Notes and Assumptions'!L66</f>
        <v>0</v>
      </c>
      <c r="N70" s="80">
        <f t="shared" si="9"/>
        <v>5000</v>
      </c>
      <c r="O70" s="9" t="b">
        <f t="shared" si="8"/>
        <v>1</v>
      </c>
    </row>
    <row r="71" spans="1:15" ht="48">
      <c r="A71" s="117"/>
      <c r="B71" s="125"/>
      <c r="C71" s="117"/>
      <c r="D71" s="64" t="s">
        <v>285</v>
      </c>
      <c r="E71" s="3" t="s">
        <v>286</v>
      </c>
      <c r="F71" s="51" t="str">
        <f>'Notes and Assumptions'!A67</f>
        <v>B8</v>
      </c>
      <c r="G71" s="54">
        <f>'Notes and Assumptions'!F67</f>
        <v>3500</v>
      </c>
      <c r="H71" s="54">
        <f>'Notes and Assumptions'!G67</f>
        <v>3500</v>
      </c>
      <c r="I71" s="54">
        <f>'Notes and Assumptions'!H67</f>
        <v>0</v>
      </c>
      <c r="J71" s="54">
        <f>'Notes and Assumptions'!I67</f>
        <v>0</v>
      </c>
      <c r="K71" s="54">
        <f>'Notes and Assumptions'!J67</f>
        <v>0</v>
      </c>
      <c r="L71" s="54">
        <f>'Notes and Assumptions'!K67</f>
        <v>0</v>
      </c>
      <c r="M71" s="54">
        <f>'Notes and Assumptions'!L67</f>
        <v>0</v>
      </c>
      <c r="N71" s="80">
        <f t="shared" si="9"/>
        <v>3500</v>
      </c>
      <c r="O71" s="9" t="b">
        <f t="shared" si="8"/>
        <v>1</v>
      </c>
    </row>
    <row r="72" spans="1:15" ht="48">
      <c r="A72" s="117"/>
      <c r="B72" s="125"/>
      <c r="C72" s="117"/>
      <c r="D72" s="64" t="s">
        <v>285</v>
      </c>
      <c r="E72" s="3" t="s">
        <v>286</v>
      </c>
      <c r="F72" s="51" t="str">
        <f>'Notes and Assumptions'!A68</f>
        <v>B9</v>
      </c>
      <c r="G72" s="54">
        <f>'Notes and Assumptions'!F68</f>
        <v>2500</v>
      </c>
      <c r="H72" s="54">
        <f>'Notes and Assumptions'!G68</f>
        <v>2500</v>
      </c>
      <c r="I72" s="54">
        <f>'Notes and Assumptions'!H68</f>
        <v>0</v>
      </c>
      <c r="J72" s="54">
        <f>'Notes and Assumptions'!I68</f>
        <v>0</v>
      </c>
      <c r="K72" s="54">
        <f>'Notes and Assumptions'!J68</f>
        <v>0</v>
      </c>
      <c r="L72" s="54">
        <f>'Notes and Assumptions'!K68</f>
        <v>0</v>
      </c>
      <c r="M72" s="54">
        <f>'Notes and Assumptions'!L68</f>
        <v>0</v>
      </c>
      <c r="N72" s="80">
        <f t="shared" si="9"/>
        <v>2500</v>
      </c>
      <c r="O72" s="9" t="b">
        <f t="shared" si="8"/>
        <v>1</v>
      </c>
    </row>
    <row r="73" spans="1:15" ht="48">
      <c r="A73" s="117"/>
      <c r="B73" s="125"/>
      <c r="C73" s="117"/>
      <c r="D73" s="64" t="s">
        <v>285</v>
      </c>
      <c r="E73" s="3" t="s">
        <v>286</v>
      </c>
      <c r="F73" s="51" t="str">
        <f>'Notes and Assumptions'!A69</f>
        <v>B10</v>
      </c>
      <c r="G73" s="54">
        <f>'Notes and Assumptions'!F69</f>
        <v>14000</v>
      </c>
      <c r="H73" s="54">
        <f>'Notes and Assumptions'!G69</f>
        <v>14000</v>
      </c>
      <c r="I73" s="54">
        <f>'Notes and Assumptions'!H69</f>
        <v>0</v>
      </c>
      <c r="J73" s="54">
        <f>'Notes and Assumptions'!I69</f>
        <v>0</v>
      </c>
      <c r="K73" s="54">
        <f>'Notes and Assumptions'!J69</f>
        <v>0</v>
      </c>
      <c r="L73" s="54">
        <f>'Notes and Assumptions'!K69</f>
        <v>0</v>
      </c>
      <c r="M73" s="54">
        <f>'Notes and Assumptions'!L69</f>
        <v>0</v>
      </c>
      <c r="N73" s="80">
        <f t="shared" si="9"/>
        <v>14000</v>
      </c>
      <c r="O73" s="9" t="b">
        <f t="shared" si="8"/>
        <v>1</v>
      </c>
    </row>
    <row r="74" spans="1:15" ht="48">
      <c r="A74" s="117"/>
      <c r="B74" s="125"/>
      <c r="C74" s="162" t="s">
        <v>432</v>
      </c>
      <c r="D74" s="64" t="s">
        <v>285</v>
      </c>
      <c r="E74" s="3" t="s">
        <v>293</v>
      </c>
      <c r="F74" s="51" t="str">
        <f>'Notes and Assumptions'!A70</f>
        <v>B11</v>
      </c>
      <c r="G74" s="54">
        <f>'Notes and Assumptions'!F70</f>
        <v>7500</v>
      </c>
      <c r="H74" s="54">
        <f>'Notes and Assumptions'!G70</f>
        <v>7500</v>
      </c>
      <c r="I74" s="54">
        <f>'Notes and Assumptions'!H70</f>
        <v>0</v>
      </c>
      <c r="J74" s="54">
        <f>'Notes and Assumptions'!I70</f>
        <v>0</v>
      </c>
      <c r="K74" s="54">
        <f>'Notes and Assumptions'!J70</f>
        <v>0</v>
      </c>
      <c r="L74" s="54">
        <f>'Notes and Assumptions'!K70</f>
        <v>0</v>
      </c>
      <c r="M74" s="54">
        <f>'Notes and Assumptions'!L70</f>
        <v>0</v>
      </c>
      <c r="N74" s="80">
        <f t="shared" si="9"/>
        <v>7500</v>
      </c>
      <c r="O74" s="9" t="b">
        <f t="shared" si="8"/>
        <v>1</v>
      </c>
    </row>
    <row r="75" spans="1:15" ht="16">
      <c r="A75" s="117"/>
      <c r="B75" s="125"/>
      <c r="C75" s="163"/>
      <c r="D75" s="64" t="s">
        <v>285</v>
      </c>
      <c r="E75" s="3" t="s">
        <v>291</v>
      </c>
      <c r="F75" s="51" t="str">
        <f>'Notes and Assumptions'!A71</f>
        <v>B12</v>
      </c>
      <c r="G75" s="54">
        <f>'Notes and Assumptions'!F71</f>
        <v>18000</v>
      </c>
      <c r="H75" s="54">
        <f>'Notes and Assumptions'!G71</f>
        <v>18000</v>
      </c>
      <c r="I75" s="54">
        <f>'Notes and Assumptions'!H71</f>
        <v>0</v>
      </c>
      <c r="J75" s="54">
        <f>'Notes and Assumptions'!I71</f>
        <v>0</v>
      </c>
      <c r="K75" s="54">
        <f>'Notes and Assumptions'!J71</f>
        <v>0</v>
      </c>
      <c r="L75" s="54">
        <f>'Notes and Assumptions'!K71</f>
        <v>0</v>
      </c>
      <c r="M75" s="54">
        <f>'Notes and Assumptions'!L71</f>
        <v>0</v>
      </c>
      <c r="N75" s="80">
        <f t="shared" si="9"/>
        <v>18000</v>
      </c>
      <c r="O75" s="9" t="b">
        <f t="shared" si="8"/>
        <v>1</v>
      </c>
    </row>
    <row r="76" spans="1:15" ht="16">
      <c r="A76" s="117"/>
      <c r="B76" s="125"/>
      <c r="C76" s="163"/>
      <c r="D76" s="64" t="s">
        <v>285</v>
      </c>
      <c r="E76" s="3" t="s">
        <v>292</v>
      </c>
      <c r="F76" s="51" t="str">
        <f>'Notes and Assumptions'!A72</f>
        <v>B13</v>
      </c>
      <c r="G76" s="54">
        <f>'Notes and Assumptions'!F72</f>
        <v>6240</v>
      </c>
      <c r="H76" s="54">
        <f>'Notes and Assumptions'!G72</f>
        <v>6240</v>
      </c>
      <c r="I76" s="54">
        <f>'Notes and Assumptions'!H72</f>
        <v>0</v>
      </c>
      <c r="J76" s="54">
        <f>'Notes and Assumptions'!I72</f>
        <v>0</v>
      </c>
      <c r="K76" s="54">
        <f>'Notes and Assumptions'!J72</f>
        <v>0</v>
      </c>
      <c r="L76" s="54">
        <f>'Notes and Assumptions'!K72</f>
        <v>0</v>
      </c>
      <c r="M76" s="54">
        <f>'Notes and Assumptions'!L72</f>
        <v>0</v>
      </c>
      <c r="N76" s="80">
        <f t="shared" si="9"/>
        <v>6240</v>
      </c>
      <c r="O76" s="9" t="b">
        <f t="shared" si="8"/>
        <v>1</v>
      </c>
    </row>
    <row r="77" spans="1:15" ht="48">
      <c r="A77" s="117"/>
      <c r="B77" s="125"/>
      <c r="C77" s="163"/>
      <c r="D77" s="64" t="s">
        <v>285</v>
      </c>
      <c r="E77" s="3" t="s">
        <v>293</v>
      </c>
      <c r="F77" s="51" t="str">
        <f>'Notes and Assumptions'!A73</f>
        <v>B14</v>
      </c>
      <c r="G77" s="54">
        <f>'Notes and Assumptions'!F73</f>
        <v>3750</v>
      </c>
      <c r="H77" s="54">
        <f>'Notes and Assumptions'!G73</f>
        <v>3750</v>
      </c>
      <c r="I77" s="54">
        <f>'Notes and Assumptions'!H73</f>
        <v>0</v>
      </c>
      <c r="J77" s="54">
        <f>'Notes and Assumptions'!I73</f>
        <v>0</v>
      </c>
      <c r="K77" s="54">
        <f>'Notes and Assumptions'!J73</f>
        <v>0</v>
      </c>
      <c r="L77" s="54">
        <f>'Notes and Assumptions'!K73</f>
        <v>0</v>
      </c>
      <c r="M77" s="54">
        <f>'Notes and Assumptions'!L73</f>
        <v>0</v>
      </c>
      <c r="N77" s="80">
        <f t="shared" si="9"/>
        <v>3750</v>
      </c>
      <c r="O77" s="9" t="b">
        <f t="shared" si="8"/>
        <v>1</v>
      </c>
    </row>
    <row r="78" spans="1:15" ht="48">
      <c r="A78" s="117"/>
      <c r="B78" s="125"/>
      <c r="C78" s="164"/>
      <c r="D78" s="64" t="s">
        <v>285</v>
      </c>
      <c r="E78" s="3" t="s">
        <v>293</v>
      </c>
      <c r="F78" s="51" t="str">
        <f>'Notes and Assumptions'!A74</f>
        <v>B15</v>
      </c>
      <c r="G78" s="54">
        <f>'Notes and Assumptions'!F74</f>
        <v>18750</v>
      </c>
      <c r="H78" s="54">
        <f>'Notes and Assumptions'!G74</f>
        <v>0</v>
      </c>
      <c r="I78" s="54">
        <f>'Notes and Assumptions'!H74</f>
        <v>3750</v>
      </c>
      <c r="J78" s="54">
        <f>'Notes and Assumptions'!I74</f>
        <v>3750</v>
      </c>
      <c r="K78" s="54">
        <f>'Notes and Assumptions'!J74</f>
        <v>3750</v>
      </c>
      <c r="L78" s="54">
        <f>'Notes and Assumptions'!K74</f>
        <v>3750</v>
      </c>
      <c r="M78" s="54">
        <f>'Notes and Assumptions'!L74</f>
        <v>3750</v>
      </c>
      <c r="N78" s="80">
        <f t="shared" si="9"/>
        <v>18750</v>
      </c>
      <c r="O78" s="9" t="b">
        <f t="shared" si="8"/>
        <v>1</v>
      </c>
    </row>
    <row r="79" spans="1:15" ht="72" customHeight="1">
      <c r="A79" s="117"/>
      <c r="B79" s="125"/>
      <c r="C79" s="162" t="s">
        <v>540</v>
      </c>
      <c r="D79" s="64" t="s">
        <v>285</v>
      </c>
      <c r="E79" s="3" t="s">
        <v>293</v>
      </c>
      <c r="F79" s="51" t="str">
        <f>'Notes and Assumptions'!A75</f>
        <v>B16</v>
      </c>
      <c r="G79" s="54">
        <f>'Notes and Assumptions'!F75</f>
        <v>15000</v>
      </c>
      <c r="H79" s="54">
        <f>'Notes and Assumptions'!G75</f>
        <v>0</v>
      </c>
      <c r="I79" s="54">
        <f>'Notes and Assumptions'!H75</f>
        <v>0</v>
      </c>
      <c r="J79" s="54">
        <f>'Notes and Assumptions'!I75</f>
        <v>3750</v>
      </c>
      <c r="K79" s="54">
        <f>'Notes and Assumptions'!J75</f>
        <v>3750</v>
      </c>
      <c r="L79" s="54">
        <f>'Notes and Assumptions'!K75</f>
        <v>3750</v>
      </c>
      <c r="M79" s="54">
        <f>'Notes and Assumptions'!L75</f>
        <v>3750</v>
      </c>
      <c r="N79" s="80">
        <f>SUM(H79:M79)</f>
        <v>15000</v>
      </c>
      <c r="O79" s="9" t="b">
        <f t="shared" si="8"/>
        <v>1</v>
      </c>
    </row>
    <row r="80" spans="1:15" ht="16">
      <c r="A80" s="117"/>
      <c r="B80" s="125"/>
      <c r="C80" s="163"/>
      <c r="D80" s="64" t="s">
        <v>285</v>
      </c>
      <c r="E80" s="3" t="s">
        <v>291</v>
      </c>
      <c r="F80" s="51" t="str">
        <f>'Notes and Assumptions'!A76</f>
        <v>B17</v>
      </c>
      <c r="G80" s="54">
        <f>'Notes and Assumptions'!F76</f>
        <v>27000</v>
      </c>
      <c r="H80" s="54">
        <f>'Notes and Assumptions'!G76</f>
        <v>0</v>
      </c>
      <c r="I80" s="54">
        <f>'Notes and Assumptions'!H76</f>
        <v>0</v>
      </c>
      <c r="J80" s="54">
        <f>'Notes and Assumptions'!I76</f>
        <v>6750</v>
      </c>
      <c r="K80" s="54">
        <f>'Notes and Assumptions'!J76</f>
        <v>6750</v>
      </c>
      <c r="L80" s="54">
        <f>'Notes and Assumptions'!K76</f>
        <v>6750</v>
      </c>
      <c r="M80" s="54">
        <f>'Notes and Assumptions'!L76</f>
        <v>6750</v>
      </c>
      <c r="N80" s="80">
        <f t="shared" si="9"/>
        <v>27000</v>
      </c>
      <c r="O80" s="9" t="b">
        <f t="shared" si="8"/>
        <v>1</v>
      </c>
    </row>
    <row r="81" spans="1:15" ht="48">
      <c r="A81" s="117"/>
      <c r="B81" s="125"/>
      <c r="C81" s="163"/>
      <c r="D81" s="64" t="s">
        <v>285</v>
      </c>
      <c r="E81" s="3" t="s">
        <v>293</v>
      </c>
      <c r="F81" s="51" t="str">
        <f>'Notes and Assumptions'!A77</f>
        <v>B18</v>
      </c>
      <c r="G81" s="54">
        <f>'Notes and Assumptions'!F77</f>
        <v>15000</v>
      </c>
      <c r="H81" s="54">
        <f>'Notes and Assumptions'!G77</f>
        <v>0</v>
      </c>
      <c r="I81" s="54">
        <f>'Notes and Assumptions'!H77</f>
        <v>0</v>
      </c>
      <c r="J81" s="54">
        <f>'Notes and Assumptions'!I77</f>
        <v>3750</v>
      </c>
      <c r="K81" s="54">
        <f>'Notes and Assumptions'!J77</f>
        <v>3750</v>
      </c>
      <c r="L81" s="54">
        <f>'Notes and Assumptions'!K77</f>
        <v>3750</v>
      </c>
      <c r="M81" s="54">
        <f>'Notes and Assumptions'!L77</f>
        <v>3750</v>
      </c>
      <c r="N81" s="80">
        <f t="shared" si="9"/>
        <v>15000</v>
      </c>
      <c r="O81" s="9" t="b">
        <f t="shared" si="8"/>
        <v>1</v>
      </c>
    </row>
    <row r="82" spans="1:15" ht="48">
      <c r="A82" s="117"/>
      <c r="B82" s="124" t="s">
        <v>309</v>
      </c>
      <c r="C82" s="162" t="s">
        <v>424</v>
      </c>
      <c r="D82" s="64" t="s">
        <v>285</v>
      </c>
      <c r="E82" s="3" t="s">
        <v>288</v>
      </c>
      <c r="F82" s="51" t="str">
        <f>'Notes and Assumptions'!A78</f>
        <v>B19</v>
      </c>
      <c r="G82" s="54">
        <f>'Notes and Assumptions'!F78</f>
        <v>45000</v>
      </c>
      <c r="H82" s="54">
        <f>'Notes and Assumptions'!G78</f>
        <v>0</v>
      </c>
      <c r="I82" s="54">
        <f>'Notes and Assumptions'!H78</f>
        <v>45000</v>
      </c>
      <c r="J82" s="54">
        <f>'Notes and Assumptions'!I78</f>
        <v>0</v>
      </c>
      <c r="K82" s="54">
        <f>'Notes and Assumptions'!J78</f>
        <v>0</v>
      </c>
      <c r="L82" s="54">
        <f>'Notes and Assumptions'!K78</f>
        <v>0</v>
      </c>
      <c r="M82" s="54">
        <f>'Notes and Assumptions'!L78</f>
        <v>0</v>
      </c>
      <c r="N82" s="80">
        <f t="shared" si="9"/>
        <v>45000</v>
      </c>
      <c r="O82" s="9" t="b">
        <f t="shared" si="8"/>
        <v>1</v>
      </c>
    </row>
    <row r="83" spans="1:15" ht="16">
      <c r="A83" s="117"/>
      <c r="B83" s="125"/>
      <c r="C83" s="163"/>
      <c r="D83" s="64" t="s">
        <v>285</v>
      </c>
      <c r="E83" s="3" t="s">
        <v>292</v>
      </c>
      <c r="F83" s="51" t="str">
        <f>'Notes and Assumptions'!A79</f>
        <v>B20</v>
      </c>
      <c r="G83" s="54">
        <f>'Notes and Assumptions'!F79</f>
        <v>9360</v>
      </c>
      <c r="H83" s="54">
        <f>'Notes and Assumptions'!G79</f>
        <v>0</v>
      </c>
      <c r="I83" s="54">
        <f>'Notes and Assumptions'!H79</f>
        <v>9360</v>
      </c>
      <c r="J83" s="54">
        <f>'Notes and Assumptions'!I79</f>
        <v>0</v>
      </c>
      <c r="K83" s="54">
        <f>'Notes and Assumptions'!J79</f>
        <v>0</v>
      </c>
      <c r="L83" s="54">
        <f>'Notes and Assumptions'!K79</f>
        <v>0</v>
      </c>
      <c r="M83" s="54">
        <f>'Notes and Assumptions'!L79</f>
        <v>0</v>
      </c>
      <c r="N83" s="80">
        <f t="shared" si="9"/>
        <v>9360</v>
      </c>
      <c r="O83" s="9" t="b">
        <f t="shared" si="8"/>
        <v>1</v>
      </c>
    </row>
    <row r="84" spans="1:15" ht="79.5" customHeight="1">
      <c r="A84" s="117"/>
      <c r="B84" s="125"/>
      <c r="C84" s="164"/>
      <c r="D84" s="64" t="s">
        <v>285</v>
      </c>
      <c r="E84" s="3" t="s">
        <v>292</v>
      </c>
      <c r="F84" s="51" t="str">
        <f>'Notes and Assumptions'!A80</f>
        <v>B21</v>
      </c>
      <c r="G84" s="54">
        <f>'Notes and Assumptions'!F80</f>
        <v>3000</v>
      </c>
      <c r="H84" s="54">
        <f>'Notes and Assumptions'!G80</f>
        <v>0</v>
      </c>
      <c r="I84" s="54">
        <f>'Notes and Assumptions'!H80</f>
        <v>3000</v>
      </c>
      <c r="J84" s="54">
        <f>'Notes and Assumptions'!I80</f>
        <v>0</v>
      </c>
      <c r="K84" s="54">
        <f>'Notes and Assumptions'!J80</f>
        <v>0</v>
      </c>
      <c r="L84" s="54">
        <f>'Notes and Assumptions'!K80</f>
        <v>0</v>
      </c>
      <c r="M84" s="54">
        <f>'Notes and Assumptions'!L80</f>
        <v>0</v>
      </c>
      <c r="N84" s="80">
        <f t="shared" si="9"/>
        <v>3000</v>
      </c>
      <c r="O84" s="9" t="b">
        <f t="shared" si="8"/>
        <v>1</v>
      </c>
    </row>
    <row r="85" spans="1:15" ht="48">
      <c r="A85" s="117"/>
      <c r="B85" s="125"/>
      <c r="C85" s="162" t="s">
        <v>541</v>
      </c>
      <c r="D85" s="64" t="s">
        <v>285</v>
      </c>
      <c r="E85" s="3" t="s">
        <v>293</v>
      </c>
      <c r="F85" s="51" t="str">
        <f>'Notes and Assumptions'!A81</f>
        <v>B22</v>
      </c>
      <c r="G85" s="54">
        <f>'Notes and Assumptions'!F81</f>
        <v>67500</v>
      </c>
      <c r="H85" s="54">
        <f>'Notes and Assumptions'!G81</f>
        <v>11250</v>
      </c>
      <c r="I85" s="54">
        <f>'Notes and Assumptions'!H81</f>
        <v>11250</v>
      </c>
      <c r="J85" s="54">
        <f>'Notes and Assumptions'!I81</f>
        <v>11250</v>
      </c>
      <c r="K85" s="54">
        <f>'Notes and Assumptions'!J81</f>
        <v>11250</v>
      </c>
      <c r="L85" s="54">
        <f>'Notes and Assumptions'!K81</f>
        <v>11250</v>
      </c>
      <c r="M85" s="54">
        <f>'Notes and Assumptions'!L81</f>
        <v>11250</v>
      </c>
      <c r="N85" s="80">
        <f t="shared" si="9"/>
        <v>67500</v>
      </c>
      <c r="O85" s="9" t="b">
        <f t="shared" si="8"/>
        <v>1</v>
      </c>
    </row>
    <row r="86" spans="1:15" ht="16">
      <c r="A86" s="117"/>
      <c r="B86" s="125"/>
      <c r="C86" s="163"/>
      <c r="D86" s="64" t="s">
        <v>285</v>
      </c>
      <c r="E86" s="3" t="s">
        <v>291</v>
      </c>
      <c r="F86" s="51" t="str">
        <f>'Notes and Assumptions'!A82</f>
        <v>B23</v>
      </c>
      <c r="G86" s="54">
        <f>'Notes and Assumptions'!F82</f>
        <v>9000</v>
      </c>
      <c r="H86" s="54">
        <f>'Notes and Assumptions'!G82</f>
        <v>0</v>
      </c>
      <c r="I86" s="54">
        <f>'Notes and Assumptions'!H82</f>
        <v>9000</v>
      </c>
      <c r="J86" s="54">
        <f>'Notes and Assumptions'!I82</f>
        <v>0</v>
      </c>
      <c r="K86" s="54">
        <f>'Notes and Assumptions'!J82</f>
        <v>0</v>
      </c>
      <c r="L86" s="54">
        <f>'Notes and Assumptions'!K82</f>
        <v>0</v>
      </c>
      <c r="M86" s="54">
        <f>'Notes and Assumptions'!L82</f>
        <v>0</v>
      </c>
      <c r="N86" s="80">
        <f t="shared" si="9"/>
        <v>9000</v>
      </c>
      <c r="O86" s="9" t="b">
        <f t="shared" si="8"/>
        <v>1</v>
      </c>
    </row>
    <row r="87" spans="1:15" ht="48">
      <c r="A87" s="117"/>
      <c r="B87" s="125"/>
      <c r="C87" s="164"/>
      <c r="D87" s="64" t="s">
        <v>285</v>
      </c>
      <c r="E87" s="3" t="s">
        <v>293</v>
      </c>
      <c r="F87" s="51" t="str">
        <f>'Notes and Assumptions'!A83</f>
        <v>B24</v>
      </c>
      <c r="G87" s="54">
        <f>'Notes and Assumptions'!F83</f>
        <v>22500</v>
      </c>
      <c r="H87" s="54">
        <f>'Notes and Assumptions'!G83</f>
        <v>0</v>
      </c>
      <c r="I87" s="54">
        <f>'Notes and Assumptions'!H83</f>
        <v>4500</v>
      </c>
      <c r="J87" s="54">
        <f>'Notes and Assumptions'!I83</f>
        <v>4500</v>
      </c>
      <c r="K87" s="54">
        <f>'Notes and Assumptions'!J83</f>
        <v>4500</v>
      </c>
      <c r="L87" s="54">
        <f>'Notes and Assumptions'!K83</f>
        <v>4500</v>
      </c>
      <c r="M87" s="54">
        <f>'Notes and Assumptions'!L83</f>
        <v>4500</v>
      </c>
      <c r="N87" s="80">
        <f t="shared" si="9"/>
        <v>22500</v>
      </c>
      <c r="O87" s="9" t="b">
        <f t="shared" si="8"/>
        <v>1</v>
      </c>
    </row>
    <row r="88" spans="1:15" ht="32">
      <c r="A88" s="117"/>
      <c r="B88" s="125"/>
      <c r="C88" s="162" t="s">
        <v>542</v>
      </c>
      <c r="D88" s="64" t="s">
        <v>285</v>
      </c>
      <c r="E88" s="3" t="s">
        <v>288</v>
      </c>
      <c r="F88" s="51" t="str">
        <f>'Notes and Assumptions'!A84</f>
        <v>B25</v>
      </c>
      <c r="G88" s="54">
        <f>'Notes and Assumptions'!F84</f>
        <v>90000</v>
      </c>
      <c r="H88" s="54">
        <f>'Notes and Assumptions'!G84</f>
        <v>15000</v>
      </c>
      <c r="I88" s="54">
        <f>'Notes and Assumptions'!H84</f>
        <v>15000</v>
      </c>
      <c r="J88" s="54">
        <f>'Notes and Assumptions'!I84</f>
        <v>15000</v>
      </c>
      <c r="K88" s="54">
        <f>'Notes and Assumptions'!J84</f>
        <v>15000</v>
      </c>
      <c r="L88" s="54">
        <f>'Notes and Assumptions'!K84</f>
        <v>15000</v>
      </c>
      <c r="M88" s="54">
        <f>'Notes and Assumptions'!L84</f>
        <v>15000</v>
      </c>
      <c r="N88" s="80">
        <f t="shared" si="9"/>
        <v>90000</v>
      </c>
      <c r="O88" s="9" t="b">
        <f t="shared" si="8"/>
        <v>1</v>
      </c>
    </row>
    <row r="89" spans="1:15" ht="16">
      <c r="A89" s="117"/>
      <c r="B89" s="125"/>
      <c r="C89" s="163"/>
      <c r="D89" s="64" t="s">
        <v>285</v>
      </c>
      <c r="E89" s="3" t="s">
        <v>292</v>
      </c>
      <c r="F89" s="51" t="str">
        <f>'Notes and Assumptions'!A85</f>
        <v>B26</v>
      </c>
      <c r="G89" s="54">
        <f>'Notes and Assumptions'!F85</f>
        <v>18720</v>
      </c>
      <c r="H89" s="54">
        <f>'Notes and Assumptions'!G85</f>
        <v>3120</v>
      </c>
      <c r="I89" s="54">
        <f>'Notes and Assumptions'!H85</f>
        <v>3120</v>
      </c>
      <c r="J89" s="54">
        <f>'Notes and Assumptions'!I85</f>
        <v>3120</v>
      </c>
      <c r="K89" s="54">
        <f>'Notes and Assumptions'!J85</f>
        <v>3120</v>
      </c>
      <c r="L89" s="54">
        <f>'Notes and Assumptions'!K85</f>
        <v>3120</v>
      </c>
      <c r="M89" s="54">
        <f>'Notes and Assumptions'!L85</f>
        <v>3120</v>
      </c>
      <c r="N89" s="80">
        <f t="shared" si="9"/>
        <v>18720</v>
      </c>
      <c r="O89" s="9" t="b">
        <f t="shared" si="8"/>
        <v>1</v>
      </c>
    </row>
    <row r="90" spans="1:15" ht="16">
      <c r="A90" s="117"/>
      <c r="B90" s="125"/>
      <c r="C90" s="163"/>
      <c r="D90" s="64" t="s">
        <v>285</v>
      </c>
      <c r="E90" s="3" t="s">
        <v>292</v>
      </c>
      <c r="F90" s="51" t="str">
        <f>'Notes and Assumptions'!A86</f>
        <v>B27</v>
      </c>
      <c r="G90" s="54">
        <f>'Notes and Assumptions'!F86</f>
        <v>18000</v>
      </c>
      <c r="H90" s="54">
        <f>'Notes and Assumptions'!G86</f>
        <v>3000</v>
      </c>
      <c r="I90" s="54">
        <f>'Notes and Assumptions'!H86</f>
        <v>3000</v>
      </c>
      <c r="J90" s="54">
        <f>'Notes and Assumptions'!I86</f>
        <v>3000</v>
      </c>
      <c r="K90" s="54">
        <f>'Notes and Assumptions'!J86</f>
        <v>3000</v>
      </c>
      <c r="L90" s="54">
        <f>'Notes and Assumptions'!K86</f>
        <v>3000</v>
      </c>
      <c r="M90" s="54">
        <f>'Notes and Assumptions'!L86</f>
        <v>3000</v>
      </c>
      <c r="N90" s="80">
        <f t="shared" si="9"/>
        <v>18000</v>
      </c>
      <c r="O90" s="9" t="b">
        <f t="shared" si="8"/>
        <v>1</v>
      </c>
    </row>
    <row r="91" spans="1:15" ht="48">
      <c r="A91" s="117"/>
      <c r="B91" s="125"/>
      <c r="C91" s="164"/>
      <c r="D91" s="64" t="s">
        <v>285</v>
      </c>
      <c r="E91" s="3" t="s">
        <v>293</v>
      </c>
      <c r="F91" s="51" t="str">
        <f>'Notes and Assumptions'!A87</f>
        <v>B28</v>
      </c>
      <c r="G91" s="54">
        <f>'Notes and Assumptions'!F87</f>
        <v>22500</v>
      </c>
      <c r="H91" s="54">
        <f>'Notes and Assumptions'!G87</f>
        <v>3750</v>
      </c>
      <c r="I91" s="54">
        <f>'Notes and Assumptions'!H87</f>
        <v>3750</v>
      </c>
      <c r="J91" s="54">
        <f>'Notes and Assumptions'!I87</f>
        <v>3750</v>
      </c>
      <c r="K91" s="54">
        <f>'Notes and Assumptions'!J87</f>
        <v>3750</v>
      </c>
      <c r="L91" s="54">
        <f>'Notes and Assumptions'!K87</f>
        <v>3750</v>
      </c>
      <c r="M91" s="54">
        <f>'Notes and Assumptions'!L87</f>
        <v>3750</v>
      </c>
      <c r="N91" s="80">
        <f t="shared" si="9"/>
        <v>22500</v>
      </c>
      <c r="O91" s="9" t="b">
        <f t="shared" si="8"/>
        <v>1</v>
      </c>
    </row>
    <row r="92" spans="1:15" ht="48">
      <c r="A92" s="117"/>
      <c r="B92" s="125"/>
      <c r="C92" s="159" t="s">
        <v>310</v>
      </c>
      <c r="D92" s="64" t="s">
        <v>285</v>
      </c>
      <c r="E92" s="3" t="s">
        <v>293</v>
      </c>
      <c r="F92" s="51" t="str">
        <f>'Notes and Assumptions'!A88</f>
        <v>B29</v>
      </c>
      <c r="G92" s="54">
        <f>'Notes and Assumptions'!F88</f>
        <v>22500</v>
      </c>
      <c r="H92" s="54">
        <f>'Notes and Assumptions'!G88</f>
        <v>3750</v>
      </c>
      <c r="I92" s="54">
        <f>'Notes and Assumptions'!H88</f>
        <v>3750</v>
      </c>
      <c r="J92" s="54">
        <f>'Notes and Assumptions'!I88</f>
        <v>3750</v>
      </c>
      <c r="K92" s="54">
        <f>'Notes and Assumptions'!J88</f>
        <v>3750</v>
      </c>
      <c r="L92" s="54">
        <f>'Notes and Assumptions'!K88</f>
        <v>3750</v>
      </c>
      <c r="M92" s="54">
        <f>'Notes and Assumptions'!L88</f>
        <v>3750</v>
      </c>
      <c r="N92" s="80">
        <f t="shared" ref="N92:N118" si="10">SUM(H92:M92)</f>
        <v>22500</v>
      </c>
      <c r="O92" s="9" t="b">
        <f t="shared" si="8"/>
        <v>1</v>
      </c>
    </row>
    <row r="93" spans="1:15" ht="112">
      <c r="A93" s="117"/>
      <c r="B93" s="124" t="s">
        <v>409</v>
      </c>
      <c r="C93" s="159" t="s">
        <v>543</v>
      </c>
      <c r="D93" s="64" t="s">
        <v>285</v>
      </c>
      <c r="E93" s="3" t="s">
        <v>293</v>
      </c>
      <c r="F93" s="51" t="str">
        <f>'Notes and Assumptions'!A89</f>
        <v>B30</v>
      </c>
      <c r="G93" s="54">
        <f>'Notes and Assumptions'!F89</f>
        <v>45000</v>
      </c>
      <c r="H93" s="54">
        <f>'Notes and Assumptions'!G89</f>
        <v>7500</v>
      </c>
      <c r="I93" s="54">
        <f>'Notes and Assumptions'!H89</f>
        <v>7500</v>
      </c>
      <c r="J93" s="54">
        <f>'Notes and Assumptions'!I89</f>
        <v>7500</v>
      </c>
      <c r="K93" s="54">
        <f>'Notes and Assumptions'!J89</f>
        <v>7500</v>
      </c>
      <c r="L93" s="54">
        <f>'Notes and Assumptions'!K89</f>
        <v>7500</v>
      </c>
      <c r="M93" s="54">
        <f>'Notes and Assumptions'!L89</f>
        <v>7500</v>
      </c>
      <c r="N93" s="80">
        <f t="shared" si="10"/>
        <v>45000</v>
      </c>
      <c r="O93" s="9" t="b">
        <f t="shared" si="8"/>
        <v>1</v>
      </c>
    </row>
    <row r="94" spans="1:15" ht="32">
      <c r="A94" s="117"/>
      <c r="B94" s="125"/>
      <c r="C94" s="162" t="s">
        <v>311</v>
      </c>
      <c r="D94" s="64" t="s">
        <v>285</v>
      </c>
      <c r="E94" s="3" t="s">
        <v>288</v>
      </c>
      <c r="F94" s="51" t="str">
        <f>'Notes and Assumptions'!A90</f>
        <v>B31</v>
      </c>
      <c r="G94" s="54">
        <f>'Notes and Assumptions'!F90</f>
        <v>90000</v>
      </c>
      <c r="H94" s="54">
        <f>'Notes and Assumptions'!G90</f>
        <v>90000</v>
      </c>
      <c r="I94" s="54">
        <f>'Notes and Assumptions'!H90</f>
        <v>0</v>
      </c>
      <c r="J94" s="54">
        <f>'Notes and Assumptions'!I90</f>
        <v>0</v>
      </c>
      <c r="K94" s="54">
        <f>'Notes and Assumptions'!J90</f>
        <v>0</v>
      </c>
      <c r="L94" s="54">
        <f>'Notes and Assumptions'!K90</f>
        <v>0</v>
      </c>
      <c r="M94" s="54">
        <f>'Notes and Assumptions'!L90</f>
        <v>0</v>
      </c>
      <c r="N94" s="80">
        <f t="shared" si="10"/>
        <v>90000</v>
      </c>
      <c r="O94" s="9" t="b">
        <f t="shared" si="8"/>
        <v>1</v>
      </c>
    </row>
    <row r="95" spans="1:15" ht="16">
      <c r="A95" s="117"/>
      <c r="B95" s="125"/>
      <c r="C95" s="163"/>
      <c r="D95" s="64" t="s">
        <v>285</v>
      </c>
      <c r="E95" s="3" t="s">
        <v>292</v>
      </c>
      <c r="F95" s="51" t="str">
        <f>'Notes and Assumptions'!A91</f>
        <v>B32</v>
      </c>
      <c r="G95" s="54">
        <f>'Notes and Assumptions'!F91</f>
        <v>18720</v>
      </c>
      <c r="H95" s="54">
        <f>'Notes and Assumptions'!G91</f>
        <v>18720</v>
      </c>
      <c r="I95" s="54">
        <f>'Notes and Assumptions'!H91</f>
        <v>0</v>
      </c>
      <c r="J95" s="54">
        <f>'Notes and Assumptions'!I91</f>
        <v>0</v>
      </c>
      <c r="K95" s="54">
        <f>'Notes and Assumptions'!J91</f>
        <v>0</v>
      </c>
      <c r="L95" s="54">
        <f>'Notes and Assumptions'!K91</f>
        <v>0</v>
      </c>
      <c r="M95" s="54">
        <f>'Notes and Assumptions'!L91</f>
        <v>0</v>
      </c>
      <c r="N95" s="80">
        <f t="shared" si="10"/>
        <v>18720</v>
      </c>
      <c r="O95" s="9" t="b">
        <f t="shared" si="8"/>
        <v>1</v>
      </c>
    </row>
    <row r="96" spans="1:15" ht="16">
      <c r="A96" s="117"/>
      <c r="B96" s="125"/>
      <c r="C96" s="163"/>
      <c r="D96" s="64" t="s">
        <v>285</v>
      </c>
      <c r="E96" s="3" t="s">
        <v>292</v>
      </c>
      <c r="F96" s="51" t="str">
        <f>'Notes and Assumptions'!A92</f>
        <v>B33</v>
      </c>
      <c r="G96" s="54">
        <f>'Notes and Assumptions'!F92</f>
        <v>3000</v>
      </c>
      <c r="H96" s="54">
        <f>'Notes and Assumptions'!G92</f>
        <v>3000</v>
      </c>
      <c r="I96" s="54">
        <f>'Notes and Assumptions'!H92</f>
        <v>0</v>
      </c>
      <c r="J96" s="54">
        <f>'Notes and Assumptions'!I92</f>
        <v>0</v>
      </c>
      <c r="K96" s="54">
        <f>'Notes and Assumptions'!J92</f>
        <v>0</v>
      </c>
      <c r="L96" s="54">
        <f>'Notes and Assumptions'!K92</f>
        <v>0</v>
      </c>
      <c r="M96" s="54">
        <f>'Notes and Assumptions'!L92</f>
        <v>0</v>
      </c>
      <c r="N96" s="80">
        <f t="shared" si="10"/>
        <v>3000</v>
      </c>
      <c r="O96" s="9" t="b">
        <f t="shared" si="8"/>
        <v>1</v>
      </c>
    </row>
    <row r="97" spans="1:15" ht="48">
      <c r="A97" s="117"/>
      <c r="B97" s="125"/>
      <c r="C97" s="164"/>
      <c r="D97" s="64" t="s">
        <v>285</v>
      </c>
      <c r="E97" s="3" t="s">
        <v>293</v>
      </c>
      <c r="F97" s="51" t="str">
        <f>'Notes and Assumptions'!A93</f>
        <v>B34</v>
      </c>
      <c r="G97" s="54">
        <f>'Notes and Assumptions'!F93</f>
        <v>3750</v>
      </c>
      <c r="H97" s="54">
        <f>'Notes and Assumptions'!G93</f>
        <v>0</v>
      </c>
      <c r="I97" s="54">
        <f>'Notes and Assumptions'!H93</f>
        <v>0</v>
      </c>
      <c r="J97" s="54">
        <f>'Notes and Assumptions'!I93</f>
        <v>3750</v>
      </c>
      <c r="K97" s="54">
        <f>'Notes and Assumptions'!J93</f>
        <v>0</v>
      </c>
      <c r="L97" s="54">
        <f>'Notes and Assumptions'!K93</f>
        <v>0</v>
      </c>
      <c r="M97" s="54">
        <f>'Notes and Assumptions'!L93</f>
        <v>0</v>
      </c>
      <c r="N97" s="80">
        <f t="shared" si="10"/>
        <v>3750</v>
      </c>
      <c r="O97" s="9" t="b">
        <f t="shared" si="8"/>
        <v>1</v>
      </c>
    </row>
    <row r="98" spans="1:15" ht="43.25" customHeight="1">
      <c r="A98" s="117"/>
      <c r="B98" s="125"/>
      <c r="C98" s="162" t="s">
        <v>394</v>
      </c>
      <c r="D98" s="64" t="s">
        <v>285</v>
      </c>
      <c r="E98" s="3" t="s">
        <v>293</v>
      </c>
      <c r="F98" s="51" t="str">
        <f>'Notes and Assumptions'!A94</f>
        <v>B35</v>
      </c>
      <c r="G98" s="54">
        <f>'Notes and Assumptions'!F94</f>
        <v>22500</v>
      </c>
      <c r="H98" s="54">
        <f>'Notes and Assumptions'!G94</f>
        <v>0</v>
      </c>
      <c r="I98" s="54">
        <f>'Notes and Assumptions'!H94</f>
        <v>22500</v>
      </c>
      <c r="J98" s="54">
        <f>'Notes and Assumptions'!I94</f>
        <v>0</v>
      </c>
      <c r="K98" s="54">
        <f>'Notes and Assumptions'!J94</f>
        <v>0</v>
      </c>
      <c r="L98" s="54">
        <f>'Notes and Assumptions'!K94</f>
        <v>0</v>
      </c>
      <c r="M98" s="54">
        <f>'Notes and Assumptions'!L94</f>
        <v>0</v>
      </c>
      <c r="N98" s="80">
        <f t="shared" ref="N98:N110" si="11">SUM(H98:M98)</f>
        <v>22500</v>
      </c>
      <c r="O98" s="9" t="b">
        <f t="shared" ref="O98:O110" si="12">G98=N98</f>
        <v>1</v>
      </c>
    </row>
    <row r="99" spans="1:15" ht="48">
      <c r="A99" s="117"/>
      <c r="B99" s="125"/>
      <c r="C99" s="163"/>
      <c r="D99" s="64" t="s">
        <v>285</v>
      </c>
      <c r="E99" s="3" t="s">
        <v>286</v>
      </c>
      <c r="F99" s="51" t="str">
        <f>'Notes and Assumptions'!A95</f>
        <v>B36</v>
      </c>
      <c r="G99" s="54">
        <f>'Notes and Assumptions'!F95</f>
        <v>40000</v>
      </c>
      <c r="H99" s="54">
        <f>'Notes and Assumptions'!G95</f>
        <v>0</v>
      </c>
      <c r="I99" s="54">
        <f>'Notes and Assumptions'!H95</f>
        <v>40000</v>
      </c>
      <c r="J99" s="54">
        <f>'Notes and Assumptions'!I95</f>
        <v>0</v>
      </c>
      <c r="K99" s="54">
        <f>'Notes and Assumptions'!J95</f>
        <v>0</v>
      </c>
      <c r="L99" s="54">
        <f>'Notes and Assumptions'!K95</f>
        <v>0</v>
      </c>
      <c r="M99" s="54">
        <f>'Notes and Assumptions'!L95</f>
        <v>0</v>
      </c>
      <c r="N99" s="80">
        <f t="shared" si="11"/>
        <v>40000</v>
      </c>
      <c r="O99" s="9" t="b">
        <f t="shared" si="12"/>
        <v>1</v>
      </c>
    </row>
    <row r="100" spans="1:15" ht="48">
      <c r="A100" s="117"/>
      <c r="B100" s="125"/>
      <c r="C100" s="163"/>
      <c r="D100" s="64" t="s">
        <v>285</v>
      </c>
      <c r="E100" s="3" t="s">
        <v>286</v>
      </c>
      <c r="F100" s="51" t="str">
        <f>'Notes and Assumptions'!A96</f>
        <v>B37</v>
      </c>
      <c r="G100" s="54">
        <f>'Notes and Assumptions'!F96</f>
        <v>750000</v>
      </c>
      <c r="H100" s="54">
        <f>'Notes and Assumptions'!G96</f>
        <v>0</v>
      </c>
      <c r="I100" s="54">
        <f>'Notes and Assumptions'!H96</f>
        <v>150000</v>
      </c>
      <c r="J100" s="54">
        <f>'Notes and Assumptions'!I96</f>
        <v>150000</v>
      </c>
      <c r="K100" s="54">
        <f>'Notes and Assumptions'!J96</f>
        <v>150000</v>
      </c>
      <c r="L100" s="54">
        <f>'Notes and Assumptions'!K96</f>
        <v>150000</v>
      </c>
      <c r="M100" s="54">
        <f>'Notes and Assumptions'!L96</f>
        <v>150000</v>
      </c>
      <c r="N100" s="80">
        <f t="shared" si="11"/>
        <v>750000</v>
      </c>
      <c r="O100" s="9" t="b">
        <f t="shared" si="12"/>
        <v>1</v>
      </c>
    </row>
    <row r="101" spans="1:15" ht="16">
      <c r="A101" s="117"/>
      <c r="B101" s="125"/>
      <c r="C101" s="162" t="s">
        <v>395</v>
      </c>
      <c r="D101" s="64" t="s">
        <v>285</v>
      </c>
      <c r="E101" s="3" t="s">
        <v>291</v>
      </c>
      <c r="F101" s="51" t="str">
        <f>'Notes and Assumptions'!A97</f>
        <v>B38</v>
      </c>
      <c r="G101" s="54">
        <f>'Notes and Assumptions'!F97</f>
        <v>27000</v>
      </c>
      <c r="H101" s="54">
        <f>'Notes and Assumptions'!G97</f>
        <v>27000</v>
      </c>
      <c r="I101" s="54">
        <f>'Notes and Assumptions'!H97</f>
        <v>0</v>
      </c>
      <c r="J101" s="54">
        <f>'Notes and Assumptions'!I97</f>
        <v>0</v>
      </c>
      <c r="K101" s="54">
        <f>'Notes and Assumptions'!J97</f>
        <v>0</v>
      </c>
      <c r="L101" s="54">
        <f>'Notes and Assumptions'!K97</f>
        <v>0</v>
      </c>
      <c r="M101" s="54">
        <f>'Notes and Assumptions'!L97</f>
        <v>0</v>
      </c>
      <c r="N101" s="80">
        <f t="shared" si="11"/>
        <v>27000</v>
      </c>
      <c r="O101" s="9" t="b">
        <f t="shared" si="12"/>
        <v>1</v>
      </c>
    </row>
    <row r="102" spans="1:15" ht="16">
      <c r="A102" s="117"/>
      <c r="B102" s="125"/>
      <c r="C102" s="163"/>
      <c r="D102" s="64" t="s">
        <v>285</v>
      </c>
      <c r="E102" s="3" t="s">
        <v>292</v>
      </c>
      <c r="F102" s="51" t="str">
        <f>'Notes and Assumptions'!A98</f>
        <v>B39</v>
      </c>
      <c r="G102" s="54">
        <f>'Notes and Assumptions'!F98</f>
        <v>9360</v>
      </c>
      <c r="H102" s="54">
        <f>'Notes and Assumptions'!G98</f>
        <v>9360</v>
      </c>
      <c r="I102" s="54">
        <f>'Notes and Assumptions'!H98</f>
        <v>0</v>
      </c>
      <c r="J102" s="54">
        <f>'Notes and Assumptions'!I98</f>
        <v>0</v>
      </c>
      <c r="K102" s="54">
        <f>'Notes and Assumptions'!J98</f>
        <v>0</v>
      </c>
      <c r="L102" s="54">
        <f>'Notes and Assumptions'!K98</f>
        <v>0</v>
      </c>
      <c r="M102" s="54">
        <f>'Notes and Assumptions'!L98</f>
        <v>0</v>
      </c>
      <c r="N102" s="80">
        <f t="shared" si="11"/>
        <v>9360</v>
      </c>
      <c r="O102" s="9" t="b">
        <f t="shared" si="12"/>
        <v>1</v>
      </c>
    </row>
    <row r="103" spans="1:15" ht="16">
      <c r="A103" s="117"/>
      <c r="B103" s="125"/>
      <c r="C103" s="163"/>
      <c r="D103" s="64" t="s">
        <v>287</v>
      </c>
      <c r="E103" s="3" t="s">
        <v>302</v>
      </c>
      <c r="F103" s="51" t="str">
        <f>'Notes and Assumptions'!A99</f>
        <v>B40</v>
      </c>
      <c r="G103" s="54">
        <f>'Notes and Assumptions'!F99</f>
        <v>60000</v>
      </c>
      <c r="H103" s="54">
        <f>'Notes and Assumptions'!G99</f>
        <v>10000</v>
      </c>
      <c r="I103" s="54">
        <f>'Notes and Assumptions'!H99</f>
        <v>10000</v>
      </c>
      <c r="J103" s="54">
        <f>'Notes and Assumptions'!I99</f>
        <v>10000</v>
      </c>
      <c r="K103" s="54">
        <f>'Notes and Assumptions'!J99</f>
        <v>10000</v>
      </c>
      <c r="L103" s="54">
        <f>'Notes and Assumptions'!K99</f>
        <v>10000</v>
      </c>
      <c r="M103" s="54">
        <f>'Notes and Assumptions'!L99</f>
        <v>10000</v>
      </c>
      <c r="N103" s="80">
        <f t="shared" si="11"/>
        <v>60000</v>
      </c>
      <c r="O103" s="9" t="b">
        <f t="shared" si="12"/>
        <v>1</v>
      </c>
    </row>
    <row r="104" spans="1:15" ht="16">
      <c r="A104" s="117"/>
      <c r="B104" s="125"/>
      <c r="C104" s="163"/>
      <c r="D104" s="64" t="s">
        <v>285</v>
      </c>
      <c r="E104" s="3" t="s">
        <v>291</v>
      </c>
      <c r="F104" s="51" t="str">
        <f>'Notes and Assumptions'!A100</f>
        <v>B41</v>
      </c>
      <c r="G104" s="54">
        <f>'Notes and Assumptions'!F100</f>
        <v>216000</v>
      </c>
      <c r="H104" s="54">
        <f>'Notes and Assumptions'!G100</f>
        <v>36000</v>
      </c>
      <c r="I104" s="54">
        <f>'Notes and Assumptions'!H100</f>
        <v>36000</v>
      </c>
      <c r="J104" s="54">
        <f>'Notes and Assumptions'!I100</f>
        <v>36000</v>
      </c>
      <c r="K104" s="54">
        <f>'Notes and Assumptions'!J100</f>
        <v>36000</v>
      </c>
      <c r="L104" s="54">
        <f>'Notes and Assumptions'!K100</f>
        <v>36000</v>
      </c>
      <c r="M104" s="54">
        <f>'Notes and Assumptions'!L100</f>
        <v>36000</v>
      </c>
      <c r="N104" s="80">
        <f t="shared" si="11"/>
        <v>216000</v>
      </c>
      <c r="O104" s="9" t="b">
        <f t="shared" si="12"/>
        <v>1</v>
      </c>
    </row>
    <row r="105" spans="1:15" ht="16">
      <c r="A105" s="117"/>
      <c r="B105" s="125"/>
      <c r="C105" s="163"/>
      <c r="D105" s="64" t="s">
        <v>285</v>
      </c>
      <c r="E105" s="3" t="s">
        <v>292</v>
      </c>
      <c r="F105" s="51" t="str">
        <f>'Notes and Assumptions'!A101</f>
        <v>B42</v>
      </c>
      <c r="G105" s="54">
        <f>'Notes and Assumptions'!F101</f>
        <v>74880</v>
      </c>
      <c r="H105" s="54">
        <f>'Notes and Assumptions'!G101</f>
        <v>12480</v>
      </c>
      <c r="I105" s="54">
        <f>'Notes and Assumptions'!H101</f>
        <v>12480</v>
      </c>
      <c r="J105" s="54">
        <f>'Notes and Assumptions'!I101</f>
        <v>12480</v>
      </c>
      <c r="K105" s="54">
        <f>'Notes and Assumptions'!J101</f>
        <v>12480</v>
      </c>
      <c r="L105" s="54">
        <f>'Notes and Assumptions'!K101</f>
        <v>12480</v>
      </c>
      <c r="M105" s="54">
        <f>'Notes and Assumptions'!L101</f>
        <v>12480</v>
      </c>
      <c r="N105" s="80">
        <f t="shared" si="11"/>
        <v>74880</v>
      </c>
      <c r="O105" s="9" t="b">
        <f t="shared" si="12"/>
        <v>1</v>
      </c>
    </row>
    <row r="106" spans="1:15" ht="16">
      <c r="A106" s="117"/>
      <c r="B106" s="125"/>
      <c r="C106" s="162" t="s">
        <v>396</v>
      </c>
      <c r="D106" s="64" t="s">
        <v>285</v>
      </c>
      <c r="E106" s="3" t="s">
        <v>291</v>
      </c>
      <c r="F106" s="51" t="str">
        <f>'Notes and Assumptions'!A102</f>
        <v>B43</v>
      </c>
      <c r="G106" s="54">
        <f>'Notes and Assumptions'!F102</f>
        <v>18000</v>
      </c>
      <c r="H106" s="54">
        <f>'Notes and Assumptions'!G102</f>
        <v>18000</v>
      </c>
      <c r="I106" s="54">
        <f>'Notes and Assumptions'!H102</f>
        <v>0</v>
      </c>
      <c r="J106" s="54">
        <f>'Notes and Assumptions'!I102</f>
        <v>0</v>
      </c>
      <c r="K106" s="54">
        <f>'Notes and Assumptions'!J102</f>
        <v>0</v>
      </c>
      <c r="L106" s="54">
        <f>'Notes and Assumptions'!K102</f>
        <v>0</v>
      </c>
      <c r="M106" s="54">
        <f>'Notes and Assumptions'!L102</f>
        <v>0</v>
      </c>
      <c r="N106" s="80">
        <f t="shared" si="11"/>
        <v>18000</v>
      </c>
      <c r="O106" s="9" t="b">
        <f t="shared" si="12"/>
        <v>1</v>
      </c>
    </row>
    <row r="107" spans="1:15" ht="16">
      <c r="A107" s="117"/>
      <c r="B107" s="125"/>
      <c r="C107" s="163"/>
      <c r="D107" s="64" t="s">
        <v>285</v>
      </c>
      <c r="E107" s="3" t="s">
        <v>292</v>
      </c>
      <c r="F107" s="51" t="str">
        <f>'Notes and Assumptions'!A103</f>
        <v>B44</v>
      </c>
      <c r="G107" s="54">
        <f>'Notes and Assumptions'!F103</f>
        <v>6240</v>
      </c>
      <c r="H107" s="54">
        <f>'Notes and Assumptions'!G103</f>
        <v>6240</v>
      </c>
      <c r="I107" s="54">
        <f>'Notes and Assumptions'!H103</f>
        <v>0</v>
      </c>
      <c r="J107" s="54">
        <f>'Notes and Assumptions'!I103</f>
        <v>0</v>
      </c>
      <c r="K107" s="54">
        <f>'Notes and Assumptions'!J103</f>
        <v>0</v>
      </c>
      <c r="L107" s="54">
        <f>'Notes and Assumptions'!K103</f>
        <v>0</v>
      </c>
      <c r="M107" s="54">
        <f>'Notes and Assumptions'!L103</f>
        <v>0</v>
      </c>
      <c r="N107" s="80">
        <f t="shared" si="11"/>
        <v>6240</v>
      </c>
      <c r="O107" s="9" t="b">
        <f t="shared" si="12"/>
        <v>1</v>
      </c>
    </row>
    <row r="108" spans="1:15" ht="16">
      <c r="A108" s="117"/>
      <c r="B108" s="125"/>
      <c r="C108" s="163"/>
      <c r="D108" s="64" t="s">
        <v>287</v>
      </c>
      <c r="E108" s="3" t="s">
        <v>302</v>
      </c>
      <c r="F108" s="51" t="str">
        <f>'Notes and Assumptions'!A104</f>
        <v>B45</v>
      </c>
      <c r="G108" s="54">
        <f>'Notes and Assumptions'!F104</f>
        <v>60000</v>
      </c>
      <c r="H108" s="54">
        <f>'Notes and Assumptions'!G104</f>
        <v>10000</v>
      </c>
      <c r="I108" s="54">
        <f>'Notes and Assumptions'!H104</f>
        <v>10000</v>
      </c>
      <c r="J108" s="54">
        <f>'Notes and Assumptions'!I104</f>
        <v>10000</v>
      </c>
      <c r="K108" s="54">
        <f>'Notes and Assumptions'!J104</f>
        <v>10000</v>
      </c>
      <c r="L108" s="54">
        <f>'Notes and Assumptions'!K104</f>
        <v>10000</v>
      </c>
      <c r="M108" s="54">
        <f>'Notes and Assumptions'!L104</f>
        <v>10000</v>
      </c>
      <c r="N108" s="80">
        <f t="shared" si="11"/>
        <v>60000</v>
      </c>
      <c r="O108" s="9" t="b">
        <f t="shared" si="12"/>
        <v>1</v>
      </c>
    </row>
    <row r="109" spans="1:15" ht="16">
      <c r="A109" s="117"/>
      <c r="B109" s="125"/>
      <c r="C109" s="163"/>
      <c r="D109" s="64" t="s">
        <v>285</v>
      </c>
      <c r="E109" s="3" t="s">
        <v>291</v>
      </c>
      <c r="F109" s="51" t="str">
        <f>'Notes and Assumptions'!A105</f>
        <v>B46</v>
      </c>
      <c r="G109" s="54">
        <f>'Notes and Assumptions'!F105</f>
        <v>108000</v>
      </c>
      <c r="H109" s="54">
        <f>'Notes and Assumptions'!G105</f>
        <v>18000</v>
      </c>
      <c r="I109" s="54">
        <f>'Notes and Assumptions'!H105</f>
        <v>18000</v>
      </c>
      <c r="J109" s="54">
        <f>'Notes and Assumptions'!I105</f>
        <v>18000</v>
      </c>
      <c r="K109" s="54">
        <f>'Notes and Assumptions'!J105</f>
        <v>18000</v>
      </c>
      <c r="L109" s="54">
        <f>'Notes and Assumptions'!K105</f>
        <v>18000</v>
      </c>
      <c r="M109" s="54">
        <f>'Notes and Assumptions'!L105</f>
        <v>18000</v>
      </c>
      <c r="N109" s="80">
        <f t="shared" si="11"/>
        <v>108000</v>
      </c>
      <c r="O109" s="9" t="b">
        <f t="shared" si="12"/>
        <v>1</v>
      </c>
    </row>
    <row r="110" spans="1:15" ht="16">
      <c r="A110" s="117"/>
      <c r="B110" s="125"/>
      <c r="C110" s="163"/>
      <c r="D110" s="64" t="s">
        <v>285</v>
      </c>
      <c r="E110" s="3" t="s">
        <v>292</v>
      </c>
      <c r="F110" s="51" t="str">
        <f>'Notes and Assumptions'!A106</f>
        <v>B47</v>
      </c>
      <c r="G110" s="54">
        <f>'Notes and Assumptions'!F106</f>
        <v>37440</v>
      </c>
      <c r="H110" s="54">
        <f>'Notes and Assumptions'!G106</f>
        <v>6240</v>
      </c>
      <c r="I110" s="54">
        <f>'Notes and Assumptions'!H106</f>
        <v>6240</v>
      </c>
      <c r="J110" s="54">
        <f>'Notes and Assumptions'!I106</f>
        <v>6240</v>
      </c>
      <c r="K110" s="54">
        <f>'Notes and Assumptions'!J106</f>
        <v>6240</v>
      </c>
      <c r="L110" s="54">
        <f>'Notes and Assumptions'!K106</f>
        <v>6240</v>
      </c>
      <c r="M110" s="54">
        <f>'Notes and Assumptions'!L106</f>
        <v>6240</v>
      </c>
      <c r="N110" s="80">
        <f t="shared" si="11"/>
        <v>37440</v>
      </c>
      <c r="O110" s="9" t="b">
        <f t="shared" si="12"/>
        <v>1</v>
      </c>
    </row>
    <row r="111" spans="1:15" ht="80">
      <c r="A111" s="117"/>
      <c r="B111" s="124" t="s">
        <v>312</v>
      </c>
      <c r="C111" s="79" t="s">
        <v>313</v>
      </c>
      <c r="D111" s="64" t="s">
        <v>285</v>
      </c>
      <c r="E111" s="3" t="s">
        <v>293</v>
      </c>
      <c r="F111" s="51" t="str">
        <f>'Notes and Assumptions'!A107</f>
        <v>B48</v>
      </c>
      <c r="G111" s="54">
        <f>'Notes and Assumptions'!F107</f>
        <v>22500</v>
      </c>
      <c r="H111" s="54">
        <f>'Notes and Assumptions'!G107</f>
        <v>0</v>
      </c>
      <c r="I111" s="54">
        <f>'Notes and Assumptions'!H107</f>
        <v>22500</v>
      </c>
      <c r="J111" s="54">
        <f>'Notes and Assumptions'!I107</f>
        <v>0</v>
      </c>
      <c r="K111" s="54">
        <f>'Notes and Assumptions'!J107</f>
        <v>0</v>
      </c>
      <c r="L111" s="54">
        <f>'Notes and Assumptions'!K107</f>
        <v>0</v>
      </c>
      <c r="M111" s="54">
        <f>'Notes and Assumptions'!L107</f>
        <v>0</v>
      </c>
      <c r="N111" s="80">
        <f t="shared" si="10"/>
        <v>22500</v>
      </c>
      <c r="O111" s="9" t="b">
        <f t="shared" si="8"/>
        <v>1</v>
      </c>
    </row>
    <row r="112" spans="1:15" ht="48">
      <c r="A112" s="117"/>
      <c r="B112" s="125"/>
      <c r="C112" s="79" t="s">
        <v>314</v>
      </c>
      <c r="D112" s="64" t="s">
        <v>285</v>
      </c>
      <c r="E112" s="3" t="s">
        <v>286</v>
      </c>
      <c r="F112" s="51" t="str">
        <f>'Notes and Assumptions'!A108</f>
        <v>B49</v>
      </c>
      <c r="G112" s="54">
        <f>'Notes and Assumptions'!F108</f>
        <v>40000</v>
      </c>
      <c r="H112" s="54">
        <f>'Notes and Assumptions'!G108</f>
        <v>0</v>
      </c>
      <c r="I112" s="54">
        <f>'Notes and Assumptions'!H108</f>
        <v>40000</v>
      </c>
      <c r="J112" s="54">
        <f>'Notes and Assumptions'!I108</f>
        <v>0</v>
      </c>
      <c r="K112" s="54">
        <f>'Notes and Assumptions'!J108</f>
        <v>0</v>
      </c>
      <c r="L112" s="54">
        <f>'Notes and Assumptions'!K108</f>
        <v>0</v>
      </c>
      <c r="M112" s="54">
        <f>'Notes and Assumptions'!L108</f>
        <v>0</v>
      </c>
      <c r="N112" s="80">
        <f t="shared" si="10"/>
        <v>40000</v>
      </c>
      <c r="O112" s="9" t="b">
        <f t="shared" si="8"/>
        <v>1</v>
      </c>
    </row>
    <row r="113" spans="1:15" ht="48">
      <c r="A113" s="117"/>
      <c r="B113" s="125"/>
      <c r="C113" s="79" t="s">
        <v>315</v>
      </c>
      <c r="D113" s="64" t="s">
        <v>285</v>
      </c>
      <c r="E113" s="3" t="s">
        <v>286</v>
      </c>
      <c r="F113" s="51" t="str">
        <f>'Notes and Assumptions'!A109</f>
        <v>B50</v>
      </c>
      <c r="G113" s="54">
        <f>'Notes and Assumptions'!F109</f>
        <v>600000</v>
      </c>
      <c r="H113" s="54">
        <f>'Notes and Assumptions'!G109</f>
        <v>0</v>
      </c>
      <c r="I113" s="54">
        <f>'Notes and Assumptions'!H109</f>
        <v>120000</v>
      </c>
      <c r="J113" s="54">
        <f>'Notes and Assumptions'!I109</f>
        <v>120000</v>
      </c>
      <c r="K113" s="54">
        <f>'Notes and Assumptions'!J109</f>
        <v>120000</v>
      </c>
      <c r="L113" s="54">
        <f>'Notes and Assumptions'!K109</f>
        <v>120000</v>
      </c>
      <c r="M113" s="54">
        <f>'Notes and Assumptions'!L109</f>
        <v>120000</v>
      </c>
      <c r="N113" s="80">
        <f t="shared" si="10"/>
        <v>600000</v>
      </c>
      <c r="O113" s="9" t="b">
        <f t="shared" si="8"/>
        <v>1</v>
      </c>
    </row>
    <row r="114" spans="1:15" ht="16">
      <c r="A114" s="117"/>
      <c r="B114" s="125"/>
      <c r="C114" s="162" t="s">
        <v>316</v>
      </c>
      <c r="D114" s="64" t="s">
        <v>285</v>
      </c>
      <c r="E114" s="3" t="s">
        <v>291</v>
      </c>
      <c r="F114" s="51" t="str">
        <f>'Notes and Assumptions'!A110</f>
        <v>B51</v>
      </c>
      <c r="G114" s="54">
        <f>'Notes and Assumptions'!F110</f>
        <v>18000</v>
      </c>
      <c r="H114" s="54">
        <f>'Notes and Assumptions'!G110</f>
        <v>0</v>
      </c>
      <c r="I114" s="54">
        <f>'Notes and Assumptions'!H110</f>
        <v>18000</v>
      </c>
      <c r="J114" s="54">
        <f>'Notes and Assumptions'!I110</f>
        <v>0</v>
      </c>
      <c r="K114" s="54">
        <f>'Notes and Assumptions'!J110</f>
        <v>0</v>
      </c>
      <c r="L114" s="54">
        <f>'Notes and Assumptions'!K110</f>
        <v>0</v>
      </c>
      <c r="M114" s="54">
        <f>'Notes and Assumptions'!L110</f>
        <v>0</v>
      </c>
      <c r="N114" s="80">
        <f t="shared" si="10"/>
        <v>18000</v>
      </c>
      <c r="O114" s="9" t="b">
        <f t="shared" si="8"/>
        <v>1</v>
      </c>
    </row>
    <row r="115" spans="1:15" ht="16">
      <c r="A115" s="117"/>
      <c r="B115" s="125"/>
      <c r="C115" s="163"/>
      <c r="D115" s="145" t="s">
        <v>285</v>
      </c>
      <c r="E115" s="3" t="s">
        <v>292</v>
      </c>
      <c r="F115" s="51" t="str">
        <f>'Notes and Assumptions'!A111</f>
        <v>B52</v>
      </c>
      <c r="G115" s="54">
        <f>'Notes and Assumptions'!F111</f>
        <v>6240</v>
      </c>
      <c r="H115" s="54">
        <f>'Notes and Assumptions'!G111</f>
        <v>0</v>
      </c>
      <c r="I115" s="54">
        <f>'Notes and Assumptions'!H111</f>
        <v>6240</v>
      </c>
      <c r="J115" s="54">
        <f>'Notes and Assumptions'!I111</f>
        <v>0</v>
      </c>
      <c r="K115" s="54">
        <f>'Notes and Assumptions'!J111</f>
        <v>0</v>
      </c>
      <c r="L115" s="54">
        <f>'Notes and Assumptions'!K111</f>
        <v>0</v>
      </c>
      <c r="M115" s="54">
        <f>'Notes and Assumptions'!L111</f>
        <v>0</v>
      </c>
      <c r="N115" s="80">
        <f t="shared" si="10"/>
        <v>6240</v>
      </c>
      <c r="O115" s="9" t="b">
        <f t="shared" si="8"/>
        <v>1</v>
      </c>
    </row>
    <row r="116" spans="1:15" ht="16">
      <c r="A116" s="117"/>
      <c r="B116" s="125"/>
      <c r="C116" s="163"/>
      <c r="D116" s="145" t="s">
        <v>287</v>
      </c>
      <c r="E116" s="3" t="s">
        <v>302</v>
      </c>
      <c r="F116" s="51" t="str">
        <f>'Notes and Assumptions'!A112</f>
        <v>B53</v>
      </c>
      <c r="G116" s="54">
        <f>'Notes and Assumptions'!F112</f>
        <v>50000</v>
      </c>
      <c r="H116" s="54">
        <f>'Notes and Assumptions'!G112</f>
        <v>0</v>
      </c>
      <c r="I116" s="54">
        <f>'Notes and Assumptions'!H112</f>
        <v>10000</v>
      </c>
      <c r="J116" s="54">
        <f>'Notes and Assumptions'!I112</f>
        <v>10000</v>
      </c>
      <c r="K116" s="54">
        <f>'Notes and Assumptions'!J112</f>
        <v>10000</v>
      </c>
      <c r="L116" s="54">
        <f>'Notes and Assumptions'!K112</f>
        <v>10000</v>
      </c>
      <c r="M116" s="54">
        <f>'Notes and Assumptions'!L112</f>
        <v>10000</v>
      </c>
      <c r="N116" s="80">
        <f t="shared" si="10"/>
        <v>50000</v>
      </c>
      <c r="O116" s="9" t="b">
        <f t="shared" si="8"/>
        <v>1</v>
      </c>
    </row>
    <row r="117" spans="1:15" ht="16">
      <c r="A117" s="117"/>
      <c r="B117" s="125"/>
      <c r="C117" s="163"/>
      <c r="D117" s="145" t="s">
        <v>285</v>
      </c>
      <c r="E117" s="3" t="s">
        <v>291</v>
      </c>
      <c r="F117" s="51" t="str">
        <f>'Notes and Assumptions'!A113</f>
        <v>B54</v>
      </c>
      <c r="G117" s="54">
        <f>'Notes and Assumptions'!F113</f>
        <v>135000</v>
      </c>
      <c r="H117" s="54">
        <f>'Notes and Assumptions'!G113</f>
        <v>0</v>
      </c>
      <c r="I117" s="54">
        <f>'Notes and Assumptions'!H113</f>
        <v>27000</v>
      </c>
      <c r="J117" s="54">
        <f>'Notes and Assumptions'!I113</f>
        <v>27000</v>
      </c>
      <c r="K117" s="54">
        <f>'Notes and Assumptions'!J113</f>
        <v>27000</v>
      </c>
      <c r="L117" s="54">
        <f>'Notes and Assumptions'!K113</f>
        <v>27000</v>
      </c>
      <c r="M117" s="54">
        <f>'Notes and Assumptions'!L113</f>
        <v>27000</v>
      </c>
      <c r="N117" s="80">
        <f t="shared" si="10"/>
        <v>135000</v>
      </c>
      <c r="O117" s="9" t="b">
        <f t="shared" si="8"/>
        <v>1</v>
      </c>
    </row>
    <row r="118" spans="1:15" ht="16">
      <c r="A118" s="117"/>
      <c r="B118" s="125"/>
      <c r="C118" s="163"/>
      <c r="D118" s="145" t="s">
        <v>285</v>
      </c>
      <c r="E118" s="3" t="s">
        <v>292</v>
      </c>
      <c r="F118" s="51" t="str">
        <f>'Notes and Assumptions'!A114</f>
        <v>B55</v>
      </c>
      <c r="G118" s="54">
        <f>'Notes and Assumptions'!F114</f>
        <v>46800</v>
      </c>
      <c r="H118" s="54">
        <f>'Notes and Assumptions'!G114</f>
        <v>0</v>
      </c>
      <c r="I118" s="54">
        <f>'Notes and Assumptions'!H114</f>
        <v>9360</v>
      </c>
      <c r="J118" s="54">
        <f>'Notes and Assumptions'!I114</f>
        <v>9360</v>
      </c>
      <c r="K118" s="54">
        <f>'Notes and Assumptions'!J114</f>
        <v>9360</v>
      </c>
      <c r="L118" s="54">
        <f>'Notes and Assumptions'!K114</f>
        <v>9360</v>
      </c>
      <c r="M118" s="54">
        <f>'Notes and Assumptions'!L114</f>
        <v>9360</v>
      </c>
      <c r="N118" s="80">
        <f t="shared" si="10"/>
        <v>46800</v>
      </c>
      <c r="O118" s="9" t="b">
        <f t="shared" si="8"/>
        <v>1</v>
      </c>
    </row>
    <row r="119" spans="1:15" ht="16">
      <c r="A119" s="33" t="s">
        <v>317</v>
      </c>
      <c r="B119" s="34"/>
      <c r="C119" s="34"/>
      <c r="D119" s="34"/>
      <c r="E119" s="34"/>
      <c r="F119" s="35"/>
      <c r="G119" s="37">
        <f>SUMIF($D$64:$D$118,"GCF",G64:G118)</f>
        <v>2880740</v>
      </c>
      <c r="H119" s="37">
        <f t="shared" ref="H119:N119" si="13">SUMIF($D$64:$D$118,"GCF",H64:H118)</f>
        <v>430890</v>
      </c>
      <c r="I119" s="37">
        <f t="shared" si="13"/>
        <v>650300</v>
      </c>
      <c r="J119" s="37">
        <f t="shared" si="13"/>
        <v>452700</v>
      </c>
      <c r="K119" s="37">
        <f t="shared" si="13"/>
        <v>448950</v>
      </c>
      <c r="L119" s="37">
        <f t="shared" si="13"/>
        <v>448950</v>
      </c>
      <c r="M119" s="37">
        <f t="shared" si="13"/>
        <v>448950</v>
      </c>
      <c r="N119" s="37">
        <f t="shared" si="13"/>
        <v>2880740</v>
      </c>
      <c r="O119" s="9" t="b">
        <f t="shared" si="8"/>
        <v>1</v>
      </c>
    </row>
    <row r="120" spans="1:15" ht="16">
      <c r="A120" s="33" t="s">
        <v>318</v>
      </c>
      <c r="B120" s="34"/>
      <c r="C120" s="34"/>
      <c r="D120" s="34"/>
      <c r="E120" s="34"/>
      <c r="F120" s="35"/>
      <c r="G120" s="37">
        <f>SUMIF($D$64:$D$118,"GoAB",G64:G118)</f>
        <v>170000</v>
      </c>
      <c r="H120" s="37">
        <f t="shared" ref="H120:N120" si="14">SUMIF($D$64:$D$118,"GoAB",H64:H118)</f>
        <v>20000</v>
      </c>
      <c r="I120" s="37">
        <f t="shared" si="14"/>
        <v>30000</v>
      </c>
      <c r="J120" s="37">
        <f t="shared" si="14"/>
        <v>30000</v>
      </c>
      <c r="K120" s="37">
        <f t="shared" si="14"/>
        <v>30000</v>
      </c>
      <c r="L120" s="37">
        <f t="shared" si="14"/>
        <v>30000</v>
      </c>
      <c r="M120" s="37">
        <f t="shared" si="14"/>
        <v>30000</v>
      </c>
      <c r="N120" s="37">
        <f t="shared" si="14"/>
        <v>170000</v>
      </c>
      <c r="O120" s="9" t="b">
        <f t="shared" si="8"/>
        <v>1</v>
      </c>
    </row>
    <row r="121" spans="1:15" ht="16">
      <c r="A121" s="50" t="s">
        <v>319</v>
      </c>
      <c r="B121" s="49"/>
      <c r="C121" s="34"/>
      <c r="D121" s="34"/>
      <c r="E121" s="34"/>
      <c r="F121" s="35"/>
      <c r="G121" s="37">
        <f t="shared" ref="G121:N121" si="15">SUM(G119:G120)</f>
        <v>3050740</v>
      </c>
      <c r="H121" s="37">
        <f t="shared" si="15"/>
        <v>450890</v>
      </c>
      <c r="I121" s="37">
        <f t="shared" si="15"/>
        <v>680300</v>
      </c>
      <c r="J121" s="37">
        <f t="shared" si="15"/>
        <v>482700</v>
      </c>
      <c r="K121" s="37">
        <f t="shared" si="15"/>
        <v>478950</v>
      </c>
      <c r="L121" s="37">
        <f t="shared" si="15"/>
        <v>478950</v>
      </c>
      <c r="M121" s="37">
        <f t="shared" si="15"/>
        <v>478950</v>
      </c>
      <c r="N121" s="37">
        <f t="shared" si="15"/>
        <v>3050740</v>
      </c>
      <c r="O121" s="9" t="b">
        <f t="shared" si="8"/>
        <v>1</v>
      </c>
    </row>
    <row r="122" spans="1:15" ht="32">
      <c r="A122" s="33" t="s">
        <v>493</v>
      </c>
      <c r="B122" s="49"/>
      <c r="C122" s="34"/>
      <c r="D122" s="34"/>
      <c r="E122" s="34"/>
      <c r="F122" s="144" t="str">
        <f>'Notes and Assumptions'!A115</f>
        <v>B56</v>
      </c>
      <c r="G122" s="37">
        <f>5%*G119</f>
        <v>144037</v>
      </c>
      <c r="H122" s="37">
        <f t="shared" ref="H122:N122" si="16">5%*H119</f>
        <v>21544.5</v>
      </c>
      <c r="I122" s="37">
        <f t="shared" si="16"/>
        <v>32515</v>
      </c>
      <c r="J122" s="37">
        <f t="shared" si="16"/>
        <v>22635</v>
      </c>
      <c r="K122" s="37">
        <f t="shared" si="16"/>
        <v>22447.5</v>
      </c>
      <c r="L122" s="37">
        <f t="shared" si="16"/>
        <v>22447.5</v>
      </c>
      <c r="M122" s="37">
        <f t="shared" si="16"/>
        <v>22447.5</v>
      </c>
      <c r="N122" s="37">
        <f t="shared" si="16"/>
        <v>144037</v>
      </c>
      <c r="O122" s="9" t="b">
        <f t="shared" si="8"/>
        <v>1</v>
      </c>
    </row>
    <row r="123" spans="1:15" ht="64">
      <c r="A123" s="116" t="s">
        <v>320</v>
      </c>
      <c r="B123" s="124" t="s">
        <v>321</v>
      </c>
      <c r="C123" s="40" t="s">
        <v>322</v>
      </c>
      <c r="D123" s="64" t="s">
        <v>285</v>
      </c>
      <c r="E123" s="3" t="s">
        <v>286</v>
      </c>
      <c r="F123" s="51" t="str">
        <f>'Notes and Assumptions'!A117</f>
        <v>C1</v>
      </c>
      <c r="G123" s="54">
        <f>'Notes and Assumptions'!F117</f>
        <v>12000</v>
      </c>
      <c r="H123" s="54">
        <f>'Notes and Assumptions'!G117</f>
        <v>12000</v>
      </c>
      <c r="I123" s="54">
        <f>'Notes and Assumptions'!H117</f>
        <v>0</v>
      </c>
      <c r="J123" s="54">
        <f>'Notes and Assumptions'!I117</f>
        <v>0</v>
      </c>
      <c r="K123" s="54">
        <f>'Notes and Assumptions'!J117</f>
        <v>0</v>
      </c>
      <c r="L123" s="54">
        <f>'Notes and Assumptions'!K117</f>
        <v>0</v>
      </c>
      <c r="M123" s="54">
        <f>'Notes and Assumptions'!L117</f>
        <v>0</v>
      </c>
      <c r="N123" s="80">
        <f>SUM(H123:M123)</f>
        <v>12000</v>
      </c>
      <c r="O123" s="9" t="b">
        <f t="shared" ref="O123:O162" si="17">G123=N123</f>
        <v>1</v>
      </c>
    </row>
    <row r="124" spans="1:15" ht="45" customHeight="1">
      <c r="A124" s="117"/>
      <c r="B124" s="125"/>
      <c r="C124" s="162" t="s">
        <v>323</v>
      </c>
      <c r="D124" s="64" t="s">
        <v>285</v>
      </c>
      <c r="E124" s="3" t="s">
        <v>288</v>
      </c>
      <c r="F124" s="51" t="str">
        <f>'Notes and Assumptions'!A118</f>
        <v>C2</v>
      </c>
      <c r="G124" s="54">
        <f>'Notes and Assumptions'!F118</f>
        <v>15000</v>
      </c>
      <c r="H124" s="54">
        <f>'Notes and Assumptions'!G118</f>
        <v>15000</v>
      </c>
      <c r="I124" s="54">
        <f>'Notes and Assumptions'!H118</f>
        <v>0</v>
      </c>
      <c r="J124" s="54">
        <f>'Notes and Assumptions'!I118</f>
        <v>0</v>
      </c>
      <c r="K124" s="54">
        <f>'Notes and Assumptions'!J118</f>
        <v>0</v>
      </c>
      <c r="L124" s="54">
        <f>'Notes and Assumptions'!K118</f>
        <v>0</v>
      </c>
      <c r="M124" s="54">
        <f>'Notes and Assumptions'!L118</f>
        <v>0</v>
      </c>
      <c r="N124" s="80">
        <f t="shared" ref="N124:N127" si="18">SUM(H124:M124)</f>
        <v>15000</v>
      </c>
      <c r="O124" s="9" t="b">
        <f t="shared" si="17"/>
        <v>1</v>
      </c>
    </row>
    <row r="125" spans="1:15" ht="16">
      <c r="A125" s="117"/>
      <c r="B125" s="125"/>
      <c r="C125" s="163"/>
      <c r="D125" s="64" t="s">
        <v>285</v>
      </c>
      <c r="E125" s="3" t="s">
        <v>292</v>
      </c>
      <c r="F125" s="51" t="str">
        <f>'Notes and Assumptions'!A119</f>
        <v>C3</v>
      </c>
      <c r="G125" s="54">
        <f>'Notes and Assumptions'!F119</f>
        <v>3120</v>
      </c>
      <c r="H125" s="54">
        <f>'Notes and Assumptions'!G119</f>
        <v>3120</v>
      </c>
      <c r="I125" s="54">
        <f>'Notes and Assumptions'!H119</f>
        <v>0</v>
      </c>
      <c r="J125" s="54">
        <f>'Notes and Assumptions'!I119</f>
        <v>0</v>
      </c>
      <c r="K125" s="54">
        <f>'Notes and Assumptions'!J119</f>
        <v>0</v>
      </c>
      <c r="L125" s="54">
        <f>'Notes and Assumptions'!K119</f>
        <v>0</v>
      </c>
      <c r="M125" s="54">
        <f>'Notes and Assumptions'!L119</f>
        <v>0</v>
      </c>
      <c r="N125" s="80">
        <f t="shared" si="18"/>
        <v>3120</v>
      </c>
      <c r="O125" s="9" t="b">
        <f t="shared" si="17"/>
        <v>1</v>
      </c>
    </row>
    <row r="126" spans="1:15" ht="16">
      <c r="A126" s="117"/>
      <c r="B126" s="125"/>
      <c r="C126" s="163"/>
      <c r="D126" s="64" t="s">
        <v>285</v>
      </c>
      <c r="E126" s="3" t="s">
        <v>292</v>
      </c>
      <c r="F126" s="51" t="str">
        <f>'Notes and Assumptions'!A120</f>
        <v>C4</v>
      </c>
      <c r="G126" s="54">
        <f>'Notes and Assumptions'!F120</f>
        <v>3000</v>
      </c>
      <c r="H126" s="54">
        <f>'Notes and Assumptions'!G120</f>
        <v>3000</v>
      </c>
      <c r="I126" s="54">
        <f>'Notes and Assumptions'!H120</f>
        <v>0</v>
      </c>
      <c r="J126" s="54">
        <f>'Notes and Assumptions'!I120</f>
        <v>0</v>
      </c>
      <c r="K126" s="54">
        <f>'Notes and Assumptions'!J120</f>
        <v>0</v>
      </c>
      <c r="L126" s="54">
        <f>'Notes and Assumptions'!K120</f>
        <v>0</v>
      </c>
      <c r="M126" s="54">
        <f>'Notes and Assumptions'!L120</f>
        <v>0</v>
      </c>
      <c r="N126" s="80">
        <f t="shared" si="18"/>
        <v>3000</v>
      </c>
      <c r="O126" s="9" t="b">
        <f t="shared" si="17"/>
        <v>1</v>
      </c>
    </row>
    <row r="127" spans="1:15" ht="48">
      <c r="A127" s="117"/>
      <c r="B127" s="125"/>
      <c r="C127" s="164"/>
      <c r="D127" s="64" t="s">
        <v>285</v>
      </c>
      <c r="E127" s="3" t="s">
        <v>293</v>
      </c>
      <c r="F127" s="51" t="str">
        <f>'Notes and Assumptions'!A121</f>
        <v>C5</v>
      </c>
      <c r="G127" s="54">
        <f>'Notes and Assumptions'!F121</f>
        <v>22500</v>
      </c>
      <c r="H127" s="54">
        <f>'Notes and Assumptions'!G121</f>
        <v>3750</v>
      </c>
      <c r="I127" s="54">
        <f>'Notes and Assumptions'!H121</f>
        <v>3750</v>
      </c>
      <c r="J127" s="54">
        <f>'Notes and Assumptions'!I121</f>
        <v>3750</v>
      </c>
      <c r="K127" s="54">
        <f>'Notes and Assumptions'!J121</f>
        <v>3750</v>
      </c>
      <c r="L127" s="54">
        <f>'Notes and Assumptions'!K121</f>
        <v>3750</v>
      </c>
      <c r="M127" s="54">
        <f>'Notes and Assumptions'!L121</f>
        <v>3750</v>
      </c>
      <c r="N127" s="80">
        <f t="shared" si="18"/>
        <v>22500</v>
      </c>
      <c r="O127" s="9" t="b">
        <f t="shared" si="17"/>
        <v>1</v>
      </c>
    </row>
    <row r="128" spans="1:15" ht="48">
      <c r="A128" s="117"/>
      <c r="B128" s="125"/>
      <c r="C128" s="162" t="s">
        <v>503</v>
      </c>
      <c r="D128" s="64" t="s">
        <v>285</v>
      </c>
      <c r="E128" s="3" t="s">
        <v>293</v>
      </c>
      <c r="F128" s="51" t="str">
        <f>'Notes and Assumptions'!A122</f>
        <v>C6</v>
      </c>
      <c r="G128" s="54">
        <f>'Notes and Assumptions'!F122</f>
        <v>3750</v>
      </c>
      <c r="H128" s="54">
        <f>'Notes and Assumptions'!G122</f>
        <v>3750</v>
      </c>
      <c r="I128" s="54">
        <f>'Notes and Assumptions'!H122</f>
        <v>0</v>
      </c>
      <c r="J128" s="54">
        <f>'Notes and Assumptions'!I122</f>
        <v>0</v>
      </c>
      <c r="K128" s="54">
        <f>'Notes and Assumptions'!J122</f>
        <v>0</v>
      </c>
      <c r="L128" s="54">
        <f>'Notes and Assumptions'!K122</f>
        <v>0</v>
      </c>
      <c r="M128" s="54">
        <f>'Notes and Assumptions'!L122</f>
        <v>0</v>
      </c>
      <c r="N128" s="80">
        <f t="shared" ref="N128:N158" si="19">SUM(H128:M128)</f>
        <v>3750</v>
      </c>
      <c r="O128" s="9" t="b">
        <f t="shared" si="17"/>
        <v>1</v>
      </c>
    </row>
    <row r="129" spans="1:15" ht="48">
      <c r="A129" s="117"/>
      <c r="B129" s="125"/>
      <c r="C129" s="164"/>
      <c r="D129" s="64" t="s">
        <v>285</v>
      </c>
      <c r="E129" s="3" t="s">
        <v>293</v>
      </c>
      <c r="F129" s="51" t="str">
        <f>'Notes and Assumptions'!A123</f>
        <v>C7</v>
      </c>
      <c r="G129" s="54">
        <f>'Notes and Assumptions'!F123</f>
        <v>70052</v>
      </c>
      <c r="H129" s="54">
        <f>'Notes and Assumptions'!G123</f>
        <v>0</v>
      </c>
      <c r="I129" s="54">
        <f>'Notes and Assumptions'!H123</f>
        <v>70052</v>
      </c>
      <c r="J129" s="54">
        <f>'Notes and Assumptions'!I123</f>
        <v>0</v>
      </c>
      <c r="K129" s="54">
        <f>'Notes and Assumptions'!J123</f>
        <v>0</v>
      </c>
      <c r="L129" s="54">
        <f>'Notes and Assumptions'!K123</f>
        <v>0</v>
      </c>
      <c r="M129" s="54">
        <f>'Notes and Assumptions'!L123</f>
        <v>0</v>
      </c>
      <c r="N129" s="80">
        <f t="shared" si="19"/>
        <v>70052</v>
      </c>
      <c r="O129" s="9" t="b">
        <f t="shared" si="17"/>
        <v>1</v>
      </c>
    </row>
    <row r="130" spans="1:15" ht="32">
      <c r="A130" s="117"/>
      <c r="B130" s="125"/>
      <c r="C130" s="162" t="s">
        <v>324</v>
      </c>
      <c r="D130" s="64" t="s">
        <v>285</v>
      </c>
      <c r="E130" s="3" t="s">
        <v>288</v>
      </c>
      <c r="F130" s="51" t="str">
        <f>'Notes and Assumptions'!A124</f>
        <v>C8</v>
      </c>
      <c r="G130" s="54">
        <f>'Notes and Assumptions'!F124</f>
        <v>15000</v>
      </c>
      <c r="H130" s="54">
        <f>'Notes and Assumptions'!G124</f>
        <v>0</v>
      </c>
      <c r="I130" s="54">
        <f>'Notes and Assumptions'!H124</f>
        <v>15000</v>
      </c>
      <c r="J130" s="54">
        <f>'Notes and Assumptions'!I124</f>
        <v>0</v>
      </c>
      <c r="K130" s="54">
        <f>'Notes and Assumptions'!J124</f>
        <v>0</v>
      </c>
      <c r="L130" s="54">
        <f>'Notes and Assumptions'!K124</f>
        <v>0</v>
      </c>
      <c r="M130" s="54">
        <f>'Notes and Assumptions'!L124</f>
        <v>0</v>
      </c>
      <c r="N130" s="80">
        <f t="shared" si="19"/>
        <v>15000</v>
      </c>
      <c r="O130" s="9" t="b">
        <f t="shared" si="17"/>
        <v>1</v>
      </c>
    </row>
    <row r="131" spans="1:15" ht="16">
      <c r="A131" s="117"/>
      <c r="B131" s="125"/>
      <c r="C131" s="163"/>
      <c r="D131" s="64" t="s">
        <v>285</v>
      </c>
      <c r="E131" s="3" t="s">
        <v>292</v>
      </c>
      <c r="F131" s="51" t="str">
        <f>'Notes and Assumptions'!A125</f>
        <v>C9</v>
      </c>
      <c r="G131" s="54">
        <f>'Notes and Assumptions'!F125</f>
        <v>3120</v>
      </c>
      <c r="H131" s="54">
        <f>'Notes and Assumptions'!G125</f>
        <v>0</v>
      </c>
      <c r="I131" s="54">
        <f>'Notes and Assumptions'!H125</f>
        <v>3120</v>
      </c>
      <c r="J131" s="54">
        <f>'Notes and Assumptions'!I125</f>
        <v>0</v>
      </c>
      <c r="K131" s="54">
        <f>'Notes and Assumptions'!J125</f>
        <v>0</v>
      </c>
      <c r="L131" s="54">
        <f>'Notes and Assumptions'!K125</f>
        <v>0</v>
      </c>
      <c r="M131" s="54">
        <f>'Notes and Assumptions'!L125</f>
        <v>0</v>
      </c>
      <c r="N131" s="80">
        <f t="shared" si="19"/>
        <v>3120</v>
      </c>
      <c r="O131" s="9" t="b">
        <f t="shared" si="17"/>
        <v>1</v>
      </c>
    </row>
    <row r="132" spans="1:15" ht="16">
      <c r="A132" s="117"/>
      <c r="B132" s="125"/>
      <c r="C132" s="163"/>
      <c r="D132" s="64" t="s">
        <v>285</v>
      </c>
      <c r="E132" s="3" t="s">
        <v>292</v>
      </c>
      <c r="F132" s="51" t="str">
        <f>'Notes and Assumptions'!A126</f>
        <v>C10</v>
      </c>
      <c r="G132" s="54">
        <f>'Notes and Assumptions'!F126</f>
        <v>3000</v>
      </c>
      <c r="H132" s="54">
        <f>'Notes and Assumptions'!G126</f>
        <v>0</v>
      </c>
      <c r="I132" s="54">
        <f>'Notes and Assumptions'!H126</f>
        <v>3000</v>
      </c>
      <c r="J132" s="54">
        <f>'Notes and Assumptions'!I126</f>
        <v>0</v>
      </c>
      <c r="K132" s="54">
        <f>'Notes and Assumptions'!J126</f>
        <v>0</v>
      </c>
      <c r="L132" s="54">
        <f>'Notes and Assumptions'!K126</f>
        <v>0</v>
      </c>
      <c r="M132" s="54">
        <f>'Notes and Assumptions'!L126</f>
        <v>0</v>
      </c>
      <c r="N132" s="80">
        <f t="shared" si="19"/>
        <v>3000</v>
      </c>
      <c r="O132" s="9" t="b">
        <f t="shared" si="17"/>
        <v>1</v>
      </c>
    </row>
    <row r="133" spans="1:15" ht="48">
      <c r="A133" s="117"/>
      <c r="B133" s="125"/>
      <c r="C133" s="164"/>
      <c r="D133" s="64" t="s">
        <v>285</v>
      </c>
      <c r="E133" s="3" t="s">
        <v>293</v>
      </c>
      <c r="F133" s="51" t="str">
        <f>'Notes and Assumptions'!A127</f>
        <v>C11</v>
      </c>
      <c r="G133" s="54">
        <f>'Notes and Assumptions'!F127</f>
        <v>18750</v>
      </c>
      <c r="H133" s="54">
        <f>'Notes and Assumptions'!G127</f>
        <v>0</v>
      </c>
      <c r="I133" s="54">
        <f>'Notes and Assumptions'!H127</f>
        <v>3750</v>
      </c>
      <c r="J133" s="54">
        <f>'Notes and Assumptions'!I127</f>
        <v>3750</v>
      </c>
      <c r="K133" s="54">
        <f>'Notes and Assumptions'!J127</f>
        <v>3750</v>
      </c>
      <c r="L133" s="54">
        <f>'Notes and Assumptions'!K127</f>
        <v>3750</v>
      </c>
      <c r="M133" s="54">
        <f>'Notes and Assumptions'!L127</f>
        <v>3750</v>
      </c>
      <c r="N133" s="80">
        <f t="shared" si="19"/>
        <v>18750</v>
      </c>
      <c r="O133" s="9" t="b">
        <f t="shared" si="17"/>
        <v>1</v>
      </c>
    </row>
    <row r="134" spans="1:15" ht="90" customHeight="1">
      <c r="A134" s="117"/>
      <c r="B134" s="124" t="s">
        <v>325</v>
      </c>
      <c r="C134" s="162" t="s">
        <v>326</v>
      </c>
      <c r="D134" s="64" t="s">
        <v>285</v>
      </c>
      <c r="E134" s="3" t="s">
        <v>288</v>
      </c>
      <c r="F134" s="51" t="str">
        <f>'Notes and Assumptions'!A128</f>
        <v>C12</v>
      </c>
      <c r="G134" s="54">
        <f>'Notes and Assumptions'!F128</f>
        <v>30000</v>
      </c>
      <c r="H134" s="54">
        <f>'Notes and Assumptions'!G128</f>
        <v>0</v>
      </c>
      <c r="I134" s="54">
        <f>'Notes and Assumptions'!H128</f>
        <v>30000</v>
      </c>
      <c r="J134" s="54">
        <f>'Notes and Assumptions'!I128</f>
        <v>0</v>
      </c>
      <c r="K134" s="54">
        <f>'Notes and Assumptions'!J128</f>
        <v>0</v>
      </c>
      <c r="L134" s="54">
        <f>'Notes and Assumptions'!K128</f>
        <v>0</v>
      </c>
      <c r="M134" s="54">
        <f>'Notes and Assumptions'!L128</f>
        <v>0</v>
      </c>
      <c r="N134" s="80">
        <f t="shared" si="19"/>
        <v>30000</v>
      </c>
      <c r="O134" s="9" t="b">
        <f t="shared" si="17"/>
        <v>1</v>
      </c>
    </row>
    <row r="135" spans="1:15" ht="16">
      <c r="A135" s="117"/>
      <c r="B135" s="125"/>
      <c r="C135" s="163"/>
      <c r="D135" s="64" t="s">
        <v>285</v>
      </c>
      <c r="E135" s="3" t="s">
        <v>292</v>
      </c>
      <c r="F135" s="51" t="str">
        <f>'Notes and Assumptions'!A129</f>
        <v>C13</v>
      </c>
      <c r="G135" s="54">
        <f>'Notes and Assumptions'!F129</f>
        <v>6240</v>
      </c>
      <c r="H135" s="54">
        <f>'Notes and Assumptions'!G129</f>
        <v>0</v>
      </c>
      <c r="I135" s="54">
        <f>'Notes and Assumptions'!H129</f>
        <v>6240</v>
      </c>
      <c r="J135" s="54">
        <f>'Notes and Assumptions'!I129</f>
        <v>0</v>
      </c>
      <c r="K135" s="54">
        <f>'Notes and Assumptions'!J129</f>
        <v>0</v>
      </c>
      <c r="L135" s="54">
        <f>'Notes and Assumptions'!K129</f>
        <v>0</v>
      </c>
      <c r="M135" s="54">
        <f>'Notes and Assumptions'!L129</f>
        <v>0</v>
      </c>
      <c r="N135" s="80">
        <f t="shared" si="19"/>
        <v>6240</v>
      </c>
      <c r="O135" s="9" t="b">
        <f t="shared" si="17"/>
        <v>1</v>
      </c>
    </row>
    <row r="136" spans="1:15" ht="16">
      <c r="A136" s="117"/>
      <c r="B136" s="125"/>
      <c r="C136" s="163"/>
      <c r="D136" s="64" t="s">
        <v>285</v>
      </c>
      <c r="E136" s="3" t="s">
        <v>292</v>
      </c>
      <c r="F136" s="51" t="str">
        <f>'Notes and Assumptions'!A130</f>
        <v>C14</v>
      </c>
      <c r="G136" s="54">
        <f>'Notes and Assumptions'!F130</f>
        <v>3000</v>
      </c>
      <c r="H136" s="54">
        <f>'Notes and Assumptions'!G130</f>
        <v>0</v>
      </c>
      <c r="I136" s="54">
        <f>'Notes and Assumptions'!H130</f>
        <v>3000</v>
      </c>
      <c r="J136" s="54">
        <f>'Notes and Assumptions'!I130</f>
        <v>0</v>
      </c>
      <c r="K136" s="54">
        <f>'Notes and Assumptions'!J130</f>
        <v>0</v>
      </c>
      <c r="L136" s="54">
        <f>'Notes and Assumptions'!K130</f>
        <v>0</v>
      </c>
      <c r="M136" s="54">
        <f>'Notes and Assumptions'!L130</f>
        <v>0</v>
      </c>
      <c r="N136" s="80">
        <f t="shared" si="19"/>
        <v>3000</v>
      </c>
      <c r="O136" s="9" t="b">
        <f t="shared" si="17"/>
        <v>1</v>
      </c>
    </row>
    <row r="137" spans="1:15" ht="16">
      <c r="A137" s="117"/>
      <c r="B137" s="125"/>
      <c r="C137" s="163"/>
      <c r="D137" s="64" t="s">
        <v>285</v>
      </c>
      <c r="E137" s="3" t="s">
        <v>291</v>
      </c>
      <c r="F137" s="51" t="str">
        <f>'Notes and Assumptions'!A131</f>
        <v>C15</v>
      </c>
      <c r="G137" s="54">
        <f>'Notes and Assumptions'!F131</f>
        <v>36000</v>
      </c>
      <c r="H137" s="54">
        <f>'Notes and Assumptions'!G131</f>
        <v>0</v>
      </c>
      <c r="I137" s="54">
        <f>'Notes and Assumptions'!H131</f>
        <v>36000</v>
      </c>
      <c r="J137" s="54">
        <f>'Notes and Assumptions'!I131</f>
        <v>0</v>
      </c>
      <c r="K137" s="54">
        <f>'Notes and Assumptions'!J131</f>
        <v>0</v>
      </c>
      <c r="L137" s="54">
        <f>'Notes and Assumptions'!K131</f>
        <v>0</v>
      </c>
      <c r="M137" s="54">
        <f>'Notes and Assumptions'!L131</f>
        <v>0</v>
      </c>
      <c r="N137" s="80">
        <f t="shared" si="19"/>
        <v>36000</v>
      </c>
      <c r="O137" s="9" t="b">
        <f t="shared" si="17"/>
        <v>1</v>
      </c>
    </row>
    <row r="138" spans="1:15" ht="16">
      <c r="A138" s="117"/>
      <c r="B138" s="125"/>
      <c r="C138" s="163"/>
      <c r="D138" s="64" t="s">
        <v>285</v>
      </c>
      <c r="E138" s="3" t="s">
        <v>292</v>
      </c>
      <c r="F138" s="51" t="str">
        <f>'Notes and Assumptions'!A132</f>
        <v>C16</v>
      </c>
      <c r="G138" s="54">
        <f>'Notes and Assumptions'!F132</f>
        <v>12480</v>
      </c>
      <c r="H138" s="54">
        <f>'Notes and Assumptions'!G132</f>
        <v>0</v>
      </c>
      <c r="I138" s="54">
        <f>'Notes and Assumptions'!H132</f>
        <v>12480</v>
      </c>
      <c r="J138" s="54">
        <f>'Notes and Assumptions'!I132</f>
        <v>0</v>
      </c>
      <c r="K138" s="54">
        <f>'Notes and Assumptions'!J132</f>
        <v>0</v>
      </c>
      <c r="L138" s="54">
        <f>'Notes and Assumptions'!K132</f>
        <v>0</v>
      </c>
      <c r="M138" s="54">
        <f>'Notes and Assumptions'!L132</f>
        <v>0</v>
      </c>
      <c r="N138" s="80">
        <f t="shared" si="19"/>
        <v>12480</v>
      </c>
      <c r="O138" s="9" t="b">
        <f t="shared" si="17"/>
        <v>1</v>
      </c>
    </row>
    <row r="139" spans="1:15" ht="48">
      <c r="A139" s="117"/>
      <c r="B139" s="125"/>
      <c r="C139" s="163"/>
      <c r="D139" s="64" t="s">
        <v>285</v>
      </c>
      <c r="E139" s="3" t="s">
        <v>293</v>
      </c>
      <c r="F139" s="51" t="str">
        <f>'Notes and Assumptions'!A133</f>
        <v>C17</v>
      </c>
      <c r="G139" s="54">
        <f>'Notes and Assumptions'!F133</f>
        <v>37500</v>
      </c>
      <c r="H139" s="54">
        <f>'Notes and Assumptions'!G133</f>
        <v>0</v>
      </c>
      <c r="I139" s="54">
        <f>'Notes and Assumptions'!H133</f>
        <v>7500</v>
      </c>
      <c r="J139" s="54">
        <f>'Notes and Assumptions'!I133</f>
        <v>7500</v>
      </c>
      <c r="K139" s="54">
        <f>'Notes and Assumptions'!J133</f>
        <v>7500</v>
      </c>
      <c r="L139" s="54">
        <f>'Notes and Assumptions'!K133</f>
        <v>7500</v>
      </c>
      <c r="M139" s="54">
        <f>'Notes and Assumptions'!L133</f>
        <v>7500</v>
      </c>
      <c r="N139" s="80">
        <f t="shared" si="19"/>
        <v>37500</v>
      </c>
      <c r="O139" s="9" t="b">
        <f t="shared" si="17"/>
        <v>1</v>
      </c>
    </row>
    <row r="140" spans="1:15" ht="16">
      <c r="A140" s="117"/>
      <c r="B140" s="125"/>
      <c r="C140" s="163"/>
      <c r="D140" s="64" t="s">
        <v>285</v>
      </c>
      <c r="E140" s="3" t="s">
        <v>291</v>
      </c>
      <c r="F140" s="51" t="str">
        <f>'Notes and Assumptions'!A134</f>
        <v>C18</v>
      </c>
      <c r="G140" s="54">
        <f>'Notes and Assumptions'!F134</f>
        <v>54000</v>
      </c>
      <c r="H140" s="54">
        <f>'Notes and Assumptions'!G134</f>
        <v>0</v>
      </c>
      <c r="I140" s="54">
        <f>'Notes and Assumptions'!H134</f>
        <v>10800</v>
      </c>
      <c r="J140" s="54">
        <f>'Notes and Assumptions'!I134</f>
        <v>10800</v>
      </c>
      <c r="K140" s="54">
        <f>'Notes and Assumptions'!J134</f>
        <v>10800</v>
      </c>
      <c r="L140" s="54">
        <f>'Notes and Assumptions'!K134</f>
        <v>10800</v>
      </c>
      <c r="M140" s="54">
        <f>'Notes and Assumptions'!L134</f>
        <v>10800</v>
      </c>
      <c r="N140" s="80">
        <f t="shared" si="19"/>
        <v>54000</v>
      </c>
      <c r="O140" s="9" t="b">
        <f t="shared" si="17"/>
        <v>1</v>
      </c>
    </row>
    <row r="141" spans="1:15" ht="16">
      <c r="A141" s="117"/>
      <c r="B141" s="125"/>
      <c r="C141" s="163"/>
      <c r="D141" s="64" t="s">
        <v>285</v>
      </c>
      <c r="E141" s="3" t="s">
        <v>292</v>
      </c>
      <c r="F141" s="51" t="str">
        <f>'Notes and Assumptions'!A135</f>
        <v>C19</v>
      </c>
      <c r="G141" s="54">
        <f>'Notes and Assumptions'!F135</f>
        <v>18720</v>
      </c>
      <c r="H141" s="54">
        <f>'Notes and Assumptions'!G135</f>
        <v>0</v>
      </c>
      <c r="I141" s="54">
        <f>'Notes and Assumptions'!H135</f>
        <v>3744</v>
      </c>
      <c r="J141" s="54">
        <f>'Notes and Assumptions'!I135</f>
        <v>3744</v>
      </c>
      <c r="K141" s="54">
        <f>'Notes and Assumptions'!J135</f>
        <v>3744</v>
      </c>
      <c r="L141" s="54">
        <f>'Notes and Assumptions'!K135</f>
        <v>3744</v>
      </c>
      <c r="M141" s="54">
        <f>'Notes and Assumptions'!L135</f>
        <v>3744</v>
      </c>
      <c r="N141" s="80">
        <f t="shared" si="19"/>
        <v>18720</v>
      </c>
      <c r="O141" s="9" t="b">
        <f t="shared" si="17"/>
        <v>1</v>
      </c>
    </row>
    <row r="142" spans="1:15" ht="16">
      <c r="A142" s="117"/>
      <c r="B142" s="125"/>
      <c r="C142" s="163"/>
      <c r="D142" s="64" t="s">
        <v>287</v>
      </c>
      <c r="E142" s="3" t="s">
        <v>302</v>
      </c>
      <c r="F142" s="51" t="str">
        <f>'Notes and Assumptions'!A136</f>
        <v>C20</v>
      </c>
      <c r="G142" s="54">
        <f>'Notes and Assumptions'!F136</f>
        <v>50000</v>
      </c>
      <c r="H142" s="54">
        <f>'Notes and Assumptions'!G136</f>
        <v>0</v>
      </c>
      <c r="I142" s="54">
        <f>'Notes and Assumptions'!H136</f>
        <v>10000</v>
      </c>
      <c r="J142" s="54">
        <f>'Notes and Assumptions'!I136</f>
        <v>10000</v>
      </c>
      <c r="K142" s="54">
        <f>'Notes and Assumptions'!J136</f>
        <v>10000</v>
      </c>
      <c r="L142" s="54">
        <f>'Notes and Assumptions'!K136</f>
        <v>10000</v>
      </c>
      <c r="M142" s="54">
        <f>'Notes and Assumptions'!L136</f>
        <v>10000</v>
      </c>
      <c r="N142" s="80">
        <f t="shared" si="19"/>
        <v>50000</v>
      </c>
      <c r="O142" s="9" t="b">
        <f t="shared" si="17"/>
        <v>1</v>
      </c>
    </row>
    <row r="143" spans="1:15" ht="32">
      <c r="A143" s="117"/>
      <c r="B143" s="146"/>
      <c r="C143" s="162" t="s">
        <v>327</v>
      </c>
      <c r="D143" s="64" t="s">
        <v>285</v>
      </c>
      <c r="E143" s="3" t="s">
        <v>288</v>
      </c>
      <c r="F143" s="51" t="str">
        <f>'Notes and Assumptions'!A137</f>
        <v>C21</v>
      </c>
      <c r="G143" s="54">
        <f>'Notes and Assumptions'!F137</f>
        <v>30000</v>
      </c>
      <c r="H143" s="54">
        <f>'Notes and Assumptions'!G137</f>
        <v>0</v>
      </c>
      <c r="I143" s="54">
        <f>'Notes and Assumptions'!H137</f>
        <v>30000</v>
      </c>
      <c r="J143" s="54">
        <f>'Notes and Assumptions'!I137</f>
        <v>0</v>
      </c>
      <c r="K143" s="54">
        <f>'Notes and Assumptions'!J137</f>
        <v>0</v>
      </c>
      <c r="L143" s="54">
        <f>'Notes and Assumptions'!K137</f>
        <v>0</v>
      </c>
      <c r="M143" s="54">
        <f>'Notes and Assumptions'!L137</f>
        <v>0</v>
      </c>
      <c r="N143" s="80">
        <f t="shared" si="19"/>
        <v>30000</v>
      </c>
      <c r="O143" s="9" t="b">
        <f t="shared" si="17"/>
        <v>1</v>
      </c>
    </row>
    <row r="144" spans="1:15" ht="15" customHeight="1">
      <c r="A144" s="117"/>
      <c r="B144" s="146"/>
      <c r="C144" s="163"/>
      <c r="D144" s="64" t="s">
        <v>285</v>
      </c>
      <c r="E144" s="3" t="s">
        <v>292</v>
      </c>
      <c r="F144" s="51" t="str">
        <f>'Notes and Assumptions'!A138</f>
        <v>C22</v>
      </c>
      <c r="G144" s="54">
        <f>'Notes and Assumptions'!F138</f>
        <v>6240</v>
      </c>
      <c r="H144" s="54">
        <f>'Notes and Assumptions'!G138</f>
        <v>0</v>
      </c>
      <c r="I144" s="54">
        <f>'Notes and Assumptions'!H138</f>
        <v>6240</v>
      </c>
      <c r="J144" s="54">
        <f>'Notes and Assumptions'!I138</f>
        <v>0</v>
      </c>
      <c r="K144" s="54">
        <f>'Notes and Assumptions'!J138</f>
        <v>0</v>
      </c>
      <c r="L144" s="54">
        <f>'Notes and Assumptions'!K138</f>
        <v>0</v>
      </c>
      <c r="M144" s="54">
        <f>'Notes and Assumptions'!L138</f>
        <v>0</v>
      </c>
      <c r="N144" s="80">
        <f t="shared" si="19"/>
        <v>6240</v>
      </c>
      <c r="O144" s="9" t="b">
        <f t="shared" si="17"/>
        <v>1</v>
      </c>
    </row>
    <row r="145" spans="1:15" ht="15" customHeight="1">
      <c r="A145" s="117"/>
      <c r="B145" s="146"/>
      <c r="C145" s="163"/>
      <c r="D145" s="64" t="s">
        <v>285</v>
      </c>
      <c r="E145" s="3" t="s">
        <v>292</v>
      </c>
      <c r="F145" s="51" t="str">
        <f>'Notes and Assumptions'!A139</f>
        <v>C23</v>
      </c>
      <c r="G145" s="54">
        <f>'Notes and Assumptions'!F139</f>
        <v>3000</v>
      </c>
      <c r="H145" s="54">
        <f>'Notes and Assumptions'!G139</f>
        <v>0</v>
      </c>
      <c r="I145" s="54">
        <f>'Notes and Assumptions'!H139</f>
        <v>3000</v>
      </c>
      <c r="J145" s="54">
        <f>'Notes and Assumptions'!I139</f>
        <v>0</v>
      </c>
      <c r="K145" s="54">
        <f>'Notes and Assumptions'!J139</f>
        <v>0</v>
      </c>
      <c r="L145" s="54">
        <f>'Notes and Assumptions'!K139</f>
        <v>0</v>
      </c>
      <c r="M145" s="54">
        <f>'Notes and Assumptions'!L139</f>
        <v>0</v>
      </c>
      <c r="N145" s="80">
        <f t="shared" si="19"/>
        <v>3000</v>
      </c>
      <c r="O145" s="9" t="b">
        <f t="shared" si="17"/>
        <v>1</v>
      </c>
    </row>
    <row r="146" spans="1:15" ht="16">
      <c r="A146" s="117"/>
      <c r="B146" s="146"/>
      <c r="C146" s="163"/>
      <c r="D146" s="64" t="s">
        <v>285</v>
      </c>
      <c r="E146" s="3" t="s">
        <v>291</v>
      </c>
      <c r="F146" s="51" t="str">
        <f>'Notes and Assumptions'!A140</f>
        <v>C24</v>
      </c>
      <c r="G146" s="54">
        <f>'Notes and Assumptions'!F140</f>
        <v>36000</v>
      </c>
      <c r="H146" s="54">
        <f>'Notes and Assumptions'!G140</f>
        <v>0</v>
      </c>
      <c r="I146" s="54">
        <f>'Notes and Assumptions'!H140</f>
        <v>36000</v>
      </c>
      <c r="J146" s="54">
        <f>'Notes and Assumptions'!I140</f>
        <v>0</v>
      </c>
      <c r="K146" s="54">
        <f>'Notes and Assumptions'!J140</f>
        <v>0</v>
      </c>
      <c r="L146" s="54">
        <f>'Notes and Assumptions'!K140</f>
        <v>0</v>
      </c>
      <c r="M146" s="54">
        <f>'Notes and Assumptions'!L140</f>
        <v>0</v>
      </c>
      <c r="N146" s="80">
        <f t="shared" si="19"/>
        <v>36000</v>
      </c>
      <c r="O146" s="9" t="b">
        <f t="shared" si="17"/>
        <v>1</v>
      </c>
    </row>
    <row r="147" spans="1:15" ht="15" customHeight="1">
      <c r="A147" s="117"/>
      <c r="B147" s="146"/>
      <c r="C147" s="163"/>
      <c r="D147" s="64" t="s">
        <v>285</v>
      </c>
      <c r="E147" s="3" t="s">
        <v>292</v>
      </c>
      <c r="F147" s="51" t="str">
        <f>'Notes and Assumptions'!A141</f>
        <v>C25</v>
      </c>
      <c r="G147" s="54">
        <f>'Notes and Assumptions'!F141</f>
        <v>12480</v>
      </c>
      <c r="H147" s="54">
        <f>'Notes and Assumptions'!G141</f>
        <v>0</v>
      </c>
      <c r="I147" s="54">
        <f>'Notes and Assumptions'!H141</f>
        <v>12480</v>
      </c>
      <c r="J147" s="54">
        <f>'Notes and Assumptions'!I141</f>
        <v>0</v>
      </c>
      <c r="K147" s="54">
        <f>'Notes and Assumptions'!J141</f>
        <v>0</v>
      </c>
      <c r="L147" s="54">
        <f>'Notes and Assumptions'!K141</f>
        <v>0</v>
      </c>
      <c r="M147" s="54">
        <f>'Notes and Assumptions'!L141</f>
        <v>0</v>
      </c>
      <c r="N147" s="80">
        <f t="shared" si="19"/>
        <v>12480</v>
      </c>
      <c r="O147" s="9" t="b">
        <f t="shared" si="17"/>
        <v>1</v>
      </c>
    </row>
    <row r="148" spans="1:15" ht="16">
      <c r="A148" s="117"/>
      <c r="B148" s="146"/>
      <c r="C148" s="163"/>
      <c r="D148" s="64" t="s">
        <v>285</v>
      </c>
      <c r="E148" s="3" t="s">
        <v>291</v>
      </c>
      <c r="F148" s="51" t="str">
        <f>'Notes and Assumptions'!A142</f>
        <v>C26</v>
      </c>
      <c r="G148" s="54">
        <f>'Notes and Assumptions'!F142</f>
        <v>54000</v>
      </c>
      <c r="H148" s="54">
        <f>'Notes and Assumptions'!G142</f>
        <v>0</v>
      </c>
      <c r="I148" s="54">
        <f>'Notes and Assumptions'!H142</f>
        <v>54000</v>
      </c>
      <c r="J148" s="54">
        <f>'Notes and Assumptions'!I142</f>
        <v>0</v>
      </c>
      <c r="K148" s="54">
        <f>'Notes and Assumptions'!J142</f>
        <v>0</v>
      </c>
      <c r="L148" s="54">
        <f>'Notes and Assumptions'!K142</f>
        <v>0</v>
      </c>
      <c r="M148" s="54">
        <f>'Notes and Assumptions'!L142</f>
        <v>0</v>
      </c>
      <c r="N148" s="80">
        <f t="shared" si="19"/>
        <v>54000</v>
      </c>
      <c r="O148" s="9" t="b">
        <f t="shared" si="17"/>
        <v>1</v>
      </c>
    </row>
    <row r="149" spans="1:15" ht="15" customHeight="1">
      <c r="A149" s="117"/>
      <c r="B149" s="146"/>
      <c r="C149" s="163"/>
      <c r="D149" s="64" t="s">
        <v>285</v>
      </c>
      <c r="E149" s="3" t="s">
        <v>292</v>
      </c>
      <c r="F149" s="51" t="str">
        <f>'Notes and Assumptions'!A143</f>
        <v>C27</v>
      </c>
      <c r="G149" s="54">
        <f>'Notes and Assumptions'!F143</f>
        <v>18720</v>
      </c>
      <c r="H149" s="54">
        <f>'Notes and Assumptions'!G143</f>
        <v>0</v>
      </c>
      <c r="I149" s="54">
        <f>'Notes and Assumptions'!H143</f>
        <v>18720</v>
      </c>
      <c r="J149" s="54">
        <f>'Notes and Assumptions'!I143</f>
        <v>0</v>
      </c>
      <c r="K149" s="54">
        <f>'Notes and Assumptions'!J143</f>
        <v>0</v>
      </c>
      <c r="L149" s="54">
        <f>'Notes and Assumptions'!K143</f>
        <v>0</v>
      </c>
      <c r="M149" s="54">
        <f>'Notes and Assumptions'!L143</f>
        <v>0</v>
      </c>
      <c r="N149" s="80">
        <f t="shared" si="19"/>
        <v>18720</v>
      </c>
      <c r="O149" s="9" t="b">
        <f t="shared" si="17"/>
        <v>1</v>
      </c>
    </row>
    <row r="150" spans="1:15" ht="15" customHeight="1">
      <c r="A150" s="117"/>
      <c r="B150" s="146"/>
      <c r="C150" s="163"/>
      <c r="D150" s="64" t="s">
        <v>287</v>
      </c>
      <c r="E150" s="3" t="s">
        <v>302</v>
      </c>
      <c r="F150" s="51" t="str">
        <f>'Notes and Assumptions'!A144</f>
        <v>C28</v>
      </c>
      <c r="G150" s="54">
        <f>'Notes and Assumptions'!F144</f>
        <v>50000</v>
      </c>
      <c r="H150" s="54">
        <f>'Notes and Assumptions'!G144</f>
        <v>0</v>
      </c>
      <c r="I150" s="54">
        <f>'Notes and Assumptions'!H144</f>
        <v>10000</v>
      </c>
      <c r="J150" s="54">
        <f>'Notes and Assumptions'!I144</f>
        <v>10000</v>
      </c>
      <c r="K150" s="54">
        <f>'Notes and Assumptions'!J144</f>
        <v>10000</v>
      </c>
      <c r="L150" s="54">
        <f>'Notes and Assumptions'!K144</f>
        <v>10000</v>
      </c>
      <c r="M150" s="54">
        <f>'Notes and Assumptions'!L144</f>
        <v>10000</v>
      </c>
      <c r="N150" s="80">
        <f t="shared" si="19"/>
        <v>50000</v>
      </c>
      <c r="O150" s="9" t="b">
        <f t="shared" si="17"/>
        <v>1</v>
      </c>
    </row>
    <row r="151" spans="1:15" ht="48">
      <c r="A151" s="117"/>
      <c r="B151" s="146"/>
      <c r="C151" s="3" t="s">
        <v>328</v>
      </c>
      <c r="D151" s="64" t="s">
        <v>285</v>
      </c>
      <c r="E151" s="3" t="s">
        <v>293</v>
      </c>
      <c r="F151" s="51" t="str">
        <f>'Notes and Assumptions'!A145</f>
        <v>C29</v>
      </c>
      <c r="G151" s="54">
        <f>'Notes and Assumptions'!F145</f>
        <v>56250</v>
      </c>
      <c r="H151" s="54">
        <f>'Notes and Assumptions'!G145</f>
        <v>0</v>
      </c>
      <c r="I151" s="54">
        <f>'Notes and Assumptions'!H145</f>
        <v>11250</v>
      </c>
      <c r="J151" s="54">
        <f>'Notes and Assumptions'!I145</f>
        <v>11250</v>
      </c>
      <c r="K151" s="54">
        <f>'Notes and Assumptions'!J145</f>
        <v>11250</v>
      </c>
      <c r="L151" s="54">
        <f>'Notes and Assumptions'!K145</f>
        <v>11250</v>
      </c>
      <c r="M151" s="54">
        <f>'Notes and Assumptions'!L145</f>
        <v>11250</v>
      </c>
      <c r="N151" s="80">
        <f t="shared" si="19"/>
        <v>56250</v>
      </c>
      <c r="O151" s="9" t="b">
        <f t="shared" si="17"/>
        <v>1</v>
      </c>
    </row>
    <row r="152" spans="1:15" ht="32">
      <c r="A152" s="117"/>
      <c r="B152" s="146"/>
      <c r="C152" s="162" t="s">
        <v>329</v>
      </c>
      <c r="D152" s="64" t="s">
        <v>285</v>
      </c>
      <c r="E152" s="3" t="s">
        <v>288</v>
      </c>
      <c r="F152" s="51" t="str">
        <f>'Notes and Assumptions'!A146</f>
        <v>C30</v>
      </c>
      <c r="G152" s="54">
        <f>'Notes and Assumptions'!F146</f>
        <v>45000</v>
      </c>
      <c r="H152" s="54">
        <f>'Notes and Assumptions'!G146</f>
        <v>0</v>
      </c>
      <c r="I152" s="54">
        <f>'Notes and Assumptions'!H146</f>
        <v>45000</v>
      </c>
      <c r="J152" s="54">
        <f>'Notes and Assumptions'!I146</f>
        <v>0</v>
      </c>
      <c r="K152" s="54">
        <f>'Notes and Assumptions'!J146</f>
        <v>0</v>
      </c>
      <c r="L152" s="54">
        <f>'Notes and Assumptions'!K146</f>
        <v>0</v>
      </c>
      <c r="M152" s="54">
        <f>'Notes and Assumptions'!L146</f>
        <v>0</v>
      </c>
      <c r="N152" s="80">
        <f t="shared" si="19"/>
        <v>45000</v>
      </c>
      <c r="O152" s="9" t="b">
        <f t="shared" si="17"/>
        <v>1</v>
      </c>
    </row>
    <row r="153" spans="1:15" ht="16.5" customHeight="1">
      <c r="A153" s="117"/>
      <c r="B153" s="146"/>
      <c r="C153" s="163"/>
      <c r="D153" s="64" t="s">
        <v>285</v>
      </c>
      <c r="E153" s="3" t="s">
        <v>292</v>
      </c>
      <c r="F153" s="51" t="str">
        <f>'Notes and Assumptions'!A147</f>
        <v>C31</v>
      </c>
      <c r="G153" s="54">
        <f>'Notes and Assumptions'!F147</f>
        <v>9360</v>
      </c>
      <c r="H153" s="54">
        <f>'Notes and Assumptions'!G147</f>
        <v>0</v>
      </c>
      <c r="I153" s="54">
        <f>'Notes and Assumptions'!H147</f>
        <v>9360</v>
      </c>
      <c r="J153" s="54">
        <f>'Notes and Assumptions'!I147</f>
        <v>0</v>
      </c>
      <c r="K153" s="54">
        <f>'Notes and Assumptions'!J147</f>
        <v>0</v>
      </c>
      <c r="L153" s="54">
        <f>'Notes and Assumptions'!K147</f>
        <v>0</v>
      </c>
      <c r="M153" s="54">
        <f>'Notes and Assumptions'!L147</f>
        <v>0</v>
      </c>
      <c r="N153" s="80">
        <f t="shared" si="19"/>
        <v>9360</v>
      </c>
      <c r="O153" s="9" t="b">
        <f t="shared" si="17"/>
        <v>1</v>
      </c>
    </row>
    <row r="154" spans="1:15" ht="16.5" customHeight="1">
      <c r="A154" s="117"/>
      <c r="B154" s="146"/>
      <c r="C154" s="163"/>
      <c r="D154" s="64" t="s">
        <v>285</v>
      </c>
      <c r="E154" s="3" t="s">
        <v>292</v>
      </c>
      <c r="F154" s="51" t="str">
        <f>'Notes and Assumptions'!A148</f>
        <v>C32</v>
      </c>
      <c r="G154" s="54">
        <f>'Notes and Assumptions'!F148</f>
        <v>3000</v>
      </c>
      <c r="H154" s="54">
        <f>'Notes and Assumptions'!G148</f>
        <v>0</v>
      </c>
      <c r="I154" s="54">
        <f>'Notes and Assumptions'!H148</f>
        <v>3000</v>
      </c>
      <c r="J154" s="54">
        <f>'Notes and Assumptions'!I148</f>
        <v>0</v>
      </c>
      <c r="K154" s="54">
        <f>'Notes and Assumptions'!J148</f>
        <v>0</v>
      </c>
      <c r="L154" s="54">
        <f>'Notes and Assumptions'!K148</f>
        <v>0</v>
      </c>
      <c r="M154" s="54">
        <f>'Notes and Assumptions'!L148</f>
        <v>0</v>
      </c>
      <c r="N154" s="80">
        <f t="shared" si="19"/>
        <v>3000</v>
      </c>
      <c r="O154" s="9" t="b">
        <f t="shared" si="17"/>
        <v>1</v>
      </c>
    </row>
    <row r="155" spans="1:15" ht="16.5" customHeight="1">
      <c r="A155" s="117"/>
      <c r="B155" s="146"/>
      <c r="C155" s="163"/>
      <c r="D155" s="64" t="s">
        <v>285</v>
      </c>
      <c r="E155" s="3" t="s">
        <v>291</v>
      </c>
      <c r="F155" s="51" t="str">
        <f>'Notes and Assumptions'!A149</f>
        <v>C33</v>
      </c>
      <c r="G155" s="54">
        <f>'Notes and Assumptions'!F149</f>
        <v>36000</v>
      </c>
      <c r="H155" s="54">
        <f>'Notes and Assumptions'!G149</f>
        <v>0</v>
      </c>
      <c r="I155" s="54">
        <f>'Notes and Assumptions'!H149</f>
        <v>36000</v>
      </c>
      <c r="J155" s="54">
        <f>'Notes and Assumptions'!I149</f>
        <v>0</v>
      </c>
      <c r="K155" s="54">
        <f>'Notes and Assumptions'!J149</f>
        <v>0</v>
      </c>
      <c r="L155" s="54">
        <f>'Notes and Assumptions'!K149</f>
        <v>0</v>
      </c>
      <c r="M155" s="54">
        <f>'Notes and Assumptions'!L149</f>
        <v>0</v>
      </c>
      <c r="N155" s="80">
        <f t="shared" si="19"/>
        <v>36000</v>
      </c>
      <c r="O155" s="9" t="b">
        <f t="shared" si="17"/>
        <v>1</v>
      </c>
    </row>
    <row r="156" spans="1:15" ht="16.5" customHeight="1">
      <c r="A156" s="117"/>
      <c r="B156" s="146"/>
      <c r="C156" s="163"/>
      <c r="D156" s="64" t="s">
        <v>285</v>
      </c>
      <c r="E156" s="3" t="s">
        <v>292</v>
      </c>
      <c r="F156" s="51" t="str">
        <f>'Notes and Assumptions'!A150</f>
        <v>C34</v>
      </c>
      <c r="G156" s="54">
        <f>'Notes and Assumptions'!F150</f>
        <v>12480</v>
      </c>
      <c r="H156" s="54">
        <f>'Notes and Assumptions'!G150</f>
        <v>0</v>
      </c>
      <c r="I156" s="54">
        <f>'Notes and Assumptions'!H150</f>
        <v>12480</v>
      </c>
      <c r="J156" s="54">
        <f>'Notes and Assumptions'!I150</f>
        <v>0</v>
      </c>
      <c r="K156" s="54">
        <f>'Notes and Assumptions'!J150</f>
        <v>0</v>
      </c>
      <c r="L156" s="54">
        <f>'Notes and Assumptions'!K150</f>
        <v>0</v>
      </c>
      <c r="M156" s="54">
        <f>'Notes and Assumptions'!L150</f>
        <v>0</v>
      </c>
      <c r="N156" s="80">
        <f t="shared" si="19"/>
        <v>12480</v>
      </c>
      <c r="O156" s="9" t="b">
        <f t="shared" si="17"/>
        <v>1</v>
      </c>
    </row>
    <row r="157" spans="1:15" ht="48">
      <c r="A157" s="117"/>
      <c r="B157" s="146"/>
      <c r="C157" s="163"/>
      <c r="D157" s="64" t="s">
        <v>285</v>
      </c>
      <c r="E157" s="3" t="s">
        <v>293</v>
      </c>
      <c r="F157" s="51" t="str">
        <f>'Notes and Assumptions'!A151</f>
        <v>C35</v>
      </c>
      <c r="G157" s="54">
        <f>'Notes and Assumptions'!F151</f>
        <v>37500</v>
      </c>
      <c r="H157" s="54">
        <f>'Notes and Assumptions'!G151</f>
        <v>0</v>
      </c>
      <c r="I157" s="54">
        <f>'Notes and Assumptions'!H151</f>
        <v>7500</v>
      </c>
      <c r="J157" s="54">
        <f>'Notes and Assumptions'!I151</f>
        <v>7500</v>
      </c>
      <c r="K157" s="54">
        <f>'Notes and Assumptions'!J151</f>
        <v>7500</v>
      </c>
      <c r="L157" s="54">
        <f>'Notes and Assumptions'!K151</f>
        <v>7500</v>
      </c>
      <c r="M157" s="54">
        <f>'Notes and Assumptions'!L151</f>
        <v>7500</v>
      </c>
      <c r="N157" s="80">
        <f t="shared" si="19"/>
        <v>37500</v>
      </c>
      <c r="O157" s="9" t="b">
        <f t="shared" si="17"/>
        <v>1</v>
      </c>
    </row>
    <row r="158" spans="1:15" ht="48">
      <c r="A158" s="117"/>
      <c r="B158" s="146"/>
      <c r="C158" s="163"/>
      <c r="D158" s="145" t="s">
        <v>285</v>
      </c>
      <c r="E158" s="116" t="s">
        <v>293</v>
      </c>
      <c r="F158" s="53" t="str">
        <f>'Notes and Assumptions'!A152</f>
        <v>C36</v>
      </c>
      <c r="G158" s="54">
        <f>'Notes and Assumptions'!F152</f>
        <v>18750</v>
      </c>
      <c r="H158" s="54">
        <f>'Notes and Assumptions'!G152</f>
        <v>0</v>
      </c>
      <c r="I158" s="54">
        <f>'Notes and Assumptions'!H152</f>
        <v>3750</v>
      </c>
      <c r="J158" s="54">
        <f>'Notes and Assumptions'!I152</f>
        <v>3750</v>
      </c>
      <c r="K158" s="54">
        <f>'Notes and Assumptions'!J152</f>
        <v>3750</v>
      </c>
      <c r="L158" s="54">
        <f>'Notes and Assumptions'!K152</f>
        <v>3750</v>
      </c>
      <c r="M158" s="54">
        <f>'Notes and Assumptions'!L152</f>
        <v>3750</v>
      </c>
      <c r="N158" s="80">
        <f t="shared" si="19"/>
        <v>18750</v>
      </c>
      <c r="O158" s="9" t="b">
        <f t="shared" si="17"/>
        <v>1</v>
      </c>
    </row>
    <row r="159" spans="1:15" ht="16">
      <c r="A159" s="33" t="s">
        <v>330</v>
      </c>
      <c r="B159" s="34"/>
      <c r="C159" s="34"/>
      <c r="D159" s="34"/>
      <c r="E159" s="34"/>
      <c r="F159" s="35"/>
      <c r="G159" s="37">
        <f>SUMIF($D$123:$D$158, "GCF", G123:G158)</f>
        <v>746012</v>
      </c>
      <c r="H159" s="37">
        <f t="shared" ref="H159:N159" si="20">SUMIF($D$123:$D$158, "GCF", H123:H158)</f>
        <v>40620</v>
      </c>
      <c r="I159" s="37">
        <f t="shared" si="20"/>
        <v>497216</v>
      </c>
      <c r="J159" s="37">
        <f t="shared" si="20"/>
        <v>52044</v>
      </c>
      <c r="K159" s="37">
        <f t="shared" si="20"/>
        <v>52044</v>
      </c>
      <c r="L159" s="37">
        <f t="shared" si="20"/>
        <v>52044</v>
      </c>
      <c r="M159" s="37">
        <f t="shared" si="20"/>
        <v>52044</v>
      </c>
      <c r="N159" s="37">
        <f t="shared" si="20"/>
        <v>746012</v>
      </c>
      <c r="O159" s="9" t="b">
        <f t="shared" si="17"/>
        <v>1</v>
      </c>
    </row>
    <row r="160" spans="1:15" ht="16">
      <c r="A160" s="33" t="s">
        <v>331</v>
      </c>
      <c r="B160" s="34"/>
      <c r="C160" s="34"/>
      <c r="D160" s="34"/>
      <c r="E160" s="34"/>
      <c r="F160" s="35"/>
      <c r="G160" s="37">
        <f>SUMIF($D$123:$D$158, "GoAB",G123:G158)</f>
        <v>100000</v>
      </c>
      <c r="H160" s="37">
        <f t="shared" ref="H160:N160" si="21">SUMIF($D$123:$D$158, "GoAB",H123:H158)</f>
        <v>0</v>
      </c>
      <c r="I160" s="37">
        <f t="shared" si="21"/>
        <v>20000</v>
      </c>
      <c r="J160" s="37">
        <f t="shared" si="21"/>
        <v>20000</v>
      </c>
      <c r="K160" s="37">
        <f t="shared" si="21"/>
        <v>20000</v>
      </c>
      <c r="L160" s="37">
        <f t="shared" si="21"/>
        <v>20000</v>
      </c>
      <c r="M160" s="37">
        <f t="shared" si="21"/>
        <v>20000</v>
      </c>
      <c r="N160" s="37">
        <f t="shared" si="21"/>
        <v>100000</v>
      </c>
      <c r="O160" s="9" t="b">
        <f t="shared" si="17"/>
        <v>1</v>
      </c>
    </row>
    <row r="161" spans="1:16" ht="16">
      <c r="A161" s="33" t="s">
        <v>332</v>
      </c>
      <c r="B161" s="34"/>
      <c r="C161" s="34"/>
      <c r="D161" s="34"/>
      <c r="E161" s="34"/>
      <c r="F161" s="35"/>
      <c r="G161" s="37">
        <f t="shared" ref="G161:N161" si="22">SUM(G159:G160)</f>
        <v>846012</v>
      </c>
      <c r="H161" s="37">
        <f t="shared" si="22"/>
        <v>40620</v>
      </c>
      <c r="I161" s="37">
        <f t="shared" si="22"/>
        <v>517216</v>
      </c>
      <c r="J161" s="37">
        <f t="shared" si="22"/>
        <v>72044</v>
      </c>
      <c r="K161" s="37">
        <f t="shared" si="22"/>
        <v>72044</v>
      </c>
      <c r="L161" s="37">
        <f t="shared" si="22"/>
        <v>72044</v>
      </c>
      <c r="M161" s="37">
        <f t="shared" si="22"/>
        <v>72044</v>
      </c>
      <c r="N161" s="37">
        <f t="shared" si="22"/>
        <v>846012</v>
      </c>
      <c r="O161" s="9" t="b">
        <f t="shared" si="17"/>
        <v>1</v>
      </c>
    </row>
    <row r="162" spans="1:16" ht="32">
      <c r="A162" s="33" t="s">
        <v>494</v>
      </c>
      <c r="B162" s="34"/>
      <c r="C162" s="34"/>
      <c r="D162" s="34"/>
      <c r="E162" s="34"/>
      <c r="F162" s="144" t="str">
        <f>'Notes and Assumptions'!A153</f>
        <v>C37</v>
      </c>
      <c r="G162" s="93">
        <f>5%*G159</f>
        <v>37300.6</v>
      </c>
      <c r="H162" s="93">
        <f t="shared" ref="H162:N162" si="23">5%*H159</f>
        <v>2031</v>
      </c>
      <c r="I162" s="93">
        <f t="shared" si="23"/>
        <v>24860.800000000003</v>
      </c>
      <c r="J162" s="93">
        <f t="shared" si="23"/>
        <v>2602.2000000000003</v>
      </c>
      <c r="K162" s="93">
        <f t="shared" si="23"/>
        <v>2602.2000000000003</v>
      </c>
      <c r="L162" s="93">
        <f t="shared" si="23"/>
        <v>2602.2000000000003</v>
      </c>
      <c r="M162" s="93">
        <f t="shared" si="23"/>
        <v>2602.2000000000003</v>
      </c>
      <c r="N162" s="93">
        <f t="shared" si="23"/>
        <v>37300.6</v>
      </c>
      <c r="O162" s="9" t="b">
        <f t="shared" si="17"/>
        <v>1</v>
      </c>
    </row>
    <row r="163" spans="1:16">
      <c r="A163" s="4"/>
      <c r="B163" s="5"/>
      <c r="C163" s="5"/>
      <c r="D163" s="5"/>
      <c r="E163" s="5"/>
      <c r="F163" s="5"/>
      <c r="G163" s="89"/>
      <c r="H163" s="89"/>
      <c r="I163" s="89"/>
      <c r="J163" s="89"/>
      <c r="K163" s="89"/>
      <c r="L163" s="89"/>
      <c r="M163" s="89"/>
      <c r="N163" s="90"/>
      <c r="O163" s="9"/>
    </row>
    <row r="164" spans="1:16" ht="30" customHeight="1">
      <c r="A164" s="160" t="s">
        <v>425</v>
      </c>
      <c r="B164" s="161"/>
      <c r="C164" s="161"/>
      <c r="D164" s="34"/>
      <c r="E164" s="34"/>
      <c r="F164" s="34"/>
      <c r="G164" s="88"/>
      <c r="H164" s="88"/>
      <c r="I164" s="88"/>
      <c r="J164" s="88"/>
      <c r="K164" s="88"/>
      <c r="L164" s="88"/>
      <c r="M164" s="88"/>
      <c r="N164" s="37"/>
      <c r="O164" s="9"/>
    </row>
    <row r="165" spans="1:16" ht="30" customHeight="1">
      <c r="A165" s="181" t="str">
        <f>'Notes and Assumptions'!B155</f>
        <v>International consultant to conduct the Independent Interim Evaluation for the project.</v>
      </c>
      <c r="B165" s="182"/>
      <c r="C165" s="183"/>
      <c r="D165" s="13" t="s">
        <v>285</v>
      </c>
      <c r="E165" s="82" t="s">
        <v>288</v>
      </c>
      <c r="F165" s="91" t="str">
        <f>'Notes and Assumptions'!A155</f>
        <v>M&amp;E1</v>
      </c>
      <c r="G165" s="92">
        <f>'Notes and Assumptions'!F155</f>
        <v>114400</v>
      </c>
      <c r="H165" s="92">
        <f>'Notes and Assumptions'!G155</f>
        <v>0</v>
      </c>
      <c r="I165" s="92">
        <f>'Notes and Assumptions'!H155</f>
        <v>0</v>
      </c>
      <c r="J165" s="92">
        <f>'Notes and Assumptions'!I155</f>
        <v>114400</v>
      </c>
      <c r="K165" s="92">
        <f>'Notes and Assumptions'!J155</f>
        <v>0</v>
      </c>
      <c r="L165" s="92">
        <f>'Notes and Assumptions'!K155</f>
        <v>0</v>
      </c>
      <c r="M165" s="92">
        <f>'Notes and Assumptions'!L155</f>
        <v>0</v>
      </c>
      <c r="N165" s="92">
        <f>SUM(H165:M165)</f>
        <v>114400</v>
      </c>
      <c r="O165" s="9" t="b">
        <f>N165=G165</f>
        <v>1</v>
      </c>
    </row>
    <row r="166" spans="1:16" ht="30" customHeight="1">
      <c r="A166" s="181" t="str">
        <f>'Notes and Assumptions'!B156</f>
        <v>International consultant to conduct the Final Evaluation Report for the project.</v>
      </c>
      <c r="B166" s="182"/>
      <c r="C166" s="183"/>
      <c r="D166" s="13" t="s">
        <v>285</v>
      </c>
      <c r="E166" s="82" t="s">
        <v>288</v>
      </c>
      <c r="F166" s="91" t="str">
        <f>'Notes and Assumptions'!A156</f>
        <v>M&amp;E2</v>
      </c>
      <c r="G166" s="92">
        <f>'Notes and Assumptions'!F156</f>
        <v>143000</v>
      </c>
      <c r="H166" s="92">
        <f>'Notes and Assumptions'!G156</f>
        <v>0</v>
      </c>
      <c r="I166" s="92">
        <f>'Notes and Assumptions'!H156</f>
        <v>0</v>
      </c>
      <c r="J166" s="92">
        <f>'Notes and Assumptions'!I156</f>
        <v>0</v>
      </c>
      <c r="K166" s="92">
        <f>'Notes and Assumptions'!J156</f>
        <v>0</v>
      </c>
      <c r="L166" s="92">
        <f>'Notes and Assumptions'!K156</f>
        <v>0</v>
      </c>
      <c r="M166" s="92">
        <f>'Notes and Assumptions'!L156</f>
        <v>143000</v>
      </c>
      <c r="N166" s="92">
        <f t="shared" ref="N166:N167" si="24">SUM(H166:M166)</f>
        <v>143000</v>
      </c>
      <c r="O166" s="9" t="b">
        <f t="shared" ref="O166:O167" si="25">N166=G166</f>
        <v>1</v>
      </c>
    </row>
    <row r="167" spans="1:16">
      <c r="A167" s="178" t="s">
        <v>428</v>
      </c>
      <c r="B167" s="179"/>
      <c r="C167" s="179"/>
      <c r="D167" s="179"/>
      <c r="E167" s="179"/>
      <c r="F167" s="180"/>
      <c r="G167" s="93">
        <f>SUM(G165:G166)</f>
        <v>257400</v>
      </c>
      <c r="H167" s="93">
        <f t="shared" ref="H167:M167" si="26">SUM(H165:H166)</f>
        <v>0</v>
      </c>
      <c r="I167" s="93">
        <f t="shared" si="26"/>
        <v>0</v>
      </c>
      <c r="J167" s="93">
        <f t="shared" si="26"/>
        <v>114400</v>
      </c>
      <c r="K167" s="93">
        <f t="shared" si="26"/>
        <v>0</v>
      </c>
      <c r="L167" s="93">
        <f t="shared" si="26"/>
        <v>0</v>
      </c>
      <c r="M167" s="93">
        <f t="shared" si="26"/>
        <v>143000</v>
      </c>
      <c r="N167" s="93">
        <f t="shared" si="24"/>
        <v>257400</v>
      </c>
      <c r="O167" s="9" t="b">
        <f t="shared" si="25"/>
        <v>1</v>
      </c>
      <c r="P167" s="8"/>
    </row>
    <row r="168" spans="1:16">
      <c r="A168" s="4"/>
      <c r="B168" s="5"/>
      <c r="C168" s="5"/>
      <c r="D168" s="5"/>
      <c r="E168" s="5"/>
      <c r="F168" s="5"/>
      <c r="G168" s="5"/>
      <c r="H168" s="6"/>
      <c r="I168" s="6"/>
      <c r="J168" s="6"/>
      <c r="K168" s="6"/>
      <c r="L168" s="6"/>
      <c r="M168" s="6"/>
      <c r="N168" s="7"/>
      <c r="O168" s="9"/>
    </row>
    <row r="169" spans="1:16" ht="30" customHeight="1">
      <c r="A169" s="171" t="s">
        <v>333</v>
      </c>
      <c r="B169" s="172"/>
      <c r="C169" s="172"/>
      <c r="D169" s="172"/>
      <c r="E169" s="172"/>
      <c r="F169" s="172"/>
      <c r="G169" s="172"/>
      <c r="H169" s="172"/>
      <c r="I169" s="172"/>
      <c r="J169" s="172"/>
      <c r="K169" s="172"/>
      <c r="L169" s="172"/>
      <c r="M169" s="172"/>
      <c r="N169" s="173"/>
      <c r="O169" s="9" t="b">
        <f t="shared" ref="O169:O182" si="27">G169=N169</f>
        <v>1</v>
      </c>
    </row>
    <row r="170" spans="1:16" ht="16">
      <c r="A170" s="147" t="str">
        <f>'Notes and Assumptions'!B158</f>
        <v xml:space="preserve">Project Manager </v>
      </c>
      <c r="B170" s="148"/>
      <c r="C170" s="148"/>
      <c r="D170" s="149" t="s">
        <v>285</v>
      </c>
      <c r="E170" s="150" t="s">
        <v>351</v>
      </c>
      <c r="F170" s="151" t="s">
        <v>334</v>
      </c>
      <c r="G170" s="151">
        <f>'Notes and Assumptions'!F158</f>
        <v>240000</v>
      </c>
      <c r="H170" s="151">
        <f>'Notes and Assumptions'!G158</f>
        <v>40000</v>
      </c>
      <c r="I170" s="151">
        <f>'Notes and Assumptions'!H158</f>
        <v>40000</v>
      </c>
      <c r="J170" s="151">
        <f>'Notes and Assumptions'!I158</f>
        <v>40000</v>
      </c>
      <c r="K170" s="151">
        <f>'Notes and Assumptions'!J158</f>
        <v>40000</v>
      </c>
      <c r="L170" s="151">
        <f>'Notes and Assumptions'!K158</f>
        <v>40000</v>
      </c>
      <c r="M170" s="151">
        <f>'Notes and Assumptions'!L158</f>
        <v>40000</v>
      </c>
      <c r="N170" s="152">
        <f>SUM(H170:M170)</f>
        <v>240000</v>
      </c>
      <c r="O170" s="9" t="b">
        <f t="shared" si="27"/>
        <v>1</v>
      </c>
    </row>
    <row r="171" spans="1:16" ht="16">
      <c r="A171" s="147" t="str">
        <f>'Notes and Assumptions'!B159</f>
        <v>Project Coordinator</v>
      </c>
      <c r="B171" s="148"/>
      <c r="C171" s="148"/>
      <c r="D171" s="149" t="s">
        <v>285</v>
      </c>
      <c r="E171" s="150" t="s">
        <v>351</v>
      </c>
      <c r="F171" s="151" t="s">
        <v>335</v>
      </c>
      <c r="G171" s="151">
        <f>'Notes and Assumptions'!F159</f>
        <v>270000</v>
      </c>
      <c r="H171" s="151">
        <f>'Notes and Assumptions'!G159</f>
        <v>45000</v>
      </c>
      <c r="I171" s="151">
        <f>'Notes and Assumptions'!H159</f>
        <v>45000</v>
      </c>
      <c r="J171" s="151">
        <f>'Notes and Assumptions'!I159</f>
        <v>45000</v>
      </c>
      <c r="K171" s="151">
        <f>'Notes and Assumptions'!J159</f>
        <v>45000</v>
      </c>
      <c r="L171" s="151">
        <f>'Notes and Assumptions'!K159</f>
        <v>45000</v>
      </c>
      <c r="M171" s="151">
        <f>'Notes and Assumptions'!L159</f>
        <v>45000</v>
      </c>
      <c r="N171" s="152">
        <f t="shared" ref="N171:N179" si="28">SUM(H171:M171)</f>
        <v>270000</v>
      </c>
      <c r="O171" s="9" t="b">
        <f t="shared" si="27"/>
        <v>1</v>
      </c>
    </row>
    <row r="172" spans="1:16" ht="64">
      <c r="A172" s="147" t="str">
        <f>'Notes and Assumptions'!B160</f>
        <v>Financial Officer
(This will be financed using in-kind co-financing from the GoAB.)</v>
      </c>
      <c r="B172" s="148"/>
      <c r="C172" s="148"/>
      <c r="D172" s="149" t="s">
        <v>287</v>
      </c>
      <c r="E172" s="150" t="s">
        <v>351</v>
      </c>
      <c r="F172" s="151" t="s">
        <v>336</v>
      </c>
      <c r="G172" s="151">
        <f>'Notes and Assumptions'!F160</f>
        <v>120000</v>
      </c>
      <c r="H172" s="151">
        <f>'Notes and Assumptions'!G160</f>
        <v>20000</v>
      </c>
      <c r="I172" s="151">
        <f>'Notes and Assumptions'!H160</f>
        <v>20000</v>
      </c>
      <c r="J172" s="151">
        <f>'Notes and Assumptions'!I160</f>
        <v>20000</v>
      </c>
      <c r="K172" s="151">
        <f>'Notes and Assumptions'!J160</f>
        <v>20000</v>
      </c>
      <c r="L172" s="151">
        <f>'Notes and Assumptions'!K160</f>
        <v>20000</v>
      </c>
      <c r="M172" s="151">
        <f>'Notes and Assumptions'!L160</f>
        <v>20000</v>
      </c>
      <c r="N172" s="152">
        <f t="shared" si="28"/>
        <v>120000</v>
      </c>
      <c r="O172" s="9" t="b">
        <f t="shared" si="27"/>
        <v>1</v>
      </c>
    </row>
    <row r="173" spans="1:16" ht="64">
      <c r="A173" s="147" t="str">
        <f>'Notes and Assumptions'!B161</f>
        <v>Procurement Officer
(This will be financed using in-kind co-financing from the GoAB.)</v>
      </c>
      <c r="B173" s="148"/>
      <c r="C173" s="148"/>
      <c r="D173" s="149" t="s">
        <v>287</v>
      </c>
      <c r="E173" s="150" t="s">
        <v>351</v>
      </c>
      <c r="F173" s="151" t="s">
        <v>337</v>
      </c>
      <c r="G173" s="151">
        <f>'Notes and Assumptions'!F161</f>
        <v>120000</v>
      </c>
      <c r="H173" s="151">
        <f>'Notes and Assumptions'!G161</f>
        <v>20000</v>
      </c>
      <c r="I173" s="151">
        <f>'Notes and Assumptions'!H161</f>
        <v>20000</v>
      </c>
      <c r="J173" s="151">
        <f>'Notes and Assumptions'!I161</f>
        <v>20000</v>
      </c>
      <c r="K173" s="151">
        <f>'Notes and Assumptions'!J161</f>
        <v>20000</v>
      </c>
      <c r="L173" s="151">
        <f>'Notes and Assumptions'!K161</f>
        <v>20000</v>
      </c>
      <c r="M173" s="151">
        <f>'Notes and Assumptions'!L161</f>
        <v>20000</v>
      </c>
      <c r="N173" s="152">
        <f t="shared" si="28"/>
        <v>120000</v>
      </c>
      <c r="O173" s="9" t="b">
        <f t="shared" si="27"/>
        <v>1</v>
      </c>
    </row>
    <row r="174" spans="1:16" ht="64">
      <c r="A174" s="147" t="str">
        <f>'Notes and Assumptions'!B162</f>
        <v>Administrative Officer 
(This will be financed using in-kind co-financing from the GoAB.)</v>
      </c>
      <c r="B174" s="148"/>
      <c r="C174" s="148"/>
      <c r="D174" s="149" t="s">
        <v>287</v>
      </c>
      <c r="E174" s="150" t="s">
        <v>351</v>
      </c>
      <c r="F174" s="151" t="s">
        <v>338</v>
      </c>
      <c r="G174" s="151">
        <f>'Notes and Assumptions'!F162</f>
        <v>150000</v>
      </c>
      <c r="H174" s="151">
        <f>'Notes and Assumptions'!G162</f>
        <v>25000</v>
      </c>
      <c r="I174" s="151">
        <f>'Notes and Assumptions'!H162</f>
        <v>25000</v>
      </c>
      <c r="J174" s="151">
        <f>'Notes and Assumptions'!I162</f>
        <v>25000</v>
      </c>
      <c r="K174" s="151">
        <f>'Notes and Assumptions'!J162</f>
        <v>25000</v>
      </c>
      <c r="L174" s="151">
        <f>'Notes and Assumptions'!K162</f>
        <v>25000</v>
      </c>
      <c r="M174" s="151">
        <f>'Notes and Assumptions'!L162</f>
        <v>25000</v>
      </c>
      <c r="N174" s="152">
        <f t="shared" si="28"/>
        <v>150000</v>
      </c>
      <c r="O174" s="9" t="b">
        <f t="shared" si="27"/>
        <v>1</v>
      </c>
    </row>
    <row r="175" spans="1:16" ht="80">
      <c r="A175" s="147" t="str">
        <f>'Notes and Assumptions'!B163</f>
        <v>Monitoring and evaluation officer specializing in training impacts on a gender basis 
(This will be financed using in-kind co-financing from the GoAB.)</v>
      </c>
      <c r="B175" s="148"/>
      <c r="C175" s="148"/>
      <c r="D175" s="149" t="s">
        <v>287</v>
      </c>
      <c r="E175" s="150" t="s">
        <v>351</v>
      </c>
      <c r="F175" s="151" t="s">
        <v>339</v>
      </c>
      <c r="G175" s="151">
        <f>'Notes and Assumptions'!F163</f>
        <v>210000</v>
      </c>
      <c r="H175" s="151">
        <f>'Notes and Assumptions'!G163</f>
        <v>35000</v>
      </c>
      <c r="I175" s="151">
        <f>'Notes and Assumptions'!H163</f>
        <v>35000</v>
      </c>
      <c r="J175" s="151">
        <f>'Notes and Assumptions'!I163</f>
        <v>35000</v>
      </c>
      <c r="K175" s="151">
        <f>'Notes and Assumptions'!J163</f>
        <v>35000</v>
      </c>
      <c r="L175" s="151">
        <f>'Notes and Assumptions'!K163</f>
        <v>35000</v>
      </c>
      <c r="M175" s="151">
        <f>'Notes and Assumptions'!L163</f>
        <v>35000</v>
      </c>
      <c r="N175" s="152">
        <f t="shared" si="28"/>
        <v>210000</v>
      </c>
      <c r="O175" s="9" t="b">
        <f t="shared" si="27"/>
        <v>1</v>
      </c>
    </row>
    <row r="176" spans="1:16" ht="16">
      <c r="A176" s="147" t="str">
        <f>'Notes and Assumptions'!B164</f>
        <v>Environmental,  Social and Gender Officers  person</v>
      </c>
      <c r="B176" s="148"/>
      <c r="C176" s="148"/>
      <c r="D176" s="149" t="s">
        <v>285</v>
      </c>
      <c r="E176" s="150" t="s">
        <v>351</v>
      </c>
      <c r="F176" s="151" t="s">
        <v>340</v>
      </c>
      <c r="G176" s="151">
        <f>'Notes and Assumptions'!F164</f>
        <v>180000</v>
      </c>
      <c r="H176" s="151">
        <f>'Notes and Assumptions'!G164</f>
        <v>30000</v>
      </c>
      <c r="I176" s="151">
        <f>'Notes and Assumptions'!H164</f>
        <v>30000</v>
      </c>
      <c r="J176" s="151">
        <f>'Notes and Assumptions'!I164</f>
        <v>30000</v>
      </c>
      <c r="K176" s="151">
        <f>'Notes and Assumptions'!J164</f>
        <v>30000</v>
      </c>
      <c r="L176" s="151">
        <f>'Notes and Assumptions'!K164</f>
        <v>30000</v>
      </c>
      <c r="M176" s="151">
        <f>'Notes and Assumptions'!L164</f>
        <v>30000</v>
      </c>
      <c r="N176" s="152">
        <f t="shared" si="28"/>
        <v>180000</v>
      </c>
      <c r="O176" s="9" t="b">
        <f t="shared" si="27"/>
        <v>1</v>
      </c>
    </row>
    <row r="177" spans="1:21" ht="64">
      <c r="A177" s="147" t="str">
        <f>'Notes and Assumptions'!B165</f>
        <v>Communications Officer
(This will be financed using in-kind co-financing from the GoAB.)</v>
      </c>
      <c r="B177" s="148"/>
      <c r="C177" s="148"/>
      <c r="D177" s="149" t="s">
        <v>287</v>
      </c>
      <c r="E177" s="150" t="s">
        <v>351</v>
      </c>
      <c r="F177" s="151" t="s">
        <v>341</v>
      </c>
      <c r="G177" s="151">
        <f>'Notes and Assumptions'!F165</f>
        <v>150000</v>
      </c>
      <c r="H177" s="151">
        <f>'Notes and Assumptions'!G165</f>
        <v>25000</v>
      </c>
      <c r="I177" s="151">
        <f>'Notes and Assumptions'!H165</f>
        <v>25000</v>
      </c>
      <c r="J177" s="151">
        <f>'Notes and Assumptions'!I165</f>
        <v>25000</v>
      </c>
      <c r="K177" s="151">
        <f>'Notes and Assumptions'!J165</f>
        <v>25000</v>
      </c>
      <c r="L177" s="151">
        <f>'Notes and Assumptions'!K165</f>
        <v>25000</v>
      </c>
      <c r="M177" s="151">
        <f>'Notes and Assumptions'!L165</f>
        <v>25000</v>
      </c>
      <c r="N177" s="152">
        <f t="shared" si="28"/>
        <v>150000</v>
      </c>
      <c r="O177" s="9" t="b">
        <f t="shared" si="27"/>
        <v>1</v>
      </c>
    </row>
    <row r="178" spans="1:21" ht="32">
      <c r="A178" s="147" t="str">
        <f>'Notes and Assumptions'!B166</f>
        <v xml:space="preserve"> Technical Advisors (Renewable energy and Gender sensitive training)</v>
      </c>
      <c r="B178" s="148" t="s">
        <v>462</v>
      </c>
      <c r="C178" s="148"/>
      <c r="D178" s="149" t="s">
        <v>285</v>
      </c>
      <c r="E178" s="150" t="s">
        <v>351</v>
      </c>
      <c r="F178" s="151" t="s">
        <v>342</v>
      </c>
      <c r="G178" s="151">
        <f>'Notes and Assumptions'!F166</f>
        <v>360000</v>
      </c>
      <c r="H178" s="151">
        <f>'Notes and Assumptions'!G166</f>
        <v>60000</v>
      </c>
      <c r="I178" s="151">
        <f>'Notes and Assumptions'!H166</f>
        <v>60000</v>
      </c>
      <c r="J178" s="151">
        <f>'Notes and Assumptions'!I166</f>
        <v>60000</v>
      </c>
      <c r="K178" s="151">
        <f>'Notes and Assumptions'!J166</f>
        <v>60000</v>
      </c>
      <c r="L178" s="151">
        <f>'Notes and Assumptions'!K166</f>
        <v>60000</v>
      </c>
      <c r="M178" s="151">
        <f>'Notes and Assumptions'!L166</f>
        <v>60000</v>
      </c>
      <c r="N178" s="152">
        <f t="shared" si="28"/>
        <v>360000</v>
      </c>
      <c r="O178" s="9" t="b">
        <f t="shared" si="27"/>
        <v>1</v>
      </c>
    </row>
    <row r="179" spans="1:21" ht="80">
      <c r="A179" s="147" t="str">
        <f>'Notes and Assumptions'!B167</f>
        <v xml:space="preserve">Office space for the project management unit
(This will be financed using cash and in-kind co-financing for material staff costs, split 40% and 60%, respectively.) </v>
      </c>
      <c r="B179" s="148"/>
      <c r="C179" s="148"/>
      <c r="D179" s="149" t="s">
        <v>287</v>
      </c>
      <c r="E179" s="150" t="s">
        <v>351</v>
      </c>
      <c r="F179" s="151" t="s">
        <v>430</v>
      </c>
      <c r="G179" s="151">
        <f>'Notes and Assumptions'!F167</f>
        <v>180000</v>
      </c>
      <c r="H179" s="151">
        <f>'Notes and Assumptions'!G167</f>
        <v>30000</v>
      </c>
      <c r="I179" s="151">
        <f>'Notes and Assumptions'!H167</f>
        <v>30000</v>
      </c>
      <c r="J179" s="151">
        <f>'Notes and Assumptions'!I167</f>
        <v>30000</v>
      </c>
      <c r="K179" s="151">
        <f>'Notes and Assumptions'!J167</f>
        <v>30000</v>
      </c>
      <c r="L179" s="151">
        <f>'Notes and Assumptions'!K167</f>
        <v>30000</v>
      </c>
      <c r="M179" s="151">
        <f>'Notes and Assumptions'!L167</f>
        <v>30000</v>
      </c>
      <c r="N179" s="152">
        <f t="shared" si="28"/>
        <v>180000</v>
      </c>
      <c r="O179" s="9" t="b">
        <f t="shared" si="27"/>
        <v>1</v>
      </c>
    </row>
    <row r="180" spans="1:21">
      <c r="A180" s="160" t="s">
        <v>499</v>
      </c>
      <c r="B180" s="161"/>
      <c r="C180" s="161"/>
      <c r="D180" s="161"/>
      <c r="E180" s="161"/>
      <c r="F180" s="174"/>
      <c r="G180" s="37">
        <f>SUMIF($D$170:$D$179, "GCF",G170:G179)+G167</f>
        <v>1307400</v>
      </c>
      <c r="H180" s="37">
        <f t="shared" ref="H180:N180" si="29">SUMIF($D$170:$D$179, "GCF",H170:H179)+H167</f>
        <v>175000</v>
      </c>
      <c r="I180" s="37">
        <f t="shared" si="29"/>
        <v>175000</v>
      </c>
      <c r="J180" s="37">
        <f t="shared" si="29"/>
        <v>289400</v>
      </c>
      <c r="K180" s="37">
        <f t="shared" si="29"/>
        <v>175000</v>
      </c>
      <c r="L180" s="37">
        <f t="shared" si="29"/>
        <v>175000</v>
      </c>
      <c r="M180" s="37">
        <f t="shared" si="29"/>
        <v>318000</v>
      </c>
      <c r="N180" s="37">
        <f t="shared" si="29"/>
        <v>1307400</v>
      </c>
      <c r="O180" s="9" t="b">
        <f t="shared" si="27"/>
        <v>1</v>
      </c>
      <c r="P180" s="73">
        <f>N180/N182</f>
        <v>0.5843389648699383</v>
      </c>
      <c r="Q180" s="74">
        <f>N184/N192</f>
        <v>0.62189548966050789</v>
      </c>
      <c r="R180" s="10"/>
      <c r="S180" s="10"/>
      <c r="T180" s="10"/>
    </row>
    <row r="181" spans="1:21">
      <c r="A181" s="160" t="s">
        <v>343</v>
      </c>
      <c r="B181" s="161"/>
      <c r="C181" s="161"/>
      <c r="D181" s="161"/>
      <c r="E181" s="161"/>
      <c r="F181" s="174"/>
      <c r="G181" s="37">
        <f t="shared" ref="G181:N181" si="30">SUMIF($D$170:$D$179, "GoAB",G170:G179)</f>
        <v>930000</v>
      </c>
      <c r="H181" s="37">
        <f t="shared" si="30"/>
        <v>155000</v>
      </c>
      <c r="I181" s="37">
        <f t="shared" si="30"/>
        <v>155000</v>
      </c>
      <c r="J181" s="37">
        <f t="shared" si="30"/>
        <v>155000</v>
      </c>
      <c r="K181" s="37">
        <f t="shared" si="30"/>
        <v>155000</v>
      </c>
      <c r="L181" s="37">
        <f t="shared" si="30"/>
        <v>155000</v>
      </c>
      <c r="M181" s="37">
        <f t="shared" si="30"/>
        <v>155000</v>
      </c>
      <c r="N181" s="37">
        <f t="shared" si="30"/>
        <v>930000</v>
      </c>
      <c r="O181" s="9" t="b">
        <f t="shared" si="27"/>
        <v>1</v>
      </c>
      <c r="P181" s="73">
        <f>N181/N182</f>
        <v>0.4156610351300617</v>
      </c>
      <c r="Q181" s="74">
        <f>N185/N192</f>
        <v>0.27137734860131757</v>
      </c>
      <c r="R181" s="10"/>
      <c r="S181" s="46"/>
      <c r="T181" s="47"/>
    </row>
    <row r="182" spans="1:21">
      <c r="A182" s="160" t="s">
        <v>500</v>
      </c>
      <c r="B182" s="161"/>
      <c r="C182" s="161"/>
      <c r="D182" s="161"/>
      <c r="E182" s="161"/>
      <c r="F182" s="174"/>
      <c r="G182" s="37">
        <f>SUM(G180:G181)</f>
        <v>2237400</v>
      </c>
      <c r="H182" s="37">
        <f t="shared" ref="H182:N182" si="31">SUM(H180:H181)</f>
        <v>330000</v>
      </c>
      <c r="I182" s="37">
        <f t="shared" si="31"/>
        <v>330000</v>
      </c>
      <c r="J182" s="37">
        <f t="shared" si="31"/>
        <v>444400</v>
      </c>
      <c r="K182" s="37">
        <f t="shared" si="31"/>
        <v>330000</v>
      </c>
      <c r="L182" s="37">
        <f t="shared" si="31"/>
        <v>330000</v>
      </c>
      <c r="M182" s="37">
        <f t="shared" si="31"/>
        <v>473000</v>
      </c>
      <c r="N182" s="37">
        <f t="shared" si="31"/>
        <v>2237400</v>
      </c>
      <c r="O182" s="9" t="b">
        <f t="shared" si="27"/>
        <v>1</v>
      </c>
      <c r="P182" s="9"/>
      <c r="Q182" s="9"/>
      <c r="R182" s="8"/>
      <c r="S182" s="8"/>
      <c r="T182" s="8"/>
    </row>
    <row r="183" spans="1:21" ht="30" customHeight="1">
      <c r="A183" s="14"/>
      <c r="B183" s="14"/>
      <c r="C183" s="14"/>
      <c r="D183" s="14"/>
      <c r="E183" s="14"/>
      <c r="F183" s="14"/>
      <c r="G183" s="14"/>
      <c r="H183" s="9"/>
      <c r="I183" s="9"/>
      <c r="J183" s="9"/>
      <c r="K183" s="9"/>
      <c r="L183" s="9"/>
      <c r="M183" s="9"/>
      <c r="N183" s="9"/>
      <c r="O183" s="9"/>
      <c r="P183" s="9"/>
      <c r="Q183" s="9"/>
      <c r="R183" s="72"/>
      <c r="S183" s="8"/>
      <c r="T183" s="8"/>
      <c r="U183" s="8"/>
    </row>
    <row r="184" spans="1:21">
      <c r="A184" s="175" t="s">
        <v>344</v>
      </c>
      <c r="B184" s="176"/>
      <c r="C184" s="176"/>
      <c r="D184" s="176"/>
      <c r="E184" s="176"/>
      <c r="F184" s="177"/>
      <c r="G184" s="38">
        <f>SUM(G60,G119,G159)</f>
        <v>28709574.973467655</v>
      </c>
      <c r="H184" s="38">
        <f t="shared" ref="H184:N184" si="32">SUM(H60,H119,H159)</f>
        <v>5140589.2896588901</v>
      </c>
      <c r="I184" s="38">
        <f t="shared" si="32"/>
        <v>7409805.9369017314</v>
      </c>
      <c r="J184" s="38">
        <f t="shared" si="32"/>
        <v>3967840.8142453162</v>
      </c>
      <c r="K184" s="38">
        <f t="shared" si="32"/>
        <v>4063779.6442205724</v>
      </c>
      <c r="L184" s="38">
        <f t="shared" si="32"/>
        <v>4063779.6442205724</v>
      </c>
      <c r="M184" s="38">
        <f t="shared" si="32"/>
        <v>4063779.6442205724</v>
      </c>
      <c r="N184" s="38">
        <f t="shared" si="32"/>
        <v>28709574.973467659</v>
      </c>
      <c r="O184" s="9" t="b">
        <f>N184=G184</f>
        <v>1</v>
      </c>
      <c r="P184" s="72"/>
    </row>
    <row r="185" spans="1:21">
      <c r="A185" s="168" t="s">
        <v>345</v>
      </c>
      <c r="B185" s="169"/>
      <c r="C185" s="169"/>
      <c r="D185" s="169"/>
      <c r="E185" s="169"/>
      <c r="F185" s="170"/>
      <c r="G185" s="39">
        <f>SUM(G61,G120,G160)</f>
        <v>12528034.798939552</v>
      </c>
      <c r="H185" s="39">
        <f t="shared" ref="H185:N185" si="33">SUM(H61,H120,H160)</f>
        <v>1974023.69922234</v>
      </c>
      <c r="I185" s="39">
        <f t="shared" si="33"/>
        <v>2995966.6493814066</v>
      </c>
      <c r="J185" s="39">
        <f t="shared" si="33"/>
        <v>1889511.1125839518</v>
      </c>
      <c r="K185" s="39">
        <f t="shared" si="33"/>
        <v>1889511.1125839518</v>
      </c>
      <c r="L185" s="39">
        <f t="shared" si="33"/>
        <v>1889511.1125839518</v>
      </c>
      <c r="M185" s="39">
        <f t="shared" si="33"/>
        <v>1889511.1125839518</v>
      </c>
      <c r="N185" s="39">
        <f t="shared" si="33"/>
        <v>12528034.798939552</v>
      </c>
      <c r="O185" s="9" t="b">
        <f t="shared" ref="O185:O188" si="34">N185=G185</f>
        <v>1</v>
      </c>
      <c r="P185" s="8"/>
      <c r="S185" s="8"/>
    </row>
    <row r="186" spans="1:21">
      <c r="A186" s="175" t="s">
        <v>346</v>
      </c>
      <c r="B186" s="176"/>
      <c r="C186" s="176"/>
      <c r="D186" s="176"/>
      <c r="E186" s="176"/>
      <c r="F186" s="177"/>
      <c r="G186" s="38">
        <f>SUM(G184:G185)</f>
        <v>41237609.772407204</v>
      </c>
      <c r="H186" s="38">
        <f t="shared" ref="H186:N186" si="35">SUM(H184:H185)</f>
        <v>7114612.9888812304</v>
      </c>
      <c r="I186" s="38">
        <f t="shared" si="35"/>
        <v>10405772.586283138</v>
      </c>
      <c r="J186" s="38">
        <f t="shared" si="35"/>
        <v>5857351.9268292682</v>
      </c>
      <c r="K186" s="38">
        <f t="shared" si="35"/>
        <v>5953290.756804524</v>
      </c>
      <c r="L186" s="38">
        <f t="shared" si="35"/>
        <v>5953290.756804524</v>
      </c>
      <c r="M186" s="38">
        <f t="shared" si="35"/>
        <v>5953290.756804524</v>
      </c>
      <c r="N186" s="38">
        <f t="shared" si="35"/>
        <v>41237609.772407211</v>
      </c>
      <c r="O186" s="9" t="b">
        <f t="shared" si="34"/>
        <v>1</v>
      </c>
      <c r="P186" s="8"/>
      <c r="Q186" s="8"/>
    </row>
    <row r="187" spans="1:21">
      <c r="A187" s="14"/>
      <c r="B187" s="14"/>
      <c r="C187" s="14"/>
      <c r="D187" s="14"/>
      <c r="E187" s="14"/>
      <c r="F187" s="14"/>
      <c r="G187" s="44"/>
      <c r="H187" s="44"/>
      <c r="I187" s="44"/>
      <c r="J187" s="44"/>
      <c r="K187" s="44"/>
      <c r="L187" s="44"/>
      <c r="M187" s="44"/>
      <c r="N187" s="17"/>
      <c r="O187" s="9"/>
      <c r="P187" s="8"/>
      <c r="Q187" s="8"/>
    </row>
    <row r="188" spans="1:21">
      <c r="A188" s="175" t="s">
        <v>495</v>
      </c>
      <c r="B188" s="176"/>
      <c r="C188" s="176"/>
      <c r="D188" s="176"/>
      <c r="E188" s="176"/>
      <c r="F188" s="177"/>
      <c r="G188" s="153">
        <f>SUM(G162,G122,G63)</f>
        <v>2689619.8973467657</v>
      </c>
      <c r="H188" s="153">
        <f t="shared" ref="H188:N188" si="36">SUM(H162,H122,H63)</f>
        <v>490483.42896588903</v>
      </c>
      <c r="I188" s="153">
        <f t="shared" si="36"/>
        <v>683604.79369017319</v>
      </c>
      <c r="J188" s="153">
        <f t="shared" si="36"/>
        <v>371546.88142453163</v>
      </c>
      <c r="K188" s="153">
        <f t="shared" si="36"/>
        <v>381328.26442205725</v>
      </c>
      <c r="L188" s="153">
        <f t="shared" si="36"/>
        <v>381328.26442205725</v>
      </c>
      <c r="M188" s="153">
        <f t="shared" si="36"/>
        <v>381328.26442205725</v>
      </c>
      <c r="N188" s="153">
        <f t="shared" si="36"/>
        <v>2689619.8973467662</v>
      </c>
      <c r="O188" s="9" t="b">
        <f t="shared" si="34"/>
        <v>1</v>
      </c>
      <c r="P188" s="8"/>
      <c r="Q188" s="8"/>
    </row>
    <row r="189" spans="1:21">
      <c r="A189" s="14"/>
      <c r="B189" s="14"/>
      <c r="C189" s="14"/>
      <c r="D189" s="14"/>
      <c r="E189" s="14"/>
      <c r="F189" s="14"/>
      <c r="G189" s="44"/>
      <c r="H189" s="44"/>
      <c r="I189" s="44"/>
      <c r="J189" s="44"/>
      <c r="K189" s="44"/>
      <c r="L189" s="44"/>
      <c r="M189" s="44"/>
      <c r="N189" s="17"/>
      <c r="O189" s="17"/>
    </row>
    <row r="190" spans="1:21" ht="30.75" customHeight="1">
      <c r="A190" s="121" t="s">
        <v>477</v>
      </c>
      <c r="B190" s="122"/>
      <c r="C190" s="122"/>
      <c r="D190" s="122"/>
      <c r="E190" s="122"/>
      <c r="F190" s="123"/>
      <c r="G190" s="38">
        <f>SUM(G180,G184,G188)</f>
        <v>32706594.87081442</v>
      </c>
      <c r="H190" s="38">
        <f t="shared" ref="H190:N190" si="37">SUM(H180,H184,H188)</f>
        <v>5806072.718624779</v>
      </c>
      <c r="I190" s="38">
        <f t="shared" si="37"/>
        <v>8268410.7305919044</v>
      </c>
      <c r="J190" s="38">
        <f t="shared" si="37"/>
        <v>4628787.6956698475</v>
      </c>
      <c r="K190" s="38">
        <f t="shared" si="37"/>
        <v>4620107.9086426292</v>
      </c>
      <c r="L190" s="38">
        <f t="shared" si="37"/>
        <v>4620107.9086426292</v>
      </c>
      <c r="M190" s="38">
        <f t="shared" si="37"/>
        <v>4763107.9086426292</v>
      </c>
      <c r="N190" s="38">
        <f t="shared" si="37"/>
        <v>32706594.870814424</v>
      </c>
      <c r="O190" s="17" t="b">
        <f>G190=N190</f>
        <v>1</v>
      </c>
    </row>
    <row r="191" spans="1:21" ht="33" customHeight="1">
      <c r="A191" s="121" t="s">
        <v>347</v>
      </c>
      <c r="B191" s="119"/>
      <c r="C191" s="119"/>
      <c r="D191" s="119"/>
      <c r="E191" s="119"/>
      <c r="F191" s="120"/>
      <c r="G191" s="39">
        <f>SUM(G181,G185)</f>
        <v>13458034.798939552</v>
      </c>
      <c r="H191" s="39">
        <f t="shared" ref="H191:N191" si="38">SUM(H181,H185)</f>
        <v>2129023.6992223402</v>
      </c>
      <c r="I191" s="39">
        <f t="shared" si="38"/>
        <v>3150966.6493814066</v>
      </c>
      <c r="J191" s="39">
        <f t="shared" si="38"/>
        <v>2044511.1125839518</v>
      </c>
      <c r="K191" s="39">
        <f t="shared" si="38"/>
        <v>2044511.1125839518</v>
      </c>
      <c r="L191" s="39">
        <f t="shared" si="38"/>
        <v>2044511.1125839518</v>
      </c>
      <c r="M191" s="39">
        <f t="shared" si="38"/>
        <v>2044511.1125839518</v>
      </c>
      <c r="N191" s="39">
        <f t="shared" si="38"/>
        <v>13458034.798939552</v>
      </c>
      <c r="O191" s="17" t="b">
        <f t="shared" ref="O191" si="39">G191=N191</f>
        <v>1</v>
      </c>
      <c r="P191" s="44"/>
      <c r="Q191" s="8"/>
    </row>
    <row r="192" spans="1:21">
      <c r="A192" s="168" t="s">
        <v>348</v>
      </c>
      <c r="B192" s="169"/>
      <c r="C192" s="169"/>
      <c r="D192" s="169"/>
      <c r="E192" s="169"/>
      <c r="F192" s="170"/>
      <c r="G192" s="39">
        <f>SUM(G190:G191)</f>
        <v>46164629.669753969</v>
      </c>
      <c r="H192" s="39">
        <f t="shared" ref="H192:M192" si="40">SUM(H190:H191)</f>
        <v>7935096.4178471193</v>
      </c>
      <c r="I192" s="39">
        <f t="shared" si="40"/>
        <v>11419377.379973311</v>
      </c>
      <c r="J192" s="39">
        <f t="shared" si="40"/>
        <v>6673298.8082537996</v>
      </c>
      <c r="K192" s="39">
        <f t="shared" si="40"/>
        <v>6664619.0212265812</v>
      </c>
      <c r="L192" s="39">
        <f t="shared" si="40"/>
        <v>6664619.0212265812</v>
      </c>
      <c r="M192" s="39">
        <f t="shared" si="40"/>
        <v>6807619.0212265812</v>
      </c>
      <c r="N192" s="39">
        <f>SUM(N190:N191)</f>
        <v>46164629.669753976</v>
      </c>
      <c r="O192" s="17" t="b">
        <f>G192=N192</f>
        <v>1</v>
      </c>
      <c r="Q192" s="8"/>
    </row>
    <row r="195" spans="3:14">
      <c r="F195" s="102"/>
      <c r="N195" s="100">
        <f>N196-N182</f>
        <v>70831.483487698715</v>
      </c>
    </row>
    <row r="196" spans="3:14">
      <c r="D196" s="8" t="e">
        <f>'[1]AE fee request'!$D$2-G190</f>
        <v>#REF!</v>
      </c>
      <c r="F196" s="15"/>
      <c r="G196" s="8"/>
      <c r="N196" s="99">
        <f>5%*N192</f>
        <v>2308231.4834876987</v>
      </c>
    </row>
    <row r="197" spans="3:14">
      <c r="F197" s="72"/>
      <c r="N197" s="8"/>
    </row>
    <row r="198" spans="3:14">
      <c r="F198" s="8"/>
      <c r="N198" s="8"/>
    </row>
    <row r="199" spans="3:14">
      <c r="C199" s="98"/>
      <c r="F199" s="62"/>
    </row>
    <row r="200" spans="3:14">
      <c r="C200" s="98"/>
    </row>
    <row r="201" spans="3:14">
      <c r="C201" s="97"/>
      <c r="N201" s="62"/>
    </row>
    <row r="202" spans="3:14">
      <c r="C202" s="97"/>
      <c r="N202" s="62"/>
    </row>
    <row r="204" spans="3:14">
      <c r="C204" s="97"/>
    </row>
  </sheetData>
  <autoFilter ref="B3:O162" xr:uid="{28F3B667-CEE5-4FD1-A3BE-7110514B9F1C}"/>
  <mergeCells count="46">
    <mergeCell ref="A167:F167"/>
    <mergeCell ref="C6:C10"/>
    <mergeCell ref="C4:C5"/>
    <mergeCell ref="C49:C54"/>
    <mergeCell ref="C56:C57"/>
    <mergeCell ref="C58:C59"/>
    <mergeCell ref="C40:C45"/>
    <mergeCell ref="C46:C48"/>
    <mergeCell ref="C11:C13"/>
    <mergeCell ref="C32:C34"/>
    <mergeCell ref="A165:C165"/>
    <mergeCell ref="A166:C166"/>
    <mergeCell ref="C152:C158"/>
    <mergeCell ref="C143:C150"/>
    <mergeCell ref="C134:C142"/>
    <mergeCell ref="C114:C118"/>
    <mergeCell ref="A192:F192"/>
    <mergeCell ref="A169:N169"/>
    <mergeCell ref="A182:F182"/>
    <mergeCell ref="A181:F181"/>
    <mergeCell ref="A180:F180"/>
    <mergeCell ref="A184:F184"/>
    <mergeCell ref="A185:F185"/>
    <mergeCell ref="A186:F186"/>
    <mergeCell ref="A188:F188"/>
    <mergeCell ref="C124:C127"/>
    <mergeCell ref="C128:C129"/>
    <mergeCell ref="C101:C105"/>
    <mergeCell ref="C130:C133"/>
    <mergeCell ref="C106:C110"/>
    <mergeCell ref="A164:C164"/>
    <mergeCell ref="B4:B27"/>
    <mergeCell ref="C23:C27"/>
    <mergeCell ref="C79:C81"/>
    <mergeCell ref="C98:C100"/>
    <mergeCell ref="C14:C15"/>
    <mergeCell ref="C16:C19"/>
    <mergeCell ref="C36:C39"/>
    <mergeCell ref="C29:C30"/>
    <mergeCell ref="C20:C22"/>
    <mergeCell ref="C82:C84"/>
    <mergeCell ref="C85:C87"/>
    <mergeCell ref="C88:C91"/>
    <mergeCell ref="C74:C78"/>
    <mergeCell ref="C64:C66"/>
    <mergeCell ref="C94:C97"/>
  </mergeCells>
  <phoneticPr fontId="3" type="noConversion"/>
  <pageMargins left="0.7" right="0.7" top="0.75" bottom="0.75" header="0.3" footer="0.3"/>
  <pageSetup paperSize="5" scale="43" fitToHeight="7" orientation="landscape" r:id="rId1"/>
  <headerFooter>
    <oddHeader xml:space="preserve">&amp;CDetailed budget breakdown
</oddHeader>
  </headerFooter>
  <extLst>
    <ext xmlns:x14="http://schemas.microsoft.com/office/spreadsheetml/2009/9/main" uri="{CCE6A557-97BC-4b89-ADB6-D9C93CAAB3DF}">
      <x14:dataValidations xmlns:xm="http://schemas.microsoft.com/office/excel/2006/main" count="2">
        <x14:dataValidation type="list" allowBlank="1" showInputMessage="1" showErrorMessage="1" xr:uid="{FB7B7A51-1C54-4C95-B402-E6C73D893865}">
          <x14:formula1>
            <xm:f>'Cost categories'!$B$12:$B$13</xm:f>
          </x14:formula1>
          <xm:sqref>D123:D158 D165:D166 D4:D59 D64:D118 D170:D179</xm:sqref>
        </x14:dataValidation>
        <x14:dataValidation type="list" allowBlank="1" showInputMessage="1" showErrorMessage="1" xr:uid="{E68E114A-15C9-4772-9021-E4BEFF6E2676}">
          <x14:formula1>
            <xm:f>'Cost categories'!$B$3:$B$9</xm:f>
          </x14:formula1>
          <xm:sqref>E123:E158 E165:E166 E4:E59 E64:E118 E170:E179</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Q189"/>
  <sheetViews>
    <sheetView zoomScale="70" zoomScaleNormal="70" workbookViewId="0">
      <pane ySplit="1" topLeftCell="A92" activePane="bottomLeft" state="frozen"/>
      <selection activeCell="C1" sqref="C1"/>
      <selection pane="bottomLeft" activeCell="B96" sqref="B96"/>
    </sheetView>
  </sheetViews>
  <sheetFormatPr baseColWidth="10" defaultColWidth="8.83203125" defaultRowHeight="15"/>
  <cols>
    <col min="1" max="1" width="14.1640625" customWidth="1"/>
    <col min="2" max="2" width="86.6640625" customWidth="1"/>
    <col min="3" max="3" width="19.5" bestFit="1" customWidth="1"/>
    <col min="5" max="6" width="14.5" bestFit="1" customWidth="1"/>
    <col min="7" max="7" width="13.5" bestFit="1" customWidth="1"/>
    <col min="8" max="8" width="13.83203125" bestFit="1" customWidth="1"/>
    <col min="9" max="12" width="13.5" bestFit="1" customWidth="1"/>
    <col min="13" max="13" width="53.33203125" customWidth="1"/>
    <col min="15" max="15" width="19.1640625" bestFit="1" customWidth="1"/>
    <col min="16" max="16" width="18" bestFit="1" customWidth="1"/>
    <col min="17" max="17" width="17.83203125" bestFit="1" customWidth="1"/>
  </cols>
  <sheetData>
    <row r="1" spans="1:17">
      <c r="A1" s="184" t="s">
        <v>0</v>
      </c>
      <c r="B1" s="185"/>
      <c r="C1" s="30" t="s">
        <v>1</v>
      </c>
      <c r="D1" s="30" t="s">
        <v>2</v>
      </c>
      <c r="E1" s="30" t="s">
        <v>3</v>
      </c>
      <c r="F1" s="30" t="s">
        <v>4</v>
      </c>
      <c r="G1" s="30" t="s">
        <v>5</v>
      </c>
      <c r="H1" s="30" t="s">
        <v>6</v>
      </c>
      <c r="I1" s="30" t="s">
        <v>7</v>
      </c>
      <c r="J1" s="30" t="s">
        <v>8</v>
      </c>
      <c r="K1" s="30" t="s">
        <v>9</v>
      </c>
      <c r="L1" s="30" t="s">
        <v>10</v>
      </c>
      <c r="O1" s="101" t="s">
        <v>385</v>
      </c>
      <c r="P1" s="101" t="s">
        <v>501</v>
      </c>
      <c r="Q1" s="101" t="s">
        <v>502</v>
      </c>
    </row>
    <row r="2" spans="1:17" ht="64">
      <c r="A2" s="25" t="s">
        <v>11</v>
      </c>
      <c r="B2" s="40" t="s">
        <v>12</v>
      </c>
      <c r="C2" s="21" t="s">
        <v>13</v>
      </c>
      <c r="D2" s="21">
        <v>1</v>
      </c>
      <c r="E2" s="48">
        <f>5%*E4</f>
        <v>378721.88494167553</v>
      </c>
      <c r="F2" s="48">
        <f>E2*D2</f>
        <v>378721.88494167553</v>
      </c>
      <c r="G2" s="48">
        <f>$F$2/2</f>
        <v>189360.94247083776</v>
      </c>
      <c r="H2" s="48">
        <f>$F$2/2</f>
        <v>189360.94247083776</v>
      </c>
      <c r="I2" s="48"/>
      <c r="J2" s="48"/>
      <c r="K2" s="48"/>
      <c r="L2" s="48"/>
      <c r="O2" s="109"/>
      <c r="P2" s="129"/>
      <c r="Q2" s="130"/>
    </row>
    <row r="3" spans="1:17" ht="128">
      <c r="A3" s="25" t="s">
        <v>14</v>
      </c>
      <c r="B3" s="40" t="s">
        <v>507</v>
      </c>
      <c r="C3" s="21" t="s">
        <v>13</v>
      </c>
      <c r="D3" s="21">
        <v>1</v>
      </c>
      <c r="E3" s="48">
        <f>5%*E5</f>
        <v>2273.3032873807001</v>
      </c>
      <c r="F3" s="48">
        <f>D3*E3</f>
        <v>2273.3032873807001</v>
      </c>
      <c r="G3" s="48">
        <f>$F$3/2</f>
        <v>1136.6516436903501</v>
      </c>
      <c r="H3" s="48">
        <f>$F$3/2</f>
        <v>1136.6516436903501</v>
      </c>
      <c r="I3" s="48"/>
      <c r="J3" s="48"/>
      <c r="K3" s="48"/>
      <c r="L3" s="48"/>
      <c r="M3" s="103" t="s">
        <v>478</v>
      </c>
      <c r="O3" s="113">
        <f>F3</f>
        <v>2273.3032873807001</v>
      </c>
      <c r="P3" s="111"/>
      <c r="Q3" s="106">
        <f>O3</f>
        <v>2273.3032873807001</v>
      </c>
    </row>
    <row r="4" spans="1:17" ht="64">
      <c r="A4" s="25" t="s">
        <v>15</v>
      </c>
      <c r="B4" s="64" t="s">
        <v>18</v>
      </c>
      <c r="C4" s="21" t="s">
        <v>13</v>
      </c>
      <c r="D4" s="21">
        <v>1</v>
      </c>
      <c r="E4" s="48">
        <f>'Cost calculations for upgrades'!G10</f>
        <v>7574437.6988335103</v>
      </c>
      <c r="F4" s="48">
        <f>E4*D4</f>
        <v>7574437.6988335103</v>
      </c>
      <c r="G4" s="48">
        <f>$F$4/6</f>
        <v>1262406.2831389185</v>
      </c>
      <c r="H4" s="48">
        <f t="shared" ref="H4:L4" si="0">$F$4/6</f>
        <v>1262406.2831389185</v>
      </c>
      <c r="I4" s="48">
        <f t="shared" si="0"/>
        <v>1262406.2831389185</v>
      </c>
      <c r="J4" s="48">
        <f t="shared" si="0"/>
        <v>1262406.2831389185</v>
      </c>
      <c r="K4" s="48">
        <f t="shared" si="0"/>
        <v>1262406.2831389185</v>
      </c>
      <c r="L4" s="48">
        <f t="shared" si="0"/>
        <v>1262406.2831389185</v>
      </c>
      <c r="O4" s="113"/>
      <c r="P4" s="111"/>
      <c r="Q4" s="107"/>
    </row>
    <row r="5" spans="1:17" ht="96">
      <c r="A5" s="25" t="s">
        <v>16</v>
      </c>
      <c r="B5" s="64" t="s">
        <v>508</v>
      </c>
      <c r="C5" s="21" t="s">
        <v>13</v>
      </c>
      <c r="D5" s="21">
        <v>1</v>
      </c>
      <c r="E5" s="48">
        <f>'Cost calculations for upgrades'!G27</f>
        <v>45466.065747613997</v>
      </c>
      <c r="F5" s="48">
        <f>D5*E5</f>
        <v>45466.065747613997</v>
      </c>
      <c r="G5" s="48">
        <f>$F$5/6</f>
        <v>7577.6776246023328</v>
      </c>
      <c r="H5" s="48">
        <f t="shared" ref="H5:L5" si="1">$F$5/6</f>
        <v>7577.6776246023328</v>
      </c>
      <c r="I5" s="48">
        <f t="shared" si="1"/>
        <v>7577.6776246023328</v>
      </c>
      <c r="J5" s="48">
        <f t="shared" si="1"/>
        <v>7577.6776246023328</v>
      </c>
      <c r="K5" s="48">
        <f t="shared" si="1"/>
        <v>7577.6776246023328</v>
      </c>
      <c r="L5" s="48">
        <f t="shared" si="1"/>
        <v>7577.6776246023328</v>
      </c>
      <c r="M5" s="104" t="s">
        <v>453</v>
      </c>
      <c r="O5" s="113">
        <f t="shared" ref="O5:O35" si="2">F5</f>
        <v>45466.065747613997</v>
      </c>
      <c r="P5" s="110">
        <f>O5</f>
        <v>45466.065747613997</v>
      </c>
      <c r="Q5" s="107"/>
    </row>
    <row r="6" spans="1:17" ht="112">
      <c r="A6" s="25" t="s">
        <v>17</v>
      </c>
      <c r="B6" s="40" t="s">
        <v>512</v>
      </c>
      <c r="C6" s="21" t="s">
        <v>13</v>
      </c>
      <c r="D6" s="21">
        <v>1</v>
      </c>
      <c r="E6" s="48">
        <f>'Cost calculations for upgrades'!G4</f>
        <v>1434717.3913043479</v>
      </c>
      <c r="F6" s="48">
        <f>'Cost calculations for upgrades'!G4</f>
        <v>1434717.3913043479</v>
      </c>
      <c r="G6" s="48">
        <f>$F$6/6</f>
        <v>239119.56521739133</v>
      </c>
      <c r="H6" s="48">
        <f t="shared" ref="H6:L6" si="3">$F$6/6</f>
        <v>239119.56521739133</v>
      </c>
      <c r="I6" s="48">
        <f t="shared" si="3"/>
        <v>239119.56521739133</v>
      </c>
      <c r="J6" s="48">
        <f t="shared" si="3"/>
        <v>239119.56521739133</v>
      </c>
      <c r="K6" s="48">
        <f t="shared" si="3"/>
        <v>239119.56521739133</v>
      </c>
      <c r="L6" s="48">
        <f t="shared" si="3"/>
        <v>239119.56521739133</v>
      </c>
      <c r="M6" s="104" t="s">
        <v>479</v>
      </c>
      <c r="O6" s="113">
        <f t="shared" si="2"/>
        <v>1434717.3913043479</v>
      </c>
      <c r="P6" s="111"/>
      <c r="Q6" s="106">
        <f>O6</f>
        <v>1434717.3913043479</v>
      </c>
    </row>
    <row r="7" spans="1:17" ht="80">
      <c r="A7" s="25" t="s">
        <v>19</v>
      </c>
      <c r="B7" s="40" t="s">
        <v>513</v>
      </c>
      <c r="C7" s="21" t="s">
        <v>13</v>
      </c>
      <c r="D7" s="21">
        <v>1</v>
      </c>
      <c r="E7" s="48">
        <f>'Cost calculations for upgrades'!G5</f>
        <v>2679474.5493107103</v>
      </c>
      <c r="F7" s="48">
        <f>'Cost calculations for upgrades'!G5</f>
        <v>2679474.5493107103</v>
      </c>
      <c r="G7" s="48">
        <f>$F$7/6</f>
        <v>446579.09155178507</v>
      </c>
      <c r="H7" s="48">
        <f t="shared" ref="H7:L7" si="4">$F$7/6</f>
        <v>446579.09155178507</v>
      </c>
      <c r="I7" s="48">
        <f t="shared" si="4"/>
        <v>446579.09155178507</v>
      </c>
      <c r="J7" s="48">
        <f t="shared" si="4"/>
        <v>446579.09155178507</v>
      </c>
      <c r="K7" s="48">
        <f t="shared" si="4"/>
        <v>446579.09155178507</v>
      </c>
      <c r="L7" s="48">
        <f t="shared" si="4"/>
        <v>446579.09155178507</v>
      </c>
      <c r="M7" s="104" t="s">
        <v>479</v>
      </c>
      <c r="O7" s="113">
        <f t="shared" si="2"/>
        <v>2679474.5493107103</v>
      </c>
      <c r="P7" s="111"/>
      <c r="Q7" s="106">
        <f>O7</f>
        <v>2679474.5493107103</v>
      </c>
    </row>
    <row r="8" spans="1:17" ht="96">
      <c r="A8" s="25" t="s">
        <v>20</v>
      </c>
      <c r="B8" s="40" t="s">
        <v>514</v>
      </c>
      <c r="C8" s="21" t="s">
        <v>13</v>
      </c>
      <c r="D8" s="21">
        <v>1</v>
      </c>
      <c r="E8" s="48">
        <f>'Cost calculations for upgrades'!G27</f>
        <v>45466.065747613997</v>
      </c>
      <c r="F8" s="48">
        <f>D8*E8</f>
        <v>45466.065747613997</v>
      </c>
      <c r="G8" s="48">
        <f>$F$8/6</f>
        <v>7577.6776246023328</v>
      </c>
      <c r="H8" s="48">
        <f t="shared" ref="H8:L8" si="5">$F$8/6</f>
        <v>7577.6776246023328</v>
      </c>
      <c r="I8" s="48">
        <f t="shared" si="5"/>
        <v>7577.6776246023328</v>
      </c>
      <c r="J8" s="48">
        <f t="shared" si="5"/>
        <v>7577.6776246023328</v>
      </c>
      <c r="K8" s="48">
        <f t="shared" si="5"/>
        <v>7577.6776246023328</v>
      </c>
      <c r="L8" s="48">
        <f t="shared" si="5"/>
        <v>7577.6776246023328</v>
      </c>
      <c r="M8" s="104" t="s">
        <v>454</v>
      </c>
      <c r="O8" s="113">
        <f t="shared" si="2"/>
        <v>45466.065747613997</v>
      </c>
      <c r="P8" s="112">
        <f>70%*O8</f>
        <v>31826.246023329797</v>
      </c>
      <c r="Q8" s="108">
        <f>30%*O8</f>
        <v>13639.819724284198</v>
      </c>
    </row>
    <row r="9" spans="1:17" ht="32">
      <c r="A9" s="25" t="s">
        <v>21</v>
      </c>
      <c r="B9" s="40" t="s">
        <v>24</v>
      </c>
      <c r="C9" s="21" t="s">
        <v>25</v>
      </c>
      <c r="D9" s="21">
        <v>270</v>
      </c>
      <c r="E9" s="48">
        <v>450</v>
      </c>
      <c r="F9" s="48">
        <f>E9*D9</f>
        <v>121500</v>
      </c>
      <c r="G9" s="48">
        <f>E9*D9</f>
        <v>121500</v>
      </c>
      <c r="H9" s="48"/>
      <c r="I9" s="48"/>
      <c r="J9" s="48"/>
      <c r="K9" s="48"/>
      <c r="L9" s="48"/>
      <c r="O9" s="110"/>
      <c r="P9" s="111"/>
      <c r="Q9" s="107"/>
    </row>
    <row r="10" spans="1:17" ht="16">
      <c r="A10" s="25" t="s">
        <v>22</v>
      </c>
      <c r="B10" s="40" t="s">
        <v>27</v>
      </c>
      <c r="C10" s="21" t="s">
        <v>25</v>
      </c>
      <c r="D10" s="21">
        <v>270</v>
      </c>
      <c r="E10" s="48">
        <v>156</v>
      </c>
      <c r="F10" s="48">
        <f>E10*D10</f>
        <v>42120</v>
      </c>
      <c r="G10" s="48">
        <f>E10*D10</f>
        <v>42120</v>
      </c>
      <c r="H10" s="48"/>
      <c r="I10" s="48"/>
      <c r="J10" s="48"/>
      <c r="K10" s="48"/>
      <c r="L10" s="48"/>
      <c r="O10" s="110"/>
      <c r="P10" s="111"/>
      <c r="Q10" s="107"/>
    </row>
    <row r="11" spans="1:17" ht="32">
      <c r="A11" s="25" t="s">
        <v>23</v>
      </c>
      <c r="B11" s="40" t="s">
        <v>29</v>
      </c>
      <c r="C11" s="81" t="s">
        <v>30</v>
      </c>
      <c r="D11" s="21">
        <v>1</v>
      </c>
      <c r="E11" s="48">
        <v>3750</v>
      </c>
      <c r="F11" s="48">
        <f>E11*D11</f>
        <v>3750</v>
      </c>
      <c r="G11" s="48">
        <f>E11*D11</f>
        <v>3750</v>
      </c>
      <c r="H11" s="48"/>
      <c r="I11" s="48"/>
      <c r="J11" s="48"/>
      <c r="K11" s="48"/>
      <c r="L11" s="48"/>
      <c r="O11" s="110"/>
      <c r="P11" s="111"/>
      <c r="Q11" s="107"/>
    </row>
    <row r="12" spans="1:17" ht="80">
      <c r="A12" s="25" t="s">
        <v>26</v>
      </c>
      <c r="B12" s="40" t="s">
        <v>480</v>
      </c>
      <c r="C12" s="21" t="s">
        <v>46</v>
      </c>
      <c r="D12" s="21">
        <v>1</v>
      </c>
      <c r="E12" s="48">
        <v>401679.56</v>
      </c>
      <c r="F12" s="48">
        <f t="shared" ref="F12:F23" si="6">D12*E12</f>
        <v>401679.56</v>
      </c>
      <c r="G12" s="48">
        <f>$F$12/2</f>
        <v>200839.78</v>
      </c>
      <c r="H12" s="48">
        <f>$F$12/2</f>
        <v>200839.78</v>
      </c>
      <c r="I12" s="48"/>
      <c r="J12" s="48"/>
      <c r="K12" s="48"/>
      <c r="L12" s="48"/>
      <c r="O12" s="110"/>
      <c r="P12" s="111"/>
      <c r="Q12" s="107"/>
    </row>
    <row r="13" spans="1:17" ht="112">
      <c r="A13" s="25" t="s">
        <v>28</v>
      </c>
      <c r="B13" s="40" t="s">
        <v>509</v>
      </c>
      <c r="C13" s="21" t="s">
        <v>46</v>
      </c>
      <c r="D13" s="21">
        <v>1</v>
      </c>
      <c r="E13" s="48">
        <f>5%*E15</f>
        <v>4103.9501590668078</v>
      </c>
      <c r="F13" s="48">
        <f>D13*E13</f>
        <v>4103.9501590668078</v>
      </c>
      <c r="G13" s="48">
        <f>$F$13/2</f>
        <v>2051.9750795334039</v>
      </c>
      <c r="H13" s="48">
        <f>$F$13/2</f>
        <v>2051.9750795334039</v>
      </c>
      <c r="I13" s="48"/>
      <c r="J13" s="48"/>
      <c r="K13" s="48"/>
      <c r="L13" s="48"/>
      <c r="M13" s="104" t="s">
        <v>455</v>
      </c>
      <c r="O13" s="113">
        <f t="shared" si="2"/>
        <v>4103.9501590668078</v>
      </c>
      <c r="P13" s="110">
        <f>O13</f>
        <v>4103.9501590668078</v>
      </c>
      <c r="Q13" s="107"/>
    </row>
    <row r="14" spans="1:17" ht="48">
      <c r="A14" s="25" t="s">
        <v>31</v>
      </c>
      <c r="B14" s="40" t="s">
        <v>76</v>
      </c>
      <c r="C14" s="21" t="s">
        <v>46</v>
      </c>
      <c r="D14" s="21">
        <v>1</v>
      </c>
      <c r="E14" s="48">
        <f>'Cost calculations for upgrades'!G11</f>
        <v>7462228.5259809112</v>
      </c>
      <c r="F14" s="48">
        <f t="shared" si="6"/>
        <v>7462228.5259809112</v>
      </c>
      <c r="G14" s="48">
        <f t="shared" ref="G14:L14" si="7">$F$14/6</f>
        <v>1243704.7543301519</v>
      </c>
      <c r="H14" s="48">
        <f t="shared" si="7"/>
        <v>1243704.7543301519</v>
      </c>
      <c r="I14" s="48">
        <f t="shared" si="7"/>
        <v>1243704.7543301519</v>
      </c>
      <c r="J14" s="48">
        <f t="shared" si="7"/>
        <v>1243704.7543301519</v>
      </c>
      <c r="K14" s="48">
        <f t="shared" si="7"/>
        <v>1243704.7543301519</v>
      </c>
      <c r="L14" s="48">
        <f t="shared" si="7"/>
        <v>1243704.7543301519</v>
      </c>
      <c r="O14" s="110"/>
      <c r="P14" s="111"/>
      <c r="Q14" s="107"/>
    </row>
    <row r="15" spans="1:17" ht="112">
      <c r="A15" s="25" t="s">
        <v>33</v>
      </c>
      <c r="B15" s="40" t="s">
        <v>515</v>
      </c>
      <c r="C15" s="21" t="s">
        <v>46</v>
      </c>
      <c r="D15" s="21">
        <v>1</v>
      </c>
      <c r="E15" s="48">
        <f>'Cost calculations for upgrades'!G28</f>
        <v>82079.003181336157</v>
      </c>
      <c r="F15" s="48">
        <f t="shared" si="6"/>
        <v>82079.003181336157</v>
      </c>
      <c r="G15" s="48">
        <f t="shared" ref="G15:L15" si="8">$F$15/6</f>
        <v>13679.833863556027</v>
      </c>
      <c r="H15" s="48">
        <f t="shared" si="8"/>
        <v>13679.833863556027</v>
      </c>
      <c r="I15" s="48">
        <f t="shared" si="8"/>
        <v>13679.833863556027</v>
      </c>
      <c r="J15" s="48">
        <f t="shared" si="8"/>
        <v>13679.833863556027</v>
      </c>
      <c r="K15" s="48">
        <f t="shared" si="8"/>
        <v>13679.833863556027</v>
      </c>
      <c r="L15" s="48">
        <f t="shared" si="8"/>
        <v>13679.833863556027</v>
      </c>
      <c r="M15" s="104" t="s">
        <v>458</v>
      </c>
      <c r="O15" s="113">
        <f t="shared" si="2"/>
        <v>82079.003181336157</v>
      </c>
      <c r="P15" s="112">
        <f>70%*O15</f>
        <v>57455.302226935302</v>
      </c>
      <c r="Q15" s="108">
        <f>30%*O15</f>
        <v>24623.700954400847</v>
      </c>
    </row>
    <row r="16" spans="1:17" ht="90.75" customHeight="1">
      <c r="A16" s="25" t="s">
        <v>34</v>
      </c>
      <c r="B16" s="40" t="s">
        <v>531</v>
      </c>
      <c r="C16" s="21" t="s">
        <v>46</v>
      </c>
      <c r="D16" s="21">
        <v>1</v>
      </c>
      <c r="E16" s="48">
        <f>'Cost calculations for upgrades'!G6</f>
        <v>5392323.4358430542</v>
      </c>
      <c r="F16" s="48">
        <f t="shared" si="6"/>
        <v>5392323.4358430542</v>
      </c>
      <c r="G16" s="48">
        <f t="shared" ref="G16:L16" si="9">$F$16/6</f>
        <v>898720.572640509</v>
      </c>
      <c r="H16" s="48">
        <f t="shared" si="9"/>
        <v>898720.572640509</v>
      </c>
      <c r="I16" s="48">
        <f t="shared" si="9"/>
        <v>898720.572640509</v>
      </c>
      <c r="J16" s="48">
        <f t="shared" si="9"/>
        <v>898720.572640509</v>
      </c>
      <c r="K16" s="48">
        <f t="shared" si="9"/>
        <v>898720.572640509</v>
      </c>
      <c r="L16" s="48">
        <f t="shared" si="9"/>
        <v>898720.572640509</v>
      </c>
      <c r="M16" s="104" t="s">
        <v>473</v>
      </c>
      <c r="O16" s="113">
        <f t="shared" si="2"/>
        <v>5392323.4358430542</v>
      </c>
      <c r="P16" s="112">
        <f>80%*O16</f>
        <v>4313858.7486744439</v>
      </c>
      <c r="Q16" s="108">
        <f>20%*O16</f>
        <v>1078464.687168611</v>
      </c>
    </row>
    <row r="17" spans="1:17" ht="96">
      <c r="A17" s="25" t="s">
        <v>35</v>
      </c>
      <c r="B17" s="40" t="s">
        <v>516</v>
      </c>
      <c r="C17" s="21" t="s">
        <v>46</v>
      </c>
      <c r="D17" s="21">
        <v>1</v>
      </c>
      <c r="E17" s="48">
        <f>'Cost calculations for upgrades'!G23</f>
        <v>48167.020148462354</v>
      </c>
      <c r="F17" s="48">
        <f t="shared" si="6"/>
        <v>48167.020148462354</v>
      </c>
      <c r="G17" s="48">
        <f>$F$17/2</f>
        <v>24083.510074231177</v>
      </c>
      <c r="H17" s="48">
        <f>$F$17/2</f>
        <v>24083.510074231177</v>
      </c>
      <c r="I17" s="48"/>
      <c r="J17" s="48"/>
      <c r="K17" s="48"/>
      <c r="L17" s="48"/>
      <c r="M17" s="104" t="s">
        <v>481</v>
      </c>
      <c r="O17" s="113">
        <f t="shared" si="2"/>
        <v>48167.020148462354</v>
      </c>
      <c r="P17" s="112">
        <f>70%*O17</f>
        <v>33716.914103923649</v>
      </c>
      <c r="Q17" s="108">
        <f>30%*O17</f>
        <v>14450.106044538707</v>
      </c>
    </row>
    <row r="18" spans="1:17" ht="112">
      <c r="A18" s="25" t="s">
        <v>37</v>
      </c>
      <c r="B18" s="40" t="s">
        <v>519</v>
      </c>
      <c r="C18" s="21" t="s">
        <v>46</v>
      </c>
      <c r="D18" s="21">
        <v>1</v>
      </c>
      <c r="E18" s="48">
        <v>168538.8</v>
      </c>
      <c r="F18" s="48">
        <f t="shared" si="6"/>
        <v>168538.8</v>
      </c>
      <c r="G18" s="48">
        <f>$F$18/2</f>
        <v>84269.4</v>
      </c>
      <c r="H18" s="48">
        <f>$F$18/2</f>
        <v>84269.4</v>
      </c>
      <c r="I18" s="48"/>
      <c r="J18" s="48"/>
      <c r="K18" s="48"/>
      <c r="L18" s="48"/>
      <c r="M18" s="104" t="s">
        <v>472</v>
      </c>
      <c r="O18" s="113">
        <f t="shared" si="2"/>
        <v>168538.8</v>
      </c>
      <c r="P18" s="111"/>
      <c r="Q18" s="106">
        <f>O18</f>
        <v>168538.8</v>
      </c>
    </row>
    <row r="19" spans="1:17" ht="112">
      <c r="A19" s="25" t="s">
        <v>40</v>
      </c>
      <c r="B19" s="40" t="s">
        <v>520</v>
      </c>
      <c r="C19" s="21" t="s">
        <v>46</v>
      </c>
      <c r="D19" s="21">
        <v>1</v>
      </c>
      <c r="E19" s="48">
        <f>5%*E22</f>
        <v>1470.5196182396608</v>
      </c>
      <c r="F19" s="48">
        <f>D19*E19</f>
        <v>1470.5196182396608</v>
      </c>
      <c r="G19" s="48">
        <f>D19*E19</f>
        <v>1470.5196182396608</v>
      </c>
      <c r="H19" s="48"/>
      <c r="I19" s="48"/>
      <c r="J19" s="48"/>
      <c r="K19" s="48"/>
      <c r="L19" s="48"/>
      <c r="M19" s="104" t="s">
        <v>459</v>
      </c>
      <c r="O19" s="113">
        <f t="shared" si="2"/>
        <v>1470.5196182396608</v>
      </c>
      <c r="P19" s="111"/>
      <c r="Q19" s="106">
        <f>O19</f>
        <v>1470.5196182396608</v>
      </c>
    </row>
    <row r="20" spans="1:17" ht="304">
      <c r="A20" s="25" t="s">
        <v>42</v>
      </c>
      <c r="B20" s="40" t="s">
        <v>412</v>
      </c>
      <c r="C20" s="21" t="s">
        <v>46</v>
      </c>
      <c r="D20" s="21">
        <v>1</v>
      </c>
      <c r="E20" s="48">
        <f>5%*E25</f>
        <v>11351.442205726402</v>
      </c>
      <c r="F20" s="48">
        <f>E20*D20</f>
        <v>11351.442205726402</v>
      </c>
      <c r="G20" s="48"/>
      <c r="H20" s="48">
        <f>F20/1</f>
        <v>11351.442205726402</v>
      </c>
      <c r="I20" s="48"/>
      <c r="J20" s="48"/>
      <c r="K20" s="48"/>
      <c r="L20" s="48"/>
      <c r="O20" s="110"/>
      <c r="P20" s="111"/>
      <c r="Q20" s="107"/>
    </row>
    <row r="21" spans="1:17" ht="48">
      <c r="A21" s="25" t="s">
        <v>44</v>
      </c>
      <c r="B21" s="40" t="s">
        <v>83</v>
      </c>
      <c r="C21" s="21" t="s">
        <v>46</v>
      </c>
      <c r="D21" s="21">
        <v>1</v>
      </c>
      <c r="E21" s="48">
        <f>'Cost calculations for upgrades'!G13</f>
        <v>3341353.1283138921</v>
      </c>
      <c r="F21" s="48">
        <f t="shared" si="6"/>
        <v>3341353.1283138921</v>
      </c>
      <c r="G21" s="48">
        <f t="shared" ref="G21:L21" si="10">$F$21/6</f>
        <v>556892.18805231538</v>
      </c>
      <c r="H21" s="48">
        <f t="shared" si="10"/>
        <v>556892.18805231538</v>
      </c>
      <c r="I21" s="48">
        <f t="shared" si="10"/>
        <v>556892.18805231538</v>
      </c>
      <c r="J21" s="48">
        <f t="shared" si="10"/>
        <v>556892.18805231538</v>
      </c>
      <c r="K21" s="48">
        <f t="shared" si="10"/>
        <v>556892.18805231538</v>
      </c>
      <c r="L21" s="48">
        <f t="shared" si="10"/>
        <v>556892.18805231538</v>
      </c>
      <c r="O21" s="110"/>
      <c r="P21" s="111"/>
      <c r="Q21" s="107"/>
    </row>
    <row r="22" spans="1:17" ht="80">
      <c r="A22" s="25" t="s">
        <v>47</v>
      </c>
      <c r="B22" s="40" t="s">
        <v>521</v>
      </c>
      <c r="C22" s="21" t="s">
        <v>46</v>
      </c>
      <c r="D22" s="21">
        <v>1</v>
      </c>
      <c r="E22" s="48">
        <f>'Cost calculations for upgrades'!G30</f>
        <v>29410.392364793213</v>
      </c>
      <c r="F22" s="48">
        <f t="shared" si="6"/>
        <v>29410.392364793213</v>
      </c>
      <c r="G22" s="48">
        <f t="shared" ref="G22:L22" si="11">$F$22/6</f>
        <v>4901.7320607988686</v>
      </c>
      <c r="H22" s="48">
        <f t="shared" si="11"/>
        <v>4901.7320607988686</v>
      </c>
      <c r="I22" s="48">
        <f t="shared" si="11"/>
        <v>4901.7320607988686</v>
      </c>
      <c r="J22" s="48">
        <f t="shared" si="11"/>
        <v>4901.7320607988686</v>
      </c>
      <c r="K22" s="48">
        <f t="shared" si="11"/>
        <v>4901.7320607988686</v>
      </c>
      <c r="L22" s="48">
        <f t="shared" si="11"/>
        <v>4901.7320607988686</v>
      </c>
      <c r="M22" s="104" t="s">
        <v>470</v>
      </c>
      <c r="O22" s="113">
        <f t="shared" si="2"/>
        <v>29410.392364793213</v>
      </c>
      <c r="P22" s="111"/>
      <c r="Q22" s="106">
        <f>O22</f>
        <v>29410.392364793213</v>
      </c>
    </row>
    <row r="23" spans="1:17" ht="64">
      <c r="A23" s="25" t="s">
        <v>48</v>
      </c>
      <c r="B23" s="40" t="s">
        <v>522</v>
      </c>
      <c r="C23" s="21" t="s">
        <v>46</v>
      </c>
      <c r="D23" s="21">
        <v>1</v>
      </c>
      <c r="E23" s="48">
        <f>'Cost calculations for upgrades'!G7</f>
        <v>928504.77200424182</v>
      </c>
      <c r="F23" s="48">
        <f t="shared" si="6"/>
        <v>928504.77200424182</v>
      </c>
      <c r="G23" s="48">
        <f t="shared" ref="G23:L23" si="12">$F$23/6</f>
        <v>154750.7953340403</v>
      </c>
      <c r="H23" s="48">
        <f t="shared" si="12"/>
        <v>154750.7953340403</v>
      </c>
      <c r="I23" s="48">
        <f t="shared" si="12"/>
        <v>154750.7953340403</v>
      </c>
      <c r="J23" s="48">
        <f t="shared" si="12"/>
        <v>154750.7953340403</v>
      </c>
      <c r="K23" s="48">
        <f t="shared" si="12"/>
        <v>154750.7953340403</v>
      </c>
      <c r="L23" s="48">
        <f t="shared" si="12"/>
        <v>154750.7953340403</v>
      </c>
      <c r="M23" s="105" t="s">
        <v>471</v>
      </c>
      <c r="O23" s="113">
        <f t="shared" si="2"/>
        <v>928504.77200424182</v>
      </c>
      <c r="P23" s="111"/>
      <c r="Q23" s="106">
        <f>O23</f>
        <v>928504.77200424182</v>
      </c>
    </row>
    <row r="24" spans="1:17" ht="80">
      <c r="A24" s="25" t="s">
        <v>49</v>
      </c>
      <c r="B24" s="40" t="s">
        <v>510</v>
      </c>
      <c r="C24" s="21" t="s">
        <v>46</v>
      </c>
      <c r="D24" s="21">
        <v>1</v>
      </c>
      <c r="E24" s="48">
        <f>'Cost calculations for upgrades'!G24</f>
        <v>1500.5302226935314</v>
      </c>
      <c r="F24" s="48">
        <f>D24*E24</f>
        <v>1500.5302226935314</v>
      </c>
      <c r="G24" s="48">
        <f>D24*E24</f>
        <v>1500.5302226935314</v>
      </c>
      <c r="H24" s="48"/>
      <c r="I24" s="48"/>
      <c r="J24" s="48"/>
      <c r="K24" s="48"/>
      <c r="L24" s="48"/>
      <c r="M24" s="105" t="s">
        <v>455</v>
      </c>
      <c r="O24" s="113">
        <f t="shared" si="2"/>
        <v>1500.5302226935314</v>
      </c>
      <c r="P24" s="110">
        <f>O24</f>
        <v>1500.5302226935314</v>
      </c>
      <c r="Q24" s="107"/>
    </row>
    <row r="25" spans="1:17" ht="335">
      <c r="A25" s="25" t="s">
        <v>52</v>
      </c>
      <c r="B25" s="40" t="s">
        <v>413</v>
      </c>
      <c r="C25" s="21" t="s">
        <v>46</v>
      </c>
      <c r="D25" s="21">
        <v>1</v>
      </c>
      <c r="E25" s="48">
        <v>227028.84411452801</v>
      </c>
      <c r="F25" s="48">
        <f>E25*D25</f>
        <v>227028.84411452801</v>
      </c>
      <c r="G25" s="48"/>
      <c r="H25" s="48">
        <f>$F$25/2</f>
        <v>113514.422057264</v>
      </c>
      <c r="I25" s="48">
        <f>$F$25/2</f>
        <v>113514.422057264</v>
      </c>
      <c r="J25" s="48"/>
      <c r="K25" s="48"/>
      <c r="L25" s="48"/>
      <c r="O25" s="110"/>
      <c r="P25" s="111"/>
      <c r="Q25" s="107"/>
    </row>
    <row r="26" spans="1:17" ht="80">
      <c r="A26" s="25" t="s">
        <v>53</v>
      </c>
      <c r="B26" s="40" t="s">
        <v>32</v>
      </c>
      <c r="C26" s="21" t="s">
        <v>13</v>
      </c>
      <c r="D26" s="21">
        <v>1</v>
      </c>
      <c r="E26" s="48">
        <f>15%*F27</f>
        <v>179831.25</v>
      </c>
      <c r="F26" s="48">
        <f>D26*E26</f>
        <v>179831.25</v>
      </c>
      <c r="G26" s="48">
        <f>$F$26/2</f>
        <v>89915.625</v>
      </c>
      <c r="H26" s="48">
        <f>$F$26/2</f>
        <v>89915.625</v>
      </c>
      <c r="I26" s="48"/>
      <c r="J26" s="48"/>
      <c r="K26" s="48"/>
      <c r="L26" s="48"/>
      <c r="O26" s="110"/>
      <c r="P26" s="111"/>
      <c r="Q26" s="107"/>
    </row>
    <row r="27" spans="1:17" ht="96">
      <c r="A27" s="25" t="s">
        <v>56</v>
      </c>
      <c r="B27" s="40" t="s">
        <v>475</v>
      </c>
      <c r="C27" s="21" t="s">
        <v>13</v>
      </c>
      <c r="D27" s="21">
        <v>1</v>
      </c>
      <c r="E27" s="48">
        <f>(75%*1390)*230</f>
        <v>239775</v>
      </c>
      <c r="F27" s="48">
        <f>E27*5</f>
        <v>1198875</v>
      </c>
      <c r="G27" s="48">
        <f>$F$27/6</f>
        <v>199812.5</v>
      </c>
      <c r="H27" s="48">
        <f t="shared" ref="H27:L27" si="13">$F$27/6</f>
        <v>199812.5</v>
      </c>
      <c r="I27" s="48">
        <f t="shared" si="13"/>
        <v>199812.5</v>
      </c>
      <c r="J27" s="48">
        <f t="shared" si="13"/>
        <v>199812.5</v>
      </c>
      <c r="K27" s="48">
        <f t="shared" si="13"/>
        <v>199812.5</v>
      </c>
      <c r="L27" s="48">
        <f t="shared" si="13"/>
        <v>199812.5</v>
      </c>
      <c r="O27" s="110"/>
      <c r="P27" s="111"/>
      <c r="Q27" s="107"/>
    </row>
    <row r="28" spans="1:17" ht="128">
      <c r="A28" s="25" t="s">
        <v>58</v>
      </c>
      <c r="B28" s="40" t="s">
        <v>517</v>
      </c>
      <c r="C28" s="21" t="s">
        <v>13</v>
      </c>
      <c r="D28" s="21"/>
      <c r="E28" s="48">
        <f>(25%*1390)*230</f>
        <v>79925</v>
      </c>
      <c r="F28" s="48">
        <f>E28*5</f>
        <v>399625</v>
      </c>
      <c r="G28" s="48">
        <f>$F$28/6</f>
        <v>66604.166666666672</v>
      </c>
      <c r="H28" s="48">
        <f t="shared" ref="H28:L28" si="14">$F$28/6</f>
        <v>66604.166666666672</v>
      </c>
      <c r="I28" s="48">
        <f t="shared" si="14"/>
        <v>66604.166666666672</v>
      </c>
      <c r="J28" s="48">
        <f t="shared" si="14"/>
        <v>66604.166666666672</v>
      </c>
      <c r="K28" s="48">
        <f t="shared" si="14"/>
        <v>66604.166666666672</v>
      </c>
      <c r="L28" s="48">
        <f t="shared" si="14"/>
        <v>66604.166666666672</v>
      </c>
      <c r="M28" s="104" t="s">
        <v>456</v>
      </c>
      <c r="O28" s="113">
        <f t="shared" si="2"/>
        <v>399625</v>
      </c>
      <c r="P28" s="112">
        <f>70%*O28</f>
        <v>279737.5</v>
      </c>
      <c r="Q28" s="108">
        <f>30%*O28</f>
        <v>119887.5</v>
      </c>
    </row>
    <row r="29" spans="1:17" ht="128">
      <c r="A29" s="25" t="s">
        <v>60</v>
      </c>
      <c r="B29" s="40" t="s">
        <v>36</v>
      </c>
      <c r="C29" s="21" t="s">
        <v>13</v>
      </c>
      <c r="D29" s="21">
        <v>1</v>
      </c>
      <c r="E29" s="48">
        <f>453100</f>
        <v>453100</v>
      </c>
      <c r="F29" s="48">
        <f>D29*E29</f>
        <v>453100</v>
      </c>
      <c r="G29" s="48">
        <f>$F$29/6</f>
        <v>75516.666666666672</v>
      </c>
      <c r="H29" s="48">
        <f t="shared" ref="H29:L29" si="15">$F$29/6</f>
        <v>75516.666666666672</v>
      </c>
      <c r="I29" s="48">
        <f t="shared" si="15"/>
        <v>75516.666666666672</v>
      </c>
      <c r="J29" s="48">
        <f t="shared" si="15"/>
        <v>75516.666666666672</v>
      </c>
      <c r="K29" s="48">
        <f t="shared" si="15"/>
        <v>75516.666666666672</v>
      </c>
      <c r="L29" s="48">
        <f t="shared" si="15"/>
        <v>75516.666666666672</v>
      </c>
      <c r="O29" s="110"/>
      <c r="P29" s="111"/>
      <c r="Q29" s="107"/>
    </row>
    <row r="30" spans="1:17" ht="32">
      <c r="A30" s="25" t="s">
        <v>63</v>
      </c>
      <c r="B30" s="40" t="s">
        <v>38</v>
      </c>
      <c r="C30" s="40" t="s">
        <v>39</v>
      </c>
      <c r="D30" s="21">
        <v>5</v>
      </c>
      <c r="E30" s="48">
        <v>3750</v>
      </c>
      <c r="F30" s="48">
        <f t="shared" ref="F30:F38" si="16">D30*E30</f>
        <v>18750</v>
      </c>
      <c r="G30" s="48"/>
      <c r="H30" s="48">
        <f>D30*E30</f>
        <v>18750</v>
      </c>
      <c r="I30" s="48"/>
      <c r="J30" s="48"/>
      <c r="K30" s="48"/>
      <c r="L30" s="48"/>
      <c r="O30" s="110"/>
      <c r="P30" s="111"/>
      <c r="Q30" s="107"/>
    </row>
    <row r="31" spans="1:17" ht="16">
      <c r="A31" s="25" t="s">
        <v>65</v>
      </c>
      <c r="B31" s="40" t="s">
        <v>41</v>
      </c>
      <c r="C31" s="21" t="s">
        <v>25</v>
      </c>
      <c r="D31" s="21">
        <v>25</v>
      </c>
      <c r="E31" s="48">
        <v>450</v>
      </c>
      <c r="F31" s="48">
        <f t="shared" si="16"/>
        <v>11250</v>
      </c>
      <c r="G31" s="48"/>
      <c r="H31" s="48">
        <f>D31*E31</f>
        <v>11250</v>
      </c>
      <c r="I31" s="48"/>
      <c r="J31" s="48"/>
      <c r="K31" s="48"/>
      <c r="L31" s="48"/>
      <c r="O31" s="110"/>
      <c r="P31" s="111"/>
      <c r="Q31" s="107"/>
    </row>
    <row r="32" spans="1:17" ht="32">
      <c r="A32" s="25" t="s">
        <v>67</v>
      </c>
      <c r="B32" s="40" t="s">
        <v>43</v>
      </c>
      <c r="C32" s="21" t="s">
        <v>25</v>
      </c>
      <c r="D32" s="21">
        <v>25</v>
      </c>
      <c r="E32" s="48">
        <v>156</v>
      </c>
      <c r="F32" s="48">
        <f t="shared" si="16"/>
        <v>3900</v>
      </c>
      <c r="G32" s="48"/>
      <c r="H32" s="48">
        <f>D32*E32</f>
        <v>3900</v>
      </c>
      <c r="I32" s="48"/>
      <c r="J32" s="48"/>
      <c r="K32" s="48"/>
      <c r="L32" s="48"/>
      <c r="O32" s="110"/>
      <c r="P32" s="111"/>
      <c r="Q32" s="107"/>
    </row>
    <row r="33" spans="1:17" ht="80">
      <c r="A33" s="25" t="s">
        <v>69</v>
      </c>
      <c r="B33" s="40" t="s">
        <v>45</v>
      </c>
      <c r="C33" s="21" t="s">
        <v>46</v>
      </c>
      <c r="D33" s="21">
        <v>1</v>
      </c>
      <c r="E33" s="48">
        <f>15%*(F34+F35)</f>
        <v>489320.55</v>
      </c>
      <c r="F33" s="48">
        <f t="shared" si="16"/>
        <v>489320.55</v>
      </c>
      <c r="G33" s="157">
        <f>D33*E33</f>
        <v>489320.55</v>
      </c>
      <c r="I33" s="48"/>
      <c r="J33" s="21"/>
      <c r="K33" s="48"/>
      <c r="L33" s="48"/>
      <c r="O33" s="110"/>
      <c r="P33" s="111"/>
      <c r="Q33" s="107"/>
    </row>
    <row r="34" spans="1:17" ht="64">
      <c r="A34" s="25" t="s">
        <v>71</v>
      </c>
      <c r="B34" s="40" t="s">
        <v>482</v>
      </c>
      <c r="C34" s="21" t="s">
        <v>46</v>
      </c>
      <c r="D34" s="21">
        <v>1</v>
      </c>
      <c r="E34" s="48">
        <v>2267223</v>
      </c>
      <c r="F34" s="48">
        <f t="shared" si="16"/>
        <v>2267223</v>
      </c>
      <c r="G34" s="21"/>
      <c r="H34" s="48">
        <f>$F$34</f>
        <v>2267223</v>
      </c>
      <c r="I34" s="48"/>
      <c r="J34" s="48"/>
      <c r="K34" s="48"/>
      <c r="L34" s="48"/>
      <c r="O34" s="110"/>
      <c r="P34" s="111"/>
      <c r="Q34" s="107"/>
    </row>
    <row r="35" spans="1:17" ht="160">
      <c r="A35" s="25" t="s">
        <v>73</v>
      </c>
      <c r="B35" s="40" t="s">
        <v>523</v>
      </c>
      <c r="C35" s="21" t="s">
        <v>46</v>
      </c>
      <c r="D35" s="21">
        <v>1</v>
      </c>
      <c r="E35" s="48">
        <v>994914</v>
      </c>
      <c r="F35" s="48">
        <f t="shared" si="16"/>
        <v>994914</v>
      </c>
      <c r="G35" s="21"/>
      <c r="H35" s="48">
        <f>$F$35</f>
        <v>994914</v>
      </c>
      <c r="I35" s="48"/>
      <c r="J35" s="48"/>
      <c r="K35" s="48"/>
      <c r="L35" s="48"/>
      <c r="M35" s="105" t="s">
        <v>469</v>
      </c>
      <c r="O35" s="113">
        <f t="shared" si="2"/>
        <v>994914</v>
      </c>
      <c r="P35" s="111"/>
      <c r="Q35" s="106">
        <f>O35</f>
        <v>994914</v>
      </c>
    </row>
    <row r="36" spans="1:17" ht="48">
      <c r="A36" s="25" t="s">
        <v>74</v>
      </c>
      <c r="B36" s="40" t="s">
        <v>50</v>
      </c>
      <c r="C36" s="40" t="s">
        <v>51</v>
      </c>
      <c r="D36" s="21">
        <v>1</v>
      </c>
      <c r="E36" s="48">
        <f>'Cost calculations for upgrades'!G12</f>
        <v>639609.75609756098</v>
      </c>
      <c r="F36" s="48">
        <f t="shared" si="16"/>
        <v>639609.75609756098</v>
      </c>
      <c r="G36" s="48"/>
      <c r="H36" s="48"/>
      <c r="I36" s="48"/>
      <c r="J36" s="48">
        <f>$F$36/3</f>
        <v>213203.25203252034</v>
      </c>
      <c r="K36" s="48">
        <f t="shared" ref="K36:L36" si="17">$F$36/3</f>
        <v>213203.25203252034</v>
      </c>
      <c r="L36" s="48">
        <f t="shared" si="17"/>
        <v>213203.25203252034</v>
      </c>
      <c r="O36" s="110"/>
      <c r="P36" s="111"/>
      <c r="Q36" s="107"/>
    </row>
    <row r="37" spans="1:17" ht="48">
      <c r="A37" s="25" t="s">
        <v>75</v>
      </c>
      <c r="B37" s="40" t="s">
        <v>50</v>
      </c>
      <c r="C37" s="40" t="s">
        <v>51</v>
      </c>
      <c r="D37" s="21">
        <v>1</v>
      </c>
      <c r="E37" s="48">
        <f>'Cost calculations for upgrades'!G29</f>
        <v>6602.3329798515369</v>
      </c>
      <c r="F37" s="48">
        <f t="shared" si="16"/>
        <v>6602.3329798515369</v>
      </c>
      <c r="G37" s="48"/>
      <c r="H37" s="48">
        <f>D37*E37</f>
        <v>6602.3329798515369</v>
      </c>
      <c r="I37" s="48"/>
      <c r="J37" s="48"/>
      <c r="K37" s="48"/>
      <c r="L37" s="48"/>
      <c r="O37" s="110"/>
      <c r="P37" s="111"/>
      <c r="Q37" s="107"/>
    </row>
    <row r="38" spans="1:17" ht="80">
      <c r="A38" s="25" t="s">
        <v>77</v>
      </c>
      <c r="B38" s="40" t="s">
        <v>54</v>
      </c>
      <c r="C38" s="40" t="s">
        <v>55</v>
      </c>
      <c r="D38" s="21">
        <v>1</v>
      </c>
      <c r="E38" s="48">
        <v>3750</v>
      </c>
      <c r="F38" s="48">
        <f t="shared" si="16"/>
        <v>3750</v>
      </c>
      <c r="G38" s="48">
        <f>D38*E38</f>
        <v>3750</v>
      </c>
      <c r="H38" s="48"/>
      <c r="I38" s="48"/>
      <c r="J38" s="48"/>
      <c r="K38" s="48"/>
      <c r="L38" s="48"/>
      <c r="O38" s="110"/>
      <c r="P38" s="111"/>
      <c r="Q38" s="107"/>
    </row>
    <row r="39" spans="1:17" ht="32">
      <c r="A39" s="25" t="s">
        <v>78</v>
      </c>
      <c r="B39" s="40" t="s">
        <v>57</v>
      </c>
      <c r="C39" s="40" t="s">
        <v>25</v>
      </c>
      <c r="D39" s="21">
        <v>15</v>
      </c>
      <c r="E39" s="48">
        <v>750</v>
      </c>
      <c r="F39" s="48">
        <f>D39*E39</f>
        <v>11250</v>
      </c>
      <c r="G39" s="48">
        <f>D39*E39</f>
        <v>11250</v>
      </c>
      <c r="H39" s="48"/>
      <c r="I39" s="48"/>
      <c r="J39" s="48"/>
      <c r="K39" s="48"/>
      <c r="L39" s="48"/>
      <c r="O39" s="110"/>
      <c r="P39" s="111"/>
      <c r="Q39" s="107"/>
    </row>
    <row r="40" spans="1:17" ht="32">
      <c r="A40" s="25" t="s">
        <v>79</v>
      </c>
      <c r="B40" s="40" t="s">
        <v>59</v>
      </c>
      <c r="C40" s="40" t="s">
        <v>25</v>
      </c>
      <c r="D40" s="21">
        <v>15</v>
      </c>
      <c r="E40" s="48">
        <v>156</v>
      </c>
      <c r="F40" s="48">
        <f t="shared" ref="F40:F41" si="18">D40*E40</f>
        <v>2340</v>
      </c>
      <c r="G40" s="48">
        <f t="shared" ref="G40:G41" si="19">D40*E40</f>
        <v>2340</v>
      </c>
      <c r="H40" s="48"/>
      <c r="I40" s="48"/>
      <c r="J40" s="48"/>
      <c r="K40" s="48"/>
      <c r="L40" s="48"/>
      <c r="O40" s="110"/>
      <c r="P40" s="111"/>
      <c r="Q40" s="107"/>
    </row>
    <row r="41" spans="1:17" ht="32">
      <c r="A41" s="25" t="s">
        <v>80</v>
      </c>
      <c r="B41" s="40" t="s">
        <v>61</v>
      </c>
      <c r="C41" s="40" t="s">
        <v>62</v>
      </c>
      <c r="D41" s="21">
        <v>1</v>
      </c>
      <c r="E41" s="48">
        <v>3000</v>
      </c>
      <c r="F41" s="48">
        <f t="shared" si="18"/>
        <v>3000</v>
      </c>
      <c r="G41" s="48">
        <f t="shared" si="19"/>
        <v>3000</v>
      </c>
      <c r="H41" s="48"/>
      <c r="I41" s="48"/>
      <c r="J41" s="48"/>
      <c r="K41" s="48"/>
      <c r="L41" s="48"/>
      <c r="O41" s="110"/>
      <c r="P41" s="111"/>
      <c r="Q41" s="107"/>
    </row>
    <row r="42" spans="1:17" ht="48">
      <c r="A42" s="25" t="s">
        <v>81</v>
      </c>
      <c r="B42" s="40" t="s">
        <v>64</v>
      </c>
      <c r="C42" s="21" t="s">
        <v>25</v>
      </c>
      <c r="D42" s="21">
        <v>20</v>
      </c>
      <c r="E42" s="48">
        <v>450</v>
      </c>
      <c r="F42" s="48">
        <f t="shared" ref="F42:F46" si="20">D42*E42</f>
        <v>9000</v>
      </c>
      <c r="G42" s="48">
        <f t="shared" ref="G42:G43" si="21">D42*E42</f>
        <v>9000</v>
      </c>
      <c r="H42" s="48"/>
      <c r="I42" s="48"/>
      <c r="J42" s="48"/>
      <c r="K42" s="48"/>
      <c r="L42" s="48"/>
      <c r="O42" s="110"/>
      <c r="P42" s="111"/>
      <c r="Q42" s="107"/>
    </row>
    <row r="43" spans="1:17" ht="48">
      <c r="A43" s="25" t="s">
        <v>82</v>
      </c>
      <c r="B43" s="40" t="s">
        <v>66</v>
      </c>
      <c r="C43" s="21" t="s">
        <v>25</v>
      </c>
      <c r="D43" s="21">
        <v>20</v>
      </c>
      <c r="E43" s="48">
        <v>156</v>
      </c>
      <c r="F43" s="48">
        <f t="shared" si="20"/>
        <v>3120</v>
      </c>
      <c r="G43" s="48">
        <f t="shared" si="21"/>
        <v>3120</v>
      </c>
      <c r="H43" s="48"/>
      <c r="I43" s="48"/>
      <c r="J43" s="48"/>
      <c r="K43" s="48"/>
      <c r="L43" s="48"/>
      <c r="O43" s="110"/>
      <c r="P43" s="111"/>
      <c r="Q43" s="107"/>
    </row>
    <row r="44" spans="1:17" ht="32">
      <c r="A44" s="25" t="s">
        <v>84</v>
      </c>
      <c r="B44" s="40" t="s">
        <v>68</v>
      </c>
      <c r="C44" s="40" t="s">
        <v>55</v>
      </c>
      <c r="D44" s="21">
        <v>1</v>
      </c>
      <c r="E44" s="48">
        <v>3750</v>
      </c>
      <c r="F44" s="48">
        <f t="shared" si="20"/>
        <v>3750</v>
      </c>
      <c r="G44" s="157">
        <f>D44*E44</f>
        <v>3750</v>
      </c>
      <c r="H44" s="48"/>
      <c r="I44" s="48"/>
      <c r="J44" s="1"/>
      <c r="K44" s="48"/>
      <c r="L44" s="48"/>
      <c r="O44" s="110"/>
      <c r="P44" s="111"/>
      <c r="Q44" s="107"/>
    </row>
    <row r="45" spans="1:17" ht="16">
      <c r="A45" s="25" t="s">
        <v>85</v>
      </c>
      <c r="B45" s="40" t="s">
        <v>70</v>
      </c>
      <c r="C45" s="21" t="s">
        <v>25</v>
      </c>
      <c r="D45" s="21">
        <v>20</v>
      </c>
      <c r="E45" s="48">
        <v>450</v>
      </c>
      <c r="F45" s="48">
        <f t="shared" si="20"/>
        <v>9000</v>
      </c>
      <c r="G45" s="157">
        <f>D45*E45</f>
        <v>9000</v>
      </c>
      <c r="H45" s="48"/>
      <c r="I45" s="48"/>
      <c r="J45" s="1"/>
      <c r="K45" s="48"/>
      <c r="L45" s="48"/>
      <c r="O45" s="110"/>
      <c r="P45" s="111"/>
      <c r="Q45" s="107"/>
    </row>
    <row r="46" spans="1:17" ht="32">
      <c r="A46" s="25" t="s">
        <v>86</v>
      </c>
      <c r="B46" s="40" t="s">
        <v>72</v>
      </c>
      <c r="C46" s="21" t="s">
        <v>25</v>
      </c>
      <c r="D46" s="21">
        <v>20</v>
      </c>
      <c r="E46" s="48">
        <v>156</v>
      </c>
      <c r="F46" s="48">
        <f t="shared" si="20"/>
        <v>3120</v>
      </c>
      <c r="G46" s="157">
        <f>D46*E46</f>
        <v>3120</v>
      </c>
      <c r="H46" s="48"/>
      <c r="I46" s="48"/>
      <c r="J46" s="1"/>
      <c r="K46" s="48"/>
      <c r="L46" s="48"/>
      <c r="O46" s="110"/>
      <c r="P46" s="111"/>
      <c r="Q46" s="107"/>
    </row>
    <row r="47" spans="1:17" ht="32">
      <c r="A47" s="25" t="s">
        <v>87</v>
      </c>
      <c r="B47" s="40" t="s">
        <v>88</v>
      </c>
      <c r="C47" s="40" t="s">
        <v>39</v>
      </c>
      <c r="D47" s="21">
        <v>4</v>
      </c>
      <c r="E47" s="48">
        <v>3750</v>
      </c>
      <c r="F47" s="48">
        <f t="shared" ref="F47" si="22">D47*E47</f>
        <v>15000</v>
      </c>
      <c r="G47" s="48">
        <f>D47*E47</f>
        <v>15000</v>
      </c>
      <c r="H47" s="48"/>
      <c r="I47" s="48"/>
      <c r="J47" s="48"/>
      <c r="K47" s="48"/>
      <c r="L47" s="48"/>
      <c r="O47" s="110"/>
      <c r="P47" s="111"/>
      <c r="Q47" s="107"/>
    </row>
    <row r="48" spans="1:17" ht="48">
      <c r="A48" s="25" t="s">
        <v>89</v>
      </c>
      <c r="B48" s="40" t="s">
        <v>90</v>
      </c>
      <c r="C48" s="40" t="s">
        <v>25</v>
      </c>
      <c r="D48" s="21">
        <v>20</v>
      </c>
      <c r="E48" s="48">
        <v>450</v>
      </c>
      <c r="F48" s="48">
        <f>D48*E48</f>
        <v>9000</v>
      </c>
      <c r="G48" s="48">
        <f>D48*E48</f>
        <v>9000</v>
      </c>
      <c r="H48" s="48"/>
      <c r="I48" s="48"/>
      <c r="J48" s="48"/>
      <c r="K48" s="48"/>
      <c r="L48" s="48"/>
      <c r="O48" s="110"/>
      <c r="P48" s="111"/>
      <c r="Q48" s="107"/>
    </row>
    <row r="49" spans="1:17" ht="16">
      <c r="A49" s="25" t="s">
        <v>91</v>
      </c>
      <c r="B49" s="40" t="s">
        <v>92</v>
      </c>
      <c r="C49" s="40" t="s">
        <v>25</v>
      </c>
      <c r="D49" s="21">
        <v>20</v>
      </c>
      <c r="E49" s="48">
        <v>156</v>
      </c>
      <c r="F49" s="48">
        <f t="shared" ref="F49:F50" si="23">D49*E49</f>
        <v>3120</v>
      </c>
      <c r="G49" s="48">
        <f t="shared" ref="G49:G50" si="24">D49*E49</f>
        <v>3120</v>
      </c>
      <c r="H49" s="48"/>
      <c r="I49" s="48"/>
      <c r="J49" s="48"/>
      <c r="K49" s="48"/>
      <c r="L49" s="48"/>
      <c r="O49" s="110"/>
      <c r="P49" s="111"/>
      <c r="Q49" s="107"/>
    </row>
    <row r="50" spans="1:17" ht="16">
      <c r="A50" s="25" t="s">
        <v>93</v>
      </c>
      <c r="B50" s="40" t="s">
        <v>94</v>
      </c>
      <c r="C50" s="40" t="s">
        <v>62</v>
      </c>
      <c r="D50" s="21">
        <v>1</v>
      </c>
      <c r="E50" s="48">
        <v>3000</v>
      </c>
      <c r="F50" s="48">
        <f t="shared" si="23"/>
        <v>3000</v>
      </c>
      <c r="G50" s="48">
        <f t="shared" si="24"/>
        <v>3000</v>
      </c>
      <c r="H50" s="48"/>
      <c r="I50" s="48"/>
      <c r="J50" s="48"/>
      <c r="K50" s="48"/>
      <c r="L50" s="48"/>
      <c r="O50" s="110"/>
      <c r="P50" s="111"/>
      <c r="Q50" s="107"/>
    </row>
    <row r="51" spans="1:17" ht="64">
      <c r="A51" s="25" t="s">
        <v>95</v>
      </c>
      <c r="B51" s="40" t="s">
        <v>96</v>
      </c>
      <c r="C51" s="21" t="s">
        <v>25</v>
      </c>
      <c r="D51" s="21">
        <v>40</v>
      </c>
      <c r="E51" s="48">
        <v>450</v>
      </c>
      <c r="F51" s="48">
        <f t="shared" ref="F51:F57" si="25">D51*E51</f>
        <v>18000</v>
      </c>
      <c r="G51" s="48">
        <f>D51*E51</f>
        <v>18000</v>
      </c>
      <c r="H51" s="48"/>
      <c r="I51" s="48"/>
      <c r="J51" s="48"/>
      <c r="K51" s="48"/>
      <c r="L51" s="48"/>
      <c r="O51" s="110"/>
      <c r="P51" s="111"/>
      <c r="Q51" s="107"/>
    </row>
    <row r="52" spans="1:17" ht="32">
      <c r="A52" s="25" t="s">
        <v>97</v>
      </c>
      <c r="B52" s="40" t="s">
        <v>98</v>
      </c>
      <c r="C52" s="21" t="s">
        <v>25</v>
      </c>
      <c r="D52" s="21">
        <v>40</v>
      </c>
      <c r="E52" s="48">
        <v>156</v>
      </c>
      <c r="F52" s="48">
        <f t="shared" si="25"/>
        <v>6240</v>
      </c>
      <c r="G52" s="48">
        <f>D52*E52</f>
        <v>6240</v>
      </c>
      <c r="H52" s="48"/>
      <c r="I52" s="48"/>
      <c r="J52" s="48"/>
      <c r="K52" s="48"/>
      <c r="L52" s="48"/>
      <c r="O52" s="110"/>
      <c r="P52" s="111"/>
      <c r="Q52" s="107"/>
    </row>
    <row r="53" spans="1:17" ht="32">
      <c r="A53" s="25" t="s">
        <v>99</v>
      </c>
      <c r="B53" s="40" t="s">
        <v>100</v>
      </c>
      <c r="C53" s="21" t="s">
        <v>101</v>
      </c>
      <c r="D53" s="21">
        <v>12</v>
      </c>
      <c r="E53" s="48">
        <v>3750</v>
      </c>
      <c r="F53" s="48">
        <f t="shared" si="25"/>
        <v>45000</v>
      </c>
      <c r="G53" s="48">
        <f>$F$53/6</f>
        <v>7500</v>
      </c>
      <c r="H53" s="48">
        <f t="shared" ref="H53:L53" si="26">$F$53/6</f>
        <v>7500</v>
      </c>
      <c r="I53" s="48">
        <f t="shared" si="26"/>
        <v>7500</v>
      </c>
      <c r="J53" s="48">
        <f t="shared" si="26"/>
        <v>7500</v>
      </c>
      <c r="K53" s="48">
        <f t="shared" si="26"/>
        <v>7500</v>
      </c>
      <c r="L53" s="48">
        <f t="shared" si="26"/>
        <v>7500</v>
      </c>
      <c r="O53" s="110"/>
      <c r="P53" s="111"/>
      <c r="Q53" s="107"/>
    </row>
    <row r="54" spans="1:17" ht="33.75" customHeight="1">
      <c r="A54" s="25" t="s">
        <v>102</v>
      </c>
      <c r="B54" s="40" t="s">
        <v>103</v>
      </c>
      <c r="C54" s="40" t="s">
        <v>39</v>
      </c>
      <c r="D54" s="21">
        <v>4</v>
      </c>
      <c r="E54" s="48">
        <v>3750</v>
      </c>
      <c r="F54" s="48">
        <f t="shared" si="25"/>
        <v>15000</v>
      </c>
      <c r="G54" s="48">
        <f>D54*E54</f>
        <v>15000</v>
      </c>
      <c r="H54" s="48"/>
      <c r="I54" s="48"/>
      <c r="J54" s="48"/>
      <c r="K54" s="48"/>
      <c r="L54" s="48"/>
      <c r="O54" s="110"/>
      <c r="P54" s="111"/>
      <c r="Q54" s="107"/>
    </row>
    <row r="55" spans="1:17" ht="32">
      <c r="A55" s="25" t="s">
        <v>104</v>
      </c>
      <c r="B55" s="40" t="s">
        <v>105</v>
      </c>
      <c r="C55" s="21" t="s">
        <v>13</v>
      </c>
      <c r="D55" s="21">
        <v>1</v>
      </c>
      <c r="E55" s="48">
        <v>50000</v>
      </c>
      <c r="F55" s="48">
        <f t="shared" si="25"/>
        <v>50000</v>
      </c>
      <c r="G55" s="48">
        <f>D55*E55</f>
        <v>50000</v>
      </c>
      <c r="H55" s="48"/>
      <c r="I55" s="48"/>
      <c r="J55" s="48"/>
      <c r="K55" s="48"/>
      <c r="L55" s="48"/>
      <c r="O55" s="110"/>
      <c r="P55" s="111"/>
      <c r="Q55" s="107"/>
    </row>
    <row r="56" spans="1:17" ht="32">
      <c r="A56" s="25" t="s">
        <v>106</v>
      </c>
      <c r="B56" s="40" t="s">
        <v>107</v>
      </c>
      <c r="C56" s="21" t="s">
        <v>101</v>
      </c>
      <c r="D56" s="21">
        <v>4</v>
      </c>
      <c r="E56" s="48">
        <v>3750</v>
      </c>
      <c r="F56" s="48">
        <f t="shared" si="25"/>
        <v>15000</v>
      </c>
      <c r="G56" s="48">
        <f>D56*E56</f>
        <v>15000</v>
      </c>
      <c r="H56" s="48"/>
      <c r="I56" s="48"/>
      <c r="J56" s="48"/>
      <c r="K56" s="48"/>
      <c r="L56" s="48"/>
      <c r="O56" s="110"/>
      <c r="P56" s="111"/>
      <c r="Q56" s="107"/>
    </row>
    <row r="57" spans="1:17" ht="48">
      <c r="A57" s="25" t="s">
        <v>108</v>
      </c>
      <c r="B57" s="40" t="s">
        <v>483</v>
      </c>
      <c r="C57" s="21" t="s">
        <v>109</v>
      </c>
      <c r="D57" s="21">
        <v>6</v>
      </c>
      <c r="E57" s="48">
        <v>3750</v>
      </c>
      <c r="F57" s="48">
        <f t="shared" si="25"/>
        <v>22500</v>
      </c>
      <c r="G57" s="48">
        <f>$F$57/6</f>
        <v>3750</v>
      </c>
      <c r="H57" s="48">
        <f t="shared" ref="H57:L57" si="27">$F$57/6</f>
        <v>3750</v>
      </c>
      <c r="I57" s="48">
        <f t="shared" si="27"/>
        <v>3750</v>
      </c>
      <c r="J57" s="48">
        <f t="shared" si="27"/>
        <v>3750</v>
      </c>
      <c r="K57" s="48">
        <f t="shared" si="27"/>
        <v>3750</v>
      </c>
      <c r="L57" s="48">
        <f t="shared" si="27"/>
        <v>3750</v>
      </c>
      <c r="O57" s="110"/>
      <c r="P57" s="111"/>
      <c r="Q57" s="107"/>
    </row>
    <row r="58" spans="1:17" ht="192">
      <c r="A58" s="25" t="s">
        <v>498</v>
      </c>
      <c r="B58" s="40" t="s">
        <v>536</v>
      </c>
      <c r="C58" s="21" t="s">
        <v>476</v>
      </c>
      <c r="D58" s="21">
        <v>1</v>
      </c>
      <c r="E58" s="48">
        <f>'Detailed Budget'!G63</f>
        <v>2508282.2973467656</v>
      </c>
      <c r="F58" s="48">
        <f>'Detailed Budget'!G63</f>
        <v>2508282.2973467656</v>
      </c>
      <c r="G58" s="48">
        <f>'Detailed Budget'!H63</f>
        <v>466907.92896588903</v>
      </c>
      <c r="H58" s="48">
        <f>'Detailed Budget'!I63</f>
        <v>626228.99369017314</v>
      </c>
      <c r="I58" s="48">
        <f>'Detailed Budget'!J63</f>
        <v>346309.68142453162</v>
      </c>
      <c r="J58" s="48">
        <f>'Detailed Budget'!K63</f>
        <v>356278.56442205724</v>
      </c>
      <c r="K58" s="48">
        <f>'Detailed Budget'!L63</f>
        <v>356278.56442205724</v>
      </c>
      <c r="L58" s="48">
        <f>'Detailed Budget'!M63</f>
        <v>356278.56442205724</v>
      </c>
      <c r="O58" s="110"/>
      <c r="P58" s="111"/>
      <c r="Q58" s="107"/>
    </row>
    <row r="59" spans="1:17" s="15" customFormat="1">
      <c r="A59" s="42"/>
      <c r="B59" s="52"/>
      <c r="C59" s="43"/>
      <c r="D59" s="43"/>
      <c r="E59" s="17"/>
      <c r="F59" s="17"/>
      <c r="G59" s="17"/>
      <c r="H59" s="17"/>
      <c r="I59" s="17"/>
      <c r="J59" s="17"/>
      <c r="K59" s="17"/>
      <c r="L59" s="17"/>
      <c r="O59" s="110"/>
      <c r="P59" s="111"/>
      <c r="Q59" s="107"/>
    </row>
    <row r="60" spans="1:17" ht="32">
      <c r="A60" s="26" t="s">
        <v>110</v>
      </c>
      <c r="B60" s="40" t="s">
        <v>111</v>
      </c>
      <c r="C60" s="21" t="s">
        <v>25</v>
      </c>
      <c r="D60" s="21">
        <v>40</v>
      </c>
      <c r="E60" s="48">
        <v>450</v>
      </c>
      <c r="F60" s="48">
        <f t="shared" ref="F60:F84" si="28">D60*E60</f>
        <v>18000</v>
      </c>
      <c r="G60" s="48">
        <f t="shared" ref="G60:G62" si="29">D60*E60</f>
        <v>18000</v>
      </c>
      <c r="H60" s="48"/>
      <c r="I60" s="48"/>
      <c r="J60" s="48"/>
      <c r="K60" s="48"/>
      <c r="L60" s="48"/>
      <c r="O60" s="110"/>
      <c r="P60" s="111"/>
      <c r="Q60" s="107"/>
    </row>
    <row r="61" spans="1:17" ht="16">
      <c r="A61" s="26" t="s">
        <v>112</v>
      </c>
      <c r="B61" s="21" t="s">
        <v>113</v>
      </c>
      <c r="C61" s="21" t="s">
        <v>25</v>
      </c>
      <c r="D61" s="21">
        <v>40</v>
      </c>
      <c r="E61" s="48">
        <v>156</v>
      </c>
      <c r="F61" s="48">
        <f t="shared" si="28"/>
        <v>6240</v>
      </c>
      <c r="G61" s="48">
        <f t="shared" si="29"/>
        <v>6240</v>
      </c>
      <c r="H61" s="48"/>
      <c r="I61" s="48"/>
      <c r="J61" s="48"/>
      <c r="K61" s="48"/>
      <c r="L61" s="48"/>
      <c r="O61" s="110"/>
      <c r="P61" s="111"/>
      <c r="Q61" s="107"/>
    </row>
    <row r="62" spans="1:17" ht="32">
      <c r="A62" s="26" t="s">
        <v>114</v>
      </c>
      <c r="B62" s="40" t="s">
        <v>115</v>
      </c>
      <c r="C62" s="40" t="s">
        <v>116</v>
      </c>
      <c r="D62" s="21">
        <v>1</v>
      </c>
      <c r="E62" s="48">
        <v>3750</v>
      </c>
      <c r="F62" s="48">
        <f t="shared" si="28"/>
        <v>3750</v>
      </c>
      <c r="G62" s="48">
        <f t="shared" si="29"/>
        <v>3750</v>
      </c>
      <c r="H62" s="48"/>
      <c r="I62" s="48"/>
      <c r="J62" s="48"/>
      <c r="K62" s="48"/>
      <c r="L62" s="48"/>
      <c r="O62" s="110"/>
      <c r="P62" s="111"/>
      <c r="Q62" s="107"/>
    </row>
    <row r="63" spans="1:17" ht="48">
      <c r="A63" s="26" t="s">
        <v>117</v>
      </c>
      <c r="B63" s="40" t="s">
        <v>435</v>
      </c>
      <c r="C63" s="40" t="s">
        <v>13</v>
      </c>
      <c r="D63" s="21">
        <v>1</v>
      </c>
      <c r="E63" s="48">
        <v>10000</v>
      </c>
      <c r="F63" s="48">
        <f t="shared" si="28"/>
        <v>10000</v>
      </c>
      <c r="G63" s="157">
        <f t="shared" ref="G63:G69" si="30">F63/1</f>
        <v>10000</v>
      </c>
      <c r="H63" s="1"/>
      <c r="I63" s="48"/>
      <c r="J63" s="48"/>
      <c r="K63" s="48"/>
      <c r="L63" s="48"/>
      <c r="O63" s="110"/>
      <c r="P63" s="111"/>
      <c r="Q63" s="107"/>
    </row>
    <row r="64" spans="1:17" ht="16">
      <c r="A64" s="26" t="s">
        <v>119</v>
      </c>
      <c r="B64" s="40" t="s">
        <v>436</v>
      </c>
      <c r="C64" s="40" t="s">
        <v>13</v>
      </c>
      <c r="D64" s="21">
        <v>1</v>
      </c>
      <c r="E64" s="48">
        <v>15000</v>
      </c>
      <c r="F64" s="48">
        <f t="shared" si="28"/>
        <v>15000</v>
      </c>
      <c r="G64" s="157">
        <f t="shared" si="30"/>
        <v>15000</v>
      </c>
      <c r="H64" s="1"/>
      <c r="I64" s="48"/>
      <c r="J64" s="48"/>
      <c r="K64" s="48"/>
      <c r="L64" s="48"/>
      <c r="O64" s="110"/>
      <c r="P64" s="111"/>
      <c r="Q64" s="107"/>
    </row>
    <row r="65" spans="1:17" ht="32">
      <c r="A65" s="26" t="s">
        <v>121</v>
      </c>
      <c r="B65" s="40" t="s">
        <v>437</v>
      </c>
      <c r="C65" s="40" t="s">
        <v>13</v>
      </c>
      <c r="D65" s="21">
        <v>1</v>
      </c>
      <c r="E65" s="48">
        <v>25000</v>
      </c>
      <c r="F65" s="48">
        <f t="shared" si="28"/>
        <v>25000</v>
      </c>
      <c r="G65" s="157">
        <f t="shared" si="30"/>
        <v>25000</v>
      </c>
      <c r="H65" s="1"/>
      <c r="I65" s="48"/>
      <c r="J65" s="48"/>
      <c r="K65" s="48"/>
      <c r="L65" s="48"/>
      <c r="O65" s="110"/>
      <c r="P65" s="111"/>
      <c r="Q65" s="107"/>
    </row>
    <row r="66" spans="1:17" ht="16">
      <c r="A66" s="26" t="s">
        <v>123</v>
      </c>
      <c r="B66" s="40" t="s">
        <v>438</v>
      </c>
      <c r="C66" s="40" t="s">
        <v>13</v>
      </c>
      <c r="D66" s="21">
        <v>1</v>
      </c>
      <c r="E66" s="48">
        <v>5000</v>
      </c>
      <c r="F66" s="48">
        <f t="shared" si="28"/>
        <v>5000</v>
      </c>
      <c r="G66" s="157">
        <f t="shared" si="30"/>
        <v>5000</v>
      </c>
      <c r="H66" s="1"/>
      <c r="I66" s="48"/>
      <c r="J66" s="48"/>
      <c r="K66" s="48"/>
      <c r="L66" s="48"/>
      <c r="O66" s="110"/>
      <c r="P66" s="111"/>
      <c r="Q66" s="107"/>
    </row>
    <row r="67" spans="1:17" ht="16">
      <c r="A67" s="26" t="s">
        <v>124</v>
      </c>
      <c r="B67" s="40" t="s">
        <v>440</v>
      </c>
      <c r="C67" s="40" t="s">
        <v>448</v>
      </c>
      <c r="D67" s="21">
        <v>3</v>
      </c>
      <c r="E67" s="48">
        <f>3500/D67</f>
        <v>1166.6666666666667</v>
      </c>
      <c r="F67" s="48">
        <f t="shared" si="28"/>
        <v>3500</v>
      </c>
      <c r="G67" s="157">
        <f t="shared" si="30"/>
        <v>3500</v>
      </c>
      <c r="H67" s="1"/>
      <c r="I67" s="48"/>
      <c r="J67" s="48"/>
      <c r="K67" s="48"/>
      <c r="L67" s="48"/>
      <c r="O67" s="110"/>
      <c r="P67" s="111"/>
      <c r="Q67" s="107"/>
    </row>
    <row r="68" spans="1:17" ht="16">
      <c r="A68" s="26" t="s">
        <v>126</v>
      </c>
      <c r="B68" s="40" t="s">
        <v>439</v>
      </c>
      <c r="C68" s="40" t="s">
        <v>13</v>
      </c>
      <c r="D68" s="21">
        <v>1</v>
      </c>
      <c r="E68" s="48">
        <v>2500</v>
      </c>
      <c r="F68" s="48">
        <f t="shared" si="28"/>
        <v>2500</v>
      </c>
      <c r="G68" s="157">
        <f t="shared" si="30"/>
        <v>2500</v>
      </c>
      <c r="H68" s="1"/>
      <c r="I68" s="48"/>
      <c r="J68" s="48"/>
      <c r="K68" s="48"/>
      <c r="L68" s="48"/>
      <c r="O68" s="110"/>
      <c r="P68" s="111"/>
      <c r="Q68" s="107"/>
    </row>
    <row r="69" spans="1:17" ht="16">
      <c r="A69" s="26" t="s">
        <v>129</v>
      </c>
      <c r="B69" s="40" t="s">
        <v>441</v>
      </c>
      <c r="C69" s="40" t="s">
        <v>13</v>
      </c>
      <c r="D69" s="21">
        <v>1</v>
      </c>
      <c r="E69" s="48">
        <v>14000</v>
      </c>
      <c r="F69" s="48">
        <f t="shared" si="28"/>
        <v>14000</v>
      </c>
      <c r="G69" s="157">
        <f t="shared" si="30"/>
        <v>14000</v>
      </c>
      <c r="H69" s="1"/>
      <c r="I69" s="48"/>
      <c r="J69" s="48"/>
      <c r="K69" s="48"/>
      <c r="L69" s="48"/>
      <c r="O69" s="110"/>
      <c r="P69" s="111"/>
      <c r="Q69" s="107"/>
    </row>
    <row r="70" spans="1:17" ht="48">
      <c r="A70" s="26" t="s">
        <v>131</v>
      </c>
      <c r="B70" s="40" t="s">
        <v>118</v>
      </c>
      <c r="C70" s="21" t="s">
        <v>109</v>
      </c>
      <c r="D70" s="21">
        <v>2</v>
      </c>
      <c r="E70" s="48">
        <v>3750</v>
      </c>
      <c r="F70" s="48">
        <f t="shared" si="28"/>
        <v>7500</v>
      </c>
      <c r="G70" s="157">
        <f>D70*E70</f>
        <v>7500</v>
      </c>
      <c r="H70" s="1"/>
      <c r="I70" s="48"/>
      <c r="J70" s="48"/>
      <c r="K70" s="48"/>
      <c r="L70" s="48"/>
      <c r="O70" s="110"/>
      <c r="P70" s="111"/>
      <c r="Q70" s="107"/>
    </row>
    <row r="71" spans="1:17" ht="32">
      <c r="A71" s="26" t="s">
        <v>416</v>
      </c>
      <c r="B71" s="40" t="s">
        <v>120</v>
      </c>
      <c r="C71" s="21" t="s">
        <v>25</v>
      </c>
      <c r="D71" s="21">
        <v>40</v>
      </c>
      <c r="E71" s="48">
        <v>450</v>
      </c>
      <c r="F71" s="48">
        <f t="shared" si="28"/>
        <v>18000</v>
      </c>
      <c r="G71" s="157">
        <f>D71*E71</f>
        <v>18000</v>
      </c>
      <c r="H71" s="1"/>
      <c r="I71" s="48"/>
      <c r="J71" s="48"/>
      <c r="K71" s="48"/>
      <c r="L71" s="48"/>
      <c r="O71" s="110"/>
      <c r="P71" s="111"/>
      <c r="Q71" s="107"/>
    </row>
    <row r="72" spans="1:17" ht="16">
      <c r="A72" s="26" t="s">
        <v>132</v>
      </c>
      <c r="B72" s="21" t="s">
        <v>122</v>
      </c>
      <c r="C72" s="21" t="s">
        <v>25</v>
      </c>
      <c r="D72" s="21">
        <v>40</v>
      </c>
      <c r="E72" s="48">
        <v>156</v>
      </c>
      <c r="F72" s="48">
        <f t="shared" si="28"/>
        <v>6240</v>
      </c>
      <c r="G72" s="157">
        <f>D72*E72</f>
        <v>6240</v>
      </c>
      <c r="H72" s="1"/>
      <c r="I72" s="48"/>
      <c r="J72" s="48"/>
      <c r="K72" s="48"/>
      <c r="L72" s="48"/>
      <c r="O72" s="110"/>
      <c r="P72" s="111"/>
      <c r="Q72" s="107"/>
    </row>
    <row r="73" spans="1:17" ht="48">
      <c r="A73" s="26" t="s">
        <v>133</v>
      </c>
      <c r="B73" s="40" t="s">
        <v>392</v>
      </c>
      <c r="C73" s="40" t="s">
        <v>116</v>
      </c>
      <c r="D73" s="21">
        <v>1</v>
      </c>
      <c r="E73" s="48">
        <v>3750</v>
      </c>
      <c r="F73" s="48">
        <f t="shared" si="28"/>
        <v>3750</v>
      </c>
      <c r="G73" s="157">
        <f>D73*E73</f>
        <v>3750</v>
      </c>
      <c r="H73" s="1"/>
      <c r="I73" s="48"/>
      <c r="J73" s="48"/>
      <c r="K73" s="48"/>
      <c r="L73" s="48"/>
      <c r="O73" s="110"/>
      <c r="P73" s="111"/>
      <c r="Q73" s="107"/>
    </row>
    <row r="74" spans="1:17" ht="48">
      <c r="A74" s="26" t="s">
        <v>134</v>
      </c>
      <c r="B74" s="40" t="s">
        <v>125</v>
      </c>
      <c r="C74" s="21" t="s">
        <v>109</v>
      </c>
      <c r="D74" s="21">
        <v>5</v>
      </c>
      <c r="E74" s="48">
        <v>3750</v>
      </c>
      <c r="F74" s="48">
        <f t="shared" si="28"/>
        <v>18750</v>
      </c>
      <c r="G74" s="48"/>
      <c r="H74" s="48">
        <f>$E$74*1</f>
        <v>3750</v>
      </c>
      <c r="I74" s="48">
        <f t="shared" ref="I74:L74" si="31">$E$74*1</f>
        <v>3750</v>
      </c>
      <c r="J74" s="48">
        <f t="shared" si="31"/>
        <v>3750</v>
      </c>
      <c r="K74" s="48">
        <f t="shared" si="31"/>
        <v>3750</v>
      </c>
      <c r="L74" s="48">
        <f t="shared" si="31"/>
        <v>3750</v>
      </c>
      <c r="O74" s="110"/>
      <c r="P74" s="111"/>
      <c r="Q74" s="107"/>
    </row>
    <row r="75" spans="1:17" ht="32">
      <c r="A75" s="26" t="s">
        <v>135</v>
      </c>
      <c r="B75" s="40" t="s">
        <v>405</v>
      </c>
      <c r="C75" s="21" t="s">
        <v>404</v>
      </c>
      <c r="D75" s="21">
        <v>4</v>
      </c>
      <c r="E75" s="48">
        <v>3750</v>
      </c>
      <c r="F75" s="48">
        <f>D75*E75</f>
        <v>15000</v>
      </c>
      <c r="G75" s="48"/>
      <c r="H75" s="15"/>
      <c r="I75" s="48">
        <f>$F$75/4</f>
        <v>3750</v>
      </c>
      <c r="J75" s="48">
        <f t="shared" ref="J75:L75" si="32">$F$75/4</f>
        <v>3750</v>
      </c>
      <c r="K75" s="48">
        <f t="shared" si="32"/>
        <v>3750</v>
      </c>
      <c r="L75" s="48">
        <f t="shared" si="32"/>
        <v>3750</v>
      </c>
      <c r="O75" s="110"/>
      <c r="P75" s="111"/>
      <c r="Q75" s="107"/>
    </row>
    <row r="76" spans="1:17" ht="32">
      <c r="A76" s="26" t="s">
        <v>136</v>
      </c>
      <c r="B76" s="40" t="s">
        <v>406</v>
      </c>
      <c r="C76" s="21" t="s">
        <v>25</v>
      </c>
      <c r="D76" s="21">
        <v>60</v>
      </c>
      <c r="E76" s="48">
        <v>450</v>
      </c>
      <c r="F76" s="48">
        <f t="shared" si="28"/>
        <v>27000</v>
      </c>
      <c r="G76" s="48"/>
      <c r="H76" s="48"/>
      <c r="I76" s="48">
        <f>$F$76/4</f>
        <v>6750</v>
      </c>
      <c r="J76" s="48">
        <f t="shared" ref="J76:L76" si="33">$F$76/4</f>
        <v>6750</v>
      </c>
      <c r="K76" s="48">
        <f t="shared" si="33"/>
        <v>6750</v>
      </c>
      <c r="L76" s="48">
        <f t="shared" si="33"/>
        <v>6750</v>
      </c>
      <c r="O76" s="110"/>
      <c r="P76" s="111"/>
      <c r="Q76" s="107"/>
    </row>
    <row r="77" spans="1:17" ht="16">
      <c r="A77" s="26" t="s">
        <v>138</v>
      </c>
      <c r="B77" s="40" t="s">
        <v>403</v>
      </c>
      <c r="C77" s="21" t="s">
        <v>116</v>
      </c>
      <c r="D77" s="21">
        <v>4</v>
      </c>
      <c r="E77" s="48">
        <v>3750</v>
      </c>
      <c r="F77" s="48">
        <f t="shared" si="28"/>
        <v>15000</v>
      </c>
      <c r="G77" s="48"/>
      <c r="H77" s="48"/>
      <c r="I77" s="48">
        <f>$F$77/4</f>
        <v>3750</v>
      </c>
      <c r="J77" s="48">
        <f t="shared" ref="J77:L77" si="34">$F$77/4</f>
        <v>3750</v>
      </c>
      <c r="K77" s="48">
        <f t="shared" si="34"/>
        <v>3750</v>
      </c>
      <c r="L77" s="48">
        <f t="shared" si="34"/>
        <v>3750</v>
      </c>
      <c r="O77" s="110"/>
      <c r="P77" s="111"/>
      <c r="Q77" s="107"/>
    </row>
    <row r="78" spans="1:17" ht="80">
      <c r="A78" s="26" t="s">
        <v>140</v>
      </c>
      <c r="B78" s="40" t="s">
        <v>423</v>
      </c>
      <c r="C78" s="21" t="s">
        <v>25</v>
      </c>
      <c r="D78" s="21">
        <v>60</v>
      </c>
      <c r="E78" s="48">
        <v>750</v>
      </c>
      <c r="F78" s="48">
        <f t="shared" si="28"/>
        <v>45000</v>
      </c>
      <c r="G78" s="48"/>
      <c r="H78" s="48">
        <f>D78*E78</f>
        <v>45000</v>
      </c>
      <c r="I78" s="48"/>
      <c r="J78" s="48"/>
      <c r="K78" s="48"/>
      <c r="L78" s="48"/>
      <c r="O78" s="110"/>
      <c r="P78" s="111"/>
      <c r="Q78" s="107"/>
    </row>
    <row r="79" spans="1:17" ht="16">
      <c r="A79" s="26" t="s">
        <v>142</v>
      </c>
      <c r="B79" s="21" t="s">
        <v>158</v>
      </c>
      <c r="C79" s="21" t="s">
        <v>25</v>
      </c>
      <c r="D79" s="21">
        <v>60</v>
      </c>
      <c r="E79" s="48">
        <v>156</v>
      </c>
      <c r="F79" s="48">
        <f t="shared" si="28"/>
        <v>9360</v>
      </c>
      <c r="G79" s="48"/>
      <c r="H79" s="48">
        <f t="shared" ref="H79:H80" si="35">D79*E79</f>
        <v>9360</v>
      </c>
      <c r="I79" s="48"/>
      <c r="J79" s="48"/>
      <c r="K79" s="48"/>
      <c r="L79" s="48"/>
      <c r="O79" s="110"/>
      <c r="P79" s="111"/>
      <c r="Q79" s="107"/>
    </row>
    <row r="80" spans="1:17" ht="16">
      <c r="A80" s="26" t="s">
        <v>144</v>
      </c>
      <c r="B80" s="21" t="s">
        <v>160</v>
      </c>
      <c r="C80" s="21" t="s">
        <v>62</v>
      </c>
      <c r="D80" s="21">
        <v>1</v>
      </c>
      <c r="E80" s="48">
        <v>3000</v>
      </c>
      <c r="F80" s="48">
        <f t="shared" si="28"/>
        <v>3000</v>
      </c>
      <c r="G80" s="48"/>
      <c r="H80" s="48">
        <f t="shared" si="35"/>
        <v>3000</v>
      </c>
      <c r="I80" s="48"/>
      <c r="J80" s="48"/>
      <c r="K80" s="48"/>
      <c r="L80" s="48"/>
      <c r="O80" s="110"/>
      <c r="P80" s="111"/>
      <c r="Q80" s="107"/>
    </row>
    <row r="81" spans="1:17" ht="64">
      <c r="A81" s="26" t="s">
        <v>146</v>
      </c>
      <c r="B81" s="40" t="s">
        <v>414</v>
      </c>
      <c r="C81" s="40" t="s">
        <v>39</v>
      </c>
      <c r="D81" s="21">
        <f>6*3</f>
        <v>18</v>
      </c>
      <c r="E81" s="48">
        <v>3750</v>
      </c>
      <c r="F81" s="48">
        <f t="shared" si="28"/>
        <v>67500</v>
      </c>
      <c r="G81" s="48">
        <f>$F$81/6</f>
        <v>11250</v>
      </c>
      <c r="H81" s="48">
        <f t="shared" ref="H81:L81" si="36">$F$81/6</f>
        <v>11250</v>
      </c>
      <c r="I81" s="48">
        <f t="shared" si="36"/>
        <v>11250</v>
      </c>
      <c r="J81" s="48">
        <f t="shared" si="36"/>
        <v>11250</v>
      </c>
      <c r="K81" s="48">
        <f t="shared" si="36"/>
        <v>11250</v>
      </c>
      <c r="L81" s="48">
        <f t="shared" si="36"/>
        <v>11250</v>
      </c>
      <c r="O81" s="110"/>
      <c r="P81" s="111"/>
      <c r="Q81" s="107"/>
    </row>
    <row r="82" spans="1:17" ht="48">
      <c r="A82" s="26" t="s">
        <v>148</v>
      </c>
      <c r="B82" s="40" t="s">
        <v>415</v>
      </c>
      <c r="C82" s="40" t="s">
        <v>25</v>
      </c>
      <c r="D82" s="21">
        <v>20</v>
      </c>
      <c r="E82" s="48">
        <v>450</v>
      </c>
      <c r="F82" s="48">
        <f>E82*D82</f>
        <v>9000</v>
      </c>
      <c r="G82" s="48"/>
      <c r="H82" s="48">
        <f>E82*D82</f>
        <v>9000</v>
      </c>
      <c r="I82" s="48"/>
      <c r="J82" s="48"/>
      <c r="K82" s="48"/>
      <c r="L82" s="48"/>
      <c r="O82" s="110"/>
      <c r="P82" s="111"/>
      <c r="Q82" s="107"/>
    </row>
    <row r="83" spans="1:17" ht="48">
      <c r="A83" s="26" t="s">
        <v>150</v>
      </c>
      <c r="B83" s="40" t="s">
        <v>161</v>
      </c>
      <c r="C83" s="40" t="s">
        <v>39</v>
      </c>
      <c r="D83" s="21">
        <v>6</v>
      </c>
      <c r="E83" s="48">
        <v>3750</v>
      </c>
      <c r="F83" s="48">
        <f t="shared" si="28"/>
        <v>22500</v>
      </c>
      <c r="G83" s="48"/>
      <c r="H83" s="48">
        <f>$F$83/5</f>
        <v>4500</v>
      </c>
      <c r="I83" s="48">
        <f t="shared" ref="I83:L83" si="37">$F$83/5</f>
        <v>4500</v>
      </c>
      <c r="J83" s="48">
        <f t="shared" si="37"/>
        <v>4500</v>
      </c>
      <c r="K83" s="48">
        <f t="shared" si="37"/>
        <v>4500</v>
      </c>
      <c r="L83" s="48">
        <f t="shared" si="37"/>
        <v>4500</v>
      </c>
      <c r="O83" s="110"/>
      <c r="P83" s="111"/>
      <c r="Q83" s="107"/>
    </row>
    <row r="84" spans="1:17" ht="48">
      <c r="A84" s="26" t="s">
        <v>152</v>
      </c>
      <c r="B84" s="40" t="s">
        <v>162</v>
      </c>
      <c r="C84" s="21" t="s">
        <v>25</v>
      </c>
      <c r="D84" s="21">
        <f>6*20</f>
        <v>120</v>
      </c>
      <c r="E84" s="48">
        <v>750</v>
      </c>
      <c r="F84" s="48">
        <f t="shared" si="28"/>
        <v>90000</v>
      </c>
      <c r="G84" s="48">
        <f>$F$84/6</f>
        <v>15000</v>
      </c>
      <c r="H84" s="48">
        <f t="shared" ref="H84:L84" si="38">$F$84/6</f>
        <v>15000</v>
      </c>
      <c r="I84" s="48">
        <f t="shared" si="38"/>
        <v>15000</v>
      </c>
      <c r="J84" s="48">
        <f t="shared" si="38"/>
        <v>15000</v>
      </c>
      <c r="K84" s="48">
        <f t="shared" si="38"/>
        <v>15000</v>
      </c>
      <c r="L84" s="48">
        <f t="shared" si="38"/>
        <v>15000</v>
      </c>
      <c r="O84" s="110"/>
      <c r="P84" s="111"/>
      <c r="Q84" s="107"/>
    </row>
    <row r="85" spans="1:17" ht="34.5" customHeight="1">
      <c r="A85" s="26" t="s">
        <v>153</v>
      </c>
      <c r="B85" s="40" t="s">
        <v>484</v>
      </c>
      <c r="C85" s="21" t="s">
        <v>25</v>
      </c>
      <c r="D85" s="21">
        <f>6*20</f>
        <v>120</v>
      </c>
      <c r="E85" s="48">
        <v>156</v>
      </c>
      <c r="F85" s="48">
        <f t="shared" ref="F85:F88" si="39">D85*E85</f>
        <v>18720</v>
      </c>
      <c r="G85" s="48">
        <f>$F$85/6</f>
        <v>3120</v>
      </c>
      <c r="H85" s="48">
        <f t="shared" ref="H85:L85" si="40">$F$85/6</f>
        <v>3120</v>
      </c>
      <c r="I85" s="48">
        <f t="shared" si="40"/>
        <v>3120</v>
      </c>
      <c r="J85" s="48">
        <f t="shared" si="40"/>
        <v>3120</v>
      </c>
      <c r="K85" s="48">
        <f t="shared" si="40"/>
        <v>3120</v>
      </c>
      <c r="L85" s="48">
        <f t="shared" si="40"/>
        <v>3120</v>
      </c>
      <c r="O85" s="110"/>
      <c r="P85" s="111"/>
      <c r="Q85" s="107"/>
    </row>
    <row r="86" spans="1:17" ht="32">
      <c r="A86" s="26" t="s">
        <v>155</v>
      </c>
      <c r="B86" s="40" t="s">
        <v>485</v>
      </c>
      <c r="C86" s="21" t="s">
        <v>137</v>
      </c>
      <c r="D86" s="21">
        <v>6</v>
      </c>
      <c r="E86" s="48">
        <v>3000</v>
      </c>
      <c r="F86" s="48">
        <f t="shared" si="39"/>
        <v>18000</v>
      </c>
      <c r="G86" s="48">
        <f>$F$86/6</f>
        <v>3000</v>
      </c>
      <c r="H86" s="48">
        <f t="shared" ref="H86:L86" si="41">$F$86/6</f>
        <v>3000</v>
      </c>
      <c r="I86" s="48">
        <f t="shared" si="41"/>
        <v>3000</v>
      </c>
      <c r="J86" s="48">
        <f t="shared" si="41"/>
        <v>3000</v>
      </c>
      <c r="K86" s="48">
        <f t="shared" si="41"/>
        <v>3000</v>
      </c>
      <c r="L86" s="48">
        <f t="shared" si="41"/>
        <v>3000</v>
      </c>
      <c r="O86" s="110"/>
      <c r="P86" s="111"/>
      <c r="Q86" s="107"/>
    </row>
    <row r="87" spans="1:17" ht="48">
      <c r="A87" s="26" t="s">
        <v>156</v>
      </c>
      <c r="B87" s="40" t="s">
        <v>163</v>
      </c>
      <c r="C87" s="21" t="s">
        <v>101</v>
      </c>
      <c r="D87" s="21">
        <v>6</v>
      </c>
      <c r="E87" s="48">
        <v>3750</v>
      </c>
      <c r="F87" s="48">
        <f t="shared" si="39"/>
        <v>22500</v>
      </c>
      <c r="G87" s="48">
        <f>$F$87/6</f>
        <v>3750</v>
      </c>
      <c r="H87" s="48">
        <f t="shared" ref="H87:L87" si="42">$F$87/6</f>
        <v>3750</v>
      </c>
      <c r="I87" s="48">
        <f t="shared" si="42"/>
        <v>3750</v>
      </c>
      <c r="J87" s="48">
        <f t="shared" si="42"/>
        <v>3750</v>
      </c>
      <c r="K87" s="48">
        <f t="shared" si="42"/>
        <v>3750</v>
      </c>
      <c r="L87" s="48">
        <f t="shared" si="42"/>
        <v>3750</v>
      </c>
      <c r="O87" s="110"/>
      <c r="P87" s="111"/>
      <c r="Q87" s="107"/>
    </row>
    <row r="88" spans="1:17" ht="32">
      <c r="A88" s="26" t="s">
        <v>157</v>
      </c>
      <c r="B88" s="40" t="s">
        <v>165</v>
      </c>
      <c r="C88" s="40" t="s">
        <v>39</v>
      </c>
      <c r="D88" s="21">
        <v>6</v>
      </c>
      <c r="E88" s="48">
        <v>3750</v>
      </c>
      <c r="F88" s="48">
        <f t="shared" si="39"/>
        <v>22500</v>
      </c>
      <c r="G88" s="48">
        <f>$F$88/6</f>
        <v>3750</v>
      </c>
      <c r="H88" s="48">
        <f t="shared" ref="H88:L88" si="43">$F$88/6</f>
        <v>3750</v>
      </c>
      <c r="I88" s="48">
        <f t="shared" si="43"/>
        <v>3750</v>
      </c>
      <c r="J88" s="48">
        <f t="shared" si="43"/>
        <v>3750</v>
      </c>
      <c r="K88" s="48">
        <f t="shared" si="43"/>
        <v>3750</v>
      </c>
      <c r="L88" s="48">
        <f t="shared" si="43"/>
        <v>3750</v>
      </c>
      <c r="O88" s="110"/>
      <c r="P88" s="111"/>
      <c r="Q88" s="107"/>
    </row>
    <row r="89" spans="1:17" ht="80">
      <c r="A89" s="26" t="s">
        <v>159</v>
      </c>
      <c r="B89" s="40" t="s">
        <v>167</v>
      </c>
      <c r="C89" s="21" t="s">
        <v>101</v>
      </c>
      <c r="D89" s="21">
        <f>2*6</f>
        <v>12</v>
      </c>
      <c r="E89" s="48">
        <v>3750</v>
      </c>
      <c r="F89" s="48">
        <f>D89*E89</f>
        <v>45000</v>
      </c>
      <c r="G89" s="48">
        <f>$F$89/6</f>
        <v>7500</v>
      </c>
      <c r="H89" s="48">
        <f t="shared" ref="H89:L89" si="44">$F$89/6</f>
        <v>7500</v>
      </c>
      <c r="I89" s="48">
        <f t="shared" si="44"/>
        <v>7500</v>
      </c>
      <c r="J89" s="48">
        <f t="shared" si="44"/>
        <v>7500</v>
      </c>
      <c r="K89" s="48">
        <f t="shared" si="44"/>
        <v>7500</v>
      </c>
      <c r="L89" s="48">
        <f t="shared" si="44"/>
        <v>7500</v>
      </c>
      <c r="O89" s="110"/>
      <c r="P89" s="111"/>
      <c r="Q89" s="107"/>
    </row>
    <row r="90" spans="1:17" ht="48">
      <c r="A90" s="26" t="s">
        <v>417</v>
      </c>
      <c r="B90" s="40" t="s">
        <v>169</v>
      </c>
      <c r="C90" s="21" t="s">
        <v>25</v>
      </c>
      <c r="D90" s="21">
        <f>20*6</f>
        <v>120</v>
      </c>
      <c r="E90" s="48">
        <v>750</v>
      </c>
      <c r="F90" s="48">
        <f>D90*E90</f>
        <v>90000</v>
      </c>
      <c r="G90" s="48">
        <f>D90*E90</f>
        <v>90000</v>
      </c>
      <c r="H90" s="48"/>
      <c r="I90" s="48"/>
      <c r="J90" s="48"/>
      <c r="K90" s="48"/>
      <c r="L90" s="48"/>
      <c r="O90" s="110"/>
      <c r="P90" s="111"/>
      <c r="Q90" s="107"/>
    </row>
    <row r="91" spans="1:17" ht="16">
      <c r="A91" s="26" t="s">
        <v>418</v>
      </c>
      <c r="B91" s="40" t="s">
        <v>171</v>
      </c>
      <c r="C91" s="21" t="s">
        <v>25</v>
      </c>
      <c r="D91" s="21">
        <f>20*6</f>
        <v>120</v>
      </c>
      <c r="E91" s="48">
        <v>156</v>
      </c>
      <c r="F91" s="48">
        <f>D91*E91</f>
        <v>18720</v>
      </c>
      <c r="G91" s="48">
        <f>D91*E91</f>
        <v>18720</v>
      </c>
      <c r="H91" s="48"/>
      <c r="I91" s="48"/>
      <c r="J91" s="48"/>
      <c r="K91" s="48"/>
      <c r="L91" s="48"/>
      <c r="O91" s="110"/>
      <c r="P91" s="111"/>
      <c r="Q91" s="107"/>
    </row>
    <row r="92" spans="1:17" ht="16">
      <c r="A92" s="26" t="s">
        <v>419</v>
      </c>
      <c r="B92" s="40" t="s">
        <v>173</v>
      </c>
      <c r="C92" s="21" t="s">
        <v>62</v>
      </c>
      <c r="D92" s="21">
        <v>1</v>
      </c>
      <c r="E92" s="48">
        <v>3000</v>
      </c>
      <c r="F92" s="48">
        <f t="shared" ref="F92:F109" si="45">D92*E92</f>
        <v>3000</v>
      </c>
      <c r="G92" s="48">
        <f>D92*E92</f>
        <v>3000</v>
      </c>
      <c r="H92" s="48"/>
      <c r="I92" s="48"/>
      <c r="J92" s="48"/>
      <c r="K92" s="48"/>
      <c r="L92" s="48"/>
      <c r="O92" s="110"/>
      <c r="P92" s="111"/>
      <c r="Q92" s="107"/>
    </row>
    <row r="93" spans="1:17" ht="48">
      <c r="A93" s="26" t="s">
        <v>420</v>
      </c>
      <c r="B93" s="40" t="s">
        <v>175</v>
      </c>
      <c r="C93" s="40" t="s">
        <v>55</v>
      </c>
      <c r="D93" s="21">
        <v>1</v>
      </c>
      <c r="E93" s="48">
        <v>3750</v>
      </c>
      <c r="F93" s="48">
        <f t="shared" si="45"/>
        <v>3750</v>
      </c>
      <c r="G93" s="48"/>
      <c r="H93" s="48"/>
      <c r="I93" s="48">
        <f>D93*E93</f>
        <v>3750</v>
      </c>
      <c r="J93" s="48"/>
      <c r="K93" s="48"/>
      <c r="L93" s="48"/>
      <c r="O93" s="110"/>
      <c r="P93" s="111"/>
      <c r="Q93" s="107"/>
    </row>
    <row r="94" spans="1:17" ht="64">
      <c r="A94" s="26" t="s">
        <v>421</v>
      </c>
      <c r="B94" s="40" t="s">
        <v>127</v>
      </c>
      <c r="C94" s="40" t="s">
        <v>128</v>
      </c>
      <c r="D94" s="21">
        <v>6</v>
      </c>
      <c r="E94" s="48">
        <v>3750</v>
      </c>
      <c r="F94" s="48">
        <f t="shared" ref="F94:F106" si="46">D94*E94</f>
        <v>22500</v>
      </c>
      <c r="G94" s="48"/>
      <c r="H94" s="48">
        <f>D94*E94</f>
        <v>22500</v>
      </c>
      <c r="I94" s="48"/>
      <c r="J94" s="48"/>
      <c r="K94" s="48"/>
      <c r="L94" s="48"/>
      <c r="O94" s="110"/>
      <c r="P94" s="111"/>
      <c r="Q94" s="107"/>
    </row>
    <row r="95" spans="1:17" ht="48">
      <c r="A95" s="26" t="s">
        <v>422</v>
      </c>
      <c r="B95" s="40" t="s">
        <v>130</v>
      </c>
      <c r="C95" s="21" t="s">
        <v>13</v>
      </c>
      <c r="D95" s="21">
        <v>1</v>
      </c>
      <c r="E95" s="48">
        <v>40000</v>
      </c>
      <c r="F95" s="48">
        <f t="shared" si="46"/>
        <v>40000</v>
      </c>
      <c r="G95" s="48"/>
      <c r="H95" s="48">
        <f>D95*E95</f>
        <v>40000</v>
      </c>
      <c r="I95" s="48"/>
      <c r="J95" s="48"/>
      <c r="K95" s="48"/>
      <c r="L95" s="48"/>
      <c r="O95" s="110"/>
      <c r="P95" s="111"/>
      <c r="Q95" s="107"/>
    </row>
    <row r="96" spans="1:17" ht="80">
      <c r="A96" s="26" t="s">
        <v>164</v>
      </c>
      <c r="B96" s="40" t="s">
        <v>407</v>
      </c>
      <c r="C96" s="21" t="s">
        <v>13</v>
      </c>
      <c r="D96" s="21">
        <v>1</v>
      </c>
      <c r="E96" s="48">
        <f>150000*5</f>
        <v>750000</v>
      </c>
      <c r="F96" s="48">
        <f t="shared" si="46"/>
        <v>750000</v>
      </c>
      <c r="G96" s="48"/>
      <c r="H96" s="48">
        <f>$F$96/5</f>
        <v>150000</v>
      </c>
      <c r="I96" s="48">
        <f>$F$96/5</f>
        <v>150000</v>
      </c>
      <c r="J96" s="48">
        <f>$F$96/5</f>
        <v>150000</v>
      </c>
      <c r="K96" s="48">
        <f>$F$96/5</f>
        <v>150000</v>
      </c>
      <c r="L96" s="48">
        <f>$F$96/5</f>
        <v>150000</v>
      </c>
      <c r="O96" s="110"/>
      <c r="P96" s="111"/>
      <c r="Q96" s="107"/>
    </row>
    <row r="97" spans="1:17" ht="48">
      <c r="A97" s="26" t="s">
        <v>166</v>
      </c>
      <c r="B97" s="40" t="s">
        <v>139</v>
      </c>
      <c r="C97" s="21" t="s">
        <v>25</v>
      </c>
      <c r="D97" s="21">
        <v>60</v>
      </c>
      <c r="E97" s="48">
        <v>450</v>
      </c>
      <c r="F97" s="48">
        <f t="shared" si="46"/>
        <v>27000</v>
      </c>
      <c r="G97" s="48">
        <f>D97*E97</f>
        <v>27000</v>
      </c>
      <c r="H97" s="48"/>
      <c r="I97" s="48"/>
      <c r="J97" s="48"/>
      <c r="K97" s="48"/>
      <c r="L97" s="48"/>
      <c r="O97" s="110"/>
      <c r="P97" s="111"/>
      <c r="Q97" s="107"/>
    </row>
    <row r="98" spans="1:17" ht="16">
      <c r="A98" s="26" t="s">
        <v>168</v>
      </c>
      <c r="B98" s="40" t="s">
        <v>141</v>
      </c>
      <c r="C98" s="21" t="s">
        <v>25</v>
      </c>
      <c r="D98" s="21">
        <v>60</v>
      </c>
      <c r="E98" s="48">
        <v>156</v>
      </c>
      <c r="F98" s="48">
        <f t="shared" si="46"/>
        <v>9360</v>
      </c>
      <c r="G98" s="48">
        <f t="shared" ref="G98" si="47">D98*E98</f>
        <v>9360</v>
      </c>
      <c r="H98" s="48"/>
      <c r="I98" s="48"/>
      <c r="J98" s="48"/>
      <c r="K98" s="48"/>
      <c r="L98" s="48"/>
      <c r="O98" s="110"/>
      <c r="P98" s="111"/>
      <c r="Q98" s="107"/>
    </row>
    <row r="99" spans="1:17" ht="48">
      <c r="A99" s="26" t="s">
        <v>170</v>
      </c>
      <c r="B99" s="64" t="s">
        <v>524</v>
      </c>
      <c r="C99" s="21" t="s">
        <v>143</v>
      </c>
      <c r="D99" s="21">
        <v>6</v>
      </c>
      <c r="E99" s="48">
        <v>10000</v>
      </c>
      <c r="F99" s="48">
        <f t="shared" si="46"/>
        <v>60000</v>
      </c>
      <c r="G99" s="48">
        <f t="shared" ref="G99:L99" si="48">$F$99/6</f>
        <v>10000</v>
      </c>
      <c r="H99" s="48">
        <f t="shared" si="48"/>
        <v>10000</v>
      </c>
      <c r="I99" s="48">
        <f t="shared" si="48"/>
        <v>10000</v>
      </c>
      <c r="J99" s="48">
        <f t="shared" si="48"/>
        <v>10000</v>
      </c>
      <c r="K99" s="48">
        <f t="shared" si="48"/>
        <v>10000</v>
      </c>
      <c r="L99" s="48">
        <f t="shared" si="48"/>
        <v>10000</v>
      </c>
      <c r="M99" s="104" t="s">
        <v>465</v>
      </c>
      <c r="O99" s="113">
        <f t="shared" ref="O99:O112" si="49">F99</f>
        <v>60000</v>
      </c>
      <c r="P99" s="111"/>
      <c r="Q99" s="106">
        <f>O99</f>
        <v>60000</v>
      </c>
    </row>
    <row r="100" spans="1:17" ht="64">
      <c r="A100" s="26" t="s">
        <v>172</v>
      </c>
      <c r="B100" s="40" t="s">
        <v>145</v>
      </c>
      <c r="C100" s="21" t="s">
        <v>25</v>
      </c>
      <c r="D100" s="21">
        <f>80*6</f>
        <v>480</v>
      </c>
      <c r="E100" s="48">
        <v>450</v>
      </c>
      <c r="F100" s="48">
        <f t="shared" si="46"/>
        <v>216000</v>
      </c>
      <c r="G100" s="48">
        <f t="shared" ref="G100:L100" si="50">$F$100/6</f>
        <v>36000</v>
      </c>
      <c r="H100" s="48">
        <f t="shared" si="50"/>
        <v>36000</v>
      </c>
      <c r="I100" s="48">
        <f t="shared" si="50"/>
        <v>36000</v>
      </c>
      <c r="J100" s="48">
        <f t="shared" si="50"/>
        <v>36000</v>
      </c>
      <c r="K100" s="48">
        <f t="shared" si="50"/>
        <v>36000</v>
      </c>
      <c r="L100" s="48">
        <f t="shared" si="50"/>
        <v>36000</v>
      </c>
      <c r="O100" s="110"/>
      <c r="P100" s="111"/>
      <c r="Q100" s="107"/>
    </row>
    <row r="101" spans="1:17" ht="16">
      <c r="A101" s="26" t="s">
        <v>174</v>
      </c>
      <c r="B101" s="21" t="s">
        <v>147</v>
      </c>
      <c r="C101" s="21" t="s">
        <v>25</v>
      </c>
      <c r="D101" s="21">
        <f>80*6</f>
        <v>480</v>
      </c>
      <c r="E101" s="48">
        <v>156</v>
      </c>
      <c r="F101" s="48">
        <f t="shared" si="46"/>
        <v>74880</v>
      </c>
      <c r="G101" s="48">
        <f t="shared" ref="G101:L101" si="51">$F$101/6</f>
        <v>12480</v>
      </c>
      <c r="H101" s="48">
        <f t="shared" si="51"/>
        <v>12480</v>
      </c>
      <c r="I101" s="48">
        <f t="shared" si="51"/>
        <v>12480</v>
      </c>
      <c r="J101" s="48">
        <f t="shared" si="51"/>
        <v>12480</v>
      </c>
      <c r="K101" s="48">
        <f t="shared" si="51"/>
        <v>12480</v>
      </c>
      <c r="L101" s="48">
        <f t="shared" si="51"/>
        <v>12480</v>
      </c>
      <c r="O101" s="110"/>
      <c r="P101" s="111"/>
      <c r="Q101" s="107"/>
    </row>
    <row r="102" spans="1:17" ht="32">
      <c r="A102" s="26" t="s">
        <v>176</v>
      </c>
      <c r="B102" s="40" t="s">
        <v>149</v>
      </c>
      <c r="C102" s="21" t="s">
        <v>25</v>
      </c>
      <c r="D102" s="21">
        <v>40</v>
      </c>
      <c r="E102" s="48">
        <v>450</v>
      </c>
      <c r="F102" s="48">
        <f t="shared" si="46"/>
        <v>18000</v>
      </c>
      <c r="G102" s="48">
        <f>D102*E102</f>
        <v>18000</v>
      </c>
      <c r="H102" s="48"/>
      <c r="I102" s="48"/>
      <c r="J102" s="48"/>
      <c r="K102" s="48"/>
      <c r="L102" s="48"/>
      <c r="O102" s="110"/>
      <c r="P102" s="111"/>
      <c r="Q102" s="107"/>
    </row>
    <row r="103" spans="1:17" ht="16">
      <c r="A103" s="26" t="s">
        <v>178</v>
      </c>
      <c r="B103" s="40" t="s">
        <v>151</v>
      </c>
      <c r="C103" s="21" t="s">
        <v>25</v>
      </c>
      <c r="D103" s="21">
        <v>40</v>
      </c>
      <c r="E103" s="48">
        <v>156</v>
      </c>
      <c r="F103" s="48">
        <f t="shared" si="46"/>
        <v>6240</v>
      </c>
      <c r="G103" s="48">
        <f t="shared" ref="G103" si="52">D103*E103</f>
        <v>6240</v>
      </c>
      <c r="H103" s="48"/>
      <c r="I103" s="48"/>
      <c r="J103" s="48"/>
      <c r="K103" s="48"/>
      <c r="L103" s="48"/>
      <c r="O103" s="110"/>
      <c r="P103" s="111"/>
      <c r="Q103" s="107"/>
    </row>
    <row r="104" spans="1:17" ht="48">
      <c r="A104" s="26" t="s">
        <v>180</v>
      </c>
      <c r="B104" s="64" t="s">
        <v>511</v>
      </c>
      <c r="C104" s="21" t="s">
        <v>143</v>
      </c>
      <c r="D104" s="21">
        <v>6</v>
      </c>
      <c r="E104" s="48">
        <v>10000</v>
      </c>
      <c r="F104" s="48">
        <f t="shared" si="46"/>
        <v>60000</v>
      </c>
      <c r="G104" s="48">
        <f t="shared" ref="G104:L104" si="53">$F$99/6</f>
        <v>10000</v>
      </c>
      <c r="H104" s="48">
        <f t="shared" si="53"/>
        <v>10000</v>
      </c>
      <c r="I104" s="48">
        <f t="shared" si="53"/>
        <v>10000</v>
      </c>
      <c r="J104" s="48">
        <f t="shared" si="53"/>
        <v>10000</v>
      </c>
      <c r="K104" s="48">
        <f t="shared" si="53"/>
        <v>10000</v>
      </c>
      <c r="L104" s="48">
        <f t="shared" si="53"/>
        <v>10000</v>
      </c>
      <c r="M104" s="104" t="s">
        <v>457</v>
      </c>
      <c r="O104" s="113">
        <f t="shared" si="49"/>
        <v>60000</v>
      </c>
      <c r="P104" s="110">
        <f>O104</f>
        <v>60000</v>
      </c>
      <c r="Q104" s="107"/>
    </row>
    <row r="105" spans="1:17" ht="77.25" customHeight="1">
      <c r="A105" s="26" t="s">
        <v>182</v>
      </c>
      <c r="B105" s="40" t="s">
        <v>154</v>
      </c>
      <c r="C105" s="21" t="s">
        <v>25</v>
      </c>
      <c r="D105" s="21">
        <f>40*6</f>
        <v>240</v>
      </c>
      <c r="E105" s="48">
        <v>450</v>
      </c>
      <c r="F105" s="48">
        <f t="shared" si="46"/>
        <v>108000</v>
      </c>
      <c r="G105" s="48">
        <f t="shared" ref="G105:L105" si="54">$F$105/6</f>
        <v>18000</v>
      </c>
      <c r="H105" s="48">
        <f t="shared" si="54"/>
        <v>18000</v>
      </c>
      <c r="I105" s="48">
        <f t="shared" si="54"/>
        <v>18000</v>
      </c>
      <c r="J105" s="48">
        <f t="shared" si="54"/>
        <v>18000</v>
      </c>
      <c r="K105" s="48">
        <f t="shared" si="54"/>
        <v>18000</v>
      </c>
      <c r="L105" s="48">
        <f t="shared" si="54"/>
        <v>18000</v>
      </c>
      <c r="O105" s="110"/>
      <c r="P105" s="111"/>
      <c r="Q105" s="107"/>
    </row>
    <row r="106" spans="1:17" ht="16">
      <c r="A106" s="26" t="s">
        <v>184</v>
      </c>
      <c r="B106" s="21" t="s">
        <v>147</v>
      </c>
      <c r="C106" s="21" t="s">
        <v>25</v>
      </c>
      <c r="D106" s="21">
        <f>40*6</f>
        <v>240</v>
      </c>
      <c r="E106" s="48">
        <v>156</v>
      </c>
      <c r="F106" s="48">
        <f t="shared" si="46"/>
        <v>37440</v>
      </c>
      <c r="G106" s="48">
        <f t="shared" ref="G106:L106" si="55">$F$106/6</f>
        <v>6240</v>
      </c>
      <c r="H106" s="48">
        <f t="shared" si="55"/>
        <v>6240</v>
      </c>
      <c r="I106" s="48">
        <f t="shared" si="55"/>
        <v>6240</v>
      </c>
      <c r="J106" s="48">
        <f t="shared" si="55"/>
        <v>6240</v>
      </c>
      <c r="K106" s="48">
        <f t="shared" si="55"/>
        <v>6240</v>
      </c>
      <c r="L106" s="48">
        <f t="shared" si="55"/>
        <v>6240</v>
      </c>
      <c r="O106" s="110"/>
      <c r="P106" s="111"/>
      <c r="Q106" s="107"/>
    </row>
    <row r="107" spans="1:17" ht="64">
      <c r="A107" s="26" t="s">
        <v>185</v>
      </c>
      <c r="B107" s="40" t="s">
        <v>177</v>
      </c>
      <c r="C107" s="40" t="s">
        <v>128</v>
      </c>
      <c r="D107" s="21">
        <v>6</v>
      </c>
      <c r="E107" s="48">
        <v>3750</v>
      </c>
      <c r="F107" s="48">
        <f t="shared" si="45"/>
        <v>22500</v>
      </c>
      <c r="G107" s="15"/>
      <c r="H107" s="48">
        <f>D107*E107</f>
        <v>22500</v>
      </c>
      <c r="I107" s="48"/>
      <c r="J107" s="48"/>
      <c r="K107" s="48"/>
      <c r="L107" s="48"/>
      <c r="O107" s="110"/>
      <c r="P107" s="111"/>
      <c r="Q107" s="107"/>
    </row>
    <row r="108" spans="1:17" ht="48">
      <c r="A108" s="26" t="s">
        <v>434</v>
      </c>
      <c r="B108" s="40" t="s">
        <v>179</v>
      </c>
      <c r="C108" s="21" t="s">
        <v>13</v>
      </c>
      <c r="D108" s="21">
        <v>1</v>
      </c>
      <c r="E108" s="48">
        <v>40000</v>
      </c>
      <c r="F108" s="48">
        <f t="shared" si="45"/>
        <v>40000</v>
      </c>
      <c r="G108" s="48"/>
      <c r="H108" s="48">
        <f>D108*E108</f>
        <v>40000</v>
      </c>
      <c r="I108" s="48"/>
      <c r="J108" s="48"/>
      <c r="K108" s="48"/>
      <c r="L108" s="48"/>
      <c r="O108" s="110"/>
      <c r="P108" s="111"/>
      <c r="Q108" s="107"/>
    </row>
    <row r="109" spans="1:17" ht="32">
      <c r="A109" s="26" t="s">
        <v>442</v>
      </c>
      <c r="B109" s="40" t="s">
        <v>181</v>
      </c>
      <c r="C109" s="21" t="s">
        <v>13</v>
      </c>
      <c r="D109" s="21">
        <v>1</v>
      </c>
      <c r="E109" s="48">
        <v>600000</v>
      </c>
      <c r="F109" s="48">
        <f t="shared" si="45"/>
        <v>600000</v>
      </c>
      <c r="G109" s="48"/>
      <c r="H109" s="48">
        <f>$F$109/5</f>
        <v>120000</v>
      </c>
      <c r="I109" s="48">
        <f t="shared" ref="I109:L109" si="56">$F$109/5</f>
        <v>120000</v>
      </c>
      <c r="J109" s="48">
        <f t="shared" si="56"/>
        <v>120000</v>
      </c>
      <c r="K109" s="48">
        <f t="shared" si="56"/>
        <v>120000</v>
      </c>
      <c r="L109" s="48">
        <f t="shared" si="56"/>
        <v>120000</v>
      </c>
      <c r="O109" s="110"/>
      <c r="P109" s="111"/>
      <c r="Q109" s="107"/>
    </row>
    <row r="110" spans="1:17" ht="48">
      <c r="A110" s="26" t="s">
        <v>443</v>
      </c>
      <c r="B110" s="40" t="s">
        <v>183</v>
      </c>
      <c r="C110" s="21" t="s">
        <v>25</v>
      </c>
      <c r="D110" s="21">
        <f>2*20</f>
        <v>40</v>
      </c>
      <c r="E110" s="48">
        <v>450</v>
      </c>
      <c r="F110" s="48">
        <f>D110*E110</f>
        <v>18000</v>
      </c>
      <c r="G110" s="48"/>
      <c r="H110" s="48">
        <f>D110*E110</f>
        <v>18000</v>
      </c>
      <c r="I110" s="48"/>
      <c r="J110" s="48"/>
      <c r="K110" s="48"/>
      <c r="L110" s="48"/>
      <c r="O110" s="110"/>
      <c r="P110" s="111"/>
      <c r="Q110" s="107"/>
    </row>
    <row r="111" spans="1:17" ht="16">
      <c r="A111" s="26" t="s">
        <v>444</v>
      </c>
      <c r="B111" s="40" t="s">
        <v>141</v>
      </c>
      <c r="C111" s="21" t="s">
        <v>25</v>
      </c>
      <c r="D111" s="21">
        <f>2*20</f>
        <v>40</v>
      </c>
      <c r="E111" s="48">
        <v>156</v>
      </c>
      <c r="F111" s="48">
        <f t="shared" ref="F111:F114" si="57">D111*E111</f>
        <v>6240</v>
      </c>
      <c r="G111" s="48"/>
      <c r="H111" s="48">
        <f t="shared" ref="H111" si="58">D111*E111</f>
        <v>6240</v>
      </c>
      <c r="I111" s="48"/>
      <c r="J111" s="48"/>
      <c r="K111" s="48"/>
      <c r="L111" s="48"/>
      <c r="O111" s="110"/>
      <c r="P111" s="111"/>
      <c r="Q111" s="107"/>
    </row>
    <row r="112" spans="1:17" ht="48">
      <c r="A112" s="26" t="s">
        <v>445</v>
      </c>
      <c r="B112" s="64" t="s">
        <v>524</v>
      </c>
      <c r="C112" s="21" t="s">
        <v>143</v>
      </c>
      <c r="D112" s="21">
        <v>5</v>
      </c>
      <c r="E112" s="48">
        <v>10000</v>
      </c>
      <c r="F112" s="48">
        <f t="shared" si="57"/>
        <v>50000</v>
      </c>
      <c r="G112" s="48"/>
      <c r="H112" s="48">
        <f>$F$112/5</f>
        <v>10000</v>
      </c>
      <c r="I112" s="48">
        <f t="shared" ref="I112:L112" si="59">$F$112/5</f>
        <v>10000</v>
      </c>
      <c r="J112" s="48">
        <f t="shared" si="59"/>
        <v>10000</v>
      </c>
      <c r="K112" s="48">
        <f t="shared" si="59"/>
        <v>10000</v>
      </c>
      <c r="L112" s="48">
        <f t="shared" si="59"/>
        <v>10000</v>
      </c>
      <c r="M112" s="104" t="s">
        <v>465</v>
      </c>
      <c r="O112" s="113">
        <f t="shared" si="49"/>
        <v>50000</v>
      </c>
      <c r="P112" s="111"/>
      <c r="Q112" s="106">
        <f>O112</f>
        <v>50000</v>
      </c>
    </row>
    <row r="113" spans="1:17" ht="93" customHeight="1">
      <c r="A113" s="26" t="s">
        <v>446</v>
      </c>
      <c r="B113" s="40" t="s">
        <v>186</v>
      </c>
      <c r="C113" s="21" t="s">
        <v>25</v>
      </c>
      <c r="D113" s="21">
        <f>5*60</f>
        <v>300</v>
      </c>
      <c r="E113" s="48">
        <v>450</v>
      </c>
      <c r="F113" s="48">
        <f t="shared" si="57"/>
        <v>135000</v>
      </c>
      <c r="G113" s="48"/>
      <c r="H113" s="48">
        <f>$F$113/5</f>
        <v>27000</v>
      </c>
      <c r="I113" s="48">
        <f t="shared" ref="I113:L113" si="60">$F$113/5</f>
        <v>27000</v>
      </c>
      <c r="J113" s="48">
        <f t="shared" si="60"/>
        <v>27000</v>
      </c>
      <c r="K113" s="48">
        <f t="shared" si="60"/>
        <v>27000</v>
      </c>
      <c r="L113" s="48">
        <f t="shared" si="60"/>
        <v>27000</v>
      </c>
      <c r="O113" s="110"/>
      <c r="P113" s="111"/>
      <c r="Q113" s="107"/>
    </row>
    <row r="114" spans="1:17" ht="16">
      <c r="A114" s="26" t="s">
        <v>447</v>
      </c>
      <c r="B114" s="40" t="s">
        <v>187</v>
      </c>
      <c r="C114" s="21" t="s">
        <v>25</v>
      </c>
      <c r="D114" s="21">
        <f>5*60</f>
        <v>300</v>
      </c>
      <c r="E114" s="48">
        <v>156</v>
      </c>
      <c r="F114" s="48">
        <f t="shared" si="57"/>
        <v>46800</v>
      </c>
      <c r="G114" s="48"/>
      <c r="H114" s="48">
        <f>$F$114/5</f>
        <v>9360</v>
      </c>
      <c r="I114" s="48">
        <f t="shared" ref="I114:L114" si="61">$F$114/5</f>
        <v>9360</v>
      </c>
      <c r="J114" s="48">
        <f t="shared" si="61"/>
        <v>9360</v>
      </c>
      <c r="K114" s="48">
        <f t="shared" si="61"/>
        <v>9360</v>
      </c>
      <c r="L114" s="48">
        <f t="shared" si="61"/>
        <v>9360</v>
      </c>
      <c r="O114" s="110"/>
      <c r="P114" s="111"/>
      <c r="Q114" s="107"/>
    </row>
    <row r="115" spans="1:17" ht="192">
      <c r="A115" s="26" t="s">
        <v>497</v>
      </c>
      <c r="B115" s="40" t="s">
        <v>537</v>
      </c>
      <c r="C115" s="21" t="s">
        <v>476</v>
      </c>
      <c r="D115" s="21">
        <v>1</v>
      </c>
      <c r="E115" s="48">
        <f>'Detailed Budget'!G122</f>
        <v>144037</v>
      </c>
      <c r="F115" s="48">
        <f>'Detailed Budget'!G122</f>
        <v>144037</v>
      </c>
      <c r="G115" s="48">
        <f>'Detailed Budget'!H122</f>
        <v>21544.5</v>
      </c>
      <c r="H115" s="48">
        <f>'Detailed Budget'!I122</f>
        <v>32515</v>
      </c>
      <c r="I115" s="48">
        <f>'Detailed Budget'!J122</f>
        <v>22635</v>
      </c>
      <c r="J115" s="48">
        <f>'Detailed Budget'!K122</f>
        <v>22447.5</v>
      </c>
      <c r="K115" s="48">
        <f>'Detailed Budget'!L122</f>
        <v>22447.5</v>
      </c>
      <c r="L115" s="48">
        <f>'Detailed Budget'!M122</f>
        <v>22447.5</v>
      </c>
      <c r="O115" s="110"/>
      <c r="P115" s="111"/>
      <c r="Q115" s="107"/>
    </row>
    <row r="116" spans="1:17">
      <c r="A116" s="42"/>
      <c r="B116" s="52"/>
      <c r="C116" s="43"/>
      <c r="D116" s="43"/>
      <c r="E116" s="17"/>
      <c r="F116" s="17"/>
      <c r="G116" s="17"/>
      <c r="H116" s="17"/>
      <c r="I116" s="17"/>
      <c r="J116" s="17"/>
      <c r="K116" s="17"/>
      <c r="L116" s="17"/>
      <c r="O116" s="110"/>
      <c r="P116" s="111"/>
      <c r="Q116" s="107"/>
    </row>
    <row r="117" spans="1:17" ht="48">
      <c r="A117" s="26" t="s">
        <v>188</v>
      </c>
      <c r="B117" s="40" t="s">
        <v>189</v>
      </c>
      <c r="C117" s="21" t="s">
        <v>13</v>
      </c>
      <c r="D117" s="21">
        <v>1</v>
      </c>
      <c r="E117" s="48">
        <v>12000</v>
      </c>
      <c r="F117" s="48">
        <f>D117*E117</f>
        <v>12000</v>
      </c>
      <c r="G117" s="48">
        <f>D117*E117</f>
        <v>12000</v>
      </c>
      <c r="H117" s="48"/>
      <c r="I117" s="48"/>
      <c r="J117" s="48"/>
      <c r="K117" s="48"/>
      <c r="L117" s="48"/>
      <c r="O117" s="110"/>
      <c r="P117" s="111"/>
      <c r="Q117" s="107"/>
    </row>
    <row r="118" spans="1:17" ht="32">
      <c r="A118" s="25" t="s">
        <v>190</v>
      </c>
      <c r="B118" s="40" t="s">
        <v>191</v>
      </c>
      <c r="C118" s="21" t="s">
        <v>25</v>
      </c>
      <c r="D118" s="21">
        <v>20</v>
      </c>
      <c r="E118" s="48">
        <v>750</v>
      </c>
      <c r="F118" s="48">
        <f>D118*E118</f>
        <v>15000</v>
      </c>
      <c r="G118" s="48">
        <f>D118*E118</f>
        <v>15000</v>
      </c>
      <c r="H118" s="48"/>
      <c r="I118" s="48"/>
      <c r="J118" s="48"/>
      <c r="K118" s="48"/>
      <c r="L118" s="48"/>
      <c r="O118" s="110"/>
      <c r="P118" s="111"/>
      <c r="Q118" s="107"/>
    </row>
    <row r="119" spans="1:17" ht="32">
      <c r="A119" s="25" t="s">
        <v>192</v>
      </c>
      <c r="B119" s="40" t="s">
        <v>193</v>
      </c>
      <c r="C119" s="21" t="s">
        <v>25</v>
      </c>
      <c r="D119" s="21">
        <v>20</v>
      </c>
      <c r="E119" s="48">
        <v>156</v>
      </c>
      <c r="F119" s="48">
        <f t="shared" ref="F119:F120" si="62">D119*E119</f>
        <v>3120</v>
      </c>
      <c r="G119" s="48">
        <f t="shared" ref="G119:G120" si="63">D119*E119</f>
        <v>3120</v>
      </c>
      <c r="H119" s="48"/>
      <c r="I119" s="48"/>
      <c r="J119" s="48"/>
      <c r="K119" s="48"/>
      <c r="L119" s="48"/>
      <c r="O119" s="110"/>
      <c r="P119" s="111"/>
      <c r="Q119" s="107"/>
    </row>
    <row r="120" spans="1:17" ht="32">
      <c r="A120" s="25" t="s">
        <v>194</v>
      </c>
      <c r="B120" s="40" t="s">
        <v>195</v>
      </c>
      <c r="C120" s="21" t="s">
        <v>62</v>
      </c>
      <c r="D120" s="21">
        <v>1</v>
      </c>
      <c r="E120" s="48">
        <v>3000</v>
      </c>
      <c r="F120" s="48">
        <f t="shared" si="62"/>
        <v>3000</v>
      </c>
      <c r="G120" s="48">
        <f t="shared" si="63"/>
        <v>3000</v>
      </c>
      <c r="H120" s="48"/>
      <c r="I120" s="48"/>
      <c r="J120" s="48"/>
      <c r="K120" s="48"/>
      <c r="L120" s="48"/>
      <c r="O120" s="110"/>
      <c r="P120" s="111"/>
      <c r="Q120" s="107"/>
    </row>
    <row r="121" spans="1:17" ht="32">
      <c r="A121" s="25" t="s">
        <v>196</v>
      </c>
      <c r="B121" s="40" t="s">
        <v>197</v>
      </c>
      <c r="C121" s="21" t="s">
        <v>101</v>
      </c>
      <c r="D121" s="21">
        <v>6</v>
      </c>
      <c r="E121" s="48">
        <v>3750</v>
      </c>
      <c r="F121" s="48">
        <f>D121*E121</f>
        <v>22500</v>
      </c>
      <c r="G121" s="48">
        <f>$F$121/6</f>
        <v>3750</v>
      </c>
      <c r="H121" s="48">
        <f t="shared" ref="H121:L121" si="64">$F$121/6</f>
        <v>3750</v>
      </c>
      <c r="I121" s="48">
        <f t="shared" si="64"/>
        <v>3750</v>
      </c>
      <c r="J121" s="48">
        <f t="shared" si="64"/>
        <v>3750</v>
      </c>
      <c r="K121" s="48">
        <f t="shared" si="64"/>
        <v>3750</v>
      </c>
      <c r="L121" s="48">
        <f t="shared" si="64"/>
        <v>3750</v>
      </c>
      <c r="O121" s="110"/>
      <c r="P121" s="111"/>
      <c r="Q121" s="107"/>
    </row>
    <row r="122" spans="1:17" ht="48">
      <c r="A122" s="25" t="s">
        <v>198</v>
      </c>
      <c r="B122" s="40" t="s">
        <v>504</v>
      </c>
      <c r="C122" s="21" t="s">
        <v>199</v>
      </c>
      <c r="D122" s="21">
        <v>1</v>
      </c>
      <c r="E122" s="48">
        <v>3750</v>
      </c>
      <c r="F122" s="48">
        <f>D122*E122</f>
        <v>3750</v>
      </c>
      <c r="G122" s="48">
        <f>D122*E122</f>
        <v>3750</v>
      </c>
      <c r="H122" s="48"/>
      <c r="I122" s="48"/>
      <c r="J122" s="48"/>
      <c r="K122" s="48"/>
      <c r="L122" s="48"/>
      <c r="O122" s="110"/>
      <c r="P122" s="111"/>
      <c r="Q122" s="107"/>
    </row>
    <row r="123" spans="1:17" ht="80">
      <c r="A123" s="25" t="s">
        <v>200</v>
      </c>
      <c r="B123" s="40" t="s">
        <v>505</v>
      </c>
      <c r="C123" s="40" t="s">
        <v>201</v>
      </c>
      <c r="D123" s="21">
        <v>1</v>
      </c>
      <c r="E123" s="48">
        <v>70052</v>
      </c>
      <c r="F123" s="48">
        <f>D123*E123</f>
        <v>70052</v>
      </c>
      <c r="G123" s="15"/>
      <c r="H123" s="48">
        <f>D123*E123</f>
        <v>70052</v>
      </c>
      <c r="I123" s="48"/>
      <c r="J123" s="48"/>
      <c r="K123" s="48"/>
      <c r="L123" s="48"/>
      <c r="O123" s="110"/>
      <c r="P123" s="111"/>
      <c r="Q123" s="107"/>
    </row>
    <row r="124" spans="1:17" ht="48">
      <c r="A124" s="25" t="s">
        <v>202</v>
      </c>
      <c r="B124" s="40" t="s">
        <v>203</v>
      </c>
      <c r="C124" s="21" t="s">
        <v>25</v>
      </c>
      <c r="D124" s="21">
        <v>20</v>
      </c>
      <c r="E124" s="48">
        <v>750</v>
      </c>
      <c r="F124" s="48">
        <f>D124*E124</f>
        <v>15000</v>
      </c>
      <c r="G124" s="48"/>
      <c r="H124" s="48">
        <f>D124*E124</f>
        <v>15000</v>
      </c>
      <c r="I124" s="48"/>
      <c r="J124" s="48"/>
      <c r="K124" s="48"/>
      <c r="L124" s="48"/>
      <c r="O124" s="110"/>
      <c r="P124" s="111"/>
      <c r="Q124" s="107"/>
    </row>
    <row r="125" spans="1:17" ht="32">
      <c r="A125" s="25" t="s">
        <v>204</v>
      </c>
      <c r="B125" s="40" t="s">
        <v>205</v>
      </c>
      <c r="C125" s="21" t="s">
        <v>25</v>
      </c>
      <c r="D125" s="21">
        <v>20</v>
      </c>
      <c r="E125" s="48">
        <v>156</v>
      </c>
      <c r="F125" s="48">
        <f t="shared" ref="F125:F135" si="65">D125*E125</f>
        <v>3120</v>
      </c>
      <c r="G125" s="48"/>
      <c r="H125" s="48">
        <f>D125*E125</f>
        <v>3120</v>
      </c>
      <c r="I125" s="48"/>
      <c r="J125" s="48"/>
      <c r="K125" s="48"/>
      <c r="L125" s="48"/>
      <c r="O125" s="110"/>
      <c r="P125" s="111"/>
      <c r="Q125" s="107"/>
    </row>
    <row r="126" spans="1:17" ht="32">
      <c r="A126" s="25" t="s">
        <v>206</v>
      </c>
      <c r="B126" s="40" t="s">
        <v>207</v>
      </c>
      <c r="C126" s="21" t="s">
        <v>62</v>
      </c>
      <c r="D126" s="21">
        <v>1</v>
      </c>
      <c r="E126" s="48">
        <v>3000</v>
      </c>
      <c r="F126" s="48">
        <f t="shared" si="65"/>
        <v>3000</v>
      </c>
      <c r="G126" s="48"/>
      <c r="H126" s="48">
        <f>D126*E126</f>
        <v>3000</v>
      </c>
      <c r="I126" s="48"/>
      <c r="J126" s="48"/>
      <c r="K126" s="48"/>
      <c r="L126" s="48"/>
      <c r="O126" s="110"/>
      <c r="P126" s="111"/>
      <c r="Q126" s="107"/>
    </row>
    <row r="127" spans="1:17" ht="32">
      <c r="A127" s="25" t="s">
        <v>208</v>
      </c>
      <c r="B127" s="40" t="s">
        <v>486</v>
      </c>
      <c r="C127" s="21" t="s">
        <v>101</v>
      </c>
      <c r="D127" s="21">
        <v>5</v>
      </c>
      <c r="E127" s="48">
        <v>3750</v>
      </c>
      <c r="F127" s="48">
        <f t="shared" si="65"/>
        <v>18750</v>
      </c>
      <c r="G127" s="48"/>
      <c r="H127" s="48">
        <f>$F$127/5</f>
        <v>3750</v>
      </c>
      <c r="I127" s="48">
        <f t="shared" ref="I127:L127" si="66">$F$127/5</f>
        <v>3750</v>
      </c>
      <c r="J127" s="48">
        <f t="shared" si="66"/>
        <v>3750</v>
      </c>
      <c r="K127" s="48">
        <f t="shared" si="66"/>
        <v>3750</v>
      </c>
      <c r="L127" s="48">
        <f t="shared" si="66"/>
        <v>3750</v>
      </c>
      <c r="O127" s="110"/>
      <c r="P127" s="111"/>
      <c r="Q127" s="107"/>
    </row>
    <row r="128" spans="1:17" ht="80">
      <c r="A128" s="25" t="s">
        <v>209</v>
      </c>
      <c r="B128" s="40" t="s">
        <v>210</v>
      </c>
      <c r="C128" s="21" t="s">
        <v>25</v>
      </c>
      <c r="D128" s="21">
        <v>40</v>
      </c>
      <c r="E128" s="48">
        <v>750</v>
      </c>
      <c r="F128" s="48">
        <f t="shared" si="65"/>
        <v>30000</v>
      </c>
      <c r="G128" s="48"/>
      <c r="H128" s="48">
        <f>D128*E128</f>
        <v>30000</v>
      </c>
      <c r="I128" s="48"/>
      <c r="J128" s="48"/>
      <c r="K128" s="48"/>
      <c r="L128" s="48"/>
      <c r="O128" s="110"/>
      <c r="P128" s="111"/>
      <c r="Q128" s="107"/>
    </row>
    <row r="129" spans="1:17" ht="16">
      <c r="A129" s="25" t="s">
        <v>211</v>
      </c>
      <c r="B129" s="40" t="s">
        <v>212</v>
      </c>
      <c r="C129" s="21" t="s">
        <v>25</v>
      </c>
      <c r="D129" s="21">
        <v>40</v>
      </c>
      <c r="E129" s="48">
        <v>156</v>
      </c>
      <c r="F129" s="48">
        <f t="shared" si="65"/>
        <v>6240</v>
      </c>
      <c r="G129" s="48"/>
      <c r="H129" s="48">
        <f t="shared" ref="H129:H132" si="67">D129*E129</f>
        <v>6240</v>
      </c>
      <c r="I129" s="48"/>
      <c r="J129" s="48"/>
      <c r="K129" s="48"/>
      <c r="L129" s="48"/>
      <c r="O129" s="110"/>
      <c r="P129" s="111"/>
      <c r="Q129" s="107"/>
    </row>
    <row r="130" spans="1:17" ht="32">
      <c r="A130" s="25" t="s">
        <v>213</v>
      </c>
      <c r="B130" s="40" t="s">
        <v>487</v>
      </c>
      <c r="C130" s="21" t="s">
        <v>62</v>
      </c>
      <c r="D130" s="21">
        <v>1</v>
      </c>
      <c r="E130" s="48">
        <v>3000</v>
      </c>
      <c r="F130" s="48">
        <f t="shared" si="65"/>
        <v>3000</v>
      </c>
      <c r="G130" s="48"/>
      <c r="H130" s="48">
        <f t="shared" si="67"/>
        <v>3000</v>
      </c>
      <c r="I130" s="48"/>
      <c r="J130" s="48"/>
      <c r="K130" s="48"/>
      <c r="L130" s="48"/>
      <c r="O130" s="110"/>
      <c r="P130" s="111"/>
      <c r="Q130" s="107"/>
    </row>
    <row r="131" spans="1:17" ht="32">
      <c r="A131" s="25" t="s">
        <v>214</v>
      </c>
      <c r="B131" s="40" t="s">
        <v>215</v>
      </c>
      <c r="C131" s="21" t="s">
        <v>25</v>
      </c>
      <c r="D131" s="21">
        <v>80</v>
      </c>
      <c r="E131" s="48">
        <v>450</v>
      </c>
      <c r="F131" s="48">
        <f t="shared" si="65"/>
        <v>36000</v>
      </c>
      <c r="G131" s="48"/>
      <c r="H131" s="48">
        <f t="shared" si="67"/>
        <v>36000</v>
      </c>
      <c r="I131" s="48"/>
      <c r="J131" s="48"/>
      <c r="K131" s="48"/>
      <c r="L131" s="48"/>
      <c r="O131" s="110"/>
      <c r="P131" s="111"/>
      <c r="Q131" s="107"/>
    </row>
    <row r="132" spans="1:17" ht="32">
      <c r="A132" s="25" t="s">
        <v>216</v>
      </c>
      <c r="B132" s="40" t="s">
        <v>217</v>
      </c>
      <c r="C132" s="21" t="s">
        <v>25</v>
      </c>
      <c r="D132" s="21">
        <v>80</v>
      </c>
      <c r="E132" s="48">
        <v>156</v>
      </c>
      <c r="F132" s="48">
        <f t="shared" si="65"/>
        <v>12480</v>
      </c>
      <c r="G132" s="48"/>
      <c r="H132" s="48">
        <f t="shared" si="67"/>
        <v>12480</v>
      </c>
      <c r="I132" s="48"/>
      <c r="J132" s="48"/>
      <c r="K132" s="48"/>
      <c r="L132" s="48"/>
      <c r="O132" s="110"/>
      <c r="P132" s="111"/>
      <c r="Q132" s="107"/>
    </row>
    <row r="133" spans="1:17" ht="32">
      <c r="A133" s="25" t="s">
        <v>218</v>
      </c>
      <c r="B133" s="40" t="s">
        <v>219</v>
      </c>
      <c r="C133" s="21" t="s">
        <v>101</v>
      </c>
      <c r="D133" s="21">
        <v>10</v>
      </c>
      <c r="E133" s="48">
        <v>3750</v>
      </c>
      <c r="F133" s="48">
        <f t="shared" si="65"/>
        <v>37500</v>
      </c>
      <c r="G133" s="48"/>
      <c r="H133" s="48">
        <f>$F$133/5</f>
        <v>7500</v>
      </c>
      <c r="I133" s="48">
        <f t="shared" ref="I133:L133" si="68">$F$133/5</f>
        <v>7500</v>
      </c>
      <c r="J133" s="48">
        <f t="shared" si="68"/>
        <v>7500</v>
      </c>
      <c r="K133" s="48">
        <f t="shared" si="68"/>
        <v>7500</v>
      </c>
      <c r="L133" s="48">
        <f t="shared" si="68"/>
        <v>7500</v>
      </c>
      <c r="O133" s="110"/>
      <c r="P133" s="111"/>
      <c r="Q133" s="107"/>
    </row>
    <row r="134" spans="1:17" ht="96">
      <c r="A134" s="25" t="s">
        <v>220</v>
      </c>
      <c r="B134" s="40" t="s">
        <v>221</v>
      </c>
      <c r="C134" s="21" t="s">
        <v>25</v>
      </c>
      <c r="D134" s="21">
        <v>120</v>
      </c>
      <c r="E134" s="48">
        <v>450</v>
      </c>
      <c r="F134" s="48">
        <f t="shared" si="65"/>
        <v>54000</v>
      </c>
      <c r="G134" s="48"/>
      <c r="H134" s="48">
        <f>$F$134/5</f>
        <v>10800</v>
      </c>
      <c r="I134" s="48">
        <f t="shared" ref="I134:L134" si="69">$F$134/5</f>
        <v>10800</v>
      </c>
      <c r="J134" s="48">
        <f t="shared" si="69"/>
        <v>10800</v>
      </c>
      <c r="K134" s="48">
        <f t="shared" si="69"/>
        <v>10800</v>
      </c>
      <c r="L134" s="48">
        <f t="shared" si="69"/>
        <v>10800</v>
      </c>
      <c r="O134" s="110"/>
      <c r="P134" s="111"/>
      <c r="Q134" s="107"/>
    </row>
    <row r="135" spans="1:17" ht="32">
      <c r="A135" s="25" t="s">
        <v>222</v>
      </c>
      <c r="B135" s="40" t="s">
        <v>223</v>
      </c>
      <c r="C135" s="21" t="s">
        <v>25</v>
      </c>
      <c r="D135" s="21">
        <v>120</v>
      </c>
      <c r="E135" s="48">
        <v>156</v>
      </c>
      <c r="F135" s="48">
        <f t="shared" si="65"/>
        <v>18720</v>
      </c>
      <c r="G135" s="48"/>
      <c r="H135" s="48">
        <f>$F$135/5</f>
        <v>3744</v>
      </c>
      <c r="I135" s="48">
        <f t="shared" ref="I135:L135" si="70">$F$135/5</f>
        <v>3744</v>
      </c>
      <c r="J135" s="48">
        <f t="shared" si="70"/>
        <v>3744</v>
      </c>
      <c r="K135" s="48">
        <f t="shared" si="70"/>
        <v>3744</v>
      </c>
      <c r="L135" s="48">
        <f t="shared" si="70"/>
        <v>3744</v>
      </c>
      <c r="O135" s="110"/>
      <c r="P135" s="111"/>
      <c r="Q135" s="107"/>
    </row>
    <row r="136" spans="1:17" ht="16">
      <c r="A136" s="25" t="s">
        <v>224</v>
      </c>
      <c r="B136" s="21" t="s">
        <v>225</v>
      </c>
      <c r="C136" s="21" t="s">
        <v>143</v>
      </c>
      <c r="D136" s="21">
        <v>5</v>
      </c>
      <c r="E136" s="48">
        <v>10000</v>
      </c>
      <c r="F136" s="48">
        <f t="shared" ref="F136:F152" si="71">D136*E136</f>
        <v>50000</v>
      </c>
      <c r="G136" s="48"/>
      <c r="H136" s="48">
        <f>$F$136/5</f>
        <v>10000</v>
      </c>
      <c r="I136" s="48">
        <f t="shared" ref="I136:L136" si="72">$F$136/5</f>
        <v>10000</v>
      </c>
      <c r="J136" s="48">
        <f t="shared" si="72"/>
        <v>10000</v>
      </c>
      <c r="K136" s="48">
        <f t="shared" si="72"/>
        <v>10000</v>
      </c>
      <c r="L136" s="48">
        <f t="shared" si="72"/>
        <v>10000</v>
      </c>
      <c r="M136" s="15"/>
      <c r="O136" s="110">
        <f>F136</f>
        <v>50000</v>
      </c>
      <c r="P136" s="111"/>
      <c r="Q136" s="107"/>
    </row>
    <row r="137" spans="1:17" ht="64">
      <c r="A137" s="25" t="s">
        <v>226</v>
      </c>
      <c r="B137" s="40" t="s">
        <v>227</v>
      </c>
      <c r="C137" s="21" t="s">
        <v>25</v>
      </c>
      <c r="D137" s="21">
        <v>40</v>
      </c>
      <c r="E137" s="48">
        <v>750</v>
      </c>
      <c r="F137" s="48">
        <f t="shared" si="71"/>
        <v>30000</v>
      </c>
      <c r="G137" s="48"/>
      <c r="H137" s="48">
        <f>D137*E137</f>
        <v>30000</v>
      </c>
      <c r="I137" s="48"/>
      <c r="J137" s="48"/>
      <c r="K137" s="48"/>
      <c r="L137" s="48"/>
      <c r="O137" s="110"/>
      <c r="P137" s="111"/>
      <c r="Q137" s="107"/>
    </row>
    <row r="138" spans="1:17" ht="16">
      <c r="A138" s="25" t="s">
        <v>228</v>
      </c>
      <c r="B138" s="40" t="s">
        <v>229</v>
      </c>
      <c r="C138" s="21" t="s">
        <v>25</v>
      </c>
      <c r="D138" s="21">
        <v>40</v>
      </c>
      <c r="E138" s="48">
        <v>156</v>
      </c>
      <c r="F138" s="48">
        <f t="shared" si="71"/>
        <v>6240</v>
      </c>
      <c r="G138" s="48"/>
      <c r="H138" s="48">
        <f t="shared" ref="H138:H141" si="73">D138*E138</f>
        <v>6240</v>
      </c>
      <c r="I138" s="48"/>
      <c r="J138" s="48"/>
      <c r="K138" s="48"/>
      <c r="L138" s="48"/>
      <c r="O138" s="110"/>
      <c r="P138" s="111"/>
      <c r="Q138" s="107"/>
    </row>
    <row r="139" spans="1:17" ht="32">
      <c r="A139" s="25" t="s">
        <v>230</v>
      </c>
      <c r="B139" s="40" t="s">
        <v>231</v>
      </c>
      <c r="C139" s="21" t="s">
        <v>62</v>
      </c>
      <c r="D139" s="21">
        <v>1</v>
      </c>
      <c r="E139" s="48">
        <v>3000</v>
      </c>
      <c r="F139" s="48">
        <f t="shared" si="71"/>
        <v>3000</v>
      </c>
      <c r="G139" s="48"/>
      <c r="H139" s="48">
        <f t="shared" si="73"/>
        <v>3000</v>
      </c>
      <c r="I139" s="48"/>
      <c r="J139" s="48"/>
      <c r="K139" s="48"/>
      <c r="L139" s="48"/>
      <c r="O139" s="110"/>
      <c r="P139" s="111"/>
      <c r="Q139" s="107"/>
    </row>
    <row r="140" spans="1:17" ht="32">
      <c r="A140" s="25" t="s">
        <v>232</v>
      </c>
      <c r="B140" s="40" t="s">
        <v>233</v>
      </c>
      <c r="C140" s="21" t="s">
        <v>25</v>
      </c>
      <c r="D140" s="21">
        <v>80</v>
      </c>
      <c r="E140" s="48">
        <v>450</v>
      </c>
      <c r="F140" s="48">
        <f t="shared" si="71"/>
        <v>36000</v>
      </c>
      <c r="G140" s="48"/>
      <c r="H140" s="48">
        <f t="shared" si="73"/>
        <v>36000</v>
      </c>
      <c r="I140" s="48"/>
      <c r="J140" s="48"/>
      <c r="K140" s="48"/>
      <c r="L140" s="48"/>
      <c r="O140" s="110"/>
      <c r="P140" s="111"/>
      <c r="Q140" s="107"/>
    </row>
    <row r="141" spans="1:17" ht="32">
      <c r="A141" s="25" t="s">
        <v>234</v>
      </c>
      <c r="B141" s="40" t="s">
        <v>235</v>
      </c>
      <c r="C141" s="21" t="s">
        <v>25</v>
      </c>
      <c r="D141" s="21">
        <v>80</v>
      </c>
      <c r="E141" s="48">
        <v>156</v>
      </c>
      <c r="F141" s="48">
        <f t="shared" si="71"/>
        <v>12480</v>
      </c>
      <c r="G141" s="48"/>
      <c r="H141" s="48">
        <f t="shared" si="73"/>
        <v>12480</v>
      </c>
      <c r="I141" s="48"/>
      <c r="J141" s="48"/>
      <c r="K141" s="48"/>
      <c r="L141" s="48"/>
      <c r="O141" s="110"/>
      <c r="P141" s="111"/>
      <c r="Q141" s="107"/>
    </row>
    <row r="142" spans="1:17" ht="80">
      <c r="A142" s="25" t="s">
        <v>236</v>
      </c>
      <c r="B142" s="40" t="s">
        <v>237</v>
      </c>
      <c r="C142" s="21" t="s">
        <v>25</v>
      </c>
      <c r="D142" s="21">
        <v>120</v>
      </c>
      <c r="E142" s="48">
        <v>450</v>
      </c>
      <c r="F142" s="48">
        <f t="shared" si="71"/>
        <v>54000</v>
      </c>
      <c r="G142" s="48"/>
      <c r="H142" s="48">
        <f>D142*E142</f>
        <v>54000</v>
      </c>
      <c r="I142" s="48"/>
      <c r="J142" s="48"/>
      <c r="K142" s="48"/>
      <c r="L142" s="48"/>
      <c r="O142" s="110"/>
      <c r="P142" s="111"/>
      <c r="Q142" s="107"/>
    </row>
    <row r="143" spans="1:17" ht="32">
      <c r="A143" s="25" t="s">
        <v>238</v>
      </c>
      <c r="B143" s="40" t="s">
        <v>239</v>
      </c>
      <c r="C143" s="21" t="s">
        <v>25</v>
      </c>
      <c r="D143" s="21">
        <v>120</v>
      </c>
      <c r="E143" s="48">
        <v>156</v>
      </c>
      <c r="F143" s="48">
        <f t="shared" si="71"/>
        <v>18720</v>
      </c>
      <c r="G143" s="48"/>
      <c r="H143" s="48">
        <f>D143*E143</f>
        <v>18720</v>
      </c>
      <c r="I143" s="48"/>
      <c r="J143" s="48"/>
      <c r="K143" s="48"/>
      <c r="L143" s="48"/>
      <c r="O143" s="110"/>
      <c r="P143" s="111"/>
      <c r="Q143" s="107"/>
    </row>
    <row r="144" spans="1:17" ht="48">
      <c r="A144" s="25" t="s">
        <v>240</v>
      </c>
      <c r="B144" s="64" t="s">
        <v>525</v>
      </c>
      <c r="C144" s="21" t="s">
        <v>143</v>
      </c>
      <c r="D144" s="21">
        <v>5</v>
      </c>
      <c r="E144" s="48">
        <v>10000</v>
      </c>
      <c r="F144" s="48">
        <f t="shared" si="71"/>
        <v>50000</v>
      </c>
      <c r="G144" s="48"/>
      <c r="H144" s="48">
        <f>$F$144/5</f>
        <v>10000</v>
      </c>
      <c r="I144" s="48">
        <f t="shared" ref="I144:L144" si="74">$F$144/5</f>
        <v>10000</v>
      </c>
      <c r="J144" s="48">
        <f t="shared" si="74"/>
        <v>10000</v>
      </c>
      <c r="K144" s="48">
        <f t="shared" si="74"/>
        <v>10000</v>
      </c>
      <c r="L144" s="48">
        <f t="shared" si="74"/>
        <v>10000</v>
      </c>
      <c r="M144" s="104" t="s">
        <v>468</v>
      </c>
      <c r="O144" s="113">
        <f t="shared" ref="O144" si="75">F144</f>
        <v>50000</v>
      </c>
      <c r="P144" s="111"/>
      <c r="Q144" s="106">
        <f>O144</f>
        <v>50000</v>
      </c>
    </row>
    <row r="145" spans="1:17" ht="48">
      <c r="A145" s="25" t="s">
        <v>241</v>
      </c>
      <c r="B145" s="40" t="s">
        <v>242</v>
      </c>
      <c r="C145" s="21" t="s">
        <v>101</v>
      </c>
      <c r="D145" s="21">
        <v>15</v>
      </c>
      <c r="E145" s="48">
        <v>3750</v>
      </c>
      <c r="F145" s="48">
        <f t="shared" si="71"/>
        <v>56250</v>
      </c>
      <c r="G145" s="48"/>
      <c r="H145" s="48">
        <f>$F$145/5</f>
        <v>11250</v>
      </c>
      <c r="I145" s="48">
        <f t="shared" ref="I145:L145" si="76">$F$145/5</f>
        <v>11250</v>
      </c>
      <c r="J145" s="48">
        <f t="shared" si="76"/>
        <v>11250</v>
      </c>
      <c r="K145" s="48">
        <f t="shared" si="76"/>
        <v>11250</v>
      </c>
      <c r="L145" s="48">
        <f t="shared" si="76"/>
        <v>11250</v>
      </c>
      <c r="O145" s="110"/>
      <c r="P145" s="111"/>
      <c r="Q145" s="107"/>
    </row>
    <row r="146" spans="1:17" ht="64">
      <c r="A146" s="25" t="s">
        <v>243</v>
      </c>
      <c r="B146" s="40" t="s">
        <v>488</v>
      </c>
      <c r="C146" s="21" t="s">
        <v>25</v>
      </c>
      <c r="D146" s="21">
        <v>60</v>
      </c>
      <c r="E146" s="48">
        <v>750</v>
      </c>
      <c r="F146" s="48">
        <f t="shared" si="71"/>
        <v>45000</v>
      </c>
      <c r="G146" s="48"/>
      <c r="H146" s="48">
        <f>D146*E146</f>
        <v>45000</v>
      </c>
      <c r="I146" s="48"/>
      <c r="J146" s="48"/>
      <c r="K146" s="48"/>
      <c r="L146" s="48"/>
      <c r="O146" s="110"/>
      <c r="P146" s="111"/>
      <c r="Q146" s="107"/>
    </row>
    <row r="147" spans="1:17" ht="32">
      <c r="A147" s="25" t="s">
        <v>244</v>
      </c>
      <c r="B147" s="40" t="s">
        <v>489</v>
      </c>
      <c r="C147" s="21" t="s">
        <v>25</v>
      </c>
      <c r="D147" s="21">
        <v>60</v>
      </c>
      <c r="E147" s="48">
        <v>156</v>
      </c>
      <c r="F147" s="48">
        <f t="shared" si="71"/>
        <v>9360</v>
      </c>
      <c r="G147" s="48"/>
      <c r="H147" s="48">
        <f t="shared" ref="H147:H150" si="77">D147*E147</f>
        <v>9360</v>
      </c>
      <c r="I147" s="48"/>
      <c r="J147" s="48"/>
      <c r="K147" s="48"/>
      <c r="L147" s="48"/>
      <c r="O147" s="110"/>
      <c r="P147" s="111"/>
      <c r="Q147" s="107"/>
    </row>
    <row r="148" spans="1:17" ht="32">
      <c r="A148" s="25" t="s">
        <v>245</v>
      </c>
      <c r="B148" s="40" t="s">
        <v>490</v>
      </c>
      <c r="C148" s="21" t="s">
        <v>62</v>
      </c>
      <c r="D148" s="21">
        <v>1</v>
      </c>
      <c r="E148" s="48">
        <v>3000</v>
      </c>
      <c r="F148" s="48">
        <f t="shared" si="71"/>
        <v>3000</v>
      </c>
      <c r="G148" s="48"/>
      <c r="H148" s="48">
        <f t="shared" si="77"/>
        <v>3000</v>
      </c>
      <c r="I148" s="48"/>
      <c r="J148" s="48"/>
      <c r="K148" s="48"/>
      <c r="L148" s="48"/>
      <c r="O148" s="110"/>
      <c r="P148" s="111"/>
      <c r="Q148" s="107"/>
    </row>
    <row r="149" spans="1:17" ht="48">
      <c r="A149" s="25" t="s">
        <v>246</v>
      </c>
      <c r="B149" s="40" t="s">
        <v>247</v>
      </c>
      <c r="C149" s="21" t="s">
        <v>25</v>
      </c>
      <c r="D149" s="21">
        <v>80</v>
      </c>
      <c r="E149" s="48">
        <v>450</v>
      </c>
      <c r="F149" s="48">
        <f t="shared" si="71"/>
        <v>36000</v>
      </c>
      <c r="G149" s="48"/>
      <c r="H149" s="48">
        <f t="shared" si="77"/>
        <v>36000</v>
      </c>
      <c r="I149" s="48"/>
      <c r="J149" s="48"/>
      <c r="K149" s="48"/>
      <c r="L149" s="48"/>
      <c r="O149" s="110"/>
      <c r="P149" s="111"/>
      <c r="Q149" s="107"/>
    </row>
    <row r="150" spans="1:17" ht="32">
      <c r="A150" s="25" t="s">
        <v>248</v>
      </c>
      <c r="B150" s="40" t="s">
        <v>249</v>
      </c>
      <c r="C150" s="21" t="s">
        <v>25</v>
      </c>
      <c r="D150" s="21">
        <v>80</v>
      </c>
      <c r="E150" s="48">
        <v>156</v>
      </c>
      <c r="F150" s="48">
        <f t="shared" si="71"/>
        <v>12480</v>
      </c>
      <c r="G150" s="48"/>
      <c r="H150" s="48">
        <f t="shared" si="77"/>
        <v>12480</v>
      </c>
      <c r="I150" s="48"/>
      <c r="J150" s="48"/>
      <c r="K150" s="48"/>
      <c r="L150" s="48"/>
      <c r="O150" s="110"/>
      <c r="P150" s="111"/>
      <c r="Q150" s="107"/>
    </row>
    <row r="151" spans="1:17" ht="64">
      <c r="A151" s="25" t="s">
        <v>250</v>
      </c>
      <c r="B151" s="40" t="s">
        <v>491</v>
      </c>
      <c r="C151" s="21" t="s">
        <v>101</v>
      </c>
      <c r="D151" s="21">
        <v>10</v>
      </c>
      <c r="E151" s="48">
        <v>3750</v>
      </c>
      <c r="F151" s="48">
        <f t="shared" si="71"/>
        <v>37500</v>
      </c>
      <c r="G151" s="48"/>
      <c r="H151" s="48">
        <f>$F$151/5</f>
        <v>7500</v>
      </c>
      <c r="I151" s="48">
        <f t="shared" ref="I151:L151" si="78">$F$151/5</f>
        <v>7500</v>
      </c>
      <c r="J151" s="48">
        <f t="shared" si="78"/>
        <v>7500</v>
      </c>
      <c r="K151" s="48">
        <f t="shared" si="78"/>
        <v>7500</v>
      </c>
      <c r="L151" s="48">
        <f t="shared" si="78"/>
        <v>7500</v>
      </c>
      <c r="O151" s="110"/>
      <c r="P151" s="111"/>
      <c r="Q151" s="107"/>
    </row>
    <row r="152" spans="1:17" ht="48">
      <c r="A152" s="25" t="s">
        <v>251</v>
      </c>
      <c r="B152" s="40" t="s">
        <v>252</v>
      </c>
      <c r="C152" s="21" t="s">
        <v>101</v>
      </c>
      <c r="D152" s="21">
        <v>5</v>
      </c>
      <c r="E152" s="48">
        <v>3750</v>
      </c>
      <c r="F152" s="48">
        <f t="shared" si="71"/>
        <v>18750</v>
      </c>
      <c r="G152" s="48"/>
      <c r="H152" s="48">
        <f>$F$152/5</f>
        <v>3750</v>
      </c>
      <c r="I152" s="48">
        <f t="shared" ref="I152:L152" si="79">$F$152/5</f>
        <v>3750</v>
      </c>
      <c r="J152" s="48">
        <f t="shared" si="79"/>
        <v>3750</v>
      </c>
      <c r="K152" s="48">
        <f t="shared" si="79"/>
        <v>3750</v>
      </c>
      <c r="L152" s="48">
        <f t="shared" si="79"/>
        <v>3750</v>
      </c>
      <c r="O152" s="110"/>
      <c r="P152" s="111"/>
      <c r="Q152" s="107"/>
    </row>
    <row r="153" spans="1:17" ht="192">
      <c r="A153" s="25" t="s">
        <v>496</v>
      </c>
      <c r="B153" s="40" t="s">
        <v>538</v>
      </c>
      <c r="C153" s="21" t="s">
        <v>476</v>
      </c>
      <c r="D153" s="21">
        <v>1</v>
      </c>
      <c r="E153" s="48">
        <f>'Detailed Budget'!G162</f>
        <v>37300.6</v>
      </c>
      <c r="F153" s="48">
        <f>'Detailed Budget'!G162</f>
        <v>37300.6</v>
      </c>
      <c r="G153" s="48">
        <f>'Detailed Budget'!H162</f>
        <v>2031</v>
      </c>
      <c r="H153" s="48">
        <f>'Detailed Budget'!I162</f>
        <v>24860.800000000003</v>
      </c>
      <c r="I153" s="48">
        <f>'Detailed Budget'!J162</f>
        <v>2602.2000000000003</v>
      </c>
      <c r="J153" s="48">
        <f>'Detailed Budget'!K162</f>
        <v>2602.2000000000003</v>
      </c>
      <c r="K153" s="48">
        <f>'Detailed Budget'!L162</f>
        <v>2602.2000000000003</v>
      </c>
      <c r="L153" s="48">
        <f>'Detailed Budget'!M162</f>
        <v>2602.2000000000003</v>
      </c>
      <c r="O153" s="110"/>
      <c r="P153" s="111"/>
      <c r="Q153" s="107"/>
    </row>
    <row r="154" spans="1:17">
      <c r="A154" s="42"/>
      <c r="B154" s="52"/>
      <c r="C154" s="43"/>
      <c r="D154" s="43"/>
      <c r="E154" s="17"/>
      <c r="F154" s="17"/>
      <c r="G154" s="17"/>
      <c r="H154" s="17"/>
      <c r="I154" s="17"/>
      <c r="J154" s="17"/>
      <c r="K154" s="17"/>
      <c r="L154" s="17"/>
      <c r="O154" s="111"/>
      <c r="P154" s="111"/>
      <c r="Q154" s="107"/>
    </row>
    <row r="155" spans="1:17" ht="16">
      <c r="A155" s="26" t="s">
        <v>426</v>
      </c>
      <c r="B155" s="40" t="s">
        <v>449</v>
      </c>
      <c r="C155" s="21" t="s">
        <v>451</v>
      </c>
      <c r="D155" s="21">
        <v>1</v>
      </c>
      <c r="E155" s="48">
        <v>114400</v>
      </c>
      <c r="F155" s="48">
        <f>D155*E155</f>
        <v>114400</v>
      </c>
      <c r="G155" s="48"/>
      <c r="H155" s="48"/>
      <c r="I155" s="48">
        <f>D155*E155</f>
        <v>114400</v>
      </c>
      <c r="J155" s="48"/>
      <c r="K155" s="48"/>
      <c r="L155" s="48"/>
      <c r="O155" s="111"/>
      <c r="P155" s="111"/>
      <c r="Q155" s="107"/>
    </row>
    <row r="156" spans="1:17" ht="16">
      <c r="A156" s="26" t="s">
        <v>427</v>
      </c>
      <c r="B156" s="40" t="s">
        <v>450</v>
      </c>
      <c r="C156" s="21" t="s">
        <v>452</v>
      </c>
      <c r="D156" s="21">
        <v>1</v>
      </c>
      <c r="E156" s="48">
        <v>143000</v>
      </c>
      <c r="F156" s="48">
        <f>D156*E156</f>
        <v>143000</v>
      </c>
      <c r="G156" s="48"/>
      <c r="H156" s="48"/>
      <c r="I156" s="48"/>
      <c r="J156" s="48"/>
      <c r="K156" s="48"/>
      <c r="L156" s="48">
        <f>D156*E156</f>
        <v>143000</v>
      </c>
      <c r="O156" s="111"/>
      <c r="P156" s="111"/>
      <c r="Q156" s="107"/>
    </row>
    <row r="157" spans="1:17">
      <c r="A157" s="42"/>
      <c r="B157" s="52"/>
      <c r="C157" s="43"/>
      <c r="D157" s="43"/>
      <c r="E157" s="17"/>
      <c r="F157" s="17"/>
      <c r="G157" s="17"/>
      <c r="H157" s="17"/>
      <c r="I157" s="17"/>
      <c r="J157" s="17"/>
      <c r="K157" s="17"/>
      <c r="L157" s="17"/>
      <c r="O157" s="111"/>
      <c r="P157" s="111"/>
      <c r="Q157" s="107"/>
    </row>
    <row r="158" spans="1:17" ht="16">
      <c r="A158" s="26" t="s">
        <v>253</v>
      </c>
      <c r="B158" s="40" t="s">
        <v>390</v>
      </c>
      <c r="C158" s="21" t="s">
        <v>254</v>
      </c>
      <c r="D158" s="21">
        <v>6</v>
      </c>
      <c r="E158" s="126">
        <v>40000</v>
      </c>
      <c r="F158" s="21">
        <f>D158*E158</f>
        <v>240000</v>
      </c>
      <c r="G158" s="21">
        <f>$F$158/$D$158</f>
        <v>40000</v>
      </c>
      <c r="H158" s="21">
        <f t="shared" ref="H158:L158" si="80">$F$158/$D$158</f>
        <v>40000</v>
      </c>
      <c r="I158" s="21">
        <f t="shared" si="80"/>
        <v>40000</v>
      </c>
      <c r="J158" s="21">
        <f t="shared" si="80"/>
        <v>40000</v>
      </c>
      <c r="K158" s="21">
        <f t="shared" si="80"/>
        <v>40000</v>
      </c>
      <c r="L158" s="21">
        <f t="shared" si="80"/>
        <v>40000</v>
      </c>
      <c r="O158" s="111"/>
      <c r="P158" s="111"/>
      <c r="Q158" s="107"/>
    </row>
    <row r="159" spans="1:17" ht="16">
      <c r="A159" s="26" t="s">
        <v>255</v>
      </c>
      <c r="B159" s="40" t="s">
        <v>256</v>
      </c>
      <c r="C159" s="21" t="s">
        <v>254</v>
      </c>
      <c r="D159" s="21">
        <v>6</v>
      </c>
      <c r="E159" s="21">
        <v>45000</v>
      </c>
      <c r="F159" s="21">
        <f t="shared" ref="F159:F167" si="81">D159*E159</f>
        <v>270000</v>
      </c>
      <c r="G159" s="21">
        <f>$F$159/$D$159</f>
        <v>45000</v>
      </c>
      <c r="H159" s="21">
        <f t="shared" ref="H159:L159" si="82">$F$159/$D$159</f>
        <v>45000</v>
      </c>
      <c r="I159" s="21">
        <f t="shared" si="82"/>
        <v>45000</v>
      </c>
      <c r="J159" s="21">
        <f t="shared" si="82"/>
        <v>45000</v>
      </c>
      <c r="K159" s="21">
        <f t="shared" si="82"/>
        <v>45000</v>
      </c>
      <c r="L159" s="21">
        <f t="shared" si="82"/>
        <v>45000</v>
      </c>
      <c r="O159" s="111"/>
      <c r="P159" s="111"/>
      <c r="Q159" s="107"/>
    </row>
    <row r="160" spans="1:17" ht="48">
      <c r="A160" s="26" t="s">
        <v>257</v>
      </c>
      <c r="B160" s="40" t="s">
        <v>526</v>
      </c>
      <c r="C160" s="21" t="s">
        <v>254</v>
      </c>
      <c r="D160" s="21">
        <v>6</v>
      </c>
      <c r="E160" s="127">
        <v>20000</v>
      </c>
      <c r="F160" s="21">
        <f t="shared" si="81"/>
        <v>120000</v>
      </c>
      <c r="G160" s="21">
        <f>$F$160/$D$160</f>
        <v>20000</v>
      </c>
      <c r="H160" s="21">
        <f t="shared" ref="H160:L160" si="83">$F$160/$D$160</f>
        <v>20000</v>
      </c>
      <c r="I160" s="21">
        <f t="shared" si="83"/>
        <v>20000</v>
      </c>
      <c r="J160" s="21">
        <f t="shared" si="83"/>
        <v>20000</v>
      </c>
      <c r="K160" s="21">
        <f t="shared" si="83"/>
        <v>20000</v>
      </c>
      <c r="L160" s="21">
        <f t="shared" si="83"/>
        <v>20000</v>
      </c>
      <c r="M160" s="104" t="s">
        <v>464</v>
      </c>
      <c r="O160" s="114">
        <f>F160</f>
        <v>120000</v>
      </c>
      <c r="P160" s="111"/>
      <c r="Q160" s="107">
        <f>O160</f>
        <v>120000</v>
      </c>
    </row>
    <row r="161" spans="1:17" ht="48">
      <c r="A161" s="26" t="s">
        <v>258</v>
      </c>
      <c r="B161" s="40" t="s">
        <v>527</v>
      </c>
      <c r="C161" s="21" t="s">
        <v>254</v>
      </c>
      <c r="D161" s="21">
        <v>6</v>
      </c>
      <c r="E161" s="127">
        <v>20000</v>
      </c>
      <c r="F161" s="21">
        <f>D161*E161</f>
        <v>120000</v>
      </c>
      <c r="G161" s="21">
        <f>$F$161/$D$161</f>
        <v>20000</v>
      </c>
      <c r="H161" s="21">
        <f t="shared" ref="H161:L161" si="84">$F$161/$D$161</f>
        <v>20000</v>
      </c>
      <c r="I161" s="21">
        <f t="shared" si="84"/>
        <v>20000</v>
      </c>
      <c r="J161" s="21">
        <f t="shared" si="84"/>
        <v>20000</v>
      </c>
      <c r="K161" s="21">
        <f t="shared" si="84"/>
        <v>20000</v>
      </c>
      <c r="L161" s="21">
        <f t="shared" si="84"/>
        <v>20000</v>
      </c>
      <c r="M161" s="104" t="s">
        <v>465</v>
      </c>
      <c r="O161" s="114">
        <f t="shared" ref="O161:O167" si="85">F161</f>
        <v>120000</v>
      </c>
      <c r="P161" s="111"/>
      <c r="Q161" s="107">
        <f t="shared" ref="Q161:Q165" si="86">O161</f>
        <v>120000</v>
      </c>
    </row>
    <row r="162" spans="1:17" ht="48">
      <c r="A162" s="26" t="s">
        <v>259</v>
      </c>
      <c r="B162" s="40" t="s">
        <v>528</v>
      </c>
      <c r="C162" s="21" t="s">
        <v>254</v>
      </c>
      <c r="D162" s="21">
        <v>6</v>
      </c>
      <c r="E162" s="21">
        <v>25000</v>
      </c>
      <c r="F162" s="21">
        <f t="shared" si="81"/>
        <v>150000</v>
      </c>
      <c r="G162" s="21">
        <f>$F$162/$D$162</f>
        <v>25000</v>
      </c>
      <c r="H162" s="21">
        <f t="shared" ref="H162:L162" si="87">$F$162/$D$162</f>
        <v>25000</v>
      </c>
      <c r="I162" s="21">
        <f t="shared" si="87"/>
        <v>25000</v>
      </c>
      <c r="J162" s="21">
        <f t="shared" si="87"/>
        <v>25000</v>
      </c>
      <c r="K162" s="21">
        <f t="shared" si="87"/>
        <v>25000</v>
      </c>
      <c r="L162" s="21">
        <f t="shared" si="87"/>
        <v>25000</v>
      </c>
      <c r="M162" s="104" t="s">
        <v>465</v>
      </c>
      <c r="O162" s="114">
        <f t="shared" si="85"/>
        <v>150000</v>
      </c>
      <c r="P162" s="111"/>
      <c r="Q162" s="107">
        <f t="shared" si="86"/>
        <v>150000</v>
      </c>
    </row>
    <row r="163" spans="1:17" ht="48">
      <c r="A163" s="26" t="s">
        <v>260</v>
      </c>
      <c r="B163" s="40" t="s">
        <v>529</v>
      </c>
      <c r="C163" s="21" t="s">
        <v>254</v>
      </c>
      <c r="D163" s="21">
        <v>6</v>
      </c>
      <c r="E163" s="127">
        <v>35000</v>
      </c>
      <c r="F163" s="21">
        <f t="shared" si="81"/>
        <v>210000</v>
      </c>
      <c r="G163" s="21">
        <f>$F$163/$D$163</f>
        <v>35000</v>
      </c>
      <c r="H163" s="21">
        <f t="shared" ref="H163:L163" si="88">$F$163/$D$163</f>
        <v>35000</v>
      </c>
      <c r="I163" s="21">
        <f t="shared" si="88"/>
        <v>35000</v>
      </c>
      <c r="J163" s="21">
        <f t="shared" si="88"/>
        <v>35000</v>
      </c>
      <c r="K163" s="21">
        <f t="shared" si="88"/>
        <v>35000</v>
      </c>
      <c r="L163" s="21">
        <f t="shared" si="88"/>
        <v>35000</v>
      </c>
      <c r="M163" s="104" t="s">
        <v>466</v>
      </c>
      <c r="O163" s="114">
        <f t="shared" si="85"/>
        <v>210000</v>
      </c>
      <c r="P163" s="111"/>
      <c r="Q163" s="107">
        <f t="shared" si="86"/>
        <v>210000</v>
      </c>
    </row>
    <row r="164" spans="1:17" ht="16">
      <c r="A164" s="26" t="s">
        <v>261</v>
      </c>
      <c r="B164" s="40" t="s">
        <v>463</v>
      </c>
      <c r="C164" s="21" t="s">
        <v>254</v>
      </c>
      <c r="D164" s="21">
        <v>6</v>
      </c>
      <c r="E164" s="21">
        <v>30000</v>
      </c>
      <c r="F164" s="21">
        <f t="shared" si="81"/>
        <v>180000</v>
      </c>
      <c r="G164" s="21">
        <f>$F$164/$D$164</f>
        <v>30000</v>
      </c>
      <c r="H164" s="21">
        <f t="shared" ref="H164:L164" si="89">$F$164/$D$164</f>
        <v>30000</v>
      </c>
      <c r="I164" s="21">
        <f t="shared" si="89"/>
        <v>30000</v>
      </c>
      <c r="J164" s="21">
        <f t="shared" si="89"/>
        <v>30000</v>
      </c>
      <c r="K164" s="21">
        <f t="shared" si="89"/>
        <v>30000</v>
      </c>
      <c r="L164" s="21">
        <f t="shared" si="89"/>
        <v>30000</v>
      </c>
      <c r="O164" s="111"/>
      <c r="P164" s="111"/>
      <c r="Q164" s="107"/>
    </row>
    <row r="165" spans="1:17" ht="48">
      <c r="A165" s="26" t="s">
        <v>262</v>
      </c>
      <c r="B165" s="40" t="s">
        <v>530</v>
      </c>
      <c r="C165" s="21" t="s">
        <v>254</v>
      </c>
      <c r="D165" s="21">
        <v>6</v>
      </c>
      <c r="E165" s="21">
        <v>25000</v>
      </c>
      <c r="F165" s="21">
        <f t="shared" si="81"/>
        <v>150000</v>
      </c>
      <c r="G165" s="21">
        <f>$F$165/$D$165</f>
        <v>25000</v>
      </c>
      <c r="H165" s="21">
        <f t="shared" ref="H165:L165" si="90">$F$165/$D$165</f>
        <v>25000</v>
      </c>
      <c r="I165" s="21">
        <f t="shared" si="90"/>
        <v>25000</v>
      </c>
      <c r="J165" s="21">
        <f t="shared" si="90"/>
        <v>25000</v>
      </c>
      <c r="K165" s="21">
        <f t="shared" si="90"/>
        <v>25000</v>
      </c>
      <c r="L165" s="21">
        <f t="shared" si="90"/>
        <v>25000</v>
      </c>
      <c r="M165" s="104" t="s">
        <v>467</v>
      </c>
      <c r="O165" s="114">
        <f t="shared" si="85"/>
        <v>150000</v>
      </c>
      <c r="P165" s="111"/>
      <c r="Q165" s="107">
        <f t="shared" si="86"/>
        <v>150000</v>
      </c>
    </row>
    <row r="166" spans="1:17" ht="16">
      <c r="A166" s="26" t="s">
        <v>263</v>
      </c>
      <c r="B166" s="40" t="s">
        <v>391</v>
      </c>
      <c r="C166" s="21" t="s">
        <v>254</v>
      </c>
      <c r="D166" s="21">
        <v>6</v>
      </c>
      <c r="E166" s="21">
        <v>60000</v>
      </c>
      <c r="F166" s="21">
        <f t="shared" si="81"/>
        <v>360000</v>
      </c>
      <c r="G166" s="21">
        <f>$F$166/$D$166</f>
        <v>60000</v>
      </c>
      <c r="H166" s="21">
        <f t="shared" ref="H166:L166" si="91">$F$166/$D$166</f>
        <v>60000</v>
      </c>
      <c r="I166" s="21">
        <f t="shared" si="91"/>
        <v>60000</v>
      </c>
      <c r="J166" s="21">
        <f t="shared" si="91"/>
        <v>60000</v>
      </c>
      <c r="K166" s="21">
        <f t="shared" si="91"/>
        <v>60000</v>
      </c>
      <c r="L166" s="21">
        <f t="shared" si="91"/>
        <v>60000</v>
      </c>
      <c r="O166" s="111"/>
      <c r="P166" s="111"/>
      <c r="Q166" s="107"/>
    </row>
    <row r="167" spans="1:17" ht="64">
      <c r="A167" s="26" t="s">
        <v>429</v>
      </c>
      <c r="B167" s="40" t="s">
        <v>518</v>
      </c>
      <c r="C167" s="40" t="s">
        <v>264</v>
      </c>
      <c r="D167" s="21">
        <v>6</v>
      </c>
      <c r="E167" s="128">
        <v>30000</v>
      </c>
      <c r="F167" s="21">
        <f t="shared" si="81"/>
        <v>180000</v>
      </c>
      <c r="G167" s="21">
        <f>$F$167/$D$167</f>
        <v>30000</v>
      </c>
      <c r="H167" s="21">
        <f t="shared" ref="H167:L167" si="92">$F$167/$D$167</f>
        <v>30000</v>
      </c>
      <c r="I167" s="21">
        <f t="shared" si="92"/>
        <v>30000</v>
      </c>
      <c r="J167" s="21">
        <f t="shared" si="92"/>
        <v>30000</v>
      </c>
      <c r="K167" s="21">
        <f t="shared" si="92"/>
        <v>30000</v>
      </c>
      <c r="L167" s="21">
        <f t="shared" si="92"/>
        <v>30000</v>
      </c>
      <c r="M167" s="104" t="s">
        <v>460</v>
      </c>
      <c r="O167" s="114">
        <f t="shared" si="85"/>
        <v>180000</v>
      </c>
      <c r="P167" s="111">
        <f>40%*O167</f>
        <v>72000</v>
      </c>
      <c r="Q167" s="107">
        <f>60%*O167</f>
        <v>108000</v>
      </c>
    </row>
    <row r="168" spans="1:17">
      <c r="F168" s="43">
        <f>SUM(F158:F167)</f>
        <v>1980000</v>
      </c>
      <c r="G168" s="43">
        <f t="shared" ref="G168:L168" si="93">SUM(G158:G167)</f>
        <v>330000</v>
      </c>
      <c r="H168" s="43">
        <f t="shared" si="93"/>
        <v>330000</v>
      </c>
      <c r="I168" s="43">
        <f t="shared" si="93"/>
        <v>330000</v>
      </c>
      <c r="J168" s="43">
        <f t="shared" si="93"/>
        <v>330000</v>
      </c>
      <c r="K168" s="43">
        <f t="shared" si="93"/>
        <v>330000</v>
      </c>
      <c r="L168" s="43">
        <f t="shared" si="93"/>
        <v>330000</v>
      </c>
      <c r="M168" s="43">
        <f>SUM(G168:L168)</f>
        <v>1980000</v>
      </c>
      <c r="O168" s="111"/>
      <c r="P168" s="111"/>
      <c r="Q168" s="107"/>
    </row>
    <row r="169" spans="1:17">
      <c r="F169" s="43"/>
      <c r="G169" s="43"/>
      <c r="H169" s="43"/>
      <c r="I169" s="43"/>
      <c r="J169" s="43"/>
      <c r="K169" s="43"/>
      <c r="L169" s="43"/>
      <c r="M169" s="43"/>
      <c r="O169" s="111"/>
      <c r="P169" s="111"/>
      <c r="Q169" s="107"/>
    </row>
    <row r="170" spans="1:17">
      <c r="F170" s="41"/>
      <c r="O170" s="131">
        <f>SUM(O2:O169)</f>
        <v>13458034.798939552</v>
      </c>
      <c r="P170" s="131">
        <f>SUM(P2:P169)</f>
        <v>4899665.2571580065</v>
      </c>
      <c r="Q170" s="132">
        <f>SUM(Q2:Q169)</f>
        <v>8508369.5417815484</v>
      </c>
    </row>
    <row r="172" spans="1:17">
      <c r="O172" s="8">
        <f>SUM(O2:O153)</f>
        <v>12528034.798939552</v>
      </c>
    </row>
    <row r="173" spans="1:17">
      <c r="O173" s="8"/>
    </row>
    <row r="174" spans="1:17">
      <c r="N174" t="s">
        <v>532</v>
      </c>
      <c r="O174" s="8">
        <f>SUM(O2:O58)</f>
        <v>12258034.798939552</v>
      </c>
      <c r="P174" s="115">
        <f>O174-'Detailed Budget'!G61</f>
        <v>0</v>
      </c>
    </row>
    <row r="175" spans="1:17">
      <c r="N175" t="s">
        <v>533</v>
      </c>
      <c r="O175" s="8">
        <f>SUM(O60:O115)</f>
        <v>170000</v>
      </c>
    </row>
    <row r="176" spans="1:17">
      <c r="N176" t="s">
        <v>534</v>
      </c>
      <c r="O176" s="8">
        <f>SUM(O117:O153)</f>
        <v>100000</v>
      </c>
    </row>
    <row r="188" spans="3:3">
      <c r="C188" s="67"/>
    </row>
    <row r="189" spans="3:3">
      <c r="C189" s="67"/>
    </row>
  </sheetData>
  <mergeCells count="1">
    <mergeCell ref="A1:B1"/>
  </mergeCells>
  <phoneticPr fontId="3" type="noConversion"/>
  <pageMargins left="0.7" right="0.7" top="0.75" bottom="0.75" header="0.3" footer="0.3"/>
  <pageSetup paperSize="5" scale="51" fitToHeight="6" orientation="landscape" r:id="rId1"/>
  <headerFooter>
    <oddHeader>&amp;CDetailed budget notes</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1B18320-2ED6-4803-A619-1582BFCC98A0}">
  <dimension ref="B2:C13"/>
  <sheetViews>
    <sheetView workbookViewId="0">
      <selection activeCell="B13" sqref="B13"/>
    </sheetView>
  </sheetViews>
  <sheetFormatPr baseColWidth="10" defaultColWidth="8.83203125" defaultRowHeight="15"/>
  <cols>
    <col min="2" max="2" width="34.33203125" bestFit="1" customWidth="1"/>
    <col min="3" max="3" width="125.33203125" bestFit="1" customWidth="1"/>
  </cols>
  <sheetData>
    <row r="2" spans="2:3">
      <c r="B2" s="29" t="s">
        <v>349</v>
      </c>
      <c r="C2" s="29" t="s">
        <v>350</v>
      </c>
    </row>
    <row r="3" spans="2:3">
      <c r="B3" s="18" t="s">
        <v>351</v>
      </c>
      <c r="C3" t="s">
        <v>352</v>
      </c>
    </row>
    <row r="4" spans="2:3">
      <c r="B4" s="18" t="s">
        <v>291</v>
      </c>
      <c r="C4" t="s">
        <v>353</v>
      </c>
    </row>
    <row r="5" spans="2:3">
      <c r="B5" s="18" t="s">
        <v>288</v>
      </c>
      <c r="C5" t="s">
        <v>354</v>
      </c>
    </row>
    <row r="6" spans="2:3">
      <c r="B6" s="18" t="s">
        <v>302</v>
      </c>
      <c r="C6" t="s">
        <v>355</v>
      </c>
    </row>
    <row r="7" spans="2:3">
      <c r="B7" s="18" t="s">
        <v>293</v>
      </c>
      <c r="C7" t="s">
        <v>356</v>
      </c>
    </row>
    <row r="8" spans="2:3">
      <c r="B8" s="18" t="s">
        <v>292</v>
      </c>
      <c r="C8" t="s">
        <v>357</v>
      </c>
    </row>
    <row r="9" spans="2:3">
      <c r="B9" s="18" t="s">
        <v>286</v>
      </c>
      <c r="C9" t="s">
        <v>358</v>
      </c>
    </row>
    <row r="11" spans="2:3">
      <c r="B11" s="29" t="s">
        <v>359</v>
      </c>
    </row>
    <row r="12" spans="2:3">
      <c r="B12" s="18" t="s">
        <v>285</v>
      </c>
    </row>
    <row r="13" spans="2:3">
      <c r="B13" s="18" t="s">
        <v>287</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6264F02-F112-4ECE-8716-4D1E8C336A73}">
  <dimension ref="B1:K36"/>
  <sheetViews>
    <sheetView topLeftCell="A20" zoomScale="116" workbookViewId="0">
      <selection activeCell="B40" sqref="B40"/>
    </sheetView>
  </sheetViews>
  <sheetFormatPr baseColWidth="10" defaultColWidth="8.83203125" defaultRowHeight="15"/>
  <cols>
    <col min="2" max="2" width="54.5" bestFit="1" customWidth="1"/>
    <col min="3" max="3" width="13.33203125" bestFit="1" customWidth="1"/>
    <col min="4" max="4" width="26.83203125" bestFit="1" customWidth="1"/>
    <col min="5" max="5" width="20.6640625" customWidth="1"/>
    <col min="6" max="6" width="24.33203125" customWidth="1"/>
    <col min="7" max="7" width="29.6640625" customWidth="1"/>
    <col min="8" max="8" width="9.5" bestFit="1" customWidth="1"/>
  </cols>
  <sheetData>
    <row r="1" spans="2:11" ht="16" thickBot="1"/>
    <row r="2" spans="2:11" ht="33" thickBot="1">
      <c r="B2" s="133" t="s">
        <v>360</v>
      </c>
      <c r="C2" s="134" t="s">
        <v>361</v>
      </c>
      <c r="D2" s="135" t="s">
        <v>362</v>
      </c>
      <c r="E2" s="134" t="s">
        <v>363</v>
      </c>
      <c r="F2" s="136" t="s">
        <v>364</v>
      </c>
      <c r="G2" s="137" t="s">
        <v>365</v>
      </c>
      <c r="H2" s="28"/>
    </row>
    <row r="3" spans="2:11">
      <c r="B3" s="190" t="s">
        <v>366</v>
      </c>
      <c r="C3" s="191"/>
      <c r="D3" s="191"/>
      <c r="E3" s="191"/>
      <c r="F3" s="191"/>
      <c r="G3" s="192"/>
      <c r="H3" s="28"/>
    </row>
    <row r="4" spans="2:11">
      <c r="B4" s="57" t="s">
        <v>367</v>
      </c>
      <c r="C4" s="59">
        <v>1230000</v>
      </c>
      <c r="D4" s="59">
        <v>18860</v>
      </c>
      <c r="E4" s="60">
        <f>C4/D4</f>
        <v>65.217391304347828</v>
      </c>
      <c r="F4" s="59">
        <f>21716+283</f>
        <v>21999</v>
      </c>
      <c r="G4" s="55">
        <f>E4*F4</f>
        <v>1434717.3913043479</v>
      </c>
    </row>
    <row r="5" spans="2:11">
      <c r="B5" s="58" t="s">
        <v>368</v>
      </c>
      <c r="C5" s="59">
        <v>1630000</v>
      </c>
      <c r="D5" s="59">
        <v>18860</v>
      </c>
      <c r="E5" s="60">
        <f t="shared" ref="E5:E13" si="0">C5/D5</f>
        <v>86.426299045599151</v>
      </c>
      <c r="F5" s="59">
        <v>31003</v>
      </c>
      <c r="G5" s="55">
        <f>E5*F5</f>
        <v>2679474.5493107103</v>
      </c>
    </row>
    <row r="6" spans="2:11">
      <c r="B6" s="58" t="s">
        <v>369</v>
      </c>
      <c r="C6" s="59">
        <f>3210000</f>
        <v>3210000</v>
      </c>
      <c r="D6" s="59">
        <v>18860</v>
      </c>
      <c r="E6" s="60">
        <f t="shared" si="0"/>
        <v>170.20148462354189</v>
      </c>
      <c r="F6" s="59">
        <v>31682</v>
      </c>
      <c r="G6" s="55">
        <f t="shared" ref="G6:G7" si="1">E6*F6</f>
        <v>5392323.4358430542</v>
      </c>
    </row>
    <row r="7" spans="2:11">
      <c r="B7" s="58" t="s">
        <v>370</v>
      </c>
      <c r="C7" s="59">
        <f>400000*1.5</f>
        <v>600000</v>
      </c>
      <c r="D7" s="59">
        <v>18860</v>
      </c>
      <c r="E7" s="60">
        <f t="shared" si="0"/>
        <v>31.813361611876989</v>
      </c>
      <c r="F7" s="59">
        <v>29186</v>
      </c>
      <c r="G7" s="55">
        <f t="shared" si="1"/>
        <v>928504.77200424182</v>
      </c>
    </row>
    <row r="8" spans="2:11" ht="16" thickBot="1">
      <c r="B8" s="203" t="s">
        <v>371</v>
      </c>
      <c r="C8" s="204"/>
      <c r="D8" s="204"/>
      <c r="E8" s="204"/>
      <c r="F8" s="204"/>
      <c r="G8" s="138">
        <f>SUM(G4:G7)</f>
        <v>10435020.148462353</v>
      </c>
    </row>
    <row r="9" spans="2:11">
      <c r="B9" s="190" t="s">
        <v>372</v>
      </c>
      <c r="C9" s="191"/>
      <c r="D9" s="191"/>
      <c r="E9" s="191"/>
      <c r="F9" s="191"/>
      <c r="G9" s="192"/>
    </row>
    <row r="10" spans="2:11">
      <c r="B10" s="58" t="s">
        <v>373</v>
      </c>
      <c r="C10" s="59">
        <f>3030000*1.5</f>
        <v>4545000</v>
      </c>
      <c r="D10" s="59">
        <v>18860</v>
      </c>
      <c r="E10" s="60">
        <f t="shared" si="0"/>
        <v>240.98621420996818</v>
      </c>
      <c r="F10" s="59">
        <v>31431</v>
      </c>
      <c r="G10" s="55">
        <f t="shared" ref="G10:G14" si="2">E10*F10</f>
        <v>7574437.6988335103</v>
      </c>
      <c r="K10" s="27"/>
    </row>
    <row r="11" spans="2:11">
      <c r="B11" s="58" t="s">
        <v>374</v>
      </c>
      <c r="C11" s="59">
        <v>5470000</v>
      </c>
      <c r="D11" s="59">
        <v>18860</v>
      </c>
      <c r="E11" s="60">
        <f>C11/D11</f>
        <v>290.03181336161185</v>
      </c>
      <c r="F11" s="59">
        <v>25729</v>
      </c>
      <c r="G11" s="55">
        <f t="shared" si="2"/>
        <v>7462228.5259809112</v>
      </c>
    </row>
    <row r="12" spans="2:11">
      <c r="B12" s="58" t="s">
        <v>375</v>
      </c>
      <c r="C12" s="59">
        <v>440000</v>
      </c>
      <c r="D12" s="59">
        <v>18860</v>
      </c>
      <c r="E12" s="60">
        <f t="shared" si="0"/>
        <v>23.329798515376456</v>
      </c>
      <c r="F12" s="59">
        <v>27416</v>
      </c>
      <c r="G12" s="55">
        <f t="shared" si="2"/>
        <v>639609.75609756098</v>
      </c>
    </row>
    <row r="13" spans="2:11">
      <c r="B13" s="58" t="s">
        <v>376</v>
      </c>
      <c r="C13" s="59">
        <f>1960000</f>
        <v>1960000</v>
      </c>
      <c r="D13" s="59">
        <v>18860</v>
      </c>
      <c r="E13" s="60">
        <f t="shared" si="0"/>
        <v>103.9236479321315</v>
      </c>
      <c r="F13" s="59">
        <v>32152</v>
      </c>
      <c r="G13" s="55">
        <f t="shared" si="2"/>
        <v>3341353.1283138921</v>
      </c>
    </row>
    <row r="14" spans="2:11">
      <c r="B14" s="58" t="s">
        <v>377</v>
      </c>
      <c r="C14" s="59">
        <v>530000</v>
      </c>
      <c r="D14" s="59">
        <v>18860</v>
      </c>
      <c r="E14" s="60">
        <v>28.101802757158005</v>
      </c>
      <c r="F14" s="59">
        <v>31963</v>
      </c>
      <c r="G14" s="55">
        <f t="shared" si="2"/>
        <v>898217.92152704136</v>
      </c>
    </row>
    <row r="15" spans="2:11" ht="16" thickBot="1">
      <c r="B15" s="203" t="s">
        <v>378</v>
      </c>
      <c r="C15" s="204"/>
      <c r="D15" s="204"/>
      <c r="E15" s="204"/>
      <c r="F15" s="204"/>
      <c r="G15" s="138">
        <f>SUM(G10:G14)</f>
        <v>19915847.03075292</v>
      </c>
    </row>
    <row r="16" spans="2:11" ht="16" thickBot="1">
      <c r="B16" s="205" t="s">
        <v>379</v>
      </c>
      <c r="C16" s="206"/>
      <c r="D16" s="206"/>
      <c r="E16" s="206"/>
      <c r="F16" s="207"/>
      <c r="G16" s="139">
        <f>SUM(G8,G15)</f>
        <v>30350867.179215275</v>
      </c>
    </row>
    <row r="17" spans="2:7">
      <c r="B17" s="15"/>
      <c r="C17" s="15"/>
      <c r="D17" s="15"/>
      <c r="E17" s="15"/>
      <c r="F17" s="15"/>
      <c r="G17" s="15"/>
    </row>
    <row r="18" spans="2:7" ht="49.5" customHeight="1">
      <c r="B18" s="187" t="s">
        <v>474</v>
      </c>
      <c r="C18" s="188"/>
      <c r="D18" s="188"/>
      <c r="E18" s="188"/>
      <c r="F18" s="188"/>
      <c r="G18" s="189"/>
    </row>
    <row r="19" spans="2:7" ht="16" thickBot="1">
      <c r="B19" s="140"/>
      <c r="C19" s="140"/>
      <c r="D19" s="140"/>
      <c r="E19" s="140"/>
      <c r="F19" s="140"/>
      <c r="G19" s="140"/>
    </row>
    <row r="20" spans="2:7" ht="49" thickBot="1">
      <c r="B20" s="133" t="s">
        <v>360</v>
      </c>
      <c r="C20" s="134" t="s">
        <v>361</v>
      </c>
      <c r="D20" s="135" t="s">
        <v>362</v>
      </c>
      <c r="E20" s="134" t="s">
        <v>363</v>
      </c>
      <c r="F20" s="136" t="s">
        <v>380</v>
      </c>
      <c r="G20" s="137" t="s">
        <v>381</v>
      </c>
    </row>
    <row r="21" spans="2:7">
      <c r="B21" s="193" t="s">
        <v>366</v>
      </c>
      <c r="C21" s="194"/>
      <c r="D21" s="194"/>
      <c r="E21" s="194"/>
      <c r="F21" s="194"/>
      <c r="G21" s="195"/>
    </row>
    <row r="22" spans="2:7">
      <c r="B22" s="56" t="s">
        <v>368</v>
      </c>
      <c r="C22" s="59">
        <v>1630000</v>
      </c>
      <c r="D22" s="59">
        <v>18860</v>
      </c>
      <c r="E22" s="60">
        <f t="shared" ref="E22" si="3">C22/D22</f>
        <v>86.426299045599151</v>
      </c>
      <c r="F22" s="59">
        <v>283</v>
      </c>
      <c r="G22" s="141">
        <f>E22*F22</f>
        <v>24458.64262990456</v>
      </c>
    </row>
    <row r="23" spans="2:7">
      <c r="B23" s="56" t="s">
        <v>369</v>
      </c>
      <c r="C23" s="59">
        <v>3210000</v>
      </c>
      <c r="D23" s="59">
        <v>18860</v>
      </c>
      <c r="E23" s="60">
        <v>170.20148462354189</v>
      </c>
      <c r="F23" s="59">
        <v>283</v>
      </c>
      <c r="G23" s="61">
        <f t="shared" ref="G23:G31" si="4">E23*F23</f>
        <v>48167.020148462354</v>
      </c>
    </row>
    <row r="24" spans="2:7">
      <c r="B24" s="56" t="s">
        <v>370</v>
      </c>
      <c r="C24" s="59">
        <v>100000</v>
      </c>
      <c r="D24" s="59">
        <v>18860</v>
      </c>
      <c r="E24" s="60">
        <v>5.3022269353128317</v>
      </c>
      <c r="F24" s="59">
        <v>283</v>
      </c>
      <c r="G24" s="61">
        <f t="shared" si="4"/>
        <v>1500.5302226935314</v>
      </c>
    </row>
    <row r="25" spans="2:7" ht="16" thickBot="1">
      <c r="B25" s="196" t="s">
        <v>371</v>
      </c>
      <c r="C25" s="197"/>
      <c r="D25" s="197"/>
      <c r="E25" s="197"/>
      <c r="F25" s="197"/>
      <c r="G25" s="138">
        <f>SUM(G22:G24)</f>
        <v>74126.193001060441</v>
      </c>
    </row>
    <row r="26" spans="2:7">
      <c r="B26" s="190" t="s">
        <v>372</v>
      </c>
      <c r="C26" s="191"/>
      <c r="D26" s="191"/>
      <c r="E26" s="191"/>
      <c r="F26" s="191"/>
      <c r="G26" s="192"/>
    </row>
    <row r="27" spans="2:7">
      <c r="B27" s="56" t="s">
        <v>373</v>
      </c>
      <c r="C27" s="59">
        <v>3030000</v>
      </c>
      <c r="D27" s="59">
        <v>18860</v>
      </c>
      <c r="E27" s="60">
        <f t="shared" ref="E27:E30" si="5">C27/D27</f>
        <v>160.6574761399788</v>
      </c>
      <c r="F27" s="59">
        <v>283</v>
      </c>
      <c r="G27" s="61">
        <f t="shared" si="4"/>
        <v>45466.065747613997</v>
      </c>
    </row>
    <row r="28" spans="2:7">
      <c r="B28" s="56" t="s">
        <v>382</v>
      </c>
      <c r="C28" s="59">
        <v>5470000</v>
      </c>
      <c r="D28" s="59">
        <v>18860</v>
      </c>
      <c r="E28" s="60">
        <f t="shared" si="5"/>
        <v>290.03181336161185</v>
      </c>
      <c r="F28" s="59">
        <v>283</v>
      </c>
      <c r="G28" s="61">
        <f t="shared" si="4"/>
        <v>82079.003181336157</v>
      </c>
    </row>
    <row r="29" spans="2:7">
      <c r="B29" s="56" t="s">
        <v>375</v>
      </c>
      <c r="C29" s="59">
        <v>440000</v>
      </c>
      <c r="D29" s="59">
        <v>18860</v>
      </c>
      <c r="E29" s="60">
        <f t="shared" si="5"/>
        <v>23.329798515376456</v>
      </c>
      <c r="F29" s="59">
        <v>283</v>
      </c>
      <c r="G29" s="61">
        <f t="shared" si="4"/>
        <v>6602.3329798515369</v>
      </c>
    </row>
    <row r="30" spans="2:7">
      <c r="B30" s="56" t="s">
        <v>376</v>
      </c>
      <c r="C30" s="59">
        <v>1960000</v>
      </c>
      <c r="D30" s="59">
        <v>18860</v>
      </c>
      <c r="E30" s="60">
        <f t="shared" si="5"/>
        <v>103.9236479321315</v>
      </c>
      <c r="F30" s="59">
        <v>283</v>
      </c>
      <c r="G30" s="61">
        <f t="shared" si="4"/>
        <v>29410.392364793213</v>
      </c>
    </row>
    <row r="31" spans="2:7">
      <c r="B31" s="56" t="s">
        <v>377</v>
      </c>
      <c r="C31" s="59">
        <v>530000</v>
      </c>
      <c r="D31" s="59">
        <v>18860</v>
      </c>
      <c r="E31" s="60">
        <v>28.101802757158005</v>
      </c>
      <c r="F31" s="59">
        <v>283</v>
      </c>
      <c r="G31" s="61">
        <f t="shared" si="4"/>
        <v>7952.8101802757155</v>
      </c>
    </row>
    <row r="32" spans="2:7" ht="16" thickBot="1">
      <c r="B32" s="198" t="s">
        <v>378</v>
      </c>
      <c r="C32" s="199"/>
      <c r="D32" s="199"/>
      <c r="E32" s="199"/>
      <c r="F32" s="199"/>
      <c r="G32" s="142">
        <f>SUM(G27:G31)</f>
        <v>171510.60445387062</v>
      </c>
    </row>
    <row r="33" spans="2:7" ht="16" thickBot="1">
      <c r="B33" s="200" t="s">
        <v>383</v>
      </c>
      <c r="C33" s="201"/>
      <c r="D33" s="201"/>
      <c r="E33" s="201"/>
      <c r="F33" s="202"/>
      <c r="G33" s="139">
        <f>SUM(G25,G32)</f>
        <v>245636.79745493107</v>
      </c>
    </row>
    <row r="34" spans="2:7">
      <c r="B34" s="15"/>
      <c r="C34" s="15"/>
      <c r="D34" s="15"/>
      <c r="E34" s="15"/>
      <c r="F34" s="15"/>
      <c r="G34" s="15"/>
    </row>
    <row r="35" spans="2:7" ht="76.5" customHeight="1">
      <c r="B35" s="187" t="s">
        <v>461</v>
      </c>
      <c r="C35" s="188"/>
      <c r="D35" s="188"/>
      <c r="E35" s="188"/>
      <c r="F35" s="188"/>
      <c r="G35" s="189"/>
    </row>
    <row r="36" spans="2:7" ht="60" customHeight="1">
      <c r="B36" s="186" t="s">
        <v>539</v>
      </c>
      <c r="C36" s="186"/>
      <c r="D36" s="186"/>
      <c r="E36" s="186"/>
      <c r="F36" s="186"/>
      <c r="G36" s="186"/>
    </row>
  </sheetData>
  <mergeCells count="13">
    <mergeCell ref="B18:G18"/>
    <mergeCell ref="B3:G3"/>
    <mergeCell ref="B9:G9"/>
    <mergeCell ref="B8:F8"/>
    <mergeCell ref="B15:F15"/>
    <mergeCell ref="B16:F16"/>
    <mergeCell ref="B36:G36"/>
    <mergeCell ref="B35:G35"/>
    <mergeCell ref="B26:G26"/>
    <mergeCell ref="B21:G21"/>
    <mergeCell ref="B25:F25"/>
    <mergeCell ref="B32:F32"/>
    <mergeCell ref="B33:F33"/>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8E074C2-B19D-403B-B503-157576BF10D0}">
  <dimension ref="B1:O43"/>
  <sheetViews>
    <sheetView topLeftCell="A15" workbookViewId="0">
      <selection activeCell="L26" sqref="L26"/>
    </sheetView>
  </sheetViews>
  <sheetFormatPr baseColWidth="10" defaultColWidth="8.83203125" defaultRowHeight="15"/>
  <cols>
    <col min="2" max="2" width="12" bestFit="1" customWidth="1"/>
    <col min="3" max="3" width="35.1640625" bestFit="1" customWidth="1"/>
    <col min="4" max="4" width="15.5" bestFit="1" customWidth="1"/>
    <col min="5" max="5" width="14.5" bestFit="1" customWidth="1"/>
    <col min="6" max="9" width="11.33203125" bestFit="1" customWidth="1"/>
    <col min="10" max="11" width="12.33203125" bestFit="1" customWidth="1"/>
    <col min="12" max="12" width="18.5" bestFit="1" customWidth="1"/>
    <col min="13" max="13" width="9.5" bestFit="1" customWidth="1"/>
    <col min="14" max="14" width="29.6640625" bestFit="1" customWidth="1"/>
    <col min="15" max="15" width="11.33203125" bestFit="1" customWidth="1"/>
  </cols>
  <sheetData>
    <row r="1" spans="2:15">
      <c r="M1" s="15"/>
      <c r="N1" s="15"/>
      <c r="O1" s="15"/>
    </row>
    <row r="2" spans="2:15">
      <c r="B2" s="20" t="s">
        <v>267</v>
      </c>
      <c r="C2" s="20" t="s">
        <v>384</v>
      </c>
      <c r="D2" s="20" t="s">
        <v>5</v>
      </c>
      <c r="E2" s="20" t="s">
        <v>6</v>
      </c>
      <c r="F2" s="20" t="s">
        <v>7</v>
      </c>
      <c r="G2" s="20" t="s">
        <v>8</v>
      </c>
      <c r="H2" s="20" t="s">
        <v>9</v>
      </c>
      <c r="I2" s="20" t="s">
        <v>10</v>
      </c>
      <c r="J2" s="22" t="s">
        <v>385</v>
      </c>
      <c r="L2" s="43"/>
      <c r="M2" s="43"/>
      <c r="N2" s="15"/>
      <c r="O2" s="15"/>
    </row>
    <row r="3" spans="2:15">
      <c r="B3" s="208" t="s">
        <v>386</v>
      </c>
      <c r="C3" s="209"/>
      <c r="D3" s="63">
        <f>SUM(D4:D10)</f>
        <v>4669079.2896588901</v>
      </c>
      <c r="E3" s="63">
        <f t="shared" ref="E3:I3" si="0">SUM(E4:E10)</f>
        <v>6262289.9369017314</v>
      </c>
      <c r="F3" s="63">
        <f t="shared" si="0"/>
        <v>3463096.8142453162</v>
      </c>
      <c r="G3" s="63">
        <f t="shared" si="0"/>
        <v>3562785.6442205724</v>
      </c>
      <c r="H3" s="63">
        <f t="shared" si="0"/>
        <v>3562785.6442205724</v>
      </c>
      <c r="I3" s="63">
        <f t="shared" si="0"/>
        <v>3562785.6442205724</v>
      </c>
      <c r="J3" s="63">
        <f>SUM(D3:I3)</f>
        <v>25082822.973467655</v>
      </c>
      <c r="L3" s="84"/>
      <c r="M3" s="85"/>
      <c r="N3" s="95"/>
      <c r="O3" s="15"/>
    </row>
    <row r="4" spans="2:15">
      <c r="B4" s="1">
        <v>1</v>
      </c>
      <c r="C4" s="1" t="s">
        <v>351</v>
      </c>
      <c r="D4" s="24">
        <f>SUMIFS('Detailed Budget'!H4:H59, 'Detailed Budget'!$D$4:$D$59, "GCF", 'Detailed Budget'!$E$4:$E$59, "Staff cost")</f>
        <v>0</v>
      </c>
      <c r="E4" s="24">
        <f>SUMIFS('Detailed Budget'!I4:I59, 'Detailed Budget'!$D$4:$D$59, "GCF", 'Detailed Budget'!$E$4:$E$59, "Staff cost")</f>
        <v>0</v>
      </c>
      <c r="F4" s="24">
        <f>SUMIFS('Detailed Budget'!J4:J59, 'Detailed Budget'!$D$4:$D$59, "GCF", 'Detailed Budget'!$E$4:$E$59, "Staff cost")</f>
        <v>0</v>
      </c>
      <c r="G4" s="24">
        <f>SUMIFS('Detailed Budget'!K4:K59, 'Detailed Budget'!$D$4:$D$59, "GCF", 'Detailed Budget'!$E$4:$E$59, "Staff cost")</f>
        <v>0</v>
      </c>
      <c r="H4" s="24">
        <f>SUMIFS('Detailed Budget'!L4:L59, 'Detailed Budget'!$D$4:$D$59, "GCF", 'Detailed Budget'!$E$4:$E$59, "Staff cost")</f>
        <v>0</v>
      </c>
      <c r="I4" s="24">
        <f>SUMIFS('Detailed Budget'!M4:M59, 'Detailed Budget'!$D$4:$D$59, "GCF", 'Detailed Budget'!$E$4:$E$59, "Staff cost")</f>
        <v>0</v>
      </c>
      <c r="J4" s="23">
        <f t="shared" ref="J4:J26" si="1">SUM(D4:I4)</f>
        <v>0</v>
      </c>
      <c r="K4" s="15"/>
      <c r="L4" s="83"/>
      <c r="M4" s="86"/>
      <c r="N4" s="96"/>
      <c r="O4" s="75"/>
    </row>
    <row r="5" spans="2:15">
      <c r="B5" s="1">
        <v>1</v>
      </c>
      <c r="C5" s="1" t="s">
        <v>291</v>
      </c>
      <c r="D5" s="24">
        <f>SUMIFS('Detailed Budget'!H4:H59, 'Detailed Budget'!$D$4:$D$59, "GCF", 'Detailed Budget'!$E$4:$E$59, "Local consultants")</f>
        <v>157500</v>
      </c>
      <c r="E5" s="24">
        <f>SUMIFS('Detailed Budget'!I4:I59, 'Detailed Budget'!$D$4:$D$59, "GCF", 'Detailed Budget'!$E$4:$E$59, "Local consultants")</f>
        <v>11250</v>
      </c>
      <c r="F5" s="24">
        <f>SUMIFS('Detailed Budget'!J4:J59, 'Detailed Budget'!$D$4:$D$59, "GCF", 'Detailed Budget'!$E$4:$E$59, "Local consultants")</f>
        <v>0</v>
      </c>
      <c r="G5" s="24">
        <f>SUMIFS('Detailed Budget'!K4:K59, 'Detailed Budget'!$D$4:$D$59, "GCF", 'Detailed Budget'!$E$4:$E$59, "Local consultants")</f>
        <v>0</v>
      </c>
      <c r="H5" s="24">
        <f>SUMIFS('Detailed Budget'!L4:L59, 'Detailed Budget'!$D$4:$D$59, "GCF", 'Detailed Budget'!$E$4:$E$59, "Local consultants")</f>
        <v>0</v>
      </c>
      <c r="I5" s="24">
        <f>SUMIFS('Detailed Budget'!M4:M59, 'Detailed Budget'!$D$4:$D$59, "GCF", 'Detailed Budget'!$E$4:$E$59, "Local consultants")</f>
        <v>0</v>
      </c>
      <c r="J5" s="23">
        <f t="shared" si="1"/>
        <v>168750</v>
      </c>
      <c r="K5" s="15"/>
      <c r="L5" s="41"/>
      <c r="M5" s="15"/>
      <c r="N5" s="15"/>
      <c r="O5" s="15"/>
    </row>
    <row r="6" spans="2:15">
      <c r="B6" s="1">
        <v>1</v>
      </c>
      <c r="C6" s="1" t="s">
        <v>288</v>
      </c>
      <c r="D6" s="24">
        <f>SUMIFS('Detailed Budget'!H4:H59, 'Detailed Budget'!$D$4:$D$59, "GCF", 'Detailed Budget'!$E$4:$E$59, "International consultant")</f>
        <v>20250</v>
      </c>
      <c r="E6" s="24">
        <f>SUMIFS('Detailed Budget'!I4:I59, 'Detailed Budget'!$D$4:$D$59, "GCF", 'Detailed Budget'!$E$4:$E$59, "International consultant")</f>
        <v>0</v>
      </c>
      <c r="F6" s="24">
        <f>SUMIFS('Detailed Budget'!J4:J59, 'Detailed Budget'!$D$4:$D$59, "GCF", 'Detailed Budget'!$E$4:$E$59, "International consultant")</f>
        <v>0</v>
      </c>
      <c r="G6" s="24">
        <f>SUMIFS('Detailed Budget'!K4:K59, 'Detailed Budget'!$D$4:$D$59, "GCF", 'Detailed Budget'!$E$4:$E$59, "International consultant")</f>
        <v>0</v>
      </c>
      <c r="H6" s="24">
        <f>SUMIFS('Detailed Budget'!L4:L59, 'Detailed Budget'!$D$4:$D$59, "GCF", 'Detailed Budget'!$E$4:$E$59, "International consultant")</f>
        <v>0</v>
      </c>
      <c r="I6" s="24">
        <f>SUMIFS('Detailed Budget'!M4:M59, 'Detailed Budget'!$D$4:$D$59, "GCF", 'Detailed Budget'!$E$4:$E$59, "International consultant")</f>
        <v>0</v>
      </c>
      <c r="J6" s="23">
        <f t="shared" si="1"/>
        <v>20250</v>
      </c>
      <c r="K6" s="15"/>
      <c r="L6" s="41"/>
      <c r="N6" s="45"/>
    </row>
    <row r="7" spans="2:15">
      <c r="B7" s="1">
        <v>1</v>
      </c>
      <c r="C7" s="1" t="s">
        <v>302</v>
      </c>
      <c r="D7" s="24">
        <f>SUMIFS('Detailed Budget'!H4:H59, 'Detailed Budget'!$D$4:$D$59, "GCF", 'Detailed Budget'!$E$4:$E$59, "Equipment")</f>
        <v>0</v>
      </c>
      <c r="E7" s="24">
        <f>SUMIFS('Detailed Budget'!I4:I59, 'Detailed Budget'!$D$4:$D$59, "GCF", 'Detailed Budget'!$E$4:$E$59, "Equipment")</f>
        <v>6602.3329798515369</v>
      </c>
      <c r="F7" s="24">
        <f>SUMIFS('Detailed Budget'!J4:J59, 'Detailed Budget'!$D$4:$D$59, "GCF", 'Detailed Budget'!$E$4:$E$59, "Equipment")</f>
        <v>0</v>
      </c>
      <c r="G7" s="24">
        <f>SUMIFS('Detailed Budget'!K4:K59, 'Detailed Budget'!$D$4:$D$59, "GCF", 'Detailed Budget'!$E$4:$E$59, "Equipment")</f>
        <v>213203.25203252034</v>
      </c>
      <c r="H7" s="24">
        <f>SUMIFS('Detailed Budget'!L4:L59, 'Detailed Budget'!$D$4:$D$59, "GCF", 'Detailed Budget'!$E$4:$E$59, "Equipment")</f>
        <v>213203.25203252034</v>
      </c>
      <c r="I7" s="24">
        <f>SUMIFS('Detailed Budget'!M4:M59, 'Detailed Budget'!$D$4:$D$59, "GCF", 'Detailed Budget'!$E$4:$E$59, "Equipment")</f>
        <v>213203.25203252034</v>
      </c>
      <c r="J7" s="23">
        <f t="shared" si="1"/>
        <v>646212.08907741262</v>
      </c>
      <c r="K7" s="15"/>
      <c r="L7" s="76"/>
    </row>
    <row r="8" spans="2:15">
      <c r="B8" s="1">
        <v>1</v>
      </c>
      <c r="C8" s="1" t="s">
        <v>293</v>
      </c>
      <c r="D8" s="24">
        <f>SUMIFS('Detailed Budget'!H4:H59, 'Detailed Budget'!$D$4:$D$59, "GCF", 'Detailed Budget'!$E$4:$E$59, "Training, workshops, and conferences")</f>
        <v>67500</v>
      </c>
      <c r="E8" s="24">
        <f>SUMIFS('Detailed Budget'!I4:I59, 'Detailed Budget'!$D$4:$D$59, "GCF", 'Detailed Budget'!$E$4:$E$59, "Training, workshops, and conferences")</f>
        <v>30000</v>
      </c>
      <c r="F8" s="24">
        <f>SUMIFS('Detailed Budget'!J4:J59, 'Detailed Budget'!$D$4:$D$59, "GCF", 'Detailed Budget'!$E$4:$E$59, "Training, workshops, and conferences")</f>
        <v>11250</v>
      </c>
      <c r="G8" s="24">
        <f>SUMIFS('Detailed Budget'!K4:K59, 'Detailed Budget'!$D$4:$D$59, "GCF", 'Detailed Budget'!$E$4:$E$59, "Training, workshops, and conferences")</f>
        <v>11250</v>
      </c>
      <c r="H8" s="24">
        <f>SUMIFS('Detailed Budget'!L4:L59, 'Detailed Budget'!$D$4:$D$59, "GCF", 'Detailed Budget'!$E$4:$E$59, "Training, workshops, and conferences")</f>
        <v>11250</v>
      </c>
      <c r="I8" s="24">
        <f>SUMIFS('Detailed Budget'!M4:M59, 'Detailed Budget'!$D$4:$D$59, "GCF", 'Detailed Budget'!$E$4:$E$59, "Training, workshops, and conferences")</f>
        <v>11250</v>
      </c>
      <c r="J8" s="23">
        <f t="shared" si="1"/>
        <v>142500</v>
      </c>
      <c r="K8" s="15"/>
      <c r="L8" s="76"/>
    </row>
    <row r="9" spans="2:15">
      <c r="B9" s="1">
        <v>1</v>
      </c>
      <c r="C9" s="1" t="s">
        <v>292</v>
      </c>
      <c r="D9" s="24">
        <f>SUMIFS('Detailed Budget'!H4:H59, 'Detailed Budget'!$D$4:$D$59, "GCF", 'Detailed Budget'!$E$4:$E$59, "Travel")</f>
        <v>66060</v>
      </c>
      <c r="E9" s="24">
        <f>SUMIFS('Detailed Budget'!I4:I59, 'Detailed Budget'!$D$4:$D$59, "GCF", 'Detailed Budget'!$E$4:$E$59, "Travel")</f>
        <v>3900</v>
      </c>
      <c r="F9" s="24">
        <f>SUMIFS('Detailed Budget'!J4:J59, 'Detailed Budget'!$D$4:$D$59, "GCF", 'Detailed Budget'!$E$4:$E$59, "Travel")</f>
        <v>0</v>
      </c>
      <c r="G9" s="24">
        <f>SUMIFS('Detailed Budget'!K4:K59, 'Detailed Budget'!$D$4:$D$59, "GCF", 'Detailed Budget'!$E$4:$E$59, "Travel")</f>
        <v>0</v>
      </c>
      <c r="H9" s="24">
        <f>SUMIFS('Detailed Budget'!L4:L59, 'Detailed Budget'!$D$4:$D$59, "GCF", 'Detailed Budget'!$E$4:$E$59, "Travel")</f>
        <v>0</v>
      </c>
      <c r="I9" s="24">
        <f>SUMIFS('Detailed Budget'!M4:M59, 'Detailed Budget'!$D$4:$D$59, "GCF", 'Detailed Budget'!$E$4:$E$59, "Travel")</f>
        <v>0</v>
      </c>
      <c r="J9" s="23">
        <f t="shared" si="1"/>
        <v>69960</v>
      </c>
      <c r="K9" s="15"/>
      <c r="L9" s="76"/>
    </row>
    <row r="10" spans="2:15">
      <c r="B10" s="1">
        <v>1</v>
      </c>
      <c r="C10" s="1" t="s">
        <v>286</v>
      </c>
      <c r="D10" s="24">
        <f>SUMIFS('Detailed Budget'!H4:H59, 'Detailed Budget'!$D$4:$D$59, "GCF", 'Detailed Budget'!$E$4:$E$59, "Professional or contractual services ")</f>
        <v>4357769.2896588901</v>
      </c>
      <c r="E10" s="24">
        <f>SUMIFS('Detailed Budget'!I4:I59, 'Detailed Budget'!$D$4:$D$59, "GCF", 'Detailed Budget'!$E$4:$E$59, "Professional or contractual services ")</f>
        <v>6210537.60392188</v>
      </c>
      <c r="F10" s="24">
        <f>SUMIFS('Detailed Budget'!J4:J59, 'Detailed Budget'!$D$4:$D$59, "GCF", 'Detailed Budget'!$E$4:$E$59, "Professional or contractual services ")</f>
        <v>3451846.8142453162</v>
      </c>
      <c r="G10" s="24">
        <f>SUMIFS('Detailed Budget'!K4:K59, 'Detailed Budget'!$D$4:$D$59, "GCF", 'Detailed Budget'!$E$4:$E$59, "Professional or contractual services ")</f>
        <v>3338332.3921880522</v>
      </c>
      <c r="H10" s="24">
        <f>SUMIFS('Detailed Budget'!L4:L59, 'Detailed Budget'!$D$4:$D$59, "GCF", 'Detailed Budget'!$E$4:$E$59, "Professional or contractual services ")</f>
        <v>3338332.3921880522</v>
      </c>
      <c r="I10" s="24">
        <f>SUMIFS('Detailed Budget'!M4:M59, 'Detailed Budget'!$D$4:$D$59, "GCF", 'Detailed Budget'!$E$4:$E$59, "Professional or contractual services ")</f>
        <v>3338332.3921880522</v>
      </c>
      <c r="J10" s="23">
        <f>SUM(D10:I10)</f>
        <v>24035150.884390246</v>
      </c>
      <c r="K10" s="15"/>
      <c r="L10" s="76"/>
    </row>
    <row r="11" spans="2:15">
      <c r="B11" s="208" t="s">
        <v>387</v>
      </c>
      <c r="C11" s="209"/>
      <c r="D11" s="63">
        <f>SUM(D12:D18)</f>
        <v>430890</v>
      </c>
      <c r="E11" s="63">
        <f t="shared" ref="E11:J11" si="2">SUM(E12:E18)</f>
        <v>650300</v>
      </c>
      <c r="F11" s="63">
        <f t="shared" si="2"/>
        <v>452700</v>
      </c>
      <c r="G11" s="63">
        <f t="shared" si="2"/>
        <v>448950</v>
      </c>
      <c r="H11" s="63">
        <f t="shared" si="2"/>
        <v>448950</v>
      </c>
      <c r="I11" s="63">
        <f t="shared" si="2"/>
        <v>448950</v>
      </c>
      <c r="J11" s="63">
        <f t="shared" si="2"/>
        <v>2880740</v>
      </c>
      <c r="K11" s="71"/>
      <c r="L11" s="76"/>
    </row>
    <row r="12" spans="2:15">
      <c r="B12" s="1">
        <v>2</v>
      </c>
      <c r="C12" s="1" t="s">
        <v>351</v>
      </c>
      <c r="D12" s="48">
        <f>SUMIFS('Detailed Budget'!H64:H118, 'Detailed Budget'!$D$64:$D$118, "GCF", 'Detailed Budget'!$E$64:$E$118, "Staff cost")</f>
        <v>0</v>
      </c>
      <c r="E12" s="48">
        <f>SUMIFS('Detailed Budget'!I64:I118, 'Detailed Budget'!$D$64:$D$118, "GCF", 'Detailed Budget'!$E$64:$E$118, "Staff cost")</f>
        <v>0</v>
      </c>
      <c r="F12" s="48">
        <f>SUMIFS('Detailed Budget'!J64:J118, 'Detailed Budget'!$D$64:$D$118, "GCF", 'Detailed Budget'!$E$64:$E$118, "Staff cost")</f>
        <v>0</v>
      </c>
      <c r="G12" s="48">
        <f>SUMIFS('Detailed Budget'!K64:K118, 'Detailed Budget'!$D$64:$D$118, "GCF", 'Detailed Budget'!$E$64:$E$118, "Staff cost")</f>
        <v>0</v>
      </c>
      <c r="H12" s="48">
        <f>SUMIFS('Detailed Budget'!L64:L118, 'Detailed Budget'!$D$64:$D$118, "GCF", 'Detailed Budget'!$E$64:$E$118, "Staff cost")</f>
        <v>0</v>
      </c>
      <c r="I12" s="48">
        <f>SUMIFS('Detailed Budget'!M64:M118, 'Detailed Budget'!$D$64:$D$118, "GCF", 'Detailed Budget'!$E$64:$E$118, "Staff cost")</f>
        <v>0</v>
      </c>
      <c r="J12" s="23">
        <f>SUM(D12:I12)</f>
        <v>0</v>
      </c>
      <c r="K12" s="15"/>
      <c r="L12" s="76"/>
    </row>
    <row r="13" spans="2:15">
      <c r="B13" s="1">
        <v>2</v>
      </c>
      <c r="C13" s="1" t="s">
        <v>291</v>
      </c>
      <c r="D13" s="48">
        <f>SUMIFS('Detailed Budget'!H64:H118, 'Detailed Budget'!$D$64:$D$118, "GCF", 'Detailed Budget'!$E$64:$E$118, "Local consultants")</f>
        <v>135000</v>
      </c>
      <c r="E13" s="48">
        <f>SUMIFS('Detailed Budget'!I64:I118, 'Detailed Budget'!$D$64:$D$118, "GCF", 'Detailed Budget'!$E$64:$E$118, "Local consultants")</f>
        <v>108000</v>
      </c>
      <c r="F13" s="48">
        <f>SUMIFS('Detailed Budget'!J64:J118, 'Detailed Budget'!$D$64:$D$118, "GCF", 'Detailed Budget'!$E$64:$E$118, "Local consultants")</f>
        <v>87750</v>
      </c>
      <c r="G13" s="48">
        <f>SUMIFS('Detailed Budget'!K64:K118, 'Detailed Budget'!$D$64:$D$118, "GCF", 'Detailed Budget'!$E$64:$E$118, "Local consultants")</f>
        <v>87750</v>
      </c>
      <c r="H13" s="48">
        <f>SUMIFS('Detailed Budget'!L64:L118, 'Detailed Budget'!$D$64:$D$118, "GCF", 'Detailed Budget'!$E$64:$E$118, "Local consultants")</f>
        <v>87750</v>
      </c>
      <c r="I13" s="48">
        <f>SUMIFS('Detailed Budget'!M64:M118, 'Detailed Budget'!$D$64:$D$118, "GCF", 'Detailed Budget'!$E$64:$E$118, "Local consultants")</f>
        <v>87750</v>
      </c>
      <c r="J13" s="23">
        <f t="shared" ref="J13:J18" si="3">SUM(D13:I13)</f>
        <v>594000</v>
      </c>
      <c r="K13" s="15"/>
      <c r="L13" s="76"/>
    </row>
    <row r="14" spans="2:15">
      <c r="B14" s="1">
        <v>2</v>
      </c>
      <c r="C14" s="1" t="s">
        <v>288</v>
      </c>
      <c r="D14" s="48">
        <f>SUMIFS('Detailed Budget'!H64:H118, 'Detailed Budget'!$D$64:$D$118, "GCF", 'Detailed Budget'!$E$64:$E$118, "International consultant")</f>
        <v>105000</v>
      </c>
      <c r="E14" s="48">
        <f>SUMIFS('Detailed Budget'!I64:I118, 'Detailed Budget'!$D$64:$D$118, "GCF", 'Detailed Budget'!$E$64:$E$118, "International consultant")</f>
        <v>60000</v>
      </c>
      <c r="F14" s="48">
        <f>SUMIFS('Detailed Budget'!J64:J118, 'Detailed Budget'!$D$64:$D$118, "GCF", 'Detailed Budget'!$E$64:$E$118, "International consultant")</f>
        <v>15000</v>
      </c>
      <c r="G14" s="48">
        <f>SUMIFS('Detailed Budget'!K64:K118, 'Detailed Budget'!$D$64:$D$118, "GCF", 'Detailed Budget'!$E$64:$E$118, "International consultant")</f>
        <v>15000</v>
      </c>
      <c r="H14" s="48">
        <f>SUMIFS('Detailed Budget'!L64:L118, 'Detailed Budget'!$D$64:$D$118, "GCF", 'Detailed Budget'!$E$64:$E$118, "International consultant")</f>
        <v>15000</v>
      </c>
      <c r="I14" s="48">
        <f>SUMIFS('Detailed Budget'!M64:M118, 'Detailed Budget'!$D$64:$D$118, "GCF", 'Detailed Budget'!$E$64:$E$118, "International consultant")</f>
        <v>15000</v>
      </c>
      <c r="J14" s="23">
        <f t="shared" si="3"/>
        <v>225000</v>
      </c>
      <c r="K14" s="15"/>
      <c r="L14" s="76"/>
    </row>
    <row r="15" spans="2:15">
      <c r="B15" s="1">
        <v>2</v>
      </c>
      <c r="C15" s="1" t="s">
        <v>302</v>
      </c>
      <c r="D15" s="48">
        <f>SUMIFS('Detailed Budget'!H64:H118, 'Detailed Budget'!$D$64:$D$118, "GCF", 'Detailed Budget'!$E$64:$E$118, "Equipment")</f>
        <v>0</v>
      </c>
      <c r="E15" s="48">
        <f>SUMIFS('Detailed Budget'!I64:I118, 'Detailed Budget'!$D$64:$D$118, "GCF", 'Detailed Budget'!$E$64:$E$118, "Equipment")</f>
        <v>0</v>
      </c>
      <c r="F15" s="48">
        <f>SUMIFS('Detailed Budget'!J64:J118, 'Detailed Budget'!$D$64:$D$118, "GCF", 'Detailed Budget'!$E$64:$E$118, "Equipment")</f>
        <v>0</v>
      </c>
      <c r="G15" s="48">
        <f>SUMIFS('Detailed Budget'!K64:K118, 'Detailed Budget'!$D$64:$D$118, "GCF", 'Detailed Budget'!$E$64:$E$118, "Equipment")</f>
        <v>0</v>
      </c>
      <c r="H15" s="48">
        <f>SUMIFS('Detailed Budget'!L64:L118, 'Detailed Budget'!$D$64:$D$118, "GCF", 'Detailed Budget'!$E$64:$E$118, "Equipment")</f>
        <v>0</v>
      </c>
      <c r="I15" s="48">
        <f>SUMIFS('Detailed Budget'!M64:M118, 'Detailed Budget'!$D$64:$D$118, "GCF", 'Detailed Budget'!$E$64:$E$118, "Equipment")</f>
        <v>0</v>
      </c>
      <c r="J15" s="23">
        <f t="shared" si="3"/>
        <v>0</v>
      </c>
      <c r="K15" s="15"/>
      <c r="L15" s="41"/>
    </row>
    <row r="16" spans="2:15">
      <c r="B16" s="1">
        <v>2</v>
      </c>
      <c r="C16" s="1" t="s">
        <v>293</v>
      </c>
      <c r="D16" s="48">
        <f>SUMIFS('Detailed Budget'!H64:H118, 'Detailed Budget'!$D$64:$D$118, "GCF", 'Detailed Budget'!$E$64:$E$118, "Training, workshops, and conferences")</f>
        <v>41250</v>
      </c>
      <c r="E16" s="48">
        <f>SUMIFS('Detailed Budget'!I64:I118, 'Detailed Budget'!$D$64:$D$118, "GCF", 'Detailed Budget'!$E$64:$E$118, "Training, workshops, and conferences")</f>
        <v>79500</v>
      </c>
      <c r="F16" s="48">
        <f>SUMIFS('Detailed Budget'!J64:J118, 'Detailed Budget'!$D$64:$D$118, "GCF", 'Detailed Budget'!$E$64:$E$118, "Training, workshops, and conferences")</f>
        <v>45750</v>
      </c>
      <c r="G16" s="48">
        <f>SUMIFS('Detailed Budget'!K64:K118, 'Detailed Budget'!$D$64:$D$118, "GCF", 'Detailed Budget'!$E$64:$E$118, "Training, workshops, and conferences")</f>
        <v>42000</v>
      </c>
      <c r="H16" s="48">
        <f>SUMIFS('Detailed Budget'!L64:L118, 'Detailed Budget'!$D$64:$D$118, "GCF", 'Detailed Budget'!$E$64:$E$118, "Training, workshops, and conferences")</f>
        <v>42000</v>
      </c>
      <c r="I16" s="48">
        <f>SUMIFS('Detailed Budget'!M64:M118, 'Detailed Budget'!$D$64:$D$118, "GCF", 'Detailed Budget'!$E$64:$E$118, "Training, workshops, and conferences")</f>
        <v>42000</v>
      </c>
      <c r="J16" s="23">
        <f>SUM(D16:I16)</f>
        <v>292500</v>
      </c>
      <c r="K16" s="15"/>
      <c r="L16" s="41"/>
    </row>
    <row r="17" spans="2:12">
      <c r="B17" s="1">
        <v>2</v>
      </c>
      <c r="C17" s="1" t="s">
        <v>292</v>
      </c>
      <c r="D17" s="48">
        <f>SUMIFS('Detailed Budget'!H64:H118, 'Detailed Budget'!$D$64:$D$118, "GCF", 'Detailed Budget'!$E$64:$E$118, "Travel")</f>
        <v>74640</v>
      </c>
      <c r="E17" s="48">
        <f>SUMIFS('Detailed Budget'!I64:I118, 'Detailed Budget'!$D$64:$D$118, "GCF", 'Detailed Budget'!$E$64:$E$118, "Travel")</f>
        <v>52800</v>
      </c>
      <c r="F17" s="48">
        <f>SUMIFS('Detailed Budget'!J64:J118, 'Detailed Budget'!$D$64:$D$118, "GCF", 'Detailed Budget'!$E$64:$E$118, "Travel")</f>
        <v>34200</v>
      </c>
      <c r="G17" s="48">
        <f>SUMIFS('Detailed Budget'!K64:K118, 'Detailed Budget'!$D$64:$D$118, "GCF", 'Detailed Budget'!$E$64:$E$118, "Travel")</f>
        <v>34200</v>
      </c>
      <c r="H17" s="48">
        <f>SUMIFS('Detailed Budget'!L64:L118, 'Detailed Budget'!$D$64:$D$118, "GCF", 'Detailed Budget'!$E$64:$E$118, "Travel")</f>
        <v>34200</v>
      </c>
      <c r="I17" s="48">
        <f>SUMIFS('Detailed Budget'!M64:M118, 'Detailed Budget'!$D$64:$D$118, "GCF", 'Detailed Budget'!$E$64:$E$118, "Travel")</f>
        <v>34200</v>
      </c>
      <c r="J17" s="23">
        <f t="shared" si="3"/>
        <v>264240</v>
      </c>
      <c r="K17" s="15"/>
      <c r="L17" s="41"/>
    </row>
    <row r="18" spans="2:12">
      <c r="B18" s="1">
        <v>2</v>
      </c>
      <c r="C18" s="1" t="s">
        <v>388</v>
      </c>
      <c r="D18" s="48">
        <f>SUMIFS('Detailed Budget'!H64:H118, 'Detailed Budget'!$D$64:$D$118, "GCF", 'Detailed Budget'!$E$64:$E$118, "Professional or contractual services ")</f>
        <v>75000</v>
      </c>
      <c r="E18" s="48">
        <f>SUMIFS('Detailed Budget'!I64:I118, 'Detailed Budget'!$D$64:$D$118, "GCF", 'Detailed Budget'!$E$64:$E$118, "Professional or contractual services ")</f>
        <v>350000</v>
      </c>
      <c r="F18" s="48">
        <f>SUMIFS('Detailed Budget'!J64:J118, 'Detailed Budget'!$D$64:$D$118, "GCF", 'Detailed Budget'!$E$64:$E$118, "Professional or contractual services ")</f>
        <v>270000</v>
      </c>
      <c r="G18" s="48">
        <f>SUMIFS('Detailed Budget'!K64:K118, 'Detailed Budget'!$D$64:$D$118, "GCF", 'Detailed Budget'!$E$64:$E$118, "Professional or contractual services ")</f>
        <v>270000</v>
      </c>
      <c r="H18" s="48">
        <f>SUMIFS('Detailed Budget'!L64:L118, 'Detailed Budget'!$D$64:$D$118, "GCF", 'Detailed Budget'!$E$64:$E$118, "Professional or contractual services ")</f>
        <v>270000</v>
      </c>
      <c r="I18" s="48">
        <f>SUMIFS('Detailed Budget'!M64:M118, 'Detailed Budget'!$D$64:$D$118, "GCF", 'Detailed Budget'!$E$64:$E$118, "Professional or contractual services ")</f>
        <v>270000</v>
      </c>
      <c r="J18" s="23">
        <f t="shared" si="3"/>
        <v>1505000</v>
      </c>
      <c r="K18" s="15"/>
      <c r="L18" s="41"/>
    </row>
    <row r="19" spans="2:12">
      <c r="B19" s="208" t="s">
        <v>389</v>
      </c>
      <c r="C19" s="209"/>
      <c r="D19" s="63">
        <f>SUM(D20:D26)</f>
        <v>40620</v>
      </c>
      <c r="E19" s="63">
        <f t="shared" ref="E19:J19" si="4">SUM(E20:E26)</f>
        <v>497216</v>
      </c>
      <c r="F19" s="63">
        <f t="shared" si="4"/>
        <v>52044</v>
      </c>
      <c r="G19" s="63">
        <f t="shared" si="4"/>
        <v>52044</v>
      </c>
      <c r="H19" s="63">
        <f t="shared" si="4"/>
        <v>52044</v>
      </c>
      <c r="I19" s="63">
        <f t="shared" si="4"/>
        <v>52044</v>
      </c>
      <c r="J19" s="63">
        <f t="shared" si="4"/>
        <v>746012</v>
      </c>
      <c r="K19" s="71"/>
      <c r="L19" s="41"/>
    </row>
    <row r="20" spans="2:12">
      <c r="B20" s="1">
        <v>3</v>
      </c>
      <c r="C20" s="1" t="s">
        <v>351</v>
      </c>
      <c r="D20" s="48">
        <f>SUMIFS('Detailed Budget'!H123:H158, 'Detailed Budget'!$D$123:$D$158, "GCF", 'Detailed Budget'!$E$123:$E$158, "Staff cost")</f>
        <v>0</v>
      </c>
      <c r="E20" s="48">
        <f>SUMIFS('Detailed Budget'!I123:I158, 'Detailed Budget'!$D$123:$D$158, "GCF", 'Detailed Budget'!$E$123:$E$158, "Staff cost")</f>
        <v>0</v>
      </c>
      <c r="F20" s="48">
        <f>SUMIFS('Detailed Budget'!J123:J158, 'Detailed Budget'!$D$123:$D$158, "GCF", 'Detailed Budget'!$E$123:$E$158, "Staff cost")</f>
        <v>0</v>
      </c>
      <c r="G20" s="48">
        <f>SUMIFS('Detailed Budget'!K123:K158, 'Detailed Budget'!$D$123:$D$158, "GCF", 'Detailed Budget'!$E$123:$E$158, "Staff cost")</f>
        <v>0</v>
      </c>
      <c r="H20" s="48">
        <f>SUMIFS('Detailed Budget'!L123:L158, 'Detailed Budget'!$D$123:$D$158, "GCF", 'Detailed Budget'!$E$123:$E$158, "Staff cost")</f>
        <v>0</v>
      </c>
      <c r="I20" s="48">
        <f>SUMIFS('Detailed Budget'!M123:M158, 'Detailed Budget'!$D$123:$D$158, "GCF", 'Detailed Budget'!$E$123:$E$158, "Staff cost")</f>
        <v>0</v>
      </c>
      <c r="J20" s="23">
        <f t="shared" si="1"/>
        <v>0</v>
      </c>
      <c r="K20" s="15"/>
      <c r="L20" s="41"/>
    </row>
    <row r="21" spans="2:12">
      <c r="B21" s="1">
        <v>3</v>
      </c>
      <c r="C21" s="1" t="s">
        <v>291</v>
      </c>
      <c r="D21" s="48">
        <f>SUMIFS('Detailed Budget'!H123:H158, 'Detailed Budget'!$D$123:$D$158, "GCF", 'Detailed Budget'!$E$123:$E$158, "Local consultants")</f>
        <v>0</v>
      </c>
      <c r="E21" s="48">
        <f>SUMIFS('Detailed Budget'!I123:I158, 'Detailed Budget'!$D$123:$D$158, "GCF", 'Detailed Budget'!$E$123:$E$158, "Local consultants")</f>
        <v>172800</v>
      </c>
      <c r="F21" s="48">
        <f>SUMIFS('Detailed Budget'!J123:J158, 'Detailed Budget'!$D$123:$D$158, "GCF", 'Detailed Budget'!$E$123:$E$158, "Local consultants")</f>
        <v>10800</v>
      </c>
      <c r="G21" s="48">
        <f>SUMIFS('Detailed Budget'!K123:K158, 'Detailed Budget'!$D$123:$D$158, "GCF", 'Detailed Budget'!$E$123:$E$158, "Local consultants")</f>
        <v>10800</v>
      </c>
      <c r="H21" s="48">
        <f>SUMIFS('Detailed Budget'!L123:L158, 'Detailed Budget'!$D$123:$D$158, "GCF", 'Detailed Budget'!$E$123:$E$158, "Local consultants")</f>
        <v>10800</v>
      </c>
      <c r="I21" s="48">
        <f>SUMIFS('Detailed Budget'!M123:M158, 'Detailed Budget'!$D$123:$D$158, "GCF", 'Detailed Budget'!$E$123:$E$158, "Local consultants")</f>
        <v>10800</v>
      </c>
      <c r="J21" s="23">
        <f t="shared" si="1"/>
        <v>216000</v>
      </c>
      <c r="K21" s="15"/>
      <c r="L21" s="41"/>
    </row>
    <row r="22" spans="2:12">
      <c r="B22" s="1">
        <v>3</v>
      </c>
      <c r="C22" s="1" t="s">
        <v>288</v>
      </c>
      <c r="D22" s="48">
        <f>SUMIFS('Detailed Budget'!H123:H158, 'Detailed Budget'!$D$123:$D$158, "GCF", 'Detailed Budget'!$E$123:$E$158, "International consultant")</f>
        <v>15000</v>
      </c>
      <c r="E22" s="48">
        <f>SUMIFS('Detailed Budget'!I123:I158, 'Detailed Budget'!$D$123:$D$158, "GCF", 'Detailed Budget'!$E$123:$E$158, "International consultant")</f>
        <v>120000</v>
      </c>
      <c r="F22" s="48">
        <f>SUMIFS('Detailed Budget'!J123:J158, 'Detailed Budget'!$D$123:$D$158, "GCF", 'Detailed Budget'!$E$123:$E$158, "International consultant")</f>
        <v>0</v>
      </c>
      <c r="G22" s="48">
        <f>SUMIFS('Detailed Budget'!K123:K158, 'Detailed Budget'!$D$123:$D$158, "GCF", 'Detailed Budget'!$E$123:$E$158, "International consultant")</f>
        <v>0</v>
      </c>
      <c r="H22" s="48">
        <f>SUMIFS('Detailed Budget'!L123:L158, 'Detailed Budget'!$D$123:$D$158, "GCF", 'Detailed Budget'!$E$123:$E$158, "International consultant")</f>
        <v>0</v>
      </c>
      <c r="I22" s="48">
        <f>SUMIFS('Detailed Budget'!M123:M158, 'Detailed Budget'!$D$123:$D$158, "GCF", 'Detailed Budget'!$E$123:$E$158, "International consultant")</f>
        <v>0</v>
      </c>
      <c r="J22" s="23">
        <f t="shared" si="1"/>
        <v>135000</v>
      </c>
      <c r="K22" s="15"/>
      <c r="L22" s="41"/>
    </row>
    <row r="23" spans="2:12">
      <c r="B23" s="1">
        <v>3</v>
      </c>
      <c r="C23" s="1" t="s">
        <v>302</v>
      </c>
      <c r="D23" s="48">
        <f>SUMIFS('Detailed Budget'!H123:H158, 'Detailed Budget'!$D$123:$D$158, "GCF", 'Detailed Budget'!$E$123:$E$158, "Equipment")</f>
        <v>0</v>
      </c>
      <c r="E23" s="48">
        <f>SUMIFS('Detailed Budget'!I123:I158, 'Detailed Budget'!$D$123:$D$158, "GCF", 'Detailed Budget'!$E$123:$E$158, "Equipment")</f>
        <v>0</v>
      </c>
      <c r="F23" s="48">
        <f>SUMIFS('Detailed Budget'!J123:J158, 'Detailed Budget'!$D$123:$D$158, "GCF", 'Detailed Budget'!$E$123:$E$158, "Equipment")</f>
        <v>0</v>
      </c>
      <c r="G23" s="48">
        <f>SUMIFS('Detailed Budget'!K123:K158, 'Detailed Budget'!$D$123:$D$158, "GCF", 'Detailed Budget'!$E$123:$E$158, "Equipment")</f>
        <v>0</v>
      </c>
      <c r="H23" s="48">
        <f>SUMIFS('Detailed Budget'!L123:L158, 'Detailed Budget'!$D$123:$D$158, "GCF", 'Detailed Budget'!$E$123:$E$158, "Equipment")</f>
        <v>0</v>
      </c>
      <c r="I23" s="48">
        <f>SUMIFS('Detailed Budget'!M123:M158, 'Detailed Budget'!$D$123:$D$158, "GCF", 'Detailed Budget'!$E$123:$E$158, "Equipment")</f>
        <v>0</v>
      </c>
      <c r="J23" s="23">
        <f t="shared" si="1"/>
        <v>0</v>
      </c>
      <c r="K23" s="15"/>
      <c r="L23" s="41"/>
    </row>
    <row r="24" spans="2:12">
      <c r="B24" s="1">
        <v>3</v>
      </c>
      <c r="C24" s="1" t="s">
        <v>293</v>
      </c>
      <c r="D24" s="48">
        <f>SUMIFS('Detailed Budget'!H123:H158, 'Detailed Budget'!$D$123:$D$158, "GCF", 'Detailed Budget'!$E$123:$E$158, "Training, workshops, and conferences")</f>
        <v>7500</v>
      </c>
      <c r="E24" s="48">
        <f>SUMIFS('Detailed Budget'!I123:I158, 'Detailed Budget'!$D$123:$D$158, "GCF", 'Detailed Budget'!$E$123:$E$158, "Training, workshops, and conferences")</f>
        <v>107552</v>
      </c>
      <c r="F24" s="48">
        <f>SUMIFS('Detailed Budget'!J123:J158, 'Detailed Budget'!$D$123:$D$158, "GCF", 'Detailed Budget'!$E$123:$E$158, "Training, workshops, and conferences")</f>
        <v>37500</v>
      </c>
      <c r="G24" s="48">
        <f>SUMIFS('Detailed Budget'!K123:K158, 'Detailed Budget'!$D$123:$D$158, "GCF", 'Detailed Budget'!$E$123:$E$158, "Training, workshops, and conferences")</f>
        <v>37500</v>
      </c>
      <c r="H24" s="48">
        <f>SUMIFS('Detailed Budget'!L123:L158, 'Detailed Budget'!$D$123:$D$158, "GCF", 'Detailed Budget'!$E$123:$E$158, "Training, workshops, and conferences")</f>
        <v>37500</v>
      </c>
      <c r="I24" s="48">
        <f>SUMIFS('Detailed Budget'!M123:M158, 'Detailed Budget'!$D$123:$D$158, "GCF", 'Detailed Budget'!$E$123:$E$158, "Training, workshops, and conferences")</f>
        <v>37500</v>
      </c>
      <c r="J24" s="23">
        <f t="shared" si="1"/>
        <v>265052</v>
      </c>
      <c r="K24" s="15"/>
      <c r="L24" s="41"/>
    </row>
    <row r="25" spans="2:12">
      <c r="B25" s="1">
        <v>3</v>
      </c>
      <c r="C25" s="1" t="s">
        <v>292</v>
      </c>
      <c r="D25" s="48">
        <f>SUMIFS('Detailed Budget'!H123:H158, 'Detailed Budget'!$D$123:$D$158, "GCF", 'Detailed Budget'!$E$123:$E$158, "Travel")</f>
        <v>6120</v>
      </c>
      <c r="E25" s="48">
        <f>SUMIFS('Detailed Budget'!I123:I158, 'Detailed Budget'!$D$123:$D$158, "GCF", 'Detailed Budget'!$E$123:$E$158, "Travel")</f>
        <v>96864</v>
      </c>
      <c r="F25" s="48">
        <f>SUMIFS('Detailed Budget'!J123:J158, 'Detailed Budget'!$D$123:$D$158, "GCF", 'Detailed Budget'!$E$123:$E$158, "Travel")</f>
        <v>3744</v>
      </c>
      <c r="G25" s="48">
        <f>SUMIFS('Detailed Budget'!K123:K158, 'Detailed Budget'!$D$123:$D$158, "GCF", 'Detailed Budget'!$E$123:$E$158, "Travel")</f>
        <v>3744</v>
      </c>
      <c r="H25" s="48">
        <f>SUMIFS('Detailed Budget'!L123:L158, 'Detailed Budget'!$D$123:$D$158, "GCF", 'Detailed Budget'!$E$123:$E$158, "Travel")</f>
        <v>3744</v>
      </c>
      <c r="I25" s="48">
        <f>SUMIFS('Detailed Budget'!M123:M158, 'Detailed Budget'!$D$123:$D$158, "GCF", 'Detailed Budget'!$E$123:$E$158, "Travel")</f>
        <v>3744</v>
      </c>
      <c r="J25" s="23">
        <f t="shared" si="1"/>
        <v>117960</v>
      </c>
      <c r="K25" s="15"/>
      <c r="L25" s="41"/>
    </row>
    <row r="26" spans="2:12">
      <c r="B26" s="1">
        <v>3</v>
      </c>
      <c r="C26" s="1" t="s">
        <v>388</v>
      </c>
      <c r="D26" s="48">
        <f>SUMIFS('Detailed Budget'!H123:H158, 'Detailed Budget'!$D$123:$D$158, "GCF", 'Detailed Budget'!$E$123:$E$158, "Professional or contractual services ")</f>
        <v>12000</v>
      </c>
      <c r="E26" s="48">
        <f>SUMIFS('Detailed Budget'!I123:I158, 'Detailed Budget'!$D$123:$D$158, "GCF", 'Detailed Budget'!$E$123:$E$158, "Professional or contractual services ")</f>
        <v>0</v>
      </c>
      <c r="F26" s="48">
        <f>SUMIFS('Detailed Budget'!J123:J158, 'Detailed Budget'!$D$123:$D$158, "GCF", 'Detailed Budget'!$E$123:$E$158, "Professional or contractual services ")</f>
        <v>0</v>
      </c>
      <c r="G26" s="48">
        <f>SUMIFS('Detailed Budget'!K123:K158, 'Detailed Budget'!$D$123:$D$158, "GCF", 'Detailed Budget'!$E$123:$E$158, "Professional or contractual services ")</f>
        <v>0</v>
      </c>
      <c r="H26" s="48">
        <f>SUMIFS('Detailed Budget'!L123:L158, 'Detailed Budget'!$D$123:$D$158, "GCF", 'Detailed Budget'!$E$123:$E$158, "Professional or contractual services ")</f>
        <v>0</v>
      </c>
      <c r="I26" s="48">
        <f>SUMIFS('Detailed Budget'!M123:M158, 'Detailed Budget'!$D$123:$D$158, "GCF", 'Detailed Budget'!$E$123:$E$158, "Professional or contractual services ")</f>
        <v>0</v>
      </c>
      <c r="J26" s="23">
        <f t="shared" si="1"/>
        <v>12000</v>
      </c>
      <c r="K26" s="15"/>
      <c r="L26" s="41"/>
    </row>
    <row r="27" spans="2:12">
      <c r="B27" s="208" t="s">
        <v>506</v>
      </c>
      <c r="C27" s="209"/>
      <c r="D27" s="63">
        <f>SUM(D28)</f>
        <v>175000</v>
      </c>
      <c r="E27" s="63">
        <f t="shared" ref="E27:J27" si="5">SUM(E28)</f>
        <v>175000</v>
      </c>
      <c r="F27" s="63">
        <f t="shared" si="5"/>
        <v>289400</v>
      </c>
      <c r="G27" s="63">
        <f t="shared" si="5"/>
        <v>175000</v>
      </c>
      <c r="H27" s="63">
        <f t="shared" si="5"/>
        <v>175000</v>
      </c>
      <c r="I27" s="63">
        <f t="shared" si="5"/>
        <v>318000</v>
      </c>
      <c r="J27" s="63">
        <f t="shared" si="5"/>
        <v>1307400</v>
      </c>
      <c r="K27" s="15"/>
      <c r="L27" s="41"/>
    </row>
    <row r="28" spans="2:12">
      <c r="B28" s="1"/>
      <c r="C28" s="21" t="s">
        <v>351</v>
      </c>
      <c r="D28" s="24">
        <f>'Detailed Budget'!H180</f>
        <v>175000</v>
      </c>
      <c r="E28" s="24">
        <f>'Detailed Budget'!I180</f>
        <v>175000</v>
      </c>
      <c r="F28" s="24">
        <f>'Detailed Budget'!J180</f>
        <v>289400</v>
      </c>
      <c r="G28" s="24">
        <f>'Detailed Budget'!K180</f>
        <v>175000</v>
      </c>
      <c r="H28" s="24">
        <f>'Detailed Budget'!L180</f>
        <v>175000</v>
      </c>
      <c r="I28" s="24">
        <f>'Detailed Budget'!M180</f>
        <v>318000</v>
      </c>
      <c r="J28" s="23">
        <f>SUM(D28:I28)</f>
        <v>1307400</v>
      </c>
      <c r="K28" s="15"/>
      <c r="L28" s="41"/>
    </row>
    <row r="29" spans="2:12">
      <c r="B29" s="94"/>
      <c r="C29" s="1" t="s">
        <v>288</v>
      </c>
      <c r="D29" s="24">
        <f>'Detailed Budget'!H167</f>
        <v>0</v>
      </c>
      <c r="E29" s="24">
        <f>'Detailed Budget'!I167</f>
        <v>0</v>
      </c>
      <c r="F29" s="24">
        <f>'Detailed Budget'!J167</f>
        <v>114400</v>
      </c>
      <c r="G29" s="24">
        <f>'Detailed Budget'!K167</f>
        <v>0</v>
      </c>
      <c r="H29" s="24">
        <f>'Detailed Budget'!L167</f>
        <v>0</v>
      </c>
      <c r="I29" s="24">
        <f>'Detailed Budget'!M167</f>
        <v>143000</v>
      </c>
      <c r="J29" s="23">
        <f>SUM(D29:I29)</f>
        <v>257400</v>
      </c>
      <c r="K29" s="15"/>
      <c r="L29" s="41"/>
    </row>
    <row r="30" spans="2:12">
      <c r="B30" s="208" t="s">
        <v>535</v>
      </c>
      <c r="C30" s="209"/>
      <c r="D30" s="63">
        <f>SUM(D31)</f>
        <v>490483.42896588903</v>
      </c>
      <c r="E30" s="63">
        <f t="shared" ref="E30:J30" si="6">SUM(E31)</f>
        <v>683604.79369017319</v>
      </c>
      <c r="F30" s="63">
        <f t="shared" si="6"/>
        <v>371546.88142453163</v>
      </c>
      <c r="G30" s="63">
        <f t="shared" si="6"/>
        <v>381328.26442205725</v>
      </c>
      <c r="H30" s="63">
        <f t="shared" si="6"/>
        <v>381328.26442205725</v>
      </c>
      <c r="I30" s="63">
        <f t="shared" si="6"/>
        <v>381328.26442205725</v>
      </c>
      <c r="J30" s="63">
        <f t="shared" si="6"/>
        <v>2689619.8973467657</v>
      </c>
      <c r="K30" s="71"/>
      <c r="L30" s="41"/>
    </row>
    <row r="31" spans="2:12">
      <c r="B31" s="94"/>
      <c r="C31" s="21" t="s">
        <v>476</v>
      </c>
      <c r="D31" s="24">
        <f>'Detailed Budget'!H188</f>
        <v>490483.42896588903</v>
      </c>
      <c r="E31" s="24">
        <f>'Detailed Budget'!I188</f>
        <v>683604.79369017319</v>
      </c>
      <c r="F31" s="24">
        <f>'Detailed Budget'!J188</f>
        <v>371546.88142453163</v>
      </c>
      <c r="G31" s="24">
        <f>'Detailed Budget'!K188</f>
        <v>381328.26442205725</v>
      </c>
      <c r="H31" s="24">
        <f>'Detailed Budget'!L188</f>
        <v>381328.26442205725</v>
      </c>
      <c r="I31" s="24">
        <f>'Detailed Budget'!M188</f>
        <v>381328.26442205725</v>
      </c>
      <c r="J31" s="23">
        <f>SUM(D31:I31)</f>
        <v>2689619.8973467657</v>
      </c>
      <c r="K31" s="15"/>
      <c r="L31" s="41"/>
    </row>
    <row r="32" spans="2:12">
      <c r="B32" s="210" t="s">
        <v>385</v>
      </c>
      <c r="C32" s="211"/>
      <c r="D32" s="68">
        <f>SUM(D3,D11,D19,D27,D30)</f>
        <v>5806072.718624779</v>
      </c>
      <c r="E32" s="68">
        <f t="shared" ref="E32:J32" si="7">SUM(E3,E11,E19,E27,E30)</f>
        <v>8268410.7305919044</v>
      </c>
      <c r="F32" s="68">
        <f t="shared" si="7"/>
        <v>4628787.6956698475</v>
      </c>
      <c r="G32" s="68">
        <f t="shared" si="7"/>
        <v>4620107.9086426292</v>
      </c>
      <c r="H32" s="68">
        <f t="shared" si="7"/>
        <v>4620107.9086426292</v>
      </c>
      <c r="I32" s="68">
        <f t="shared" si="7"/>
        <v>4763107.9086426292</v>
      </c>
      <c r="J32" s="68">
        <f t="shared" si="7"/>
        <v>32706594.87081442</v>
      </c>
      <c r="K32" s="158"/>
      <c r="L32" s="41"/>
    </row>
    <row r="33" spans="4:12">
      <c r="K33" s="15"/>
      <c r="L33" s="41"/>
    </row>
    <row r="34" spans="4:12">
      <c r="K34" s="15"/>
      <c r="L34" s="41"/>
    </row>
    <row r="35" spans="4:12">
      <c r="D35">
        <v>5806072.718624779</v>
      </c>
      <c r="E35">
        <v>8268410.7305919044</v>
      </c>
      <c r="F35">
        <v>4628787.6956698475</v>
      </c>
      <c r="G35">
        <v>4620107.9086426292</v>
      </c>
      <c r="H35">
        <v>4620107.9086426292</v>
      </c>
      <c r="I35">
        <v>4763107.9086426292</v>
      </c>
      <c r="L35" s="41"/>
    </row>
    <row r="36" spans="4:12">
      <c r="D36" s="8"/>
    </row>
    <row r="37" spans="4:12">
      <c r="D37" s="8">
        <v>5806072.718624779</v>
      </c>
      <c r="E37" s="45">
        <f>D37/$J$32</f>
        <v>0.17751993876335323</v>
      </c>
    </row>
    <row r="38" spans="4:12">
      <c r="D38" s="8">
        <v>8268410.7305919044</v>
      </c>
      <c r="E38" s="45">
        <f t="shared" ref="E38:E42" si="8">D38/$J$32</f>
        <v>0.25280561193394618</v>
      </c>
    </row>
    <row r="39" spans="4:12">
      <c r="D39" s="8">
        <v>4628787.6956698475</v>
      </c>
      <c r="E39" s="45">
        <f t="shared" si="8"/>
        <v>0.14152459814153032</v>
      </c>
    </row>
    <row r="40" spans="4:12">
      <c r="D40" s="8">
        <v>4620107.9086426292</v>
      </c>
      <c r="E40" s="45">
        <f t="shared" si="8"/>
        <v>0.14125921475137607</v>
      </c>
    </row>
    <row r="41" spans="4:12">
      <c r="D41" s="8">
        <v>4620107.9086426292</v>
      </c>
      <c r="E41" s="45">
        <f t="shared" si="8"/>
        <v>0.14125921475137607</v>
      </c>
    </row>
    <row r="42" spans="4:12">
      <c r="D42" s="8">
        <v>4763107.9086426292</v>
      </c>
      <c r="E42" s="45">
        <f t="shared" si="8"/>
        <v>0.14563142165841808</v>
      </c>
    </row>
    <row r="43" spans="4:12">
      <c r="E43" s="8"/>
    </row>
  </sheetData>
  <mergeCells count="6">
    <mergeCell ref="B3:C3"/>
    <mergeCell ref="B11:C11"/>
    <mergeCell ref="B19:C19"/>
    <mergeCell ref="B27:C27"/>
    <mergeCell ref="B32:C32"/>
    <mergeCell ref="B30:C30"/>
  </mergeCells>
  <phoneticPr fontId="3" type="noConversion"/>
  <pageMargins left="0.7" right="0.7" top="0.75" bottom="0.75" header="0.3" footer="0.3"/>
  <pageSetup paperSize="9" orientation="portrait" r:id="rId1"/>
  <ignoredErrors>
    <ignoredError sqref="J11 J19 J27 J30 D28" formula="1"/>
  </ignoredErrors>
  <extLst>
    <ext xmlns:x14="http://schemas.microsoft.com/office/spreadsheetml/2009/9/main" uri="{CCE6A557-97BC-4b89-ADB6-D9C93CAAB3DF}">
      <x14:dataValidations xmlns:xm="http://schemas.microsoft.com/office/excel/2006/main" count="1">
        <x14:dataValidation type="list" allowBlank="1" showInputMessage="1" showErrorMessage="1" xr:uid="{AEE54F1F-A2FF-456F-876A-102D5EA8213B}">
          <x14:formula1>
            <xm:f>'Cost categories'!$B$3:$B$9</xm:f>
          </x14:formula1>
          <xm:sqref>C4:C10 C20:C26 C12:C18 C29</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518FE65-8C9F-5943-BA01-8D20ED26A6A9}">
  <dimension ref="C5:K32"/>
  <sheetViews>
    <sheetView workbookViewId="0"/>
  </sheetViews>
  <sheetFormatPr baseColWidth="10" defaultColWidth="11.5" defaultRowHeight="15"/>
  <cols>
    <col min="11" max="11" width="14.83203125" customWidth="1"/>
  </cols>
  <sheetData>
    <row r="5" spans="3:11">
      <c r="C5" s="77"/>
      <c r="D5" s="77"/>
      <c r="E5" s="77"/>
      <c r="F5" s="77"/>
      <c r="G5" s="77"/>
      <c r="H5" s="77"/>
      <c r="I5" s="77"/>
      <c r="J5" s="77"/>
      <c r="K5" s="77"/>
    </row>
    <row r="6" spans="3:11">
      <c r="C6" s="41"/>
      <c r="D6" s="41"/>
      <c r="E6" s="78"/>
      <c r="F6" s="78"/>
      <c r="G6" s="78"/>
      <c r="H6" s="78"/>
      <c r="I6" s="78"/>
      <c r="J6" s="78"/>
      <c r="K6" s="78"/>
    </row>
    <row r="7" spans="3:11">
      <c r="C7" s="41"/>
      <c r="D7" s="41"/>
      <c r="E7" s="78"/>
      <c r="F7" s="78"/>
      <c r="G7" s="78"/>
      <c r="H7" s="78"/>
      <c r="I7" s="78"/>
      <c r="J7" s="78"/>
      <c r="K7" s="78"/>
    </row>
    <row r="8" spans="3:11">
      <c r="C8" s="41"/>
      <c r="D8" s="41"/>
      <c r="E8" s="78"/>
      <c r="F8" s="78"/>
      <c r="G8" s="78"/>
      <c r="H8" s="78"/>
      <c r="I8" s="78"/>
      <c r="J8" s="78"/>
      <c r="K8" s="78"/>
    </row>
    <row r="9" spans="3:11">
      <c r="C9" s="41"/>
      <c r="D9" s="41"/>
      <c r="E9" s="78"/>
      <c r="F9" s="78"/>
      <c r="G9" s="78"/>
      <c r="H9" s="78"/>
      <c r="I9" s="78"/>
      <c r="J9" s="78"/>
      <c r="K9" s="78"/>
    </row>
    <row r="10" spans="3:11">
      <c r="C10" s="41"/>
      <c r="D10" s="41"/>
      <c r="E10" s="78"/>
      <c r="F10" s="78"/>
      <c r="G10" s="78"/>
      <c r="H10" s="78"/>
      <c r="I10" s="78"/>
      <c r="J10" s="78"/>
      <c r="K10" s="78"/>
    </row>
    <row r="11" spans="3:11">
      <c r="C11" s="41"/>
      <c r="D11" s="41"/>
      <c r="E11" s="78"/>
      <c r="F11" s="78"/>
      <c r="G11" s="78"/>
      <c r="H11" s="78"/>
      <c r="I11" s="78"/>
      <c r="J11" s="78"/>
      <c r="K11" s="78"/>
    </row>
    <row r="12" spans="3:11">
      <c r="C12" s="41"/>
      <c r="D12" s="41"/>
      <c r="E12" s="78"/>
      <c r="F12" s="78"/>
      <c r="G12" s="78"/>
      <c r="H12" s="78"/>
      <c r="I12" s="78"/>
      <c r="J12" s="78"/>
      <c r="K12" s="78"/>
    </row>
    <row r="13" spans="3:11">
      <c r="C13" s="41"/>
      <c r="D13" s="41"/>
      <c r="E13" s="78"/>
      <c r="F13" s="78"/>
      <c r="G13" s="78"/>
      <c r="H13" s="78"/>
      <c r="I13" s="78"/>
      <c r="J13" s="78"/>
      <c r="K13" s="78"/>
    </row>
    <row r="14" spans="3:11">
      <c r="C14" s="41"/>
      <c r="D14" s="41"/>
      <c r="E14" s="78"/>
      <c r="F14" s="78"/>
      <c r="G14" s="78"/>
      <c r="H14" s="78"/>
      <c r="I14" s="78"/>
      <c r="J14" s="78"/>
      <c r="K14" s="78"/>
    </row>
    <row r="15" spans="3:11">
      <c r="C15" s="41"/>
      <c r="D15" s="41"/>
      <c r="E15" s="78"/>
      <c r="F15" s="78"/>
      <c r="G15" s="78"/>
      <c r="H15" s="78"/>
      <c r="I15" s="78"/>
      <c r="J15" s="78"/>
      <c r="K15" s="78"/>
    </row>
    <row r="16" spans="3:11">
      <c r="C16" s="41"/>
      <c r="D16" s="41"/>
      <c r="E16" s="78"/>
      <c r="F16" s="78"/>
      <c r="G16" s="78"/>
      <c r="H16" s="78"/>
      <c r="I16" s="78"/>
      <c r="J16" s="78"/>
      <c r="K16" s="78"/>
    </row>
    <row r="17" spans="3:11">
      <c r="C17" s="41"/>
      <c r="D17" s="41"/>
      <c r="E17" s="78"/>
      <c r="F17" s="78"/>
      <c r="G17" s="78"/>
      <c r="H17" s="78"/>
      <c r="I17" s="78"/>
      <c r="J17" s="78"/>
      <c r="K17" s="78"/>
    </row>
    <row r="18" spans="3:11">
      <c r="C18" s="41"/>
      <c r="D18" s="41"/>
      <c r="E18" s="78"/>
      <c r="F18" s="78"/>
      <c r="G18" s="78"/>
      <c r="H18" s="78"/>
      <c r="I18" s="78"/>
      <c r="J18" s="78"/>
      <c r="K18" s="78"/>
    </row>
    <row r="19" spans="3:11">
      <c r="C19" s="41"/>
      <c r="D19" s="41"/>
      <c r="E19" s="78"/>
      <c r="F19" s="78"/>
      <c r="G19" s="78"/>
      <c r="H19" s="78"/>
      <c r="I19" s="78"/>
      <c r="J19" s="78"/>
      <c r="K19" s="78"/>
    </row>
    <row r="20" spans="3:11">
      <c r="C20" s="41"/>
      <c r="D20" s="41"/>
      <c r="E20" s="78"/>
      <c r="F20" s="78"/>
      <c r="G20" s="78"/>
      <c r="H20" s="78"/>
      <c r="I20" s="78"/>
      <c r="J20" s="78"/>
      <c r="K20" s="78"/>
    </row>
    <row r="21" spans="3:11">
      <c r="C21" s="41"/>
      <c r="D21" s="41"/>
      <c r="E21" s="78"/>
      <c r="F21" s="78"/>
      <c r="G21" s="78"/>
      <c r="H21" s="78"/>
      <c r="I21" s="78"/>
      <c r="J21" s="78"/>
      <c r="K21" s="78"/>
    </row>
    <row r="22" spans="3:11">
      <c r="C22" s="41"/>
      <c r="D22" s="41"/>
      <c r="E22" s="78"/>
      <c r="F22" s="78"/>
      <c r="G22" s="78"/>
      <c r="H22" s="78"/>
      <c r="I22" s="78"/>
      <c r="J22" s="78"/>
      <c r="K22" s="78"/>
    </row>
    <row r="23" spans="3:11">
      <c r="C23" s="41"/>
      <c r="D23" s="41"/>
      <c r="E23" s="78"/>
      <c r="F23" s="78"/>
      <c r="G23" s="78"/>
      <c r="H23" s="78"/>
      <c r="I23" s="78"/>
      <c r="J23" s="78"/>
      <c r="K23" s="78"/>
    </row>
    <row r="24" spans="3:11">
      <c r="C24" s="41"/>
      <c r="D24" s="41"/>
      <c r="E24" s="78"/>
      <c r="F24" s="78"/>
      <c r="G24" s="78"/>
      <c r="H24" s="78"/>
      <c r="I24" s="78"/>
      <c r="J24" s="78"/>
      <c r="K24" s="78"/>
    </row>
    <row r="25" spans="3:11">
      <c r="C25" s="41"/>
      <c r="D25" s="41"/>
      <c r="E25" s="78"/>
      <c r="F25" s="78"/>
      <c r="G25" s="78"/>
      <c r="H25" s="78"/>
      <c r="I25" s="78"/>
      <c r="J25" s="78"/>
      <c r="K25" s="78"/>
    </row>
    <row r="26" spans="3:11">
      <c r="C26" s="41"/>
      <c r="D26" s="41"/>
      <c r="E26" s="78"/>
      <c r="F26" s="78"/>
      <c r="G26" s="78"/>
      <c r="H26" s="78"/>
      <c r="I26" s="78"/>
      <c r="J26" s="78"/>
      <c r="K26" s="78"/>
    </row>
    <row r="27" spans="3:11">
      <c r="C27" s="41"/>
      <c r="D27" s="41"/>
      <c r="E27" s="78"/>
      <c r="F27" s="78"/>
      <c r="G27" s="78"/>
      <c r="H27" s="78"/>
      <c r="I27" s="78"/>
      <c r="J27" s="78"/>
      <c r="K27" s="78"/>
    </row>
    <row r="28" spans="3:11">
      <c r="C28" s="41"/>
      <c r="D28" s="41"/>
      <c r="E28" s="78"/>
      <c r="F28" s="78"/>
      <c r="G28" s="78"/>
      <c r="H28" s="78"/>
      <c r="I28" s="78"/>
      <c r="J28" s="78"/>
      <c r="K28" s="78"/>
    </row>
    <row r="29" spans="3:11">
      <c r="C29" s="41"/>
      <c r="D29" s="41"/>
      <c r="E29" s="78"/>
      <c r="F29" s="78"/>
      <c r="G29" s="78"/>
      <c r="H29" s="78"/>
      <c r="I29" s="78"/>
      <c r="J29" s="78"/>
      <c r="K29" s="78"/>
    </row>
    <row r="30" spans="3:11">
      <c r="C30" s="41"/>
      <c r="D30" s="41"/>
      <c r="E30" s="78"/>
      <c r="F30" s="78"/>
      <c r="G30" s="78"/>
      <c r="H30" s="78"/>
      <c r="I30" s="78"/>
      <c r="J30" s="78"/>
      <c r="K30" s="78"/>
    </row>
    <row r="31" spans="3:11">
      <c r="C31" s="41"/>
      <c r="D31" s="41"/>
      <c r="E31" s="78"/>
      <c r="F31" s="78"/>
      <c r="G31" s="78"/>
      <c r="H31" s="78"/>
      <c r="I31" s="78"/>
      <c r="J31" s="78"/>
      <c r="K31" s="78"/>
    </row>
    <row r="32" spans="3:11">
      <c r="C32" s="41"/>
      <c r="D32" s="41"/>
      <c r="E32" s="78"/>
      <c r="F32" s="78"/>
      <c r="G32" s="78"/>
      <c r="H32" s="78"/>
      <c r="I32" s="78"/>
      <c r="J32" s="78"/>
      <c r="K32" s="78"/>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00979F12F22C9E4F9273E32F354CEDB7" ma:contentTypeVersion="14" ma:contentTypeDescription="Create a new document." ma:contentTypeScope="" ma:versionID="044df423254376167ea649bcc272f5cc">
  <xsd:schema xmlns:xsd="http://www.w3.org/2001/XMLSchema" xmlns:xs="http://www.w3.org/2001/XMLSchema" xmlns:p="http://schemas.microsoft.com/office/2006/metadata/properties" xmlns:ns2="366ae72f-6d51-4737-8f6b-a9169c366b64" xmlns:ns3="a3cd7b71-671d-4139-9a97-5d1a7380fae4" targetNamespace="http://schemas.microsoft.com/office/2006/metadata/properties" ma:root="true" ma:fieldsID="6becdce9ea10ec71f0fc4e9d2c2947e9" ns2:_="" ns3:_="">
    <xsd:import namespace="366ae72f-6d51-4737-8f6b-a9169c366b64"/>
    <xsd:import namespace="a3cd7b71-671d-4139-9a97-5d1a7380fae4"/>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DateTaken" minOccurs="0"/>
                <xsd:element ref="ns2:MediaServiceLocation" minOccurs="0"/>
                <xsd:element ref="ns3:SharedWithUsers" minOccurs="0"/>
                <xsd:element ref="ns3:SharedWithDetails" minOccurs="0"/>
                <xsd:element ref="ns2:file_x0020_" minOccurs="0"/>
                <xsd:element ref="ns2:remarks" minOccurs="0"/>
                <xsd:element ref="ns2:MediaServiceGenerationTime" minOccurs="0"/>
                <xsd:element ref="ns2:MediaServiceEventHashCode"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66ae72f-6d51-4737-8f6b-a9169c366b6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DateTaken" ma:index="12" nillable="true" ma:displayName="MediaServiceDateTaken" ma:hidden="true" ma:internalName="MediaServiceDateTaken" ma:readOnly="true">
      <xsd:simpleType>
        <xsd:restriction base="dms:Text"/>
      </xsd:simpleType>
    </xsd:element>
    <xsd:element name="MediaServiceLocation" ma:index="13" nillable="true" ma:displayName="Location" ma:internalName="MediaServiceLocation" ma:readOnly="true">
      <xsd:simpleType>
        <xsd:restriction base="dms:Text"/>
      </xsd:simpleType>
    </xsd:element>
    <xsd:element name="file_x0020_" ma:index="16" nillable="true" ma:displayName="file " ma:format="Dropdown" ma:internalName="file_x0020_" ma:percentage="FALSE">
      <xsd:simpleType>
        <xsd:restriction base="dms:Number"/>
      </xsd:simpleType>
    </xsd:element>
    <xsd:element name="remarks" ma:index="17" nillable="true" ma:displayName="remarks" ma:format="Dropdown" ma:internalName="remarks">
      <xsd:simpleType>
        <xsd:restriction base="dms:Text">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a3cd7b71-671d-4139-9a97-5d1a7380fae4" elementFormDefault="qualified">
    <xsd:import namespace="http://schemas.microsoft.com/office/2006/documentManagement/types"/>
    <xsd:import namespace="http://schemas.microsoft.com/office/infopath/2007/PartnerControls"/>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SharedWithUsers xmlns="a3cd7b71-671d-4139-9a97-5d1a7380fae4">
      <UserInfo>
        <DisplayName>Robert Raw</DisplayName>
        <AccountId>361</AccountId>
        <AccountType/>
      </UserInfo>
    </SharedWithUsers>
    <remarks xmlns="366ae72f-6d51-4737-8f6b-a9169c366b64" xsi:nil="true"/>
    <file_x0020_ xmlns="366ae72f-6d51-4737-8f6b-a9169c366b64"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EC4F52AA-3060-4AF9-B0C8-85ACD0629D06}"/>
</file>

<file path=customXml/itemProps2.xml><?xml version="1.0" encoding="utf-8"?>
<ds:datastoreItem xmlns:ds="http://schemas.openxmlformats.org/officeDocument/2006/customXml" ds:itemID="{980E6A1E-A749-4833-8C06-20920E1364D7}">
  <ds:schemaRefs>
    <ds:schemaRef ds:uri="http://purl.org/dc/terms/"/>
    <ds:schemaRef ds:uri="http://purl.org/dc/elements/1.1/"/>
    <ds:schemaRef ds:uri="http://www.w3.org/XML/1998/namespace"/>
    <ds:schemaRef ds:uri="http://schemas.microsoft.com/office/2006/documentManagement/types"/>
    <ds:schemaRef ds:uri="http://purl.org/dc/dcmitype/"/>
    <ds:schemaRef ds:uri="http://schemas.microsoft.com/office/infopath/2007/PartnerControls"/>
    <ds:schemaRef ds:uri="1468982d-423c-4901-8e02-b317030eae30"/>
    <ds:schemaRef ds:uri="http://schemas.openxmlformats.org/package/2006/metadata/core-properties"/>
    <ds:schemaRef ds:uri="bb18ab83-af39-4188-b010-8a8db9e4bac2"/>
    <ds:schemaRef ds:uri="http://schemas.microsoft.com/office/2006/metadata/properties"/>
  </ds:schemaRefs>
</ds:datastoreItem>
</file>

<file path=customXml/itemProps3.xml><?xml version="1.0" encoding="utf-8"?>
<ds:datastoreItem xmlns:ds="http://schemas.openxmlformats.org/officeDocument/2006/customXml" ds:itemID="{9662415B-B4A7-4975-A112-3C79887D0EBB}">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6</vt:i4>
      </vt:variant>
      <vt:variant>
        <vt:lpstr>Named Ranges</vt:lpstr>
      </vt:variant>
      <vt:variant>
        <vt:i4>1</vt:i4>
      </vt:variant>
    </vt:vector>
  </HeadingPairs>
  <TitlesOfParts>
    <vt:vector size="7" baseType="lpstr">
      <vt:lpstr>Detailed Budget</vt:lpstr>
      <vt:lpstr>Notes and Assumptions</vt:lpstr>
      <vt:lpstr>Cost categories</vt:lpstr>
      <vt:lpstr>Cost calculations for upgrades</vt:lpstr>
      <vt:lpstr>Term sheet disbursement</vt:lpstr>
      <vt:lpstr>Sheet1</vt:lpstr>
      <vt:lpstr>'Detailed Budget'!Print_Area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Mara Baviera</dc:creator>
  <cp:keywords/>
  <dc:description/>
  <cp:lastModifiedBy>Joana Costa</cp:lastModifiedBy>
  <cp:revision/>
  <cp:lastPrinted>2019-11-09T17:51:27Z</cp:lastPrinted>
  <dcterms:created xsi:type="dcterms:W3CDTF">2016-04-04T05:39:24Z</dcterms:created>
  <dcterms:modified xsi:type="dcterms:W3CDTF">2020-05-04T21:46:02Z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0x01010000979F12F22C9E4F9273E32F354CEDB7</vt:lpwstr>
  </property>
</Properties>
</file>