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https://c4ecosolutions.sharepoint.com/sites/AnBTeam/Shared Documents/AnB GCF Build/GCF Build latest submission package/"/>
    </mc:Choice>
  </mc:AlternateContent>
  <xr:revisionPtr revIDLastSave="1" documentId="8_{A1A252E5-0D62-41D1-82A5-EA29FA7F26DE}" xr6:coauthVersionLast="45" xr6:coauthVersionMax="45" xr10:uidLastSave="{8A4A2BDA-4799-44CD-8D02-DC3CA17D79CA}"/>
  <bookViews>
    <workbookView xWindow="-24120" yWindow="-120" windowWidth="24240" windowHeight="13140" activeTab="1" xr2:uid="{128EF1AC-BB9B-429F-BBD3-8A88F12437E3}"/>
  </bookViews>
  <sheets>
    <sheet name="Readmefirst" sheetId="6" r:id="rId1"/>
    <sheet name="Dashboard" sheetId="5" r:id="rId2"/>
    <sheet name="Cost panel" sheetId="1" r:id="rId3"/>
    <sheet name="Impact panel" sheetId="3" r:id="rId4"/>
    <sheet name="Hurricane panel" sheetId="2" r:id="rId5"/>
    <sheet name="Model"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1" l="1"/>
  <c r="F17" i="1"/>
  <c r="F18" i="1"/>
  <c r="F19" i="1"/>
  <c r="D14" i="5" l="1"/>
  <c r="E14" i="5"/>
  <c r="D15" i="5"/>
  <c r="E15" i="5"/>
  <c r="D16" i="5"/>
  <c r="E16" i="5"/>
  <c r="D7" i="5" l="1"/>
  <c r="G34" i="1" l="1"/>
  <c r="J27" i="1" l="1"/>
  <c r="J26" i="1"/>
  <c r="J25" i="1"/>
  <c r="J24" i="1"/>
  <c r="J23" i="1"/>
  <c r="J34" i="1" l="1"/>
  <c r="D8" i="5"/>
  <c r="D6" i="5"/>
  <c r="BL27" i="4" l="1"/>
  <c r="BM27" i="4"/>
  <c r="BN27" i="4"/>
  <c r="BO27" i="4"/>
  <c r="BP27" i="4"/>
  <c r="BK27" i="4"/>
  <c r="BL19" i="4"/>
  <c r="BM19" i="4"/>
  <c r="BN19" i="4"/>
  <c r="BO19" i="4"/>
  <c r="BP19" i="4"/>
  <c r="BK19" i="4"/>
  <c r="BL11" i="4"/>
  <c r="BM11" i="4"/>
  <c r="BN11" i="4"/>
  <c r="BO11" i="4"/>
  <c r="BP11" i="4"/>
  <c r="BK11" i="4"/>
  <c r="BL4" i="4"/>
  <c r="BM4" i="4"/>
  <c r="BN4" i="4"/>
  <c r="BO4" i="4"/>
  <c r="BP4" i="4"/>
  <c r="BK4" i="4"/>
  <c r="A22" i="4"/>
  <c r="Z2" i="4" s="1"/>
  <c r="A23" i="4"/>
  <c r="AB2" i="4" s="1"/>
  <c r="A24" i="4"/>
  <c r="AD2" i="4" s="1"/>
  <c r="A25" i="4"/>
  <c r="AF2" i="4" s="1"/>
  <c r="A26" i="4"/>
  <c r="AH2" i="4" s="1"/>
  <c r="A27" i="4"/>
  <c r="AJ2" i="4" s="1"/>
  <c r="A28" i="4"/>
  <c r="AL2" i="4" s="1"/>
  <c r="A29" i="4"/>
  <c r="AN2" i="4" s="1"/>
  <c r="A30" i="4"/>
  <c r="AP2" i="4" s="1"/>
  <c r="A21" i="4"/>
  <c r="X2" i="4" s="1"/>
  <c r="A12" i="4"/>
  <c r="L2" i="4" s="1"/>
  <c r="A13" i="4"/>
  <c r="N2" i="4" s="1"/>
  <c r="A14" i="4"/>
  <c r="P2" i="4" s="1"/>
  <c r="A15" i="4"/>
  <c r="R2" i="4" s="1"/>
  <c r="A16" i="4"/>
  <c r="T2" i="4" s="1"/>
  <c r="A17" i="4"/>
  <c r="V2" i="4" s="1"/>
  <c r="A11" i="4"/>
  <c r="J2" i="4" s="1"/>
  <c r="F34" i="1"/>
  <c r="C34" i="1"/>
  <c r="B21" i="4" l="1"/>
  <c r="BL12" i="4"/>
  <c r="BL20" i="4" s="1"/>
  <c r="BL28" i="4" s="1"/>
  <c r="BM12" i="4"/>
  <c r="BM20" i="4" s="1"/>
  <c r="BM28" i="4" s="1"/>
  <c r="BN12" i="4"/>
  <c r="BN20" i="4" s="1"/>
  <c r="BN28" i="4" s="1"/>
  <c r="BO12" i="4"/>
  <c r="BO20" i="4" s="1"/>
  <c r="BO28" i="4" s="1"/>
  <c r="BP12" i="4"/>
  <c r="BP20" i="4" s="1"/>
  <c r="BP28" i="4" s="1"/>
  <c r="BK12" i="4"/>
  <c r="BK20" i="4" s="1"/>
  <c r="BK28" i="4" s="1"/>
  <c r="F22" i="4"/>
  <c r="F23" i="4"/>
  <c r="F24" i="4"/>
  <c r="F25" i="4"/>
  <c r="F26" i="4"/>
  <c r="F27" i="4"/>
  <c r="F28" i="4"/>
  <c r="F29" i="4"/>
  <c r="F30" i="4"/>
  <c r="F21" i="4"/>
  <c r="B22" i="4"/>
  <c r="B23" i="4"/>
  <c r="B24" i="4"/>
  <c r="B25" i="4"/>
  <c r="B26" i="4"/>
  <c r="B27" i="4"/>
  <c r="B28" i="4"/>
  <c r="B29" i="4"/>
  <c r="B30" i="4"/>
  <c r="F12" i="4"/>
  <c r="F13" i="4"/>
  <c r="F14" i="4"/>
  <c r="F15" i="4"/>
  <c r="F16" i="4"/>
  <c r="F17" i="4"/>
  <c r="F11" i="4"/>
  <c r="B12" i="4"/>
  <c r="B13" i="4"/>
  <c r="B14" i="4"/>
  <c r="B15" i="4"/>
  <c r="B16" i="4"/>
  <c r="B17" i="4"/>
  <c r="B11" i="4"/>
  <c r="BG7" i="4" l="1"/>
  <c r="BH7" i="4"/>
  <c r="BH3" i="4"/>
  <c r="BH4" i="4"/>
  <c r="BH5" i="4"/>
  <c r="BH6" i="4"/>
  <c r="BG4" i="4"/>
  <c r="BG5" i="4"/>
  <c r="BG6" i="4"/>
  <c r="BG3" i="4"/>
  <c r="BK3" i="4"/>
  <c r="BK10" i="4" s="1"/>
  <c r="BK18" i="4" s="1"/>
  <c r="BK26" i="4" s="1"/>
  <c r="BL3" i="4"/>
  <c r="BL10" i="4" s="1"/>
  <c r="BL18" i="4" s="1"/>
  <c r="BL26" i="4" s="1"/>
  <c r="BM3" i="4"/>
  <c r="BM10" i="4" s="1"/>
  <c r="BM18" i="4" s="1"/>
  <c r="BM26" i="4" s="1"/>
  <c r="BN3" i="4"/>
  <c r="BN10" i="4" s="1"/>
  <c r="BN18" i="4" s="1"/>
  <c r="BN26" i="4" s="1"/>
  <c r="BO3" i="4"/>
  <c r="BO10" i="4" s="1"/>
  <c r="BO18" i="4" s="1"/>
  <c r="BO26" i="4" s="1"/>
  <c r="BP3" i="4"/>
  <c r="BP10" i="4" s="1"/>
  <c r="BP18" i="4" s="1"/>
  <c r="BP26" i="4" s="1"/>
  <c r="BA55" i="4"/>
  <c r="BA54" i="4"/>
  <c r="BA53" i="4"/>
  <c r="BA52" i="4"/>
  <c r="BA51" i="4"/>
  <c r="BA50" i="4"/>
  <c r="BA49" i="4"/>
  <c r="BA48" i="4"/>
  <c r="BA47" i="4"/>
  <c r="BA46" i="4"/>
  <c r="BA45" i="4"/>
  <c r="BA44" i="4"/>
  <c r="BA43" i="4"/>
  <c r="BA42" i="4"/>
  <c r="BA41" i="4"/>
  <c r="BA40" i="4"/>
  <c r="BA39" i="4"/>
  <c r="BA38" i="4"/>
  <c r="BA37" i="4"/>
  <c r="BA36" i="4"/>
  <c r="BA35" i="4"/>
  <c r="BA34" i="4"/>
  <c r="BA33" i="4"/>
  <c r="BA32" i="4"/>
  <c r="BA31" i="4"/>
  <c r="BA30" i="4"/>
  <c r="BA29" i="4"/>
  <c r="BA28" i="4"/>
  <c r="BA27" i="4"/>
  <c r="BA26" i="4"/>
  <c r="BA25" i="4"/>
  <c r="BA24" i="4"/>
  <c r="BA23" i="4"/>
  <c r="BA22" i="4"/>
  <c r="BA21" i="4"/>
  <c r="BA20" i="4"/>
  <c r="BA19" i="4"/>
  <c r="BA18" i="4"/>
  <c r="BA17" i="4"/>
  <c r="BA16" i="4"/>
  <c r="BA15" i="4"/>
  <c r="BA14" i="4"/>
  <c r="BA13" i="4"/>
  <c r="BA12" i="4"/>
  <c r="BA11" i="4"/>
  <c r="BA10" i="4"/>
  <c r="BA9" i="4"/>
  <c r="BA8" i="4"/>
  <c r="BA7" i="4"/>
  <c r="BA6" i="4"/>
  <c r="AX55" i="4"/>
  <c r="AX54" i="4"/>
  <c r="AX53" i="4"/>
  <c r="AX52" i="4"/>
  <c r="AX51" i="4"/>
  <c r="AX50" i="4"/>
  <c r="AX49" i="4"/>
  <c r="AX48" i="4"/>
  <c r="AX47" i="4"/>
  <c r="AX46" i="4"/>
  <c r="AX45" i="4"/>
  <c r="AX44" i="4"/>
  <c r="AX43" i="4"/>
  <c r="AX42" i="4"/>
  <c r="AX41" i="4"/>
  <c r="AX40" i="4"/>
  <c r="AX39" i="4"/>
  <c r="AX38" i="4"/>
  <c r="AX37" i="4"/>
  <c r="AX36" i="4"/>
  <c r="AX35" i="4"/>
  <c r="AX34" i="4"/>
  <c r="AX33" i="4"/>
  <c r="AX32" i="4"/>
  <c r="AX31" i="4"/>
  <c r="AX30" i="4"/>
  <c r="AX29" i="4"/>
  <c r="AX28" i="4"/>
  <c r="AX27" i="4"/>
  <c r="AX26" i="4"/>
  <c r="AX25" i="4"/>
  <c r="AX24" i="4"/>
  <c r="AX23" i="4"/>
  <c r="AX22" i="4"/>
  <c r="AX21" i="4"/>
  <c r="AX20" i="4"/>
  <c r="AX19" i="4"/>
  <c r="AX18" i="4"/>
  <c r="AX17" i="4"/>
  <c r="AX16" i="4"/>
  <c r="AX15" i="4"/>
  <c r="AX14" i="4"/>
  <c r="AX13" i="4"/>
  <c r="AX12" i="4"/>
  <c r="AX11" i="4"/>
  <c r="AX10" i="4"/>
  <c r="AX9" i="4"/>
  <c r="AX8" i="4"/>
  <c r="AX7" i="4"/>
  <c r="AX6" i="4"/>
  <c r="BB12" i="4" l="1"/>
  <c r="BC12" i="4"/>
  <c r="BB37" i="4"/>
  <c r="BC37" i="4"/>
  <c r="BB38" i="4"/>
  <c r="BC38" i="4"/>
  <c r="BB46" i="4"/>
  <c r="BC46" i="4"/>
  <c r="BB54" i="4"/>
  <c r="BC54" i="4"/>
  <c r="BB52" i="4"/>
  <c r="BC52" i="4"/>
  <c r="BB45" i="4"/>
  <c r="BC45" i="4"/>
  <c r="BB15" i="4"/>
  <c r="BC15" i="4"/>
  <c r="BB23" i="4"/>
  <c r="BC23" i="4"/>
  <c r="BB31" i="4"/>
  <c r="BC31" i="4"/>
  <c r="BB13" i="4"/>
  <c r="BC13" i="4"/>
  <c r="BC16" i="4"/>
  <c r="BB16" i="4"/>
  <c r="BB24" i="4"/>
  <c r="BC24" i="4"/>
  <c r="BB9" i="4"/>
  <c r="BC9" i="4"/>
  <c r="BB17" i="4"/>
  <c r="BC17" i="4"/>
  <c r="BB25" i="4"/>
  <c r="BC25" i="4"/>
  <c r="BC33" i="4"/>
  <c r="BB33" i="4"/>
  <c r="BB20" i="4"/>
  <c r="BC20" i="4"/>
  <c r="BC21" i="4"/>
  <c r="BB21" i="4"/>
  <c r="BB10" i="4"/>
  <c r="BC10" i="4"/>
  <c r="BC26" i="4"/>
  <c r="BB26" i="4"/>
  <c r="BB34" i="4"/>
  <c r="BC34" i="4"/>
  <c r="BB19" i="4"/>
  <c r="BC19" i="4"/>
  <c r="BB51" i="4"/>
  <c r="BC51" i="4"/>
  <c r="AY46" i="4"/>
  <c r="AZ46" i="4"/>
  <c r="AY31" i="4"/>
  <c r="AZ31" i="4"/>
  <c r="AY22" i="4"/>
  <c r="AZ22" i="4"/>
  <c r="AZ38" i="4"/>
  <c r="AY38" i="4"/>
  <c r="AY7" i="4"/>
  <c r="AZ7" i="4"/>
  <c r="AY15" i="4"/>
  <c r="AZ15" i="4"/>
  <c r="AY23" i="4"/>
  <c r="AZ23" i="4"/>
  <c r="AY39" i="4"/>
  <c r="AZ39" i="4"/>
  <c r="AZ47" i="4"/>
  <c r="AY47" i="4"/>
  <c r="AZ8" i="4"/>
  <c r="AY8" i="4"/>
  <c r="AZ16" i="4"/>
  <c r="AY16" i="4"/>
  <c r="AZ24" i="4"/>
  <c r="AY24" i="4"/>
  <c r="AY40" i="4"/>
  <c r="AZ40" i="4"/>
  <c r="AZ9" i="4"/>
  <c r="AY9" i="4"/>
  <c r="AY33" i="4"/>
  <c r="AZ33" i="4"/>
  <c r="AY10" i="4"/>
  <c r="AZ10" i="4"/>
  <c r="AZ34" i="4"/>
  <c r="AY34" i="4"/>
  <c r="AY42" i="4"/>
  <c r="AZ42" i="4"/>
  <c r="AY11" i="4"/>
  <c r="AZ11" i="4"/>
  <c r="AY19" i="4"/>
  <c r="AZ19" i="4"/>
  <c r="AY51" i="4"/>
  <c r="AZ51" i="4"/>
  <c r="AZ17" i="4"/>
  <c r="AY17" i="4"/>
  <c r="AY49" i="4"/>
  <c r="AZ49" i="4"/>
  <c r="AZ18" i="4"/>
  <c r="AY18" i="4"/>
  <c r="AY12" i="4"/>
  <c r="AZ12" i="4"/>
  <c r="AY20" i="4"/>
  <c r="AZ20" i="4"/>
  <c r="AY44" i="4"/>
  <c r="AZ44" i="4"/>
  <c r="AY52" i="4"/>
  <c r="AZ52" i="4"/>
  <c r="AY30" i="4"/>
  <c r="AZ30" i="4"/>
  <c r="AZ25" i="4"/>
  <c r="AY25" i="4"/>
  <c r="AY41" i="4"/>
  <c r="AZ41" i="4"/>
  <c r="AZ26" i="4"/>
  <c r="AY26" i="4"/>
  <c r="AY50" i="4"/>
  <c r="AZ50" i="4"/>
  <c r="AY13" i="4"/>
  <c r="AZ13" i="4"/>
  <c r="AY21" i="4"/>
  <c r="AZ21" i="4"/>
  <c r="AY29" i="4"/>
  <c r="AZ29" i="4"/>
  <c r="AY37" i="4"/>
  <c r="AZ37" i="4"/>
  <c r="AZ45" i="4"/>
  <c r="AY45" i="4"/>
  <c r="BM29" i="4"/>
  <c r="BM13" i="4"/>
  <c r="BM21" i="4"/>
  <c r="BN6" i="4"/>
  <c r="BM6" i="4"/>
  <c r="BO6" i="4"/>
  <c r="BP21" i="4"/>
  <c r="BP13" i="4"/>
  <c r="BO13" i="4"/>
  <c r="BN13" i="4"/>
  <c r="BO21" i="4"/>
  <c r="BP29" i="4"/>
  <c r="BN21" i="4"/>
  <c r="BO29" i="4"/>
  <c r="BN29" i="4"/>
  <c r="BP6" i="4"/>
  <c r="BK21" i="4"/>
  <c r="BL29" i="4"/>
  <c r="BK29" i="4"/>
  <c r="BL13" i="4"/>
  <c r="BK13" i="4"/>
  <c r="BL21" i="4"/>
  <c r="BL6" i="4"/>
  <c r="BK6" i="4"/>
  <c r="H1" i="4"/>
  <c r="C22" i="4"/>
  <c r="D22" i="4"/>
  <c r="C23" i="4"/>
  <c r="D23" i="4"/>
  <c r="C24" i="4"/>
  <c r="D24" i="4"/>
  <c r="C25" i="4"/>
  <c r="D25" i="4"/>
  <c r="C26" i="4"/>
  <c r="D26" i="4"/>
  <c r="C27" i="4"/>
  <c r="D27" i="4"/>
  <c r="C28" i="4"/>
  <c r="D28" i="4"/>
  <c r="C29" i="4"/>
  <c r="D29" i="4"/>
  <c r="C30" i="4"/>
  <c r="D30" i="4"/>
  <c r="C21" i="4"/>
  <c r="D21" i="4"/>
  <c r="C11" i="4"/>
  <c r="D11" i="4"/>
  <c r="C12" i="4"/>
  <c r="D12" i="4"/>
  <c r="C13" i="4"/>
  <c r="D13" i="4"/>
  <c r="C14" i="4"/>
  <c r="D14" i="4"/>
  <c r="C15" i="4"/>
  <c r="D15" i="4"/>
  <c r="C16" i="4"/>
  <c r="D16" i="4"/>
  <c r="C17" i="4"/>
  <c r="D17" i="4"/>
  <c r="BK30" i="4" l="1"/>
  <c r="BH12" i="4" s="1"/>
  <c r="BK22" i="4"/>
  <c r="BH11" i="4" s="1"/>
  <c r="BK14" i="4"/>
  <c r="BH10" i="4" s="1"/>
  <c r="BK7" i="4"/>
  <c r="BH9" i="4" s="1"/>
  <c r="E30" i="4"/>
  <c r="AP7" i="4" s="1"/>
  <c r="AP26" i="4" s="1"/>
  <c r="AP41" i="4" s="1"/>
  <c r="AQ9" i="4"/>
  <c r="AQ14" i="4"/>
  <c r="AQ25" i="4"/>
  <c r="AQ30" i="4"/>
  <c r="AQ15" i="4"/>
  <c r="AQ20" i="4"/>
  <c r="AQ31" i="4"/>
  <c r="AQ36" i="4"/>
  <c r="AQ10" i="4"/>
  <c r="AQ13" i="4"/>
  <c r="AQ21" i="4"/>
  <c r="AQ7" i="4"/>
  <c r="AQ24" i="4"/>
  <c r="AQ32" i="4"/>
  <c r="AQ17" i="4"/>
  <c r="AQ34" i="4"/>
  <c r="AQ11" i="4"/>
  <c r="AQ28" i="4"/>
  <c r="AP8" i="4"/>
  <c r="AP27" i="4" s="1"/>
  <c r="AP42" i="4" s="1"/>
  <c r="AQ22" i="4"/>
  <c r="AQ33" i="4"/>
  <c r="AQ8" i="4"/>
  <c r="AQ16" i="4"/>
  <c r="AQ19" i="4"/>
  <c r="AQ27" i="4"/>
  <c r="AQ41" i="4"/>
  <c r="AQ43" i="4"/>
  <c r="AQ45" i="4"/>
  <c r="AQ47" i="4"/>
  <c r="AQ49" i="4"/>
  <c r="AQ51" i="4"/>
  <c r="AQ53" i="4"/>
  <c r="AQ55" i="4"/>
  <c r="AQ23" i="4"/>
  <c r="AQ48" i="4"/>
  <c r="AQ52" i="4"/>
  <c r="AQ12" i="4"/>
  <c r="AQ38" i="4"/>
  <c r="AQ42" i="4"/>
  <c r="AQ37" i="4"/>
  <c r="AQ54" i="4"/>
  <c r="AQ18" i="4"/>
  <c r="AQ35" i="4"/>
  <c r="AQ46" i="4"/>
  <c r="AQ6" i="4"/>
  <c r="AQ50" i="4"/>
  <c r="AQ39" i="4"/>
  <c r="AQ44" i="4"/>
  <c r="AQ29" i="4"/>
  <c r="AQ40" i="4"/>
  <c r="AQ26" i="4"/>
  <c r="E26" i="4"/>
  <c r="AH9" i="4" s="1"/>
  <c r="AH28" i="4" s="1"/>
  <c r="AH43" i="4" s="1"/>
  <c r="AI8" i="4"/>
  <c r="AI19" i="4"/>
  <c r="AI24" i="4"/>
  <c r="AI35" i="4"/>
  <c r="AI9" i="4"/>
  <c r="AI14" i="4"/>
  <c r="AI25" i="4"/>
  <c r="AI30" i="4"/>
  <c r="AI11" i="4"/>
  <c r="AI28" i="4"/>
  <c r="AI22" i="4"/>
  <c r="AI7" i="4"/>
  <c r="AI15" i="4"/>
  <c r="AI32" i="4"/>
  <c r="AI18" i="4"/>
  <c r="AI26" i="4"/>
  <c r="AI29" i="4"/>
  <c r="AI37" i="4"/>
  <c r="AI38" i="4"/>
  <c r="AI12" i="4"/>
  <c r="AI20" i="4"/>
  <c r="AI23" i="4"/>
  <c r="AI31" i="4"/>
  <c r="AI17" i="4"/>
  <c r="AI34" i="4"/>
  <c r="AI43" i="4"/>
  <c r="AI45" i="4"/>
  <c r="AI47" i="4"/>
  <c r="AI49" i="4"/>
  <c r="AI51" i="4"/>
  <c r="AI53" i="4"/>
  <c r="AI55" i="4"/>
  <c r="AI21" i="4"/>
  <c r="AI10" i="4"/>
  <c r="AI50" i="4"/>
  <c r="AI44" i="4"/>
  <c r="AI6" i="4"/>
  <c r="AI13" i="4"/>
  <c r="AI16" i="4"/>
  <c r="AI33" i="4"/>
  <c r="AI41" i="4"/>
  <c r="AI52" i="4"/>
  <c r="AI27" i="4"/>
  <c r="AI40" i="4"/>
  <c r="AI48" i="4"/>
  <c r="AI54" i="4"/>
  <c r="AI36" i="4"/>
  <c r="AI39" i="4"/>
  <c r="AI42" i="4"/>
  <c r="AI46" i="4"/>
  <c r="E22" i="4"/>
  <c r="AA13" i="4"/>
  <c r="AA18" i="4"/>
  <c r="AA29" i="4"/>
  <c r="AA34" i="4"/>
  <c r="AA8" i="4"/>
  <c r="AA19" i="4"/>
  <c r="AA24" i="4"/>
  <c r="AA35" i="4"/>
  <c r="AA9" i="4"/>
  <c r="AA26" i="4"/>
  <c r="AA12" i="4"/>
  <c r="AA20" i="4"/>
  <c r="AA23" i="4"/>
  <c r="AA31" i="4"/>
  <c r="AA22" i="4"/>
  <c r="AA30" i="4"/>
  <c r="AA33" i="4"/>
  <c r="AA16" i="4"/>
  <c r="AA27" i="4"/>
  <c r="AA39" i="4"/>
  <c r="AA40" i="4"/>
  <c r="AA10" i="4"/>
  <c r="AA21" i="4"/>
  <c r="AA7" i="4"/>
  <c r="AA15" i="4"/>
  <c r="AA32" i="4"/>
  <c r="AA38" i="4"/>
  <c r="AA43" i="4"/>
  <c r="AA45" i="4"/>
  <c r="AA47" i="4"/>
  <c r="AA49" i="4"/>
  <c r="AA51" i="4"/>
  <c r="AA53" i="4"/>
  <c r="AA55" i="4"/>
  <c r="AA52" i="4"/>
  <c r="AA41" i="4"/>
  <c r="AA42" i="4"/>
  <c r="AA46" i="4"/>
  <c r="AA11" i="4"/>
  <c r="AA28" i="4"/>
  <c r="AA37" i="4"/>
  <c r="AA48" i="4"/>
  <c r="AA14" i="4"/>
  <c r="AA50" i="4"/>
  <c r="AA6" i="4"/>
  <c r="AA25" i="4"/>
  <c r="AA36" i="4"/>
  <c r="AA44" i="4"/>
  <c r="AA17" i="4"/>
  <c r="AA54" i="4"/>
  <c r="E13" i="4"/>
  <c r="N7" i="4" s="1"/>
  <c r="N26" i="4" s="1"/>
  <c r="N41" i="4" s="1"/>
  <c r="O14" i="4"/>
  <c r="O22" i="4"/>
  <c r="O30" i="4"/>
  <c r="O7" i="4"/>
  <c r="O15" i="4"/>
  <c r="O23" i="4"/>
  <c r="O31" i="4"/>
  <c r="O9" i="4"/>
  <c r="O29" i="4"/>
  <c r="O41" i="4"/>
  <c r="O49" i="4"/>
  <c r="O8" i="4"/>
  <c r="O28" i="4"/>
  <c r="O21" i="4"/>
  <c r="O27" i="4"/>
  <c r="O33" i="4"/>
  <c r="O35" i="4"/>
  <c r="O43" i="4"/>
  <c r="O51" i="4"/>
  <c r="O16" i="4"/>
  <c r="O24" i="4"/>
  <c r="O26" i="4"/>
  <c r="O40" i="4"/>
  <c r="O46" i="4"/>
  <c r="O52" i="4"/>
  <c r="O6" i="4"/>
  <c r="O10" i="4"/>
  <c r="O25" i="4"/>
  <c r="O32" i="4"/>
  <c r="O36" i="4"/>
  <c r="O13" i="4"/>
  <c r="O42" i="4"/>
  <c r="O55" i="4"/>
  <c r="O11" i="4"/>
  <c r="O48" i="4"/>
  <c r="O54" i="4"/>
  <c r="O18" i="4"/>
  <c r="O47" i="4"/>
  <c r="O45" i="4"/>
  <c r="O12" i="4"/>
  <c r="O44" i="4"/>
  <c r="O17" i="4"/>
  <c r="O37" i="4"/>
  <c r="O38" i="4"/>
  <c r="O19" i="4"/>
  <c r="O50" i="4"/>
  <c r="O20" i="4"/>
  <c r="O34" i="4"/>
  <c r="O53" i="4"/>
  <c r="O39" i="4"/>
  <c r="E29" i="4"/>
  <c r="AO10" i="4"/>
  <c r="AO15" i="4"/>
  <c r="AO26" i="4"/>
  <c r="AO31" i="4"/>
  <c r="AO16" i="4"/>
  <c r="AO21" i="4"/>
  <c r="AO32" i="4"/>
  <c r="AO37" i="4"/>
  <c r="AO39" i="4"/>
  <c r="AO41" i="4"/>
  <c r="AO7" i="4"/>
  <c r="AO18" i="4"/>
  <c r="AO12" i="4"/>
  <c r="AO29" i="4"/>
  <c r="AO11" i="4"/>
  <c r="AO14" i="4"/>
  <c r="AO22" i="4"/>
  <c r="AO8" i="4"/>
  <c r="AO25" i="4"/>
  <c r="AO33" i="4"/>
  <c r="AO36" i="4"/>
  <c r="AO43" i="4"/>
  <c r="AO45" i="4"/>
  <c r="AO47" i="4"/>
  <c r="AO49" i="4"/>
  <c r="AO19" i="4"/>
  <c r="AO27" i="4"/>
  <c r="AO30" i="4"/>
  <c r="AO13" i="4"/>
  <c r="AO24" i="4"/>
  <c r="AO40" i="4"/>
  <c r="AO28" i="4"/>
  <c r="AO34" i="4"/>
  <c r="AO50" i="4"/>
  <c r="AO51" i="4"/>
  <c r="AO17" i="4"/>
  <c r="AO54" i="4"/>
  <c r="AO55" i="4"/>
  <c r="AO46" i="4"/>
  <c r="AO20" i="4"/>
  <c r="AO35" i="4"/>
  <c r="AO48" i="4"/>
  <c r="AO52" i="4"/>
  <c r="AO53" i="4"/>
  <c r="AO23" i="4"/>
  <c r="AO44" i="4"/>
  <c r="AO38" i="4"/>
  <c r="AO42" i="4"/>
  <c r="AO9" i="4"/>
  <c r="AO6" i="4"/>
  <c r="E27" i="4"/>
  <c r="AK7" i="4"/>
  <c r="AK12" i="4"/>
  <c r="AK23" i="4"/>
  <c r="AK28" i="4"/>
  <c r="AK13" i="4"/>
  <c r="AK18" i="4"/>
  <c r="AK29" i="4"/>
  <c r="AK34" i="4"/>
  <c r="AK38" i="4"/>
  <c r="AK40" i="4"/>
  <c r="AK20" i="4"/>
  <c r="AK31" i="4"/>
  <c r="AK14" i="4"/>
  <c r="AK17" i="4"/>
  <c r="AK25" i="4"/>
  <c r="AJ10" i="4"/>
  <c r="AJ29" i="4" s="1"/>
  <c r="AJ44" i="4" s="1"/>
  <c r="AK16" i="4"/>
  <c r="AK24" i="4"/>
  <c r="AK27" i="4"/>
  <c r="AK35" i="4"/>
  <c r="AK10" i="4"/>
  <c r="AK21" i="4"/>
  <c r="AK39" i="4"/>
  <c r="AK42" i="4"/>
  <c r="AK44" i="4"/>
  <c r="AK46" i="4"/>
  <c r="AK48" i="4"/>
  <c r="AK15" i="4"/>
  <c r="AK32" i="4"/>
  <c r="AK9" i="4"/>
  <c r="AK26" i="4"/>
  <c r="AK37" i="4"/>
  <c r="AK49" i="4"/>
  <c r="AK22" i="4"/>
  <c r="AK36" i="4"/>
  <c r="AK51" i="4"/>
  <c r="AK52" i="4"/>
  <c r="AK8" i="4"/>
  <c r="AK30" i="4"/>
  <c r="AK50" i="4"/>
  <c r="AK11" i="4"/>
  <c r="AK45" i="4"/>
  <c r="AK47" i="4"/>
  <c r="AK41" i="4"/>
  <c r="AK43" i="4"/>
  <c r="AK19" i="4"/>
  <c r="AK6" i="4"/>
  <c r="AK54" i="4"/>
  <c r="AK55" i="4"/>
  <c r="AK53" i="4"/>
  <c r="AK33" i="4"/>
  <c r="E25" i="4"/>
  <c r="AG9" i="4"/>
  <c r="AG20" i="4"/>
  <c r="AG25" i="4"/>
  <c r="AG36" i="4"/>
  <c r="AG10" i="4"/>
  <c r="AG15" i="4"/>
  <c r="AG26" i="4"/>
  <c r="AG31" i="4"/>
  <c r="AG39" i="4"/>
  <c r="AG41" i="4"/>
  <c r="AG8" i="4"/>
  <c r="AG16" i="4"/>
  <c r="AG33" i="4"/>
  <c r="AG19" i="4"/>
  <c r="AG27" i="4"/>
  <c r="AG30" i="4"/>
  <c r="AG12" i="4"/>
  <c r="AG29" i="4"/>
  <c r="AG37" i="4"/>
  <c r="AG23" i="4"/>
  <c r="AG34" i="4"/>
  <c r="AG43" i="4"/>
  <c r="AG45" i="4"/>
  <c r="AG47" i="4"/>
  <c r="AG49" i="4"/>
  <c r="AG17" i="4"/>
  <c r="AG28" i="4"/>
  <c r="AG11" i="4"/>
  <c r="AG14" i="4"/>
  <c r="AG22" i="4"/>
  <c r="AG46" i="4"/>
  <c r="AG52" i="4"/>
  <c r="AG53" i="4"/>
  <c r="AG13" i="4"/>
  <c r="AG35" i="4"/>
  <c r="AG18" i="4"/>
  <c r="AG54" i="4"/>
  <c r="AG55" i="4"/>
  <c r="AG21" i="4"/>
  <c r="AG40" i="4"/>
  <c r="AG42" i="4"/>
  <c r="AG6" i="4"/>
  <c r="AG50" i="4"/>
  <c r="AG24" i="4"/>
  <c r="AG38" i="4"/>
  <c r="AG48" i="4"/>
  <c r="AG44" i="4"/>
  <c r="AG32" i="4"/>
  <c r="AG7" i="4"/>
  <c r="AG51" i="4"/>
  <c r="AC17" i="4"/>
  <c r="AC22" i="4"/>
  <c r="AC33" i="4"/>
  <c r="AC7" i="4"/>
  <c r="AC12" i="4"/>
  <c r="AC23" i="4"/>
  <c r="AC28" i="4"/>
  <c r="AC38" i="4"/>
  <c r="AC40" i="4"/>
  <c r="AC10" i="4"/>
  <c r="AC18" i="4"/>
  <c r="AC21" i="4"/>
  <c r="AC29" i="4"/>
  <c r="AC15" i="4"/>
  <c r="AC32" i="4"/>
  <c r="AC14" i="4"/>
  <c r="AC25" i="4"/>
  <c r="AC8" i="4"/>
  <c r="AC11" i="4"/>
  <c r="AC19" i="4"/>
  <c r="AC36" i="4"/>
  <c r="AC41" i="4"/>
  <c r="AC42" i="4"/>
  <c r="AC44" i="4"/>
  <c r="AC46" i="4"/>
  <c r="AC48" i="4"/>
  <c r="AC50" i="4"/>
  <c r="AC13" i="4"/>
  <c r="AC30" i="4"/>
  <c r="AC16" i="4"/>
  <c r="AC24" i="4"/>
  <c r="AC27" i="4"/>
  <c r="AC35" i="4"/>
  <c r="AC39" i="4"/>
  <c r="AC31" i="4"/>
  <c r="AC37" i="4"/>
  <c r="AC20" i="4"/>
  <c r="AC34" i="4"/>
  <c r="AC53" i="4"/>
  <c r="AC54" i="4"/>
  <c r="AC51" i="4"/>
  <c r="AC52" i="4"/>
  <c r="AC9" i="4"/>
  <c r="AC26" i="4"/>
  <c r="AC43" i="4"/>
  <c r="AC49" i="4"/>
  <c r="AC45" i="4"/>
  <c r="AC47" i="4"/>
  <c r="AC6" i="4"/>
  <c r="AC55" i="4"/>
  <c r="E17" i="4"/>
  <c r="W7" i="4"/>
  <c r="W15" i="4"/>
  <c r="W23" i="4"/>
  <c r="W31" i="4"/>
  <c r="W8" i="4"/>
  <c r="W16" i="4"/>
  <c r="W24" i="4"/>
  <c r="W32" i="4"/>
  <c r="W14" i="4"/>
  <c r="W20" i="4"/>
  <c r="W26" i="4"/>
  <c r="W34" i="4"/>
  <c r="W42" i="4"/>
  <c r="W50" i="4"/>
  <c r="W13" i="4"/>
  <c r="W25" i="4"/>
  <c r="W19" i="4"/>
  <c r="W12" i="4"/>
  <c r="W18" i="4"/>
  <c r="W36" i="4"/>
  <c r="W44" i="4"/>
  <c r="W52" i="4"/>
  <c r="W11" i="4"/>
  <c r="W21" i="4"/>
  <c r="W37" i="4"/>
  <c r="W22" i="4"/>
  <c r="W41" i="4"/>
  <c r="W47" i="4"/>
  <c r="W53" i="4"/>
  <c r="W10" i="4"/>
  <c r="W17" i="4"/>
  <c r="W28" i="4"/>
  <c r="W40" i="4"/>
  <c r="W46" i="4"/>
  <c r="W33" i="4"/>
  <c r="W39" i="4"/>
  <c r="W45" i="4"/>
  <c r="W51" i="4"/>
  <c r="W30" i="4"/>
  <c r="W6" i="4"/>
  <c r="W29" i="4"/>
  <c r="W49" i="4"/>
  <c r="W9" i="4"/>
  <c r="W35" i="4"/>
  <c r="W54" i="4"/>
  <c r="W38" i="4"/>
  <c r="W27" i="4"/>
  <c r="W43" i="4"/>
  <c r="W55" i="4"/>
  <c r="W48" i="4"/>
  <c r="E14" i="4"/>
  <c r="Q11" i="4"/>
  <c r="Q19" i="4"/>
  <c r="Q27" i="4"/>
  <c r="Q35" i="4"/>
  <c r="Q43" i="4"/>
  <c r="Q51" i="4"/>
  <c r="Q15" i="4"/>
  <c r="Q24" i="4"/>
  <c r="Q33" i="4"/>
  <c r="Q42" i="4"/>
  <c r="Q52" i="4"/>
  <c r="Q7" i="4"/>
  <c r="Q16" i="4"/>
  <c r="Q25" i="4"/>
  <c r="Q34" i="4"/>
  <c r="Q44" i="4"/>
  <c r="Q53" i="4"/>
  <c r="Q13" i="4"/>
  <c r="Q26" i="4"/>
  <c r="Q38" i="4"/>
  <c r="Q49" i="4"/>
  <c r="Q14" i="4"/>
  <c r="Q28" i="4"/>
  <c r="Q39" i="4"/>
  <c r="Q50" i="4"/>
  <c r="Q8" i="4"/>
  <c r="Q20" i="4"/>
  <c r="Q31" i="4"/>
  <c r="Q45" i="4"/>
  <c r="Q6" i="4"/>
  <c r="Q9" i="4"/>
  <c r="Q21" i="4"/>
  <c r="Q32" i="4"/>
  <c r="Q46" i="4"/>
  <c r="Q10" i="4"/>
  <c r="Q22" i="4"/>
  <c r="Q36" i="4"/>
  <c r="Q47" i="4"/>
  <c r="Q12" i="4"/>
  <c r="Q23" i="4"/>
  <c r="Q37" i="4"/>
  <c r="Q48" i="4"/>
  <c r="Q55" i="4"/>
  <c r="Q30" i="4"/>
  <c r="Q40" i="4"/>
  <c r="Q41" i="4"/>
  <c r="Q54" i="4"/>
  <c r="Q18" i="4"/>
  <c r="Q29" i="4"/>
  <c r="Q17" i="4"/>
  <c r="E28" i="4"/>
  <c r="AM11" i="4"/>
  <c r="AM22" i="4"/>
  <c r="AM27" i="4"/>
  <c r="AM12" i="4"/>
  <c r="AM17" i="4"/>
  <c r="AM28" i="4"/>
  <c r="AM33" i="4"/>
  <c r="AM15" i="4"/>
  <c r="AM23" i="4"/>
  <c r="AM26" i="4"/>
  <c r="AM9" i="4"/>
  <c r="AM20" i="4"/>
  <c r="AM19" i="4"/>
  <c r="AM30" i="4"/>
  <c r="AM13" i="4"/>
  <c r="AM16" i="4"/>
  <c r="AM24" i="4"/>
  <c r="AM40" i="4"/>
  <c r="AM41" i="4"/>
  <c r="AM7" i="4"/>
  <c r="AM10" i="4"/>
  <c r="AM18" i="4"/>
  <c r="AM35" i="4"/>
  <c r="AM6" i="4"/>
  <c r="AM21" i="4"/>
  <c r="AM29" i="4"/>
  <c r="AM32" i="4"/>
  <c r="AM38" i="4"/>
  <c r="AM39" i="4"/>
  <c r="AM42" i="4"/>
  <c r="AM44" i="4"/>
  <c r="AM46" i="4"/>
  <c r="AM48" i="4"/>
  <c r="AM50" i="4"/>
  <c r="AM52" i="4"/>
  <c r="AM54" i="4"/>
  <c r="AM53" i="4"/>
  <c r="AM36" i="4"/>
  <c r="AM43" i="4"/>
  <c r="AM8" i="4"/>
  <c r="AM25" i="4"/>
  <c r="AM34" i="4"/>
  <c r="AM51" i="4"/>
  <c r="AM31" i="4"/>
  <c r="AM47" i="4"/>
  <c r="AM45" i="4"/>
  <c r="AM37" i="4"/>
  <c r="AM49" i="4"/>
  <c r="AM14" i="4"/>
  <c r="AM55" i="4"/>
  <c r="E24" i="4"/>
  <c r="AD8" i="4" s="1"/>
  <c r="AD27" i="4" s="1"/>
  <c r="AD42" i="4" s="1"/>
  <c r="AE16" i="4"/>
  <c r="AE21" i="4"/>
  <c r="AE32" i="4"/>
  <c r="AE37" i="4"/>
  <c r="AE11" i="4"/>
  <c r="AE22" i="4"/>
  <c r="AE27" i="4"/>
  <c r="AE13" i="4"/>
  <c r="AE24" i="4"/>
  <c r="AE7" i="4"/>
  <c r="AE10" i="4"/>
  <c r="AE18" i="4"/>
  <c r="AE9" i="4"/>
  <c r="AE17" i="4"/>
  <c r="AE20" i="4"/>
  <c r="AE28" i="4"/>
  <c r="AE14" i="4"/>
  <c r="AE31" i="4"/>
  <c r="AE8" i="4"/>
  <c r="AE25" i="4"/>
  <c r="AE33" i="4"/>
  <c r="AE36" i="4"/>
  <c r="AE6" i="4"/>
  <c r="AE19" i="4"/>
  <c r="AE30" i="4"/>
  <c r="AE40" i="4"/>
  <c r="AE41" i="4"/>
  <c r="AE42" i="4"/>
  <c r="AE44" i="4"/>
  <c r="AE46" i="4"/>
  <c r="AE48" i="4"/>
  <c r="AE50" i="4"/>
  <c r="AE52" i="4"/>
  <c r="AE54" i="4"/>
  <c r="AE26" i="4"/>
  <c r="AE51" i="4"/>
  <c r="AE15" i="4"/>
  <c r="AE47" i="4"/>
  <c r="AE55" i="4"/>
  <c r="AE34" i="4"/>
  <c r="AE45" i="4"/>
  <c r="AE49" i="4"/>
  <c r="AE23" i="4"/>
  <c r="AE53" i="4"/>
  <c r="AE38" i="4"/>
  <c r="AE39" i="4"/>
  <c r="AE12" i="4"/>
  <c r="AE35" i="4"/>
  <c r="AE29" i="4"/>
  <c r="AE43" i="4"/>
  <c r="K9" i="4"/>
  <c r="K17" i="4"/>
  <c r="K25" i="4"/>
  <c r="K33" i="4"/>
  <c r="K41" i="4"/>
  <c r="K49" i="4"/>
  <c r="K11" i="4"/>
  <c r="K19" i="4"/>
  <c r="K27" i="4"/>
  <c r="K35" i="4"/>
  <c r="K43" i="4"/>
  <c r="K51" i="4"/>
  <c r="K8" i="4"/>
  <c r="K20" i="4"/>
  <c r="K30" i="4"/>
  <c r="K40" i="4"/>
  <c r="K52" i="4"/>
  <c r="K14" i="4"/>
  <c r="K24" i="4"/>
  <c r="K36" i="4"/>
  <c r="K46" i="4"/>
  <c r="K6" i="4"/>
  <c r="K15" i="4"/>
  <c r="K26" i="4"/>
  <c r="K37" i="4"/>
  <c r="K47" i="4"/>
  <c r="K16" i="4"/>
  <c r="K28" i="4"/>
  <c r="K38" i="4"/>
  <c r="K48" i="4"/>
  <c r="K7" i="4"/>
  <c r="K29" i="4"/>
  <c r="K50" i="4"/>
  <c r="K10" i="4"/>
  <c r="K31" i="4"/>
  <c r="K53" i="4"/>
  <c r="K18" i="4"/>
  <c r="K21" i="4"/>
  <c r="K44" i="4"/>
  <c r="K23" i="4"/>
  <c r="K12" i="4"/>
  <c r="K32" i="4"/>
  <c r="K54" i="4"/>
  <c r="K13" i="4"/>
  <c r="K34" i="4"/>
  <c r="K55" i="4"/>
  <c r="K39" i="4"/>
  <c r="K42" i="4"/>
  <c r="K22" i="4"/>
  <c r="K45" i="4"/>
  <c r="E16" i="4"/>
  <c r="U9" i="4"/>
  <c r="U17" i="4"/>
  <c r="U25" i="4"/>
  <c r="U33" i="4"/>
  <c r="U10" i="4"/>
  <c r="U18" i="4"/>
  <c r="U26" i="4"/>
  <c r="U12" i="4"/>
  <c r="U32" i="4"/>
  <c r="U36" i="4"/>
  <c r="U44" i="4"/>
  <c r="U52" i="4"/>
  <c r="U6" i="4"/>
  <c r="U11" i="4"/>
  <c r="U24" i="4"/>
  <c r="U30" i="4"/>
  <c r="U38" i="4"/>
  <c r="U46" i="4"/>
  <c r="U54" i="4"/>
  <c r="U13" i="4"/>
  <c r="U29" i="4"/>
  <c r="U43" i="4"/>
  <c r="U49" i="4"/>
  <c r="U55" i="4"/>
  <c r="U7" i="4"/>
  <c r="U39" i="4"/>
  <c r="U45" i="4"/>
  <c r="U8" i="4"/>
  <c r="U15" i="4"/>
  <c r="U19" i="4"/>
  <c r="U21" i="4"/>
  <c r="U23" i="4"/>
  <c r="U51" i="4"/>
  <c r="U37" i="4"/>
  <c r="U42" i="4"/>
  <c r="U50" i="4"/>
  <c r="U16" i="4"/>
  <c r="U20" i="4"/>
  <c r="U31" i="4"/>
  <c r="U22" i="4"/>
  <c r="U35" i="4"/>
  <c r="U47" i="4"/>
  <c r="U14" i="4"/>
  <c r="U40" i="4"/>
  <c r="U27" i="4"/>
  <c r="U48" i="4"/>
  <c r="U41" i="4"/>
  <c r="U28" i="4"/>
  <c r="U34" i="4"/>
  <c r="U53" i="4"/>
  <c r="E15" i="4"/>
  <c r="R11" i="4" s="1"/>
  <c r="R30" i="4" s="1"/>
  <c r="R45" i="4" s="1"/>
  <c r="S11" i="4"/>
  <c r="S19" i="4"/>
  <c r="S27" i="4"/>
  <c r="S12" i="4"/>
  <c r="S20" i="4"/>
  <c r="S28" i="4"/>
  <c r="S18" i="4"/>
  <c r="S24" i="4"/>
  <c r="S30" i="4"/>
  <c r="S38" i="4"/>
  <c r="S46" i="4"/>
  <c r="S54" i="4"/>
  <c r="S17" i="4"/>
  <c r="S23" i="4"/>
  <c r="S10" i="4"/>
  <c r="S16" i="4"/>
  <c r="S22" i="4"/>
  <c r="S40" i="4"/>
  <c r="S48" i="4"/>
  <c r="S6" i="4"/>
  <c r="S9" i="4"/>
  <c r="S15" i="4"/>
  <c r="S35" i="4"/>
  <c r="S41" i="4"/>
  <c r="S21" i="4"/>
  <c r="S33" i="4"/>
  <c r="S45" i="4"/>
  <c r="S51" i="4"/>
  <c r="S8" i="4"/>
  <c r="S44" i="4"/>
  <c r="S50" i="4"/>
  <c r="S13" i="4"/>
  <c r="S37" i="4"/>
  <c r="S43" i="4"/>
  <c r="S49" i="4"/>
  <c r="S7" i="4"/>
  <c r="S25" i="4"/>
  <c r="S29" i="4"/>
  <c r="S32" i="4"/>
  <c r="S42" i="4"/>
  <c r="S14" i="4"/>
  <c r="S47" i="4"/>
  <c r="S36" i="4"/>
  <c r="S55" i="4"/>
  <c r="S53" i="4"/>
  <c r="S26" i="4"/>
  <c r="S52" i="4"/>
  <c r="S34" i="4"/>
  <c r="S31" i="4"/>
  <c r="S39" i="4"/>
  <c r="E21" i="4"/>
  <c r="X9" i="4" s="1"/>
  <c r="X28" i="4" s="1"/>
  <c r="X43" i="4" s="1"/>
  <c r="Y14" i="4"/>
  <c r="Y19" i="4"/>
  <c r="Y30" i="4"/>
  <c r="Y35" i="4"/>
  <c r="Y9" i="4"/>
  <c r="Y20" i="4"/>
  <c r="Y25" i="4"/>
  <c r="Y36" i="4"/>
  <c r="Y39" i="4"/>
  <c r="Y41" i="4"/>
  <c r="Y23" i="4"/>
  <c r="Y31" i="4"/>
  <c r="Y17" i="4"/>
  <c r="Y28" i="4"/>
  <c r="Y10" i="4"/>
  <c r="Y27" i="4"/>
  <c r="Y13" i="4"/>
  <c r="Y21" i="4"/>
  <c r="Y24" i="4"/>
  <c r="Y32" i="4"/>
  <c r="Y38" i="4"/>
  <c r="Y43" i="4"/>
  <c r="Y45" i="4"/>
  <c r="Y47" i="4"/>
  <c r="Y49" i="4"/>
  <c r="Y7" i="4"/>
  <c r="Y15" i="4"/>
  <c r="Y18" i="4"/>
  <c r="Y26" i="4"/>
  <c r="Y12" i="4"/>
  <c r="Y29" i="4"/>
  <c r="Y37" i="4"/>
  <c r="Y8" i="4"/>
  <c r="Y48" i="4"/>
  <c r="Y51" i="4"/>
  <c r="Y11" i="4"/>
  <c r="Y40" i="4"/>
  <c r="Y50" i="4"/>
  <c r="Y6" i="4"/>
  <c r="Y16" i="4"/>
  <c r="Y33" i="4"/>
  <c r="Y44" i="4"/>
  <c r="Y46" i="4"/>
  <c r="Y54" i="4"/>
  <c r="Y55" i="4"/>
  <c r="Y22" i="4"/>
  <c r="Y34" i="4"/>
  <c r="Y53" i="4"/>
  <c r="Y52" i="4"/>
  <c r="Y42" i="4"/>
  <c r="E12" i="4"/>
  <c r="M6" i="4"/>
  <c r="M10" i="4"/>
  <c r="M16" i="4"/>
  <c r="M21" i="4"/>
  <c r="M26" i="4"/>
  <c r="M32" i="4"/>
  <c r="M37" i="4"/>
  <c r="M42" i="4"/>
  <c r="M48" i="4"/>
  <c r="M53" i="4"/>
  <c r="M8" i="4"/>
  <c r="M13" i="4"/>
  <c r="M18" i="4"/>
  <c r="M24" i="4"/>
  <c r="M29" i="4"/>
  <c r="M34" i="4"/>
  <c r="M40" i="4"/>
  <c r="M45" i="4"/>
  <c r="M50" i="4"/>
  <c r="M19" i="4"/>
  <c r="M35" i="4"/>
  <c r="M51" i="4"/>
  <c r="M9" i="4"/>
  <c r="M14" i="4"/>
  <c r="M20" i="4"/>
  <c r="M25" i="4"/>
  <c r="M30" i="4"/>
  <c r="M36" i="4"/>
  <c r="M41" i="4"/>
  <c r="M46" i="4"/>
  <c r="M52" i="4"/>
  <c r="M15" i="4"/>
  <c r="M47" i="4"/>
  <c r="M27" i="4"/>
  <c r="M43" i="4"/>
  <c r="M12" i="4"/>
  <c r="M33" i="4"/>
  <c r="M54" i="4"/>
  <c r="M23" i="4"/>
  <c r="M17" i="4"/>
  <c r="M28" i="4"/>
  <c r="M38" i="4"/>
  <c r="M49" i="4"/>
  <c r="M7" i="4"/>
  <c r="M39" i="4"/>
  <c r="M31" i="4"/>
  <c r="M11" i="4"/>
  <c r="M22" i="4"/>
  <c r="M44" i="4"/>
  <c r="M55" i="4"/>
  <c r="E11" i="4"/>
  <c r="E23" i="4"/>
  <c r="BB29" i="4" l="1"/>
  <c r="AY32" i="4"/>
  <c r="BB7" i="4"/>
  <c r="BC7" i="4"/>
  <c r="BC29" i="4"/>
  <c r="AZ32" i="4"/>
  <c r="BB49" i="4"/>
  <c r="BB41" i="4"/>
  <c r="BB39" i="4"/>
  <c r="BB30" i="4"/>
  <c r="BB8" i="4"/>
  <c r="BC49" i="4"/>
  <c r="BC39" i="4"/>
  <c r="BC41" i="4"/>
  <c r="BC30" i="4"/>
  <c r="BC8" i="4"/>
  <c r="BC44" i="4"/>
  <c r="BC40" i="4"/>
  <c r="BC42" i="4"/>
  <c r="BC50" i="4"/>
  <c r="AZ54" i="4"/>
  <c r="BB40" i="4"/>
  <c r="BB42" i="4"/>
  <c r="AY54" i="4"/>
  <c r="BB50" i="4"/>
  <c r="BB44" i="4"/>
  <c r="BB11" i="4"/>
  <c r="BB35" i="4"/>
  <c r="BB43" i="4"/>
  <c r="BB47" i="4"/>
  <c r="BB55" i="4"/>
  <c r="AY27" i="4"/>
  <c r="AY35" i="4"/>
  <c r="AY43" i="4"/>
  <c r="BB18" i="4"/>
  <c r="BB28" i="4"/>
  <c r="BB32" i="4"/>
  <c r="BB48" i="4"/>
  <c r="AY28" i="4"/>
  <c r="BB22" i="4"/>
  <c r="AY53" i="4"/>
  <c r="AY14" i="4"/>
  <c r="AY55" i="4"/>
  <c r="AY48" i="4"/>
  <c r="AY6" i="4"/>
  <c r="BB27" i="4"/>
  <c r="BB36" i="4"/>
  <c r="AY36" i="4"/>
  <c r="BB6" i="4"/>
  <c r="BB53" i="4"/>
  <c r="BB14" i="4"/>
  <c r="AZ27" i="4"/>
  <c r="AZ35" i="4"/>
  <c r="BC11" i="4"/>
  <c r="BC35" i="4"/>
  <c r="BC43" i="4"/>
  <c r="BC47" i="4"/>
  <c r="BC55" i="4"/>
  <c r="AZ28" i="4"/>
  <c r="AZ55" i="4"/>
  <c r="AZ6" i="4"/>
  <c r="AZ53" i="4"/>
  <c r="BC28" i="4"/>
  <c r="BC32" i="4"/>
  <c r="BC48" i="4"/>
  <c r="AZ14" i="4"/>
  <c r="AZ48" i="4"/>
  <c r="BC18" i="4"/>
  <c r="BC22" i="4"/>
  <c r="AZ43" i="4"/>
  <c r="BC27" i="4"/>
  <c r="AZ36" i="4"/>
  <c r="BC6" i="4"/>
  <c r="BC36" i="4"/>
  <c r="BC53" i="4"/>
  <c r="BC14" i="4"/>
  <c r="AH8" i="4"/>
  <c r="AH27" i="4" s="1"/>
  <c r="AH42" i="4" s="1"/>
  <c r="AP6" i="4"/>
  <c r="AP25" i="4" s="1"/>
  <c r="AP40" i="4" s="1"/>
  <c r="X6" i="4"/>
  <c r="X25" i="4" s="1"/>
  <c r="X40" i="4" s="1"/>
  <c r="T10" i="4"/>
  <c r="T29" i="4" s="1"/>
  <c r="T44" i="4" s="1"/>
  <c r="AD11" i="4"/>
  <c r="AD30" i="4" s="1"/>
  <c r="AD45" i="4" s="1"/>
  <c r="AH10" i="4"/>
  <c r="AH29" i="4" s="1"/>
  <c r="AH44" i="4" s="1"/>
  <c r="AH6" i="4"/>
  <c r="AH25" i="4" s="1"/>
  <c r="AH40" i="4" s="1"/>
  <c r="T11" i="4"/>
  <c r="T30" i="4" s="1"/>
  <c r="T45" i="4" s="1"/>
  <c r="T8" i="4"/>
  <c r="T27" i="4" s="1"/>
  <c r="T42" i="4" s="1"/>
  <c r="AF9" i="4"/>
  <c r="AF28" i="4" s="1"/>
  <c r="AF43" i="4" s="1"/>
  <c r="AN7" i="4"/>
  <c r="AN26" i="4" s="1"/>
  <c r="AN41" i="4" s="1"/>
  <c r="AH7" i="4"/>
  <c r="AH26" i="4" s="1"/>
  <c r="AH41" i="4" s="1"/>
  <c r="AL8" i="4"/>
  <c r="AL27" i="4" s="1"/>
  <c r="AL42" i="4" s="1"/>
  <c r="AF7" i="4"/>
  <c r="AF26" i="4" s="1"/>
  <c r="AF41" i="4" s="1"/>
  <c r="X8" i="4"/>
  <c r="X27" i="4" s="1"/>
  <c r="X42" i="4" s="1"/>
  <c r="AJ6" i="4"/>
  <c r="AJ25" i="4" s="1"/>
  <c r="AJ40" i="4" s="1"/>
  <c r="AD7" i="4"/>
  <c r="AD26" i="4" s="1"/>
  <c r="AD41" i="4" s="1"/>
  <c r="AD9" i="4"/>
  <c r="AD28" i="4" s="1"/>
  <c r="AD43" i="4" s="1"/>
  <c r="AD6" i="4"/>
  <c r="AD25" i="4" s="1"/>
  <c r="AD40" i="4" s="1"/>
  <c r="P9" i="4"/>
  <c r="P28" i="4" s="1"/>
  <c r="P43" i="4" s="1"/>
  <c r="P7" i="4"/>
  <c r="P26" i="4" s="1"/>
  <c r="P41" i="4" s="1"/>
  <c r="X10" i="4"/>
  <c r="X29" i="4" s="1"/>
  <c r="X44" i="4" s="1"/>
  <c r="T9" i="4"/>
  <c r="T28" i="4" s="1"/>
  <c r="T43" i="4" s="1"/>
  <c r="T7" i="4"/>
  <c r="T26" i="4" s="1"/>
  <c r="T41" i="4" s="1"/>
  <c r="P6" i="4"/>
  <c r="P25" i="4" s="1"/>
  <c r="P40" i="4" s="1"/>
  <c r="V11" i="4"/>
  <c r="V30" i="4" s="1"/>
  <c r="V45" i="4" s="1"/>
  <c r="AJ8" i="4"/>
  <c r="AJ27" i="4" s="1"/>
  <c r="AJ42" i="4" s="1"/>
  <c r="AJ7" i="4"/>
  <c r="AJ26" i="4" s="1"/>
  <c r="AJ41" i="4" s="1"/>
  <c r="AH11" i="4"/>
  <c r="AH30" i="4" s="1"/>
  <c r="AH45" i="4" s="1"/>
  <c r="V7" i="4"/>
  <c r="V26" i="4" s="1"/>
  <c r="V41" i="4" s="1"/>
  <c r="AF10" i="4"/>
  <c r="AF29" i="4" s="1"/>
  <c r="AF44" i="4" s="1"/>
  <c r="J7" i="4"/>
  <c r="J26" i="4" s="1"/>
  <c r="J41" i="4" s="1"/>
  <c r="L9" i="4"/>
  <c r="L28" i="4" s="1"/>
  <c r="L43" i="4" s="1"/>
  <c r="L8" i="4"/>
  <c r="L27" i="4" s="1"/>
  <c r="L42" i="4" s="1"/>
  <c r="AK5" i="4"/>
  <c r="AO5" i="4"/>
  <c r="AC5" i="4"/>
  <c r="AB10" i="4"/>
  <c r="AB29" i="4" s="1"/>
  <c r="AB44" i="4" s="1"/>
  <c r="L6" i="4"/>
  <c r="L25" i="4" s="1"/>
  <c r="L40" i="4" s="1"/>
  <c r="R6" i="4"/>
  <c r="R25" i="4" s="1"/>
  <c r="R40" i="4" s="1"/>
  <c r="AE5" i="4"/>
  <c r="AL11" i="4"/>
  <c r="AL30" i="4" s="1"/>
  <c r="AL45" i="4" s="1"/>
  <c r="K5" i="4"/>
  <c r="L11" i="4"/>
  <c r="L30" i="4" s="1"/>
  <c r="L45" i="4" s="1"/>
  <c r="X7" i="4"/>
  <c r="X26" i="4" s="1"/>
  <c r="X41" i="4" s="1"/>
  <c r="R8" i="4"/>
  <c r="R27" i="4" s="1"/>
  <c r="R42" i="4" s="1"/>
  <c r="AD10" i="4"/>
  <c r="AD29" i="4" s="1"/>
  <c r="AD44" i="4" s="1"/>
  <c r="AM5" i="4"/>
  <c r="W5" i="4"/>
  <c r="L10" i="4"/>
  <c r="L29" i="4" s="1"/>
  <c r="L44" i="4" s="1"/>
  <c r="L7" i="4"/>
  <c r="L26" i="4" s="1"/>
  <c r="L41" i="4" s="1"/>
  <c r="Y5" i="4"/>
  <c r="V6" i="4"/>
  <c r="V25" i="4" s="1"/>
  <c r="V40" i="4" s="1"/>
  <c r="V10" i="4"/>
  <c r="V29" i="4" s="1"/>
  <c r="V44" i="4" s="1"/>
  <c r="V8" i="4"/>
  <c r="V27" i="4" s="1"/>
  <c r="V42" i="4" s="1"/>
  <c r="AF8" i="4"/>
  <c r="AF27" i="4" s="1"/>
  <c r="AF42" i="4" s="1"/>
  <c r="AN6" i="4"/>
  <c r="AN25" i="4" s="1"/>
  <c r="AN40" i="4" s="1"/>
  <c r="V9" i="4"/>
  <c r="V28" i="4" s="1"/>
  <c r="V43" i="4" s="1"/>
  <c r="AL9" i="4"/>
  <c r="AL28" i="4" s="1"/>
  <c r="AL43" i="4" s="1"/>
  <c r="AB9" i="4"/>
  <c r="AB28" i="4" s="1"/>
  <c r="AB43" i="4" s="1"/>
  <c r="N6" i="4"/>
  <c r="N25" i="4" s="1"/>
  <c r="N40" i="4" s="1"/>
  <c r="AI5" i="4"/>
  <c r="AP10" i="4"/>
  <c r="AP29" i="4" s="1"/>
  <c r="AP44" i="4" s="1"/>
  <c r="AL6" i="4"/>
  <c r="AL25" i="4" s="1"/>
  <c r="AL40" i="4" s="1"/>
  <c r="AL10" i="4"/>
  <c r="AL29" i="4" s="1"/>
  <c r="AL44" i="4" s="1"/>
  <c r="AB7" i="4"/>
  <c r="AB26" i="4" s="1"/>
  <c r="AB41" i="4" s="1"/>
  <c r="AG5" i="4"/>
  <c r="AJ9" i="4"/>
  <c r="AJ28" i="4" s="1"/>
  <c r="AJ43" i="4" s="1"/>
  <c r="AJ11" i="4"/>
  <c r="AJ30" i="4" s="1"/>
  <c r="AJ45" i="4" s="1"/>
  <c r="AN9" i="4"/>
  <c r="AN28" i="4" s="1"/>
  <c r="AN43" i="4" s="1"/>
  <c r="AN10" i="4"/>
  <c r="AN29" i="4" s="1"/>
  <c r="AN44" i="4" s="1"/>
  <c r="Z10" i="4"/>
  <c r="Z29" i="4" s="1"/>
  <c r="Z44" i="4" s="1"/>
  <c r="Z11" i="4"/>
  <c r="Z30" i="4" s="1"/>
  <c r="Z45" i="4" s="1"/>
  <c r="J8" i="4"/>
  <c r="J27" i="4" s="1"/>
  <c r="J42" i="4" s="1"/>
  <c r="N10" i="4"/>
  <c r="N29" i="4" s="1"/>
  <c r="N44" i="4" s="1"/>
  <c r="Z9" i="4"/>
  <c r="Z28" i="4" s="1"/>
  <c r="Z43" i="4" s="1"/>
  <c r="J11" i="4"/>
  <c r="J30" i="4" s="1"/>
  <c r="J45" i="4" s="1"/>
  <c r="S5" i="4"/>
  <c r="J6" i="4"/>
  <c r="J25" i="4" s="1"/>
  <c r="J40" i="4" s="1"/>
  <c r="AB11" i="4"/>
  <c r="AB30" i="4" s="1"/>
  <c r="AB45" i="4" s="1"/>
  <c r="AN8" i="4"/>
  <c r="AN27" i="4" s="1"/>
  <c r="AN42" i="4" s="1"/>
  <c r="O5" i="4"/>
  <c r="Z8" i="4"/>
  <c r="Z27" i="4" s="1"/>
  <c r="Z42" i="4" s="1"/>
  <c r="Z7" i="4"/>
  <c r="Z26" i="4" s="1"/>
  <c r="Z41" i="4" s="1"/>
  <c r="AP11" i="4"/>
  <c r="AP30" i="4" s="1"/>
  <c r="AP45" i="4" s="1"/>
  <c r="U5" i="4"/>
  <c r="Q5" i="4"/>
  <c r="AB6" i="4"/>
  <c r="AB25" i="4" s="1"/>
  <c r="AB40" i="4" s="1"/>
  <c r="AP9" i="4"/>
  <c r="AP28" i="4" s="1"/>
  <c r="AP43" i="4" s="1"/>
  <c r="M5" i="4"/>
  <c r="AB8" i="4"/>
  <c r="AB27" i="4" s="1"/>
  <c r="AB42" i="4" s="1"/>
  <c r="X11" i="4"/>
  <c r="X30" i="4" s="1"/>
  <c r="X45" i="4" s="1"/>
  <c r="R7" i="4"/>
  <c r="R26" i="4" s="1"/>
  <c r="R41" i="4" s="1"/>
  <c r="R9" i="4"/>
  <c r="R28" i="4" s="1"/>
  <c r="R43" i="4" s="1"/>
  <c r="T6" i="4"/>
  <c r="T25" i="4" s="1"/>
  <c r="T40" i="4" s="1"/>
  <c r="P11" i="4"/>
  <c r="P30" i="4" s="1"/>
  <c r="P45" i="4" s="1"/>
  <c r="P8" i="4"/>
  <c r="P27" i="4" s="1"/>
  <c r="P42" i="4" s="1"/>
  <c r="P10" i="4"/>
  <c r="P29" i="4" s="1"/>
  <c r="P44" i="4" s="1"/>
  <c r="AF6" i="4"/>
  <c r="AF25" i="4" s="1"/>
  <c r="AF40" i="4" s="1"/>
  <c r="AF11" i="4"/>
  <c r="AF30" i="4" s="1"/>
  <c r="AF45" i="4" s="1"/>
  <c r="AN11" i="4"/>
  <c r="AN30" i="4" s="1"/>
  <c r="AN45" i="4" s="1"/>
  <c r="N9" i="4"/>
  <c r="N28" i="4" s="1"/>
  <c r="N43" i="4" s="1"/>
  <c r="AA5" i="4"/>
  <c r="J10" i="4"/>
  <c r="J29" i="4" s="1"/>
  <c r="J44" i="4" s="1"/>
  <c r="J9" i="4"/>
  <c r="J28" i="4" s="1"/>
  <c r="J43" i="4" s="1"/>
  <c r="R10" i="4"/>
  <c r="R29" i="4" s="1"/>
  <c r="R44" i="4" s="1"/>
  <c r="AL7" i="4"/>
  <c r="AL26" i="4" s="1"/>
  <c r="AL41" i="4" s="1"/>
  <c r="N11" i="4"/>
  <c r="N30" i="4" s="1"/>
  <c r="N45" i="4" s="1"/>
  <c r="N8" i="4"/>
  <c r="N27" i="4" s="1"/>
  <c r="N42" i="4" s="1"/>
  <c r="Z6" i="4"/>
  <c r="Z25" i="4" s="1"/>
  <c r="Z40" i="4" s="1"/>
  <c r="AQ5" i="4"/>
  <c r="BC5" i="4" l="1"/>
  <c r="BB5" i="4"/>
  <c r="AZ5" i="4"/>
  <c r="AY5" i="4"/>
  <c r="AH5" i="4"/>
  <c r="G26" i="4" s="1"/>
  <c r="V5" i="4"/>
  <c r="G17" i="4" s="1"/>
  <c r="L5" i="4"/>
  <c r="G12" i="4" s="1"/>
  <c r="AL5" i="4"/>
  <c r="G28" i="4" s="1"/>
  <c r="P5" i="4"/>
  <c r="G14" i="4" s="1"/>
  <c r="X5" i="4"/>
  <c r="G21" i="4" s="1"/>
  <c r="AP5" i="4"/>
  <c r="G30" i="4" s="1"/>
  <c r="AN5" i="4"/>
  <c r="G29" i="4" s="1"/>
  <c r="AD5" i="4"/>
  <c r="G24" i="4" s="1"/>
  <c r="R5" i="4"/>
  <c r="G15" i="4" s="1"/>
  <c r="AJ5" i="4"/>
  <c r="G27" i="4" s="1"/>
  <c r="Z5" i="4"/>
  <c r="G22" i="4" s="1"/>
  <c r="AF5" i="4"/>
  <c r="G25" i="4" s="1"/>
  <c r="J5" i="4"/>
  <c r="G11" i="4" s="1"/>
  <c r="N5" i="4"/>
  <c r="G13" i="4" s="1"/>
  <c r="T5" i="4"/>
  <c r="G16" i="4" s="1"/>
  <c r="AB5" i="4"/>
  <c r="G23" i="4" s="1"/>
  <c r="G31" i="4" l="1"/>
  <c r="C15" i="5" s="1"/>
  <c r="G18" i="4"/>
  <c r="C14" i="5" s="1"/>
  <c r="E22" i="5" l="1"/>
  <c r="E23" i="5"/>
  <c r="D23" i="5"/>
  <c r="D22" i="5"/>
  <c r="C16" i="5"/>
  <c r="E28" i="5" l="1"/>
  <c r="D27" i="5"/>
  <c r="E27" i="5"/>
  <c r="D2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Myles</author>
  </authors>
  <commentList>
    <comment ref="AE17" authorId="0" shapeId="0" xr:uid="{C0D57D76-0A23-4DCE-8AC8-C8C1BA7C9407}">
      <text>
        <r>
          <rPr>
            <b/>
            <sz val="9"/>
            <color indexed="81"/>
            <rFont val="Tahoma"/>
            <family val="2"/>
          </rPr>
          <t>Myles:</t>
        </r>
        <r>
          <rPr>
            <sz val="9"/>
            <color indexed="81"/>
            <rFont val="Tahoma"/>
            <family val="2"/>
          </rPr>
          <t xml:space="preserve">
Was a 4</t>
        </r>
      </text>
    </comment>
    <comment ref="F18" authorId="0" shapeId="0" xr:uid="{05BE6C4C-1CDA-4ABC-A011-2F9401A2AABB}">
      <text>
        <r>
          <rPr>
            <b/>
            <sz val="9"/>
            <color indexed="81"/>
            <rFont val="Tahoma"/>
            <family val="2"/>
          </rPr>
          <t>Myles:</t>
        </r>
        <r>
          <rPr>
            <sz val="9"/>
            <color indexed="81"/>
            <rFont val="Tahoma"/>
            <family val="2"/>
          </rPr>
          <t xml:space="preserve">
Was a 4
</t>
        </r>
      </text>
    </comment>
    <comment ref="Q18" authorId="0" shapeId="0" xr:uid="{A1222D35-DD12-4BE1-AFAA-BDB93AAF809C}">
      <text>
        <r>
          <rPr>
            <b/>
            <sz val="9"/>
            <color indexed="81"/>
            <rFont val="Tahoma"/>
            <family val="2"/>
          </rPr>
          <t>Myles:</t>
        </r>
        <r>
          <rPr>
            <sz val="9"/>
            <color indexed="81"/>
            <rFont val="Tahoma"/>
            <family val="2"/>
          </rPr>
          <t xml:space="preserve">
Was a 4</t>
        </r>
      </text>
    </comment>
    <comment ref="AB18" authorId="0" shapeId="0" xr:uid="{26BB9FC9-C146-4477-B342-4C867AA6DAC3}">
      <text>
        <r>
          <rPr>
            <b/>
            <sz val="9"/>
            <color indexed="81"/>
            <rFont val="Tahoma"/>
            <family val="2"/>
          </rPr>
          <t>Myles:</t>
        </r>
        <r>
          <rPr>
            <sz val="9"/>
            <color indexed="81"/>
            <rFont val="Tahoma"/>
            <family val="2"/>
          </rPr>
          <t xml:space="preserve">
Was a 4</t>
        </r>
      </text>
    </comment>
    <comment ref="AH18" authorId="0" shapeId="0" xr:uid="{419E4735-273D-4F68-90B4-4CEBFD57EE85}">
      <text>
        <r>
          <rPr>
            <b/>
            <sz val="9"/>
            <color indexed="81"/>
            <rFont val="Tahoma"/>
            <family val="2"/>
          </rPr>
          <t>Myles:</t>
        </r>
        <r>
          <rPr>
            <sz val="9"/>
            <color indexed="81"/>
            <rFont val="Tahoma"/>
            <family val="2"/>
          </rPr>
          <t xml:space="preserve">
Was a 4</t>
        </r>
      </text>
    </comment>
    <comment ref="AW18" authorId="0" shapeId="0" xr:uid="{21169EB8-83F1-4340-A0A0-AA3C227306BF}">
      <text>
        <r>
          <rPr>
            <b/>
            <sz val="9"/>
            <color indexed="81"/>
            <rFont val="Tahoma"/>
            <family val="2"/>
          </rPr>
          <t>Myles:</t>
        </r>
        <r>
          <rPr>
            <sz val="9"/>
            <color indexed="81"/>
            <rFont val="Tahoma"/>
            <family val="2"/>
          </rPr>
          <t xml:space="preserve">
Was a 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jnbli</author>
  </authors>
  <commentList>
    <comment ref="BK5" authorId="0" shapeId="0" xr:uid="{07F356E5-BA86-4A4C-A6E5-7B5A7B1789D2}">
      <text>
        <r>
          <rPr>
            <b/>
            <sz val="9"/>
            <color indexed="81"/>
            <rFont val="Tahoma"/>
            <family val="2"/>
          </rPr>
          <t>jnbli:</t>
        </r>
        <r>
          <rPr>
            <sz val="9"/>
            <color indexed="81"/>
            <rFont val="Tahoma"/>
            <family val="2"/>
          </rPr>
          <t xml:space="preserve">
to what extent have they been destroyed</t>
        </r>
      </text>
    </comment>
    <comment ref="BL5" authorId="0" shapeId="0" xr:uid="{31E4DCDB-A30B-4D26-99F5-F843AFD2F215}">
      <text>
        <r>
          <rPr>
            <b/>
            <sz val="9"/>
            <color indexed="81"/>
            <rFont val="Tahoma"/>
            <family val="2"/>
          </rPr>
          <t>jnbli:</t>
        </r>
        <r>
          <rPr>
            <sz val="9"/>
            <color indexed="81"/>
            <rFont val="Tahoma"/>
            <family val="2"/>
          </rPr>
          <t xml:space="preserve">
to what extent have they been destroyed</t>
        </r>
      </text>
    </comment>
    <comment ref="BM5" authorId="0" shapeId="0" xr:uid="{C7EE931A-6F16-45B9-870E-E1FD734C8309}">
      <text>
        <r>
          <rPr>
            <b/>
            <sz val="9"/>
            <color indexed="81"/>
            <rFont val="Tahoma"/>
            <family val="2"/>
          </rPr>
          <t>jnbli:</t>
        </r>
        <r>
          <rPr>
            <sz val="9"/>
            <color indexed="81"/>
            <rFont val="Tahoma"/>
            <family val="2"/>
          </rPr>
          <t xml:space="preserve">
work days in a year</t>
        </r>
      </text>
    </comment>
    <comment ref="BN5" authorId="0" shapeId="0" xr:uid="{27156D31-DE7D-4AFB-A7D4-D7F9B4C88F96}">
      <text>
        <r>
          <rPr>
            <b/>
            <sz val="9"/>
            <color indexed="81"/>
            <rFont val="Tahoma"/>
            <family val="2"/>
          </rPr>
          <t>jnbli:</t>
        </r>
        <r>
          <rPr>
            <sz val="9"/>
            <color indexed="81"/>
            <rFont val="Tahoma"/>
            <family val="2"/>
          </rPr>
          <t xml:space="preserve">
Avg age of person died</t>
        </r>
      </text>
    </comment>
    <comment ref="BO5" authorId="0" shapeId="0" xr:uid="{B88506FA-7749-4E96-8815-258206EDEE97}">
      <text>
        <r>
          <rPr>
            <b/>
            <sz val="9"/>
            <color indexed="81"/>
            <rFont val="Tahoma"/>
            <family val="2"/>
          </rPr>
          <t>jnbli:</t>
        </r>
        <r>
          <rPr>
            <sz val="9"/>
            <color indexed="81"/>
            <rFont val="Tahoma"/>
            <family val="2"/>
          </rPr>
          <t xml:space="preserve">
portion of income lost</t>
        </r>
      </text>
    </comment>
    <comment ref="BP5" authorId="0" shapeId="0" xr:uid="{8ACC22BA-21CB-4486-A981-4FB04C797656}">
      <text>
        <r>
          <rPr>
            <b/>
            <sz val="9"/>
            <color indexed="81"/>
            <rFont val="Tahoma"/>
            <family val="2"/>
          </rPr>
          <t>jnbli:</t>
        </r>
        <r>
          <rPr>
            <sz val="9"/>
            <color indexed="81"/>
            <rFont val="Tahoma"/>
            <family val="2"/>
          </rPr>
          <t xml:space="preserve">
portion of income lost</t>
        </r>
      </text>
    </comment>
  </commentList>
</comments>
</file>

<file path=xl/sharedStrings.xml><?xml version="1.0" encoding="utf-8"?>
<sst xmlns="http://schemas.openxmlformats.org/spreadsheetml/2006/main" count="250" uniqueCount="124">
  <si>
    <t>Implementation term</t>
  </si>
  <si>
    <t xml:space="preserve">Start year </t>
  </si>
  <si>
    <t>Plausible hurricane profile under different climate futures</t>
  </si>
  <si>
    <t>Extreme huricane exposure</t>
  </si>
  <si>
    <t>Name</t>
  </si>
  <si>
    <t>Hurricane frequency assumptions</t>
  </si>
  <si>
    <t>Numbers below the date line indicate the max. hurricane for that year</t>
  </si>
  <si>
    <t>Interventions</t>
  </si>
  <si>
    <t>Cost panel</t>
  </si>
  <si>
    <t>Benefit panel</t>
  </si>
  <si>
    <t>Hurricane panel</t>
  </si>
  <si>
    <t>Antigua and Barbuda:</t>
  </si>
  <si>
    <t>Readmefirst</t>
  </si>
  <si>
    <t>Dashboard</t>
  </si>
  <si>
    <t xml:space="preserve">IMPORTANT NOTES: </t>
  </si>
  <si>
    <t>Disclaimer:</t>
  </si>
  <si>
    <t>This model is constructed by the project team.  Inputs and calculations of this model have not been audited. 
Although this model has been constructed with due care and diligence, the project team does not accept any responsibility for the extent to which the assumptions, calculations and results of this model are correct and complete. 
Users of this model are advised to check the assumptions, calculations and results of this model before reaching conclusions or making decisions based on this model.</t>
  </si>
  <si>
    <t>RESULTS:</t>
  </si>
  <si>
    <t>Social discount rate:</t>
  </si>
  <si>
    <t>Please provide a %</t>
  </si>
  <si>
    <t>"Normal" hurricane exposure</t>
  </si>
  <si>
    <t>For all interventions taken together as a package of interventions</t>
  </si>
  <si>
    <t>Number of deaths per 1000 of the population</t>
  </si>
  <si>
    <t>Number of permanent disabilities per 1000 of the population</t>
  </si>
  <si>
    <t>Number of serious injuries per 1000 of the population</t>
  </si>
  <si>
    <t>Number of productive work days lost</t>
  </si>
  <si>
    <t>% of manufactured (fixed) capital moderately destroyed</t>
  </si>
  <si>
    <t>% of manufactured (fixed) capital irreparably destroyed</t>
  </si>
  <si>
    <t>Life expectancy (years)</t>
  </si>
  <si>
    <r>
      <t>4) Go to sheet called "</t>
    </r>
    <r>
      <rPr>
        <b/>
        <sz val="11"/>
        <color rgb="FFFF0000"/>
        <rFont val="Calibri"/>
        <family val="2"/>
        <scheme val="minor"/>
      </rPr>
      <t>Dashboard</t>
    </r>
    <r>
      <rPr>
        <sz val="11"/>
        <color theme="1"/>
        <rFont val="Calibri"/>
        <family val="2"/>
        <scheme val="minor"/>
      </rPr>
      <t>" and provide the information required in cells D5-D9; that is the yellow highlighted cells.</t>
    </r>
  </si>
  <si>
    <t>Extreme hurricane exposure</t>
  </si>
  <si>
    <r>
      <t>3) Go to the sheet call "</t>
    </r>
    <r>
      <rPr>
        <b/>
        <sz val="11"/>
        <color rgb="FFFF0000"/>
        <rFont val="Calibri"/>
        <family val="2"/>
        <scheme val="minor"/>
      </rPr>
      <t>Hurricane panel</t>
    </r>
    <r>
      <rPr>
        <sz val="11"/>
        <color theme="1"/>
        <rFont val="Calibri"/>
        <family val="2"/>
        <scheme val="minor"/>
      </rPr>
      <t>" and follow the instructions as provided in cells C7 &amp; C8.</t>
    </r>
  </si>
  <si>
    <r>
      <t>1) Go to the sheet call "</t>
    </r>
    <r>
      <rPr>
        <b/>
        <sz val="11"/>
        <color rgb="FFFF0000"/>
        <rFont val="Calibri"/>
        <family val="2"/>
        <scheme val="minor"/>
      </rPr>
      <t>Cost panel</t>
    </r>
    <r>
      <rPr>
        <sz val="11"/>
        <color theme="1"/>
        <rFont val="Calibri"/>
        <family val="2"/>
        <scheme val="minor"/>
      </rPr>
      <t>" and follow the instructions as provided in cells C7 to C9.</t>
    </r>
  </si>
  <si>
    <t>This is usually the central or national bank discount rate.</t>
  </si>
  <si>
    <t>- Please provide cost estimates for the interventions relative to each scenario in the yellow highlighted cells.</t>
  </si>
  <si>
    <t>- Please provide the key interventions in the coloured cells - starting with Business as Usual in rows 1 to 7 and then insert Resilient interventions in rows 8 to 17;</t>
  </si>
  <si>
    <t>Water</t>
  </si>
  <si>
    <t>Power</t>
  </si>
  <si>
    <t>Schools</t>
  </si>
  <si>
    <t>Hospitals</t>
  </si>
  <si>
    <t>Government buildings</t>
  </si>
  <si>
    <t>Commercial buildings</t>
  </si>
  <si>
    <r>
      <t>6) Sheet called "</t>
    </r>
    <r>
      <rPr>
        <b/>
        <sz val="11"/>
        <color rgb="FFFF0000"/>
        <rFont val="Calibri"/>
        <family val="2"/>
        <scheme val="minor"/>
      </rPr>
      <t>Model</t>
    </r>
    <r>
      <rPr>
        <sz val="11"/>
        <color theme="1"/>
        <rFont val="Calibri"/>
        <family val="2"/>
        <scheme val="minor"/>
      </rPr>
      <t>" is not to be changed.</t>
    </r>
  </si>
  <si>
    <t>Model panel</t>
  </si>
  <si>
    <t>- Please do not change the model</t>
  </si>
  <si>
    <t>CapEX</t>
  </si>
  <si>
    <t>OpEX</t>
  </si>
  <si>
    <t>NPV</t>
  </si>
  <si>
    <t>SDR</t>
  </si>
  <si>
    <t>End year</t>
  </si>
  <si>
    <t>#</t>
  </si>
  <si>
    <t>Avg.</t>
  </si>
  <si>
    <t>Weight</t>
  </si>
  <si>
    <t>Value</t>
  </si>
  <si>
    <t>Population</t>
  </si>
  <si>
    <t>Total</t>
  </si>
  <si>
    <t>Objective: Have the lowest possible ratio</t>
  </si>
  <si>
    <t>- Please provide an estimate of the impact of each scenario by completing the four grey set of cells.</t>
  </si>
  <si>
    <r>
      <t xml:space="preserve">- It is very important to score each scenario </t>
    </r>
    <r>
      <rPr>
        <b/>
        <sz val="11"/>
        <color theme="1"/>
        <rFont val="Calibri"/>
        <family val="2"/>
        <scheme val="minor"/>
      </rPr>
      <t>relative</t>
    </r>
    <r>
      <rPr>
        <sz val="11"/>
        <color theme="1"/>
        <rFont val="Calibri"/>
        <family val="2"/>
        <scheme val="minor"/>
      </rPr>
      <t xml:space="preserve"> to the other scenarios.</t>
    </r>
  </si>
  <si>
    <t>- Please estimate the level (% or number) of negative impacts of the scenario for the package or combined interventions for each scenario.</t>
  </si>
  <si>
    <t>- Please change the frequency assumptions in the yellow highlighted cells, and the cells to the right thereof.</t>
  </si>
  <si>
    <t>Baseline: BaU interventions</t>
  </si>
  <si>
    <t>Resilient interventions</t>
  </si>
  <si>
    <t>https://alfred.stlouisfed.org/series?seid=RKNANPAGA666NRUG&amp;utm_source=series_page&amp;utm_medium=related_content&amp;utm_term=related_resources&amp;utm_campaign=alfred</t>
  </si>
  <si>
    <t>1 General structural repairs</t>
  </si>
  <si>
    <t>2 General building repairs</t>
  </si>
  <si>
    <t>3 Waste water treatment</t>
  </si>
  <si>
    <t>4 General electric</t>
  </si>
  <si>
    <t>8 Extreme weather resistance</t>
  </si>
  <si>
    <t>9 Solar PV  + Batteries (on-site)</t>
  </si>
  <si>
    <t>10 Emergency RE stock (off-site)</t>
  </si>
  <si>
    <t>11Water supply</t>
  </si>
  <si>
    <t>12 Storm water drainage</t>
  </si>
  <si>
    <t xml:space="preserve">13 Climate change adaptation mainstreamed into the building sector and relevant financial mechanisms. </t>
  </si>
  <si>
    <t>14 Climate information services strengthened to facilitate early action within the building sector to respond to extreme climate events.</t>
  </si>
  <si>
    <t>Provided by counterparts</t>
  </si>
  <si>
    <t>Average for all intrventions</t>
  </si>
  <si>
    <t>n/a</t>
  </si>
  <si>
    <t>N/A</t>
  </si>
  <si>
    <t>Average for all interventions</t>
  </si>
  <si>
    <t>http://documents.worldbank.org/curated/en/239271500275879803/The-little-green-data-book-2017 ; page 22</t>
  </si>
  <si>
    <t>GDP/capita</t>
  </si>
  <si>
    <t>Gross national income per capita</t>
  </si>
  <si>
    <t>Capital sum (USD: 'million)</t>
  </si>
  <si>
    <t>Operating and maintenance cost (USD/a: 'million)</t>
  </si>
  <si>
    <t>Capital sum (USD$)</t>
  </si>
  <si>
    <t>Operating and maintenance cost (USD/a)</t>
  </si>
  <si>
    <t>1904 to 1950 data - see note below</t>
  </si>
  <si>
    <t>Impact Cost 1</t>
  </si>
  <si>
    <t>Impact Cost 2</t>
  </si>
  <si>
    <t>Impact Cost 3</t>
  </si>
  <si>
    <t>Impact Cost 4</t>
  </si>
  <si>
    <t>Sum of Impact costs of 50 years</t>
  </si>
  <si>
    <t>Total fixed capital stock</t>
  </si>
  <si>
    <t>Sum of impact costs over 50 years</t>
  </si>
  <si>
    <t xml:space="preserve">Impact Cost 1: USD </t>
  </si>
  <si>
    <t xml:space="preserve">Impact Cost 2: USD </t>
  </si>
  <si>
    <t xml:space="preserve">Impact Cost 3: USD </t>
  </si>
  <si>
    <t xml:space="preserve">Impact Cost 4: USD </t>
  </si>
  <si>
    <t>A cost-effectiveness analysis of different hurricane mitigation and adaption response options</t>
  </si>
  <si>
    <t>A cost-effeciveness analysis of different hurricane mitigation and adaption response options</t>
  </si>
  <si>
    <r>
      <t>2) Go to the sheet call "</t>
    </r>
    <r>
      <rPr>
        <b/>
        <sz val="11"/>
        <color rgb="FFFF0000"/>
        <rFont val="Calibri"/>
        <family val="2"/>
        <scheme val="minor"/>
      </rPr>
      <t>Impact panel</t>
    </r>
    <r>
      <rPr>
        <sz val="11"/>
        <color theme="1"/>
        <rFont val="Calibri"/>
        <family val="2"/>
        <scheme val="minor"/>
      </rPr>
      <t>" and follow the instructions as provided in cell C7 to C9</t>
    </r>
  </si>
  <si>
    <t>Cost of hurricane events: Expenditure</t>
  </si>
  <si>
    <r>
      <t>5) The results are provided in the sheet called "</t>
    </r>
    <r>
      <rPr>
        <b/>
        <sz val="11"/>
        <color rgb="FFFF0000"/>
        <rFont val="Calibri"/>
        <family val="2"/>
        <scheme val="minor"/>
      </rPr>
      <t>Dashboard</t>
    </r>
    <r>
      <rPr>
        <sz val="11"/>
        <color theme="1"/>
        <rFont val="Calibri"/>
        <family val="2"/>
        <scheme val="minor"/>
      </rPr>
      <t>".</t>
    </r>
  </si>
  <si>
    <t>Net present value (NPV) of the expenditure on interventions (USD millions)</t>
  </si>
  <si>
    <t>NPV of "Normal" hurricane impact costs (USD millions)</t>
  </si>
  <si>
    <t>NPV of extreme hurricane impact costs (USD millions)</t>
  </si>
  <si>
    <r>
      <t xml:space="preserve">Impact of a Category </t>
    </r>
    <r>
      <rPr>
        <b/>
        <sz val="14"/>
        <rFont val="Calibri"/>
        <family val="2"/>
        <scheme val="minor"/>
      </rPr>
      <t>3</t>
    </r>
    <r>
      <rPr>
        <b/>
        <sz val="14"/>
        <color rgb="FFC00000"/>
        <rFont val="Calibri"/>
        <family val="2"/>
        <scheme val="minor"/>
      </rPr>
      <t xml:space="preserve"> hurricane if the prevention was at </t>
    </r>
    <r>
      <rPr>
        <b/>
        <sz val="14"/>
        <color theme="1"/>
        <rFont val="Calibri"/>
        <family val="2"/>
        <scheme val="minor"/>
      </rPr>
      <t>BASELINE</t>
    </r>
    <r>
      <rPr>
        <b/>
        <sz val="14"/>
        <color rgb="FFC00000"/>
        <rFont val="Calibri"/>
        <family val="2"/>
        <scheme val="minor"/>
      </rPr>
      <t xml:space="preserve"> level</t>
    </r>
  </si>
  <si>
    <r>
      <t xml:space="preserve">Impact of a Category </t>
    </r>
    <r>
      <rPr>
        <b/>
        <sz val="14"/>
        <color theme="1"/>
        <rFont val="Calibri"/>
        <family val="2"/>
        <scheme val="minor"/>
      </rPr>
      <t>5</t>
    </r>
    <r>
      <rPr>
        <b/>
        <sz val="14"/>
        <color rgb="FFC00000"/>
        <rFont val="Calibri"/>
        <family val="2"/>
        <scheme val="minor"/>
      </rPr>
      <t xml:space="preserve"> hurricane if the prevention was at </t>
    </r>
    <r>
      <rPr>
        <b/>
        <sz val="14"/>
        <color theme="1"/>
        <rFont val="Calibri"/>
        <family val="2"/>
        <scheme val="minor"/>
      </rPr>
      <t>BASELINE</t>
    </r>
    <r>
      <rPr>
        <b/>
        <sz val="14"/>
        <color rgb="FFC00000"/>
        <rFont val="Calibri"/>
        <family val="2"/>
        <scheme val="minor"/>
      </rPr>
      <t xml:space="preserve"> level</t>
    </r>
  </si>
  <si>
    <r>
      <t xml:space="preserve">Impact of a Category </t>
    </r>
    <r>
      <rPr>
        <b/>
        <sz val="14"/>
        <color theme="1"/>
        <rFont val="Calibri"/>
        <family val="2"/>
        <scheme val="minor"/>
      </rPr>
      <t>5</t>
    </r>
    <r>
      <rPr>
        <b/>
        <sz val="14"/>
        <color rgb="FFC00000"/>
        <rFont val="Calibri"/>
        <family val="2"/>
        <scheme val="minor"/>
      </rPr>
      <t xml:space="preserve"> hurricane if the prevention was at </t>
    </r>
    <r>
      <rPr>
        <b/>
        <sz val="14"/>
        <color theme="1"/>
        <rFont val="Calibri"/>
        <family val="2"/>
        <scheme val="minor"/>
      </rPr>
      <t>RESILIENT</t>
    </r>
    <r>
      <rPr>
        <b/>
        <sz val="14"/>
        <color rgb="FFC00000"/>
        <rFont val="Calibri"/>
        <family val="2"/>
        <scheme val="minor"/>
      </rPr>
      <t xml:space="preserve"> level</t>
    </r>
  </si>
  <si>
    <r>
      <t xml:space="preserve">Impact of a Category </t>
    </r>
    <r>
      <rPr>
        <b/>
        <sz val="14"/>
        <color theme="1"/>
        <rFont val="Calibri"/>
        <family val="2"/>
        <scheme val="minor"/>
      </rPr>
      <t>3</t>
    </r>
    <r>
      <rPr>
        <b/>
        <sz val="14"/>
        <color rgb="FFC00000"/>
        <rFont val="Calibri"/>
        <family val="2"/>
        <scheme val="minor"/>
      </rPr>
      <t xml:space="preserve"> hurricane if the prevention was at </t>
    </r>
    <r>
      <rPr>
        <b/>
        <sz val="14"/>
        <color theme="1"/>
        <rFont val="Calibri"/>
        <family val="2"/>
        <scheme val="minor"/>
      </rPr>
      <t>RESILIENT</t>
    </r>
    <r>
      <rPr>
        <b/>
        <sz val="14"/>
        <color rgb="FFC00000"/>
        <rFont val="Calibri"/>
        <family val="2"/>
        <scheme val="minor"/>
      </rPr>
      <t xml:space="preserve"> level</t>
    </r>
  </si>
  <si>
    <r>
      <rPr>
        <b/>
        <sz val="11"/>
        <color theme="1"/>
        <rFont val="Calibri"/>
        <family val="2"/>
        <scheme val="minor"/>
      </rPr>
      <t>Norma</t>
    </r>
    <r>
      <rPr>
        <sz val="11"/>
        <color theme="1"/>
        <rFont val="Calibri"/>
        <family val="2"/>
        <scheme val="minor"/>
      </rPr>
      <t>l - the model has used data from 1904 to 1950.  Note that in years when more than one hurricane has occurred (1916 and 1950), the second hurricane is transferred to the next year for ease of modelling. 48 yrs data is spread over 50 yrs in the model. The category 4 huricane was modelled as Cat 3 hurricanes given trends.</t>
    </r>
  </si>
  <si>
    <r>
      <rPr>
        <b/>
        <sz val="11"/>
        <color theme="1"/>
        <rFont val="Calibri"/>
        <family val="2"/>
        <scheme val="minor"/>
      </rPr>
      <t>Extreme</t>
    </r>
    <r>
      <rPr>
        <sz val="11"/>
        <color theme="1"/>
        <rFont val="Calibri"/>
        <family val="2"/>
        <scheme val="minor"/>
      </rPr>
      <t xml:space="preserve"> - the model has used data from 1970 to 2013, but included 2017 data as the first three years in the model, thus representing current reality.  As the model discounts future costs, if the 3 hurricanes we model are at the end of the data series (i.e. far into the future), then they would have small costs.  We have shifted the 3 hurricanes in 2017 to the start of data series to represent reality so that thier costs are not discounted much. Category 4 hurricanes (five occurances) are modelled alternatively as Category 3 (three occurances) and 5 hurricanes (two occurances). </t>
    </r>
  </si>
  <si>
    <r>
      <t xml:space="preserve">Baseline: </t>
    </r>
    <r>
      <rPr>
        <b/>
        <sz val="14"/>
        <color theme="1"/>
        <rFont val="Calibri"/>
        <family val="2"/>
        <scheme val="minor"/>
      </rPr>
      <t>BaU</t>
    </r>
    <r>
      <rPr>
        <b/>
        <sz val="14"/>
        <color rgb="FFC00000"/>
        <rFont val="Calibri"/>
        <family val="2"/>
        <scheme val="minor"/>
      </rPr>
      <t xml:space="preserve"> level of intervention sufficient for max. category </t>
    </r>
    <r>
      <rPr>
        <b/>
        <sz val="14"/>
        <color theme="1"/>
        <rFont val="Calibri"/>
        <family val="2"/>
        <scheme val="minor"/>
      </rPr>
      <t>3</t>
    </r>
    <r>
      <rPr>
        <b/>
        <sz val="14"/>
        <color rgb="FFC00000"/>
        <rFont val="Calibri"/>
        <family val="2"/>
        <scheme val="minor"/>
      </rPr>
      <t xml:space="preserve"> hurricane impacts</t>
    </r>
  </si>
  <si>
    <r>
      <t xml:space="preserve">Alternative: </t>
    </r>
    <r>
      <rPr>
        <b/>
        <sz val="14"/>
        <color theme="1"/>
        <rFont val="Calibri"/>
        <family val="2"/>
        <scheme val="minor"/>
      </rPr>
      <t>Resilient</t>
    </r>
    <r>
      <rPr>
        <b/>
        <sz val="14"/>
        <color rgb="FFC00000"/>
        <rFont val="Calibri"/>
        <family val="2"/>
        <scheme val="minor"/>
      </rPr>
      <t xml:space="preserve"> retrofit intervention sufficient for max. category </t>
    </r>
    <r>
      <rPr>
        <b/>
        <sz val="14"/>
        <color theme="1"/>
        <rFont val="Calibri"/>
        <family val="2"/>
        <scheme val="minor"/>
      </rPr>
      <t>5</t>
    </r>
    <r>
      <rPr>
        <b/>
        <sz val="14"/>
        <color rgb="FFC00000"/>
        <rFont val="Calibri"/>
        <family val="2"/>
        <scheme val="minor"/>
      </rPr>
      <t xml:space="preserve"> hurricane impacts</t>
    </r>
  </si>
  <si>
    <t xml:space="preserve">- Please provide 2 possible hurricane futures. </t>
  </si>
  <si>
    <t>1970 to 2013 &amp; 2017 - see note below</t>
  </si>
  <si>
    <r>
      <t xml:space="preserve">Cost1: Impact of </t>
    </r>
    <r>
      <rPr>
        <b/>
        <sz val="16"/>
        <color rgb="FFC00000"/>
        <rFont val="Calibri"/>
        <family val="2"/>
        <scheme val="minor"/>
      </rPr>
      <t>Category 3</t>
    </r>
    <r>
      <rPr>
        <b/>
        <sz val="16"/>
        <color theme="1"/>
        <rFont val="Calibri"/>
        <family val="2"/>
        <scheme val="minor"/>
      </rPr>
      <t xml:space="preserve"> if intervention was business as usual</t>
    </r>
  </si>
  <si>
    <r>
      <t xml:space="preserve">Cost2: Impact of </t>
    </r>
    <r>
      <rPr>
        <b/>
        <sz val="16"/>
        <color rgb="FFC00000"/>
        <rFont val="Calibri"/>
        <family val="2"/>
        <scheme val="minor"/>
      </rPr>
      <t>Category 5</t>
    </r>
    <r>
      <rPr>
        <b/>
        <sz val="16"/>
        <color theme="1"/>
        <rFont val="Calibri"/>
        <family val="2"/>
        <scheme val="minor"/>
      </rPr>
      <t xml:space="preserve"> if intervention was business as usual</t>
    </r>
  </si>
  <si>
    <r>
      <t xml:space="preserve">Cost4: Impact of </t>
    </r>
    <r>
      <rPr>
        <b/>
        <sz val="16"/>
        <color rgb="FFC00000"/>
        <rFont val="Calibri"/>
        <family val="2"/>
        <scheme val="minor"/>
      </rPr>
      <t>Category 5</t>
    </r>
    <r>
      <rPr>
        <b/>
        <sz val="16"/>
        <color theme="1"/>
        <rFont val="Calibri"/>
        <family val="2"/>
        <scheme val="minor"/>
      </rPr>
      <t xml:space="preserve"> if intervention was climate resilient</t>
    </r>
  </si>
  <si>
    <r>
      <t xml:space="preserve">Cost3: Impact of </t>
    </r>
    <r>
      <rPr>
        <b/>
        <sz val="16"/>
        <color rgb="FFC00000"/>
        <rFont val="Calibri"/>
        <family val="2"/>
        <scheme val="minor"/>
      </rPr>
      <t>Category 3</t>
    </r>
    <r>
      <rPr>
        <b/>
        <sz val="16"/>
        <color theme="1"/>
        <rFont val="Calibri"/>
        <family val="2"/>
        <scheme val="minor"/>
      </rPr>
      <t xml:space="preserve"> if intervention was climate resilient</t>
    </r>
  </si>
  <si>
    <t>Ratio: Impacts relative to BaU/ 
"Normal" hurricane</t>
  </si>
  <si>
    <t xml:space="preserve">Eastern Caribbean Dollar exchange </t>
  </si>
  <si>
    <t>Differences between Business as usual and Resilient spend and cost avoidance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</si>
</sst>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quot;R&quot;\ * #,##0.00_ ;_ &quot;R&quot;\ * \-#,##0.00_ ;_ &quot;R&quot;\ * &quot;-&quot;??_ ;_ @_ "/>
    <numFmt numFmtId="165" formatCode="0.0%"/>
    <numFmt numFmtId="166" formatCode="_-* #,##0_-;\-* #,##0_-;_-* &quot;-&quot;??_-;_-@_-"/>
    <numFmt numFmtId="167" formatCode="_-* #,##0.0_-;\-* #,##0.0_-;_-* &quot;-&quot;??_-;_-@_-"/>
    <numFmt numFmtId="168" formatCode="_-* #,##0.00000_-;\-* #,##0.00000_-;_-* &quot;-&quot;??_-;_-@_-"/>
    <numFmt numFmtId="169" formatCode="0.000"/>
    <numFmt numFmtId="170" formatCode="_(&quot;$&quot;* #,##0.00_);_(&quot;$&quot;* \(#,##0.00\);_(&quot;$&quot;* &quot;-&quot;??_);_(@_)"/>
    <numFmt numFmtId="171" formatCode="_(&quot;$&quot;* #,##0.000000_);_(&quot;$&quot;* \(#,##0.000000\);_(&quot;$&quot;* &quot;-&quot;??????_);_(@_)"/>
    <numFmt numFmtId="172" formatCode="_(&quot;$&quot;* #,##0.000000_);_(&quot;$&quot;* \(#,##0.000000\);_(&quot;$&quot;* &quot;-&quot;???????_);_(@_)"/>
    <numFmt numFmtId="173" formatCode="_-* #,##0.000000_-;\-* #,##0.000000_-;_-* &quot;-&quot;??_-;_-@_-"/>
    <numFmt numFmtId="174" formatCode="_-[$$-409]* #,##0.00000_ ;_-[$$-409]* \-#,##0.00000\ ;_-[$$-409]* &quot;-&quot;??_ ;_-@_ "/>
    <numFmt numFmtId="175" formatCode="_-[$$-409]* #,##0.00_ ;_-[$$-409]* \-#,##0.00\ ;_-[$$-409]* &quot;-&quot;??_ ;_-@_ "/>
    <numFmt numFmtId="176" formatCode="_-[$$-409]* #,##0.0_ ;_-[$$-409]* \-#,##0.0\ ;_-[$$-409]* &quot;-&quot;??_ ;_-@_ "/>
    <numFmt numFmtId="177" formatCode="_-[$$-409]* #,##0_ ;_-[$$-409]* \-#,##0\ ;_-[$$-409]* &quot;-&quot;??_ ;_-@_ "/>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1"/>
      <color rgb="FFC00000"/>
      <name val="Calibri"/>
      <family val="2"/>
      <scheme val="minor"/>
    </font>
    <font>
      <b/>
      <sz val="14"/>
      <color rgb="FFC00000"/>
      <name val="Calibri"/>
      <family val="2"/>
      <scheme val="minor"/>
    </font>
    <font>
      <b/>
      <sz val="12"/>
      <color theme="1"/>
      <name val="Calibri"/>
      <family val="2"/>
      <scheme val="minor"/>
    </font>
    <font>
      <b/>
      <sz val="14"/>
      <name val="Calibri"/>
      <family val="2"/>
      <scheme val="minor"/>
    </font>
    <font>
      <b/>
      <sz val="16"/>
      <color rgb="FFFF0000"/>
      <name val="Calibri"/>
      <family val="2"/>
      <scheme val="minor"/>
    </font>
    <font>
      <b/>
      <sz val="16"/>
      <color theme="1"/>
      <name val="Calibri"/>
      <family val="2"/>
      <scheme val="minor"/>
    </font>
    <font>
      <b/>
      <sz val="14"/>
      <color theme="1"/>
      <name val="Calibri"/>
      <family val="2"/>
      <scheme val="minor"/>
    </font>
    <font>
      <b/>
      <sz val="18"/>
      <color theme="1"/>
      <name val="Calibri"/>
      <family val="2"/>
      <scheme val="minor"/>
    </font>
    <font>
      <b/>
      <sz val="22"/>
      <color theme="1"/>
      <name val="Calibri"/>
      <family val="2"/>
      <scheme val="minor"/>
    </font>
    <font>
      <b/>
      <sz val="11"/>
      <color rgb="FFFF0000"/>
      <name val="Calibri"/>
      <family val="2"/>
      <scheme val="minor"/>
    </font>
    <font>
      <b/>
      <sz val="16"/>
      <name val="Calibri"/>
      <family val="2"/>
      <scheme val="minor"/>
    </font>
    <font>
      <sz val="11"/>
      <color rgb="FFFF0000"/>
      <name val="Calibri"/>
      <family val="2"/>
      <scheme val="minor"/>
    </font>
    <font>
      <sz val="8"/>
      <name val="Calibri"/>
      <family val="2"/>
      <scheme val="minor"/>
    </font>
    <font>
      <sz val="9"/>
      <color indexed="81"/>
      <name val="Tahoma"/>
      <family val="2"/>
    </font>
    <font>
      <b/>
      <sz val="9"/>
      <color indexed="81"/>
      <name val="Tahoma"/>
      <family val="2"/>
    </font>
    <font>
      <sz val="11"/>
      <name val="Calibri"/>
      <family val="2"/>
      <scheme val="minor"/>
    </font>
    <font>
      <b/>
      <sz val="16"/>
      <color rgb="FFC00000"/>
      <name val="Calibri"/>
      <family val="2"/>
      <scheme val="minor"/>
    </font>
    <font>
      <u/>
      <sz val="11"/>
      <color theme="10"/>
      <name val="Calibri"/>
      <family val="2"/>
      <scheme val="minor"/>
    </font>
    <font>
      <b/>
      <sz val="11"/>
      <name val="Calibri"/>
      <family val="2"/>
      <scheme val="minor"/>
    </font>
    <font>
      <sz val="10"/>
      <color theme="1"/>
      <name val="Times New Roman"/>
      <family val="1"/>
    </font>
    <font>
      <sz val="9"/>
      <color rgb="FF000000"/>
      <name val="Arial"/>
      <family val="2"/>
    </font>
    <font>
      <sz val="9"/>
      <color theme="1"/>
      <name val="Arial"/>
      <family val="2"/>
    </font>
  </fonts>
  <fills count="1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2"/>
        <bgColor indexed="64"/>
      </patternFill>
    </fill>
    <fill>
      <patternFill patternType="solid">
        <fgColor theme="5" tint="0.59999389629810485"/>
        <bgColor indexed="64"/>
      </patternFill>
    </fill>
    <fill>
      <patternFill patternType="solid">
        <fgColor theme="6"/>
        <bgColor indexed="64"/>
      </patternFill>
    </fill>
    <fill>
      <patternFill patternType="solid">
        <fgColor theme="7" tint="0.39997558519241921"/>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170" fontId="1" fillId="0" borderId="0" applyFont="0" applyFill="0" applyBorder="0" applyAlignment="0" applyProtection="0"/>
    <xf numFmtId="164" fontId="1" fillId="0" borderId="0" applyFont="0" applyFill="0" applyBorder="0" applyAlignment="0" applyProtection="0"/>
  </cellStyleXfs>
  <cellXfs count="325">
    <xf numFmtId="0" fontId="0" fillId="0" borderId="0" xfId="0"/>
    <xf numFmtId="0" fontId="0" fillId="2" borderId="0" xfId="0" applyFill="1" applyBorder="1"/>
    <xf numFmtId="0" fontId="0" fillId="3" borderId="0" xfId="0" applyFill="1" applyBorder="1"/>
    <xf numFmtId="0" fontId="2" fillId="2" borderId="1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5" borderId="0" xfId="0" applyFont="1" applyFill="1"/>
    <xf numFmtId="0" fontId="0" fillId="5" borderId="0" xfId="0" applyFill="1"/>
    <xf numFmtId="0" fontId="0" fillId="5" borderId="0" xfId="0" quotePrefix="1" applyFill="1"/>
    <xf numFmtId="0" fontId="7" fillId="5" borderId="0" xfId="0" applyFont="1" applyFill="1"/>
    <xf numFmtId="0" fontId="11" fillId="0" borderId="0" xfId="0" applyFont="1"/>
    <xf numFmtId="0" fontId="9" fillId="5" borderId="0" xfId="0" applyFont="1" applyFill="1"/>
    <xf numFmtId="0" fontId="10" fillId="5" borderId="0" xfId="0" applyFont="1" applyFill="1"/>
    <xf numFmtId="0" fontId="4" fillId="5" borderId="0" xfId="0" applyFont="1" applyFill="1"/>
    <xf numFmtId="0" fontId="12" fillId="5" borderId="0" xfId="0" quotePrefix="1" applyFont="1" applyFill="1"/>
    <xf numFmtId="0" fontId="0" fillId="5" borderId="0" xfId="0" quotePrefix="1" applyFont="1" applyFill="1"/>
    <xf numFmtId="0" fontId="0" fillId="5" borderId="0" xfId="0" applyFill="1" applyAlignment="1">
      <alignment horizontal="center"/>
    </xf>
    <xf numFmtId="0" fontId="3" fillId="5" borderId="10" xfId="0" applyFont="1" applyFill="1" applyBorder="1"/>
    <xf numFmtId="0" fontId="3" fillId="5" borderId="4" xfId="0" applyFont="1" applyFill="1" applyBorder="1" applyAlignment="1">
      <alignment horizontal="center"/>
    </xf>
    <xf numFmtId="0" fontId="3" fillId="5" borderId="5" xfId="0" applyFont="1" applyFill="1" applyBorder="1" applyAlignment="1">
      <alignment horizontal="center"/>
    </xf>
    <xf numFmtId="0" fontId="3" fillId="5" borderId="0" xfId="0" applyFont="1" applyFill="1"/>
    <xf numFmtId="0" fontId="13" fillId="5" borderId="0" xfId="0" applyFont="1" applyFill="1"/>
    <xf numFmtId="0" fontId="0" fillId="0" borderId="0" xfId="0" applyAlignment="1">
      <alignment vertical="center" wrapText="1"/>
    </xf>
    <xf numFmtId="0" fontId="14" fillId="5" borderId="0" xfId="0" quotePrefix="1" applyFont="1" applyFill="1"/>
    <xf numFmtId="0" fontId="0" fillId="5" borderId="0" xfId="0" applyFill="1" applyAlignment="1">
      <alignment vertical="center"/>
    </xf>
    <xf numFmtId="0" fontId="11" fillId="0" borderId="0" xfId="0" applyFont="1" applyAlignment="1">
      <alignment vertical="center"/>
    </xf>
    <xf numFmtId="0" fontId="2" fillId="5" borderId="0" xfId="0" applyFont="1" applyFill="1" applyAlignment="1">
      <alignment vertical="center"/>
    </xf>
    <xf numFmtId="0" fontId="10" fillId="5" borderId="0" xfId="0" applyFont="1" applyFill="1" applyAlignment="1">
      <alignment vertical="center"/>
    </xf>
    <xf numFmtId="0" fontId="5" fillId="5" borderId="0" xfId="0" applyFont="1" applyFill="1" applyAlignment="1">
      <alignment vertical="center"/>
    </xf>
    <xf numFmtId="0" fontId="0" fillId="5" borderId="0" xfId="0" quotePrefix="1" applyFill="1" applyAlignment="1">
      <alignment vertical="center"/>
    </xf>
    <xf numFmtId="0" fontId="0" fillId="5" borderId="0" xfId="0" applyFont="1" applyFill="1" applyAlignment="1">
      <alignment vertical="center"/>
    </xf>
    <xf numFmtId="0" fontId="2" fillId="5" borderId="0" xfId="0" applyFont="1" applyFill="1" applyBorder="1" applyAlignment="1">
      <alignment vertical="center"/>
    </xf>
    <xf numFmtId="0" fontId="0" fillId="5" borderId="0" xfId="0" applyFill="1" applyBorder="1" applyAlignment="1">
      <alignment vertical="center"/>
    </xf>
    <xf numFmtId="0" fontId="8" fillId="5" borderId="0" xfId="0" applyFont="1" applyFill="1" applyAlignment="1">
      <alignment vertical="center"/>
    </xf>
    <xf numFmtId="0" fontId="0" fillId="5" borderId="0" xfId="0" applyFill="1" applyAlignment="1">
      <alignment vertical="center" wrapText="1"/>
    </xf>
    <xf numFmtId="0" fontId="0" fillId="5" borderId="10" xfId="0" applyFill="1" applyBorder="1" applyAlignment="1">
      <alignment horizontal="center"/>
    </xf>
    <xf numFmtId="0" fontId="0" fillId="5" borderId="11" xfId="0" applyFill="1" applyBorder="1" applyAlignment="1">
      <alignment horizontal="center"/>
    </xf>
    <xf numFmtId="0" fontId="0" fillId="5" borderId="12" xfId="0" applyFill="1" applyBorder="1" applyAlignment="1">
      <alignment horizontal="center"/>
    </xf>
    <xf numFmtId="0" fontId="2" fillId="3" borderId="1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0" fillId="2" borderId="7" xfId="0" applyFill="1" applyBorder="1"/>
    <xf numFmtId="0" fontId="2" fillId="5" borderId="4"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13" xfId="0" applyFont="1" applyFill="1" applyBorder="1" applyAlignment="1">
      <alignment vertical="center" wrapText="1"/>
    </xf>
    <xf numFmtId="0" fontId="2" fillId="5" borderId="15" xfId="0" applyFont="1" applyFill="1" applyBorder="1" applyAlignment="1">
      <alignment vertical="center" wrapText="1"/>
    </xf>
    <xf numFmtId="0" fontId="2" fillId="5" borderId="12" xfId="0" applyFont="1" applyFill="1" applyBorder="1" applyAlignment="1">
      <alignment vertical="center" wrapText="1"/>
    </xf>
    <xf numFmtId="0" fontId="2" fillId="5" borderId="9" xfId="0" applyFont="1" applyFill="1" applyBorder="1" applyAlignment="1">
      <alignment vertical="center" wrapText="1"/>
    </xf>
    <xf numFmtId="165" fontId="0" fillId="4" borderId="16" xfId="0" applyNumberFormat="1" applyFill="1" applyBorder="1" applyAlignment="1">
      <alignment horizontal="center" vertical="center"/>
    </xf>
    <xf numFmtId="0" fontId="2" fillId="3" borderId="13" xfId="0" applyFont="1" applyFill="1" applyBorder="1" applyAlignment="1">
      <alignment horizontal="center" wrapText="1"/>
    </xf>
    <xf numFmtId="165" fontId="0" fillId="4" borderId="18" xfId="0" applyNumberFormat="1" applyFill="1" applyBorder="1" applyAlignment="1">
      <alignment horizontal="center" vertical="center"/>
    </xf>
    <xf numFmtId="9" fontId="2" fillId="6" borderId="13" xfId="2" applyFont="1" applyFill="1" applyBorder="1" applyAlignment="1">
      <alignment vertical="center"/>
    </xf>
    <xf numFmtId="166" fontId="2" fillId="6" borderId="14" xfId="1" applyNumberFormat="1" applyFont="1" applyFill="1" applyBorder="1" applyAlignment="1">
      <alignment vertical="center"/>
    </xf>
    <xf numFmtId="0" fontId="0" fillId="3" borderId="6" xfId="0" applyFill="1" applyBorder="1"/>
    <xf numFmtId="0" fontId="0" fillId="3" borderId="7" xfId="0" applyFill="1" applyBorder="1"/>
    <xf numFmtId="0" fontId="0" fillId="3" borderId="8" xfId="0" applyFill="1" applyBorder="1"/>
    <xf numFmtId="0" fontId="0" fillId="3" borderId="2" xfId="0" applyFill="1" applyBorder="1"/>
    <xf numFmtId="0" fontId="0" fillId="3" borderId="9" xfId="0" applyFill="1" applyBorder="1"/>
    <xf numFmtId="0" fontId="2" fillId="8" borderId="23" xfId="0" applyFont="1" applyFill="1" applyBorder="1" applyAlignment="1">
      <alignment horizontal="left" wrapText="1"/>
    </xf>
    <xf numFmtId="0" fontId="2" fillId="8" borderId="24" xfId="0" applyFont="1" applyFill="1" applyBorder="1" applyAlignment="1">
      <alignment horizontal="left" wrapText="1"/>
    </xf>
    <xf numFmtId="0" fontId="0" fillId="2" borderId="6" xfId="0" applyFill="1" applyBorder="1"/>
    <xf numFmtId="2" fontId="0" fillId="4" borderId="16" xfId="0" applyNumberFormat="1" applyFill="1" applyBorder="1" applyAlignment="1">
      <alignment horizontal="center" vertical="center"/>
    </xf>
    <xf numFmtId="2" fontId="0" fillId="4" borderId="18" xfId="0" applyNumberFormat="1" applyFill="1" applyBorder="1" applyAlignment="1">
      <alignment horizontal="center" vertical="center"/>
    </xf>
    <xf numFmtId="2" fontId="0" fillId="4" borderId="17" xfId="0" applyNumberFormat="1" applyFill="1" applyBorder="1" applyAlignment="1">
      <alignment horizontal="center" vertical="center"/>
    </xf>
    <xf numFmtId="2" fontId="0" fillId="4" borderId="25" xfId="0" applyNumberFormat="1" applyFill="1" applyBorder="1" applyAlignment="1">
      <alignment horizontal="center" vertical="center"/>
    </xf>
    <xf numFmtId="0" fontId="3" fillId="5" borderId="3" xfId="0" applyFont="1" applyFill="1" applyBorder="1" applyAlignment="1">
      <alignment horizontal="center"/>
    </xf>
    <xf numFmtId="0" fontId="3" fillId="5" borderId="0" xfId="0" applyFont="1" applyFill="1" applyBorder="1"/>
    <xf numFmtId="0" fontId="2" fillId="5" borderId="0" xfId="0" quotePrefix="1" applyFont="1" applyFill="1" applyBorder="1"/>
    <xf numFmtId="0" fontId="3" fillId="5" borderId="12" xfId="0" applyFont="1" applyFill="1" applyBorder="1"/>
    <xf numFmtId="0" fontId="2" fillId="5" borderId="6" xfId="0" applyFont="1" applyFill="1" applyBorder="1"/>
    <xf numFmtId="0" fontId="2" fillId="6" borderId="7" xfId="0" applyFont="1" applyFill="1" applyBorder="1"/>
    <xf numFmtId="0" fontId="2" fillId="5" borderId="8" xfId="0" applyFont="1" applyFill="1" applyBorder="1"/>
    <xf numFmtId="0" fontId="2" fillId="6" borderId="9" xfId="0" applyFont="1" applyFill="1" applyBorder="1"/>
    <xf numFmtId="0" fontId="2" fillId="6" borderId="4" xfId="0" applyFont="1" applyFill="1" applyBorder="1" applyAlignment="1">
      <alignment vertical="center"/>
    </xf>
    <xf numFmtId="9" fontId="2" fillId="6" borderId="3" xfId="0" applyNumberFormat="1" applyFont="1" applyFill="1" applyBorder="1" applyAlignment="1">
      <alignment vertical="center"/>
    </xf>
    <xf numFmtId="0" fontId="0" fillId="5" borderId="0" xfId="0" applyFill="1" applyBorder="1" applyAlignment="1">
      <alignment horizontal="center" vertical="center"/>
    </xf>
    <xf numFmtId="0" fontId="0" fillId="9" borderId="0" xfId="0" applyFill="1" applyBorder="1" applyAlignment="1">
      <alignment vertical="center"/>
    </xf>
    <xf numFmtId="0" fontId="12" fillId="5" borderId="0" xfId="0" quotePrefix="1" applyFont="1" applyFill="1" applyAlignment="1">
      <alignment vertical="center"/>
    </xf>
    <xf numFmtId="0" fontId="0" fillId="5" borderId="0" xfId="0" applyFill="1" applyBorder="1" applyAlignment="1">
      <alignment vertical="center" wrapText="1"/>
    </xf>
    <xf numFmtId="0" fontId="0" fillId="5" borderId="0" xfId="0" applyFill="1" applyBorder="1" applyAlignment="1">
      <alignment horizontal="center" vertical="center" wrapText="1"/>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xf numFmtId="0" fontId="2" fillId="8" borderId="6" xfId="0" applyFont="1" applyFill="1" applyBorder="1" applyAlignment="1">
      <alignment horizontal="center" vertical="center"/>
    </xf>
    <xf numFmtId="0" fontId="2" fillId="8" borderId="7" xfId="0" applyFont="1" applyFill="1" applyBorder="1" applyAlignment="1">
      <alignment horizontal="center" vertical="center"/>
    </xf>
    <xf numFmtId="0" fontId="0" fillId="5" borderId="4" xfId="0" applyFill="1" applyBorder="1" applyAlignment="1">
      <alignment vertical="center"/>
    </xf>
    <xf numFmtId="0" fontId="0" fillId="9" borderId="0" xfId="0" applyFill="1" applyBorder="1" applyAlignment="1">
      <alignment horizontal="center" vertical="center"/>
    </xf>
    <xf numFmtId="0" fontId="2" fillId="5" borderId="0" xfId="0" applyFont="1" applyFill="1" applyBorder="1" applyAlignment="1">
      <alignment horizontal="center" vertical="center" wrapText="1"/>
    </xf>
    <xf numFmtId="0" fontId="2" fillId="5" borderId="10" xfId="0" applyFont="1" applyFill="1" applyBorder="1" applyAlignment="1">
      <alignment vertical="center"/>
    </xf>
    <xf numFmtId="0" fontId="2" fillId="3" borderId="13" xfId="0" applyFont="1" applyFill="1" applyBorder="1" applyAlignment="1">
      <alignment horizontal="center" vertical="center" wrapText="1"/>
    </xf>
    <xf numFmtId="0" fontId="2" fillId="7" borderId="22"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2" fillId="7" borderId="24" xfId="0" applyFont="1" applyFill="1" applyBorder="1" applyAlignment="1">
      <alignment horizontal="left" vertical="center" wrapText="1"/>
    </xf>
    <xf numFmtId="0" fontId="0" fillId="5" borderId="0" xfId="0" quotePrefix="1" applyFill="1" applyBorder="1" applyAlignment="1">
      <alignment vertical="center"/>
    </xf>
    <xf numFmtId="0" fontId="2" fillId="3" borderId="19" xfId="0" applyFont="1" applyFill="1" applyBorder="1" applyAlignment="1">
      <alignment horizontal="left" wrapText="1"/>
    </xf>
    <xf numFmtId="0" fontId="2" fillId="3" borderId="20" xfId="0" applyFont="1" applyFill="1" applyBorder="1" applyAlignment="1">
      <alignment horizontal="left"/>
    </xf>
    <xf numFmtId="0" fontId="2" fillId="2" borderId="19" xfId="0" applyFont="1" applyFill="1" applyBorder="1" applyAlignment="1">
      <alignment horizontal="left" wrapText="1"/>
    </xf>
    <xf numFmtId="0" fontId="2" fillId="2" borderId="20" xfId="0" applyFont="1" applyFill="1" applyBorder="1" applyAlignment="1">
      <alignment horizontal="left"/>
    </xf>
    <xf numFmtId="0" fontId="0" fillId="5" borderId="0" xfId="0" applyFill="1" applyBorder="1" applyAlignment="1">
      <alignment horizontal="left" vertical="center"/>
    </xf>
    <xf numFmtId="0" fontId="0" fillId="9" borderId="0" xfId="0" applyFill="1" applyBorder="1" applyAlignment="1">
      <alignment horizontal="center" vertical="center" wrapText="1"/>
    </xf>
    <xf numFmtId="0" fontId="4" fillId="5" borderId="0" xfId="0" applyFont="1" applyFill="1" applyBorder="1" applyAlignment="1">
      <alignment horizontal="center"/>
    </xf>
    <xf numFmtId="2" fontId="0" fillId="5" borderId="0" xfId="0" applyNumberFormat="1" applyFill="1" applyBorder="1" applyAlignment="1">
      <alignment horizontal="center" vertical="center"/>
    </xf>
    <xf numFmtId="0" fontId="0" fillId="8" borderId="13" xfId="0"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2" fontId="0" fillId="5" borderId="0" xfId="0" applyNumberFormat="1" applyFill="1" applyBorder="1" applyAlignment="1">
      <alignment vertical="center"/>
    </xf>
    <xf numFmtId="0" fontId="2" fillId="8" borderId="4" xfId="0" applyFont="1" applyFill="1" applyBorder="1" applyAlignment="1">
      <alignment vertical="center"/>
    </xf>
    <xf numFmtId="0" fontId="2" fillId="8" borderId="3" xfId="0" applyFont="1" applyFill="1" applyBorder="1" applyAlignment="1">
      <alignment vertical="center"/>
    </xf>
    <xf numFmtId="0" fontId="2" fillId="11" borderId="4" xfId="0" applyFont="1" applyFill="1" applyBorder="1" applyAlignment="1">
      <alignment vertical="center"/>
    </xf>
    <xf numFmtId="0" fontId="2" fillId="11" borderId="3" xfId="0" applyFont="1" applyFill="1" applyBorder="1" applyAlignment="1">
      <alignment vertical="center"/>
    </xf>
    <xf numFmtId="0" fontId="2" fillId="8" borderId="1" xfId="0" applyFont="1" applyFill="1" applyBorder="1" applyAlignment="1">
      <alignment vertical="center"/>
    </xf>
    <xf numFmtId="0" fontId="2" fillId="11" borderId="1" xfId="0" applyFont="1" applyFill="1" applyBorder="1" applyAlignment="1">
      <alignment vertical="center"/>
    </xf>
    <xf numFmtId="0" fontId="2" fillId="12" borderId="4" xfId="0" applyFont="1" applyFill="1" applyBorder="1" applyAlignment="1">
      <alignment vertical="center"/>
    </xf>
    <xf numFmtId="0" fontId="2" fillId="12" borderId="10" xfId="0" applyFont="1" applyFill="1" applyBorder="1" applyAlignment="1">
      <alignment vertical="center"/>
    </xf>
    <xf numFmtId="166" fontId="2" fillId="12" borderId="12" xfId="0" applyNumberFormat="1" applyFont="1" applyFill="1" applyBorder="1" applyAlignment="1">
      <alignment vertical="center"/>
    </xf>
    <xf numFmtId="0" fontId="2" fillId="12" borderId="6" xfId="0" applyFont="1" applyFill="1" applyBorder="1" applyAlignment="1">
      <alignment vertical="center"/>
    </xf>
    <xf numFmtId="0" fontId="2" fillId="12" borderId="8" xfId="0" applyFont="1" applyFill="1" applyBorder="1" applyAlignment="1">
      <alignment vertical="center"/>
    </xf>
    <xf numFmtId="167" fontId="0" fillId="7" borderId="12" xfId="1" applyNumberFormat="1" applyFont="1" applyFill="1" applyBorder="1" applyAlignment="1">
      <alignment vertical="center"/>
    </xf>
    <xf numFmtId="167" fontId="0" fillId="7" borderId="9" xfId="1" applyNumberFormat="1" applyFont="1" applyFill="1" applyBorder="1" applyAlignment="1">
      <alignment vertical="center"/>
    </xf>
    <xf numFmtId="166" fontId="0" fillId="6" borderId="19" xfId="1" applyNumberFormat="1" applyFont="1" applyFill="1" applyBorder="1" applyAlignment="1">
      <alignment vertical="center"/>
    </xf>
    <xf numFmtId="166" fontId="0" fillId="6" borderId="16" xfId="1" applyNumberFormat="1" applyFont="1" applyFill="1" applyBorder="1" applyAlignment="1">
      <alignment vertical="center"/>
    </xf>
    <xf numFmtId="166" fontId="0" fillId="6" borderId="17" xfId="1" applyNumberFormat="1" applyFont="1" applyFill="1" applyBorder="1" applyAlignment="1">
      <alignment vertical="center"/>
    </xf>
    <xf numFmtId="166" fontId="0" fillId="6" borderId="23" xfId="1" applyNumberFormat="1" applyFont="1" applyFill="1" applyBorder="1" applyAlignment="1">
      <alignment vertical="center"/>
    </xf>
    <xf numFmtId="166" fontId="0" fillId="6" borderId="20" xfId="1" applyNumberFormat="1" applyFont="1" applyFill="1" applyBorder="1" applyAlignment="1">
      <alignment vertical="center"/>
    </xf>
    <xf numFmtId="166" fontId="0" fillId="6" borderId="18" xfId="1" applyNumberFormat="1" applyFont="1" applyFill="1" applyBorder="1" applyAlignment="1">
      <alignment vertical="center"/>
    </xf>
    <xf numFmtId="166" fontId="0" fillId="6" borderId="25" xfId="1" applyNumberFormat="1" applyFont="1" applyFill="1" applyBorder="1" applyAlignment="1">
      <alignment vertical="center"/>
    </xf>
    <xf numFmtId="166" fontId="0" fillId="6" borderId="24" xfId="1" applyNumberFormat="1" applyFont="1" applyFill="1" applyBorder="1" applyAlignment="1">
      <alignment vertical="center"/>
    </xf>
    <xf numFmtId="166" fontId="0" fillId="5" borderId="0" xfId="1" applyNumberFormat="1" applyFont="1" applyFill="1" applyBorder="1" applyAlignment="1">
      <alignment vertical="center"/>
    </xf>
    <xf numFmtId="166" fontId="0" fillId="9" borderId="1" xfId="1" applyNumberFormat="1" applyFont="1" applyFill="1" applyBorder="1" applyAlignment="1">
      <alignment vertical="center"/>
    </xf>
    <xf numFmtId="166" fontId="0" fillId="6" borderId="27" xfId="1" applyNumberFormat="1" applyFont="1" applyFill="1" applyBorder="1" applyAlignment="1">
      <alignment vertical="center"/>
    </xf>
    <xf numFmtId="166" fontId="0" fillId="6" borderId="28" xfId="1" applyNumberFormat="1" applyFont="1" applyFill="1" applyBorder="1" applyAlignment="1">
      <alignment vertical="center"/>
    </xf>
    <xf numFmtId="166" fontId="0" fillId="6" borderId="29" xfId="1" applyNumberFormat="1" applyFont="1" applyFill="1" applyBorder="1" applyAlignment="1">
      <alignment vertical="center"/>
    </xf>
    <xf numFmtId="166" fontId="0" fillId="6" borderId="22" xfId="1" applyNumberFormat="1" applyFont="1" applyFill="1" applyBorder="1" applyAlignment="1">
      <alignment vertical="center"/>
    </xf>
    <xf numFmtId="166" fontId="0" fillId="6" borderId="21" xfId="1" applyNumberFormat="1" applyFont="1" applyFill="1" applyBorder="1" applyAlignment="1">
      <alignment vertical="center"/>
    </xf>
    <xf numFmtId="166" fontId="0" fillId="6" borderId="30" xfId="1" applyNumberFormat="1" applyFont="1" applyFill="1" applyBorder="1" applyAlignment="1">
      <alignment vertical="center"/>
    </xf>
    <xf numFmtId="166" fontId="0" fillId="6" borderId="4" xfId="1" applyNumberFormat="1" applyFont="1" applyFill="1" applyBorder="1" applyAlignment="1">
      <alignment horizontal="center" vertical="center"/>
    </xf>
    <xf numFmtId="166" fontId="0" fillId="6" borderId="3" xfId="1" applyNumberFormat="1" applyFont="1" applyFill="1" applyBorder="1" applyAlignment="1">
      <alignment horizontal="center" vertical="center"/>
    </xf>
    <xf numFmtId="166" fontId="0" fillId="8" borderId="4" xfId="1" applyNumberFormat="1" applyFont="1" applyFill="1" applyBorder="1" applyAlignment="1">
      <alignment horizontal="center" vertical="center"/>
    </xf>
    <xf numFmtId="166" fontId="0" fillId="8" borderId="3" xfId="1" applyNumberFormat="1" applyFont="1" applyFill="1" applyBorder="1" applyAlignment="1">
      <alignment horizontal="center" vertical="center"/>
    </xf>
    <xf numFmtId="166" fontId="0" fillId="6" borderId="6" xfId="1" applyNumberFormat="1" applyFont="1" applyFill="1" applyBorder="1" applyAlignment="1">
      <alignment horizontal="center" vertical="center"/>
    </xf>
    <xf numFmtId="166" fontId="0" fillId="6" borderId="7" xfId="1" applyNumberFormat="1" applyFont="1" applyFill="1" applyBorder="1" applyAlignment="1">
      <alignment horizontal="center" vertical="center"/>
    </xf>
    <xf numFmtId="166" fontId="0" fillId="8" borderId="6" xfId="1" applyNumberFormat="1" applyFont="1" applyFill="1" applyBorder="1" applyAlignment="1">
      <alignment horizontal="center" vertical="center"/>
    </xf>
    <xf numFmtId="166" fontId="0" fillId="8" borderId="7" xfId="1" applyNumberFormat="1" applyFont="1" applyFill="1" applyBorder="1" applyAlignment="1">
      <alignment horizontal="center" vertical="center"/>
    </xf>
    <xf numFmtId="166" fontId="0" fillId="6" borderId="8" xfId="1" applyNumberFormat="1" applyFont="1" applyFill="1" applyBorder="1" applyAlignment="1">
      <alignment horizontal="center" vertical="center"/>
    </xf>
    <xf numFmtId="166" fontId="0" fillId="6" borderId="9" xfId="1" applyNumberFormat="1" applyFont="1" applyFill="1" applyBorder="1" applyAlignment="1">
      <alignment horizontal="center" vertical="center"/>
    </xf>
    <xf numFmtId="166" fontId="0" fillId="8" borderId="8" xfId="1" applyNumberFormat="1" applyFont="1" applyFill="1" applyBorder="1" applyAlignment="1">
      <alignment horizontal="center" vertical="center"/>
    </xf>
    <xf numFmtId="166" fontId="0" fillId="8" borderId="9" xfId="1" applyNumberFormat="1" applyFont="1" applyFill="1" applyBorder="1" applyAlignment="1">
      <alignment horizontal="center" vertical="center"/>
    </xf>
    <xf numFmtId="167" fontId="0" fillId="7" borderId="10" xfId="1" applyNumberFormat="1" applyFont="1" applyFill="1" applyBorder="1" applyAlignment="1">
      <alignment vertical="center"/>
    </xf>
    <xf numFmtId="167" fontId="0" fillId="7" borderId="8" xfId="1" applyNumberFormat="1" applyFont="1" applyFill="1" applyBorder="1" applyAlignment="1">
      <alignment vertical="center"/>
    </xf>
    <xf numFmtId="166" fontId="2" fillId="12" borderId="7" xfId="0" applyNumberFormat="1" applyFont="1" applyFill="1" applyBorder="1" applyAlignment="1">
      <alignment vertical="center"/>
    </xf>
    <xf numFmtId="166" fontId="2" fillId="12" borderId="9" xfId="0" applyNumberFormat="1" applyFont="1" applyFill="1" applyBorder="1" applyAlignment="1">
      <alignment vertical="center"/>
    </xf>
    <xf numFmtId="0" fontId="2" fillId="12" borderId="10" xfId="0" applyFont="1" applyFill="1" applyBorder="1" applyAlignment="1">
      <alignment vertical="center" wrapText="1"/>
    </xf>
    <xf numFmtId="166" fontId="2" fillId="12" borderId="12" xfId="1" applyNumberFormat="1" applyFont="1" applyFill="1" applyBorder="1" applyAlignment="1">
      <alignment vertical="center"/>
    </xf>
    <xf numFmtId="0" fontId="2" fillId="12" borderId="6" xfId="0" applyFont="1" applyFill="1" applyBorder="1" applyAlignment="1">
      <alignment vertical="center" wrapText="1"/>
    </xf>
    <xf numFmtId="166" fontId="2" fillId="12" borderId="7" xfId="1" applyNumberFormat="1" applyFont="1" applyFill="1" applyBorder="1" applyAlignment="1">
      <alignment vertical="center"/>
    </xf>
    <xf numFmtId="0" fontId="2" fillId="12" borderId="8" xfId="0" applyFont="1" applyFill="1" applyBorder="1" applyAlignment="1">
      <alignment vertical="center" wrapText="1"/>
    </xf>
    <xf numFmtId="166" fontId="2" fillId="12" borderId="9" xfId="1" applyNumberFormat="1" applyFont="1" applyFill="1" applyBorder="1" applyAlignment="1">
      <alignment vertical="center"/>
    </xf>
    <xf numFmtId="0" fontId="2" fillId="10" borderId="28" xfId="0" applyFont="1" applyFill="1" applyBorder="1" applyAlignment="1">
      <alignment horizontal="center" vertical="center" wrapText="1"/>
    </xf>
    <xf numFmtId="0" fontId="2" fillId="10" borderId="31" xfId="0" applyFont="1" applyFill="1" applyBorder="1" applyAlignment="1">
      <alignment horizontal="center" vertical="center" wrapText="1"/>
    </xf>
    <xf numFmtId="0" fontId="2" fillId="10" borderId="27" xfId="0" applyFont="1" applyFill="1" applyBorder="1" applyAlignment="1">
      <alignment horizontal="left" vertical="center"/>
    </xf>
    <xf numFmtId="0" fontId="2" fillId="5" borderId="0" xfId="0" applyFont="1" applyFill="1" applyBorder="1" applyAlignment="1">
      <alignment horizontal="left" vertical="center"/>
    </xf>
    <xf numFmtId="0" fontId="8" fillId="5" borderId="0" xfId="0" applyFont="1" applyFill="1" applyBorder="1" applyAlignment="1">
      <alignment vertical="center"/>
    </xf>
    <xf numFmtId="9" fontId="0" fillId="12" borderId="11" xfId="0" applyNumberFormat="1" applyFill="1" applyBorder="1" applyAlignment="1">
      <alignment horizontal="center" vertical="center"/>
    </xf>
    <xf numFmtId="1" fontId="0" fillId="12" borderId="11" xfId="0" applyNumberFormat="1" applyFill="1" applyBorder="1" applyAlignment="1">
      <alignment horizontal="center" vertical="center"/>
    </xf>
    <xf numFmtId="9" fontId="14" fillId="6" borderId="0" xfId="2" applyFont="1" applyFill="1" applyBorder="1" applyAlignment="1">
      <alignment horizontal="center" vertical="center"/>
    </xf>
    <xf numFmtId="0" fontId="14" fillId="6" borderId="0" xfId="0" applyFont="1" applyFill="1" applyBorder="1" applyAlignment="1">
      <alignment horizontal="center" vertical="center"/>
    </xf>
    <xf numFmtId="9" fontId="14" fillId="6" borderId="0" xfId="0" applyNumberFormat="1" applyFont="1" applyFill="1" applyBorder="1" applyAlignment="1">
      <alignment horizontal="center" vertical="center"/>
    </xf>
    <xf numFmtId="9" fontId="14" fillId="6" borderId="7" xfId="0" applyNumberFormat="1" applyFont="1" applyFill="1" applyBorder="1" applyAlignment="1">
      <alignment horizontal="center" vertical="center"/>
    </xf>
    <xf numFmtId="166" fontId="18" fillId="12" borderId="2" xfId="0" applyNumberFormat="1" applyFont="1" applyFill="1" applyBorder="1" applyAlignment="1">
      <alignment horizontal="center" vertical="center"/>
    </xf>
    <xf numFmtId="166" fontId="18" fillId="12" borderId="9" xfId="0" applyNumberFormat="1" applyFont="1" applyFill="1" applyBorder="1" applyAlignment="1">
      <alignment horizontal="center" vertical="center"/>
    </xf>
    <xf numFmtId="166" fontId="2" fillId="12" borderId="3" xfId="0" applyNumberFormat="1" applyFont="1" applyFill="1" applyBorder="1" applyAlignment="1">
      <alignment horizontal="center" vertical="center"/>
    </xf>
    <xf numFmtId="9" fontId="14" fillId="12" borderId="0" xfId="2" applyFont="1" applyFill="1" applyBorder="1" applyAlignment="1">
      <alignment horizontal="center" vertical="center"/>
    </xf>
    <xf numFmtId="0" fontId="14" fillId="12" borderId="0" xfId="0" applyFont="1" applyFill="1" applyBorder="1" applyAlignment="1">
      <alignment horizontal="center" vertical="center"/>
    </xf>
    <xf numFmtId="9" fontId="14" fillId="12" borderId="0" xfId="0" applyNumberFormat="1" applyFont="1" applyFill="1" applyBorder="1" applyAlignment="1">
      <alignment horizontal="center" vertical="center"/>
    </xf>
    <xf numFmtId="9" fontId="14" fillId="12" borderId="7" xfId="0" applyNumberFormat="1" applyFont="1" applyFill="1" applyBorder="1" applyAlignment="1">
      <alignment horizontal="center" vertical="center"/>
    </xf>
    <xf numFmtId="0" fontId="2" fillId="5" borderId="0" xfId="0" applyFont="1" applyFill="1" applyBorder="1" applyAlignment="1">
      <alignment vertical="center" wrapText="1"/>
    </xf>
    <xf numFmtId="0" fontId="3" fillId="5" borderId="10" xfId="0" applyFont="1" applyFill="1" applyBorder="1" applyAlignment="1">
      <alignment vertical="center" wrapText="1"/>
    </xf>
    <xf numFmtId="0" fontId="3" fillId="5" borderId="8" xfId="0" applyFont="1" applyFill="1" applyBorder="1" applyAlignment="1">
      <alignment vertical="center" wrapText="1"/>
    </xf>
    <xf numFmtId="166" fontId="0" fillId="8" borderId="11" xfId="1" applyNumberFormat="1" applyFont="1" applyFill="1" applyBorder="1" applyAlignment="1">
      <alignment vertical="center"/>
    </xf>
    <xf numFmtId="166" fontId="0" fillId="8" borderId="0" xfId="1" applyNumberFormat="1" applyFont="1" applyFill="1" applyBorder="1" applyAlignment="1">
      <alignment vertical="center"/>
    </xf>
    <xf numFmtId="166" fontId="0" fillId="8" borderId="2" xfId="1" applyNumberFormat="1" applyFont="1" applyFill="1" applyBorder="1" applyAlignment="1">
      <alignment vertical="center"/>
    </xf>
    <xf numFmtId="166" fontId="0" fillId="11" borderId="12" xfId="1" applyNumberFormat="1" applyFont="1" applyFill="1" applyBorder="1" applyAlignment="1">
      <alignment vertical="center"/>
    </xf>
    <xf numFmtId="166" fontId="0" fillId="11" borderId="7" xfId="1" applyNumberFormat="1" applyFont="1" applyFill="1" applyBorder="1" applyAlignment="1">
      <alignment vertical="center"/>
    </xf>
    <xf numFmtId="166" fontId="0" fillId="11" borderId="9" xfId="1" applyNumberFormat="1" applyFont="1" applyFill="1" applyBorder="1" applyAlignment="1">
      <alignment vertical="center"/>
    </xf>
    <xf numFmtId="166" fontId="0" fillId="11" borderId="10" xfId="1" applyNumberFormat="1" applyFont="1" applyFill="1" applyBorder="1" applyAlignment="1">
      <alignment vertical="center"/>
    </xf>
    <xf numFmtId="166" fontId="0" fillId="11" borderId="6" xfId="1" applyNumberFormat="1" applyFont="1" applyFill="1" applyBorder="1" applyAlignment="1">
      <alignment vertical="center"/>
    </xf>
    <xf numFmtId="166" fontId="0" fillId="11" borderId="8" xfId="1" applyNumberFormat="1" applyFont="1" applyFill="1" applyBorder="1" applyAlignment="1">
      <alignment vertical="center"/>
    </xf>
    <xf numFmtId="0" fontId="0" fillId="11" borderId="10" xfId="0" applyFill="1" applyBorder="1" applyAlignment="1">
      <alignment vertical="center"/>
    </xf>
    <xf numFmtId="0" fontId="0" fillId="11" borderId="6" xfId="0" applyFill="1" applyBorder="1" applyAlignment="1">
      <alignment vertical="center"/>
    </xf>
    <xf numFmtId="0" fontId="0" fillId="11" borderId="8" xfId="0" applyFill="1" applyBorder="1" applyAlignment="1">
      <alignment vertical="center"/>
    </xf>
    <xf numFmtId="0" fontId="3" fillId="5" borderId="0" xfId="0" applyFont="1" applyFill="1" applyBorder="1" applyAlignment="1">
      <alignment vertical="center" wrapText="1"/>
    </xf>
    <xf numFmtId="0" fontId="2" fillId="5" borderId="0" xfId="0" applyFont="1" applyFill="1" applyAlignment="1">
      <alignment vertical="center" wrapText="1"/>
    </xf>
    <xf numFmtId="0" fontId="20" fillId="0" borderId="0" xfId="3"/>
    <xf numFmtId="0" fontId="2" fillId="2" borderId="13" xfId="0" applyFont="1" applyFill="1" applyBorder="1" applyAlignment="1">
      <alignment horizontal="center" wrapText="1"/>
    </xf>
    <xf numFmtId="0" fontId="0" fillId="2" borderId="10" xfId="0" applyFill="1" applyBorder="1"/>
    <xf numFmtId="0" fontId="0" fillId="2" borderId="11" xfId="0" applyFill="1" applyBorder="1"/>
    <xf numFmtId="0" fontId="0" fillId="2" borderId="12" xfId="0" applyFill="1" applyBorder="1"/>
    <xf numFmtId="0" fontId="2" fillId="8" borderId="19" xfId="0" applyFont="1" applyFill="1" applyBorder="1" applyAlignment="1">
      <alignment horizontal="left"/>
    </xf>
    <xf numFmtId="0" fontId="2" fillId="8" borderId="19" xfId="0" applyFont="1" applyFill="1" applyBorder="1" applyAlignment="1">
      <alignment horizontal="left" vertical="top" wrapText="1"/>
    </xf>
    <xf numFmtId="0" fontId="2" fillId="7" borderId="32" xfId="0" applyFont="1" applyFill="1" applyBorder="1" applyAlignment="1">
      <alignment horizontal="left"/>
    </xf>
    <xf numFmtId="0" fontId="2" fillId="7" borderId="26" xfId="0" applyFont="1" applyFill="1" applyBorder="1" applyAlignment="1">
      <alignment horizontal="left"/>
    </xf>
    <xf numFmtId="0" fontId="2" fillId="7" borderId="26" xfId="0" applyFont="1" applyFill="1" applyBorder="1" applyAlignment="1">
      <alignment horizontal="left" wrapText="1"/>
    </xf>
    <xf numFmtId="0" fontId="2" fillId="3" borderId="33" xfId="0" applyFont="1" applyFill="1" applyBorder="1" applyAlignment="1">
      <alignment horizontal="left" wrapText="1"/>
    </xf>
    <xf numFmtId="0" fontId="2" fillId="2" borderId="33" xfId="0" applyFont="1" applyFill="1" applyBorder="1" applyAlignment="1">
      <alignment horizontal="left" wrapText="1"/>
    </xf>
    <xf numFmtId="0" fontId="2" fillId="3" borderId="10" xfId="0" applyFont="1" applyFill="1" applyBorder="1" applyAlignment="1">
      <alignment horizontal="center" vertical="center" wrapText="1"/>
    </xf>
    <xf numFmtId="0" fontId="2" fillId="2" borderId="10" xfId="0" applyFont="1" applyFill="1" applyBorder="1" applyAlignment="1">
      <alignment horizontal="center" vertical="center" wrapText="1"/>
    </xf>
    <xf numFmtId="166" fontId="0" fillId="6" borderId="34" xfId="1" applyNumberFormat="1" applyFont="1" applyFill="1" applyBorder="1" applyAlignment="1">
      <alignment vertical="center"/>
    </xf>
    <xf numFmtId="166" fontId="0" fillId="6" borderId="35" xfId="1" applyNumberFormat="1" applyFont="1" applyFill="1" applyBorder="1" applyAlignment="1">
      <alignment vertical="center"/>
    </xf>
    <xf numFmtId="166" fontId="0" fillId="6" borderId="36" xfId="1" applyNumberFormat="1" applyFont="1" applyFill="1" applyBorder="1" applyAlignment="1">
      <alignment vertical="center"/>
    </xf>
    <xf numFmtId="166" fontId="0" fillId="6" borderId="31" xfId="1" applyNumberFormat="1" applyFont="1" applyFill="1" applyBorder="1" applyAlignment="1">
      <alignment vertical="center"/>
    </xf>
    <xf numFmtId="0" fontId="2" fillId="8" borderId="22" xfId="0" applyFont="1" applyFill="1" applyBorder="1" applyAlignment="1">
      <alignment horizontal="left" vertical="center" wrapText="1"/>
    </xf>
    <xf numFmtId="0" fontId="2" fillId="8" borderId="23" xfId="0" applyFont="1" applyFill="1" applyBorder="1" applyAlignment="1">
      <alignment horizontal="left" vertical="center" wrapText="1"/>
    </xf>
    <xf numFmtId="0" fontId="2" fillId="8" borderId="24" xfId="0" applyFont="1" applyFill="1" applyBorder="1" applyAlignment="1">
      <alignment horizontal="left" vertical="center" wrapText="1"/>
    </xf>
    <xf numFmtId="166" fontId="21" fillId="6" borderId="14" xfId="1" applyNumberFormat="1" applyFont="1" applyFill="1" applyBorder="1" applyAlignment="1">
      <alignment vertical="center"/>
    </xf>
    <xf numFmtId="167" fontId="21" fillId="6" borderId="14" xfId="1" applyNumberFormat="1" applyFont="1" applyFill="1" applyBorder="1" applyAlignment="1">
      <alignment vertical="center"/>
    </xf>
    <xf numFmtId="166" fontId="21" fillId="6" borderId="15" xfId="1" applyNumberFormat="1" applyFont="1" applyFill="1" applyBorder="1" applyAlignment="1">
      <alignment vertical="center"/>
    </xf>
    <xf numFmtId="0" fontId="0" fillId="13" borderId="28" xfId="0" applyFill="1" applyBorder="1"/>
    <xf numFmtId="0" fontId="0" fillId="13" borderId="16" xfId="0" applyFill="1" applyBorder="1"/>
    <xf numFmtId="0" fontId="0" fillId="13" borderId="19" xfId="0" applyFill="1" applyBorder="1"/>
    <xf numFmtId="0" fontId="0" fillId="13" borderId="17" xfId="0" applyFill="1" applyBorder="1"/>
    <xf numFmtId="0" fontId="0" fillId="13" borderId="20" xfId="0" applyFill="1" applyBorder="1"/>
    <xf numFmtId="0" fontId="0" fillId="13" borderId="18" xfId="0" applyFill="1" applyBorder="1"/>
    <xf numFmtId="0" fontId="0" fillId="13" borderId="25" xfId="0" applyFill="1" applyBorder="1"/>
    <xf numFmtId="0" fontId="0" fillId="11" borderId="28" xfId="0" applyFill="1" applyBorder="1"/>
    <xf numFmtId="0" fontId="0" fillId="11" borderId="16" xfId="0" applyFill="1" applyBorder="1"/>
    <xf numFmtId="0" fontId="0" fillId="11" borderId="20" xfId="0" applyFill="1" applyBorder="1"/>
    <xf numFmtId="0" fontId="0" fillId="11" borderId="18" xfId="0" applyFill="1" applyBorder="1"/>
    <xf numFmtId="0" fontId="0" fillId="11" borderId="25" xfId="0" applyFill="1" applyBorder="1"/>
    <xf numFmtId="0" fontId="2" fillId="14" borderId="4" xfId="0" applyFont="1" applyFill="1" applyBorder="1"/>
    <xf numFmtId="166" fontId="2" fillId="14" borderId="5" xfId="0" applyNumberFormat="1" applyFont="1" applyFill="1" applyBorder="1"/>
    <xf numFmtId="168" fontId="2" fillId="14" borderId="5" xfId="0" applyNumberFormat="1" applyFont="1" applyFill="1" applyBorder="1"/>
    <xf numFmtId="168" fontId="2" fillId="14" borderId="3" xfId="0" applyNumberFormat="1" applyFont="1" applyFill="1" applyBorder="1"/>
    <xf numFmtId="166" fontId="0" fillId="5" borderId="0" xfId="0" applyNumberFormat="1" applyFill="1" applyAlignment="1">
      <alignment vertical="center"/>
    </xf>
    <xf numFmtId="166" fontId="0" fillId="5" borderId="0" xfId="0" applyNumberFormat="1" applyFill="1" applyBorder="1" applyAlignment="1">
      <alignment horizontal="center" vertical="center"/>
    </xf>
    <xf numFmtId="2" fontId="0" fillId="12" borderId="11" xfId="0" applyNumberFormat="1" applyFill="1" applyBorder="1" applyAlignment="1">
      <alignment horizontal="center" vertical="center"/>
    </xf>
    <xf numFmtId="2" fontId="0" fillId="12" borderId="12" xfId="0" applyNumberFormat="1" applyFill="1" applyBorder="1" applyAlignment="1">
      <alignment horizontal="center" vertical="center"/>
    </xf>
    <xf numFmtId="169" fontId="0" fillId="12" borderId="11" xfId="0" applyNumberFormat="1" applyFill="1" applyBorder="1" applyAlignment="1">
      <alignment horizontal="center" vertical="center"/>
    </xf>
    <xf numFmtId="169" fontId="0" fillId="12" borderId="12" xfId="0" applyNumberFormat="1" applyFill="1" applyBorder="1" applyAlignment="1">
      <alignment horizontal="center" vertical="center"/>
    </xf>
    <xf numFmtId="169" fontId="0" fillId="4" borderId="18" xfId="0" applyNumberFormat="1" applyFill="1" applyBorder="1" applyAlignment="1">
      <alignment horizontal="center" vertical="center"/>
    </xf>
    <xf numFmtId="167" fontId="2" fillId="12" borderId="7" xfId="1" applyNumberFormat="1" applyFont="1" applyFill="1" applyBorder="1" applyAlignment="1">
      <alignment vertical="center"/>
    </xf>
    <xf numFmtId="0" fontId="2" fillId="5" borderId="0" xfId="0" applyFont="1" applyFill="1" applyBorder="1" applyAlignment="1">
      <alignment horizontal="center"/>
    </xf>
    <xf numFmtId="166" fontId="0" fillId="5" borderId="0" xfId="0" applyNumberFormat="1" applyFill="1"/>
    <xf numFmtId="0" fontId="2" fillId="5" borderId="11" xfId="0" applyFont="1" applyFill="1" applyBorder="1" applyAlignment="1">
      <alignment horizontal="center"/>
    </xf>
    <xf numFmtId="0" fontId="2" fillId="5" borderId="2" xfId="0" applyFont="1" applyFill="1" applyBorder="1" applyAlignment="1">
      <alignment horizontal="center"/>
    </xf>
    <xf numFmtId="0" fontId="0" fillId="5" borderId="0" xfId="0" quotePrefix="1" applyFill="1"/>
    <xf numFmtId="0" fontId="2" fillId="5" borderId="12" xfId="0" applyFont="1" applyFill="1" applyBorder="1" applyAlignment="1">
      <alignment horizontal="center"/>
    </xf>
    <xf numFmtId="0" fontId="3" fillId="5" borderId="5" xfId="0" applyFont="1" applyFill="1" applyBorder="1" applyAlignment="1">
      <alignment horizontal="center"/>
    </xf>
    <xf numFmtId="0" fontId="2" fillId="5" borderId="11" xfId="0" applyFont="1" applyFill="1" applyBorder="1" applyAlignment="1">
      <alignment horizontal="center"/>
    </xf>
    <xf numFmtId="0" fontId="2" fillId="5" borderId="2" xfId="0" applyFont="1" applyFill="1" applyBorder="1" applyAlignment="1">
      <alignment horizontal="center"/>
    </xf>
    <xf numFmtId="0" fontId="2" fillId="5" borderId="9" xfId="0" applyFont="1" applyFill="1" applyBorder="1" applyAlignment="1">
      <alignment horizontal="center"/>
    </xf>
    <xf numFmtId="171" fontId="0" fillId="6" borderId="16" xfId="4" applyNumberFormat="1" applyFont="1" applyFill="1" applyBorder="1"/>
    <xf numFmtId="172" fontId="0" fillId="6" borderId="16" xfId="4" applyNumberFormat="1" applyFont="1" applyFill="1" applyBorder="1"/>
    <xf numFmtId="168" fontId="18" fillId="6" borderId="17" xfId="1" applyNumberFormat="1" applyFont="1" applyFill="1" applyBorder="1"/>
    <xf numFmtId="0" fontId="12" fillId="0" borderId="0" xfId="0" applyFont="1" applyFill="1"/>
    <xf numFmtId="0" fontId="0" fillId="0" borderId="0" xfId="0" applyFill="1"/>
    <xf numFmtId="0" fontId="14" fillId="0" borderId="0" xfId="0" applyFont="1" applyFill="1"/>
    <xf numFmtId="173" fontId="2" fillId="14" borderId="5" xfId="0" applyNumberFormat="1" applyFont="1" applyFill="1" applyBorder="1"/>
    <xf numFmtId="166" fontId="0" fillId="5" borderId="0" xfId="0" applyNumberFormat="1" applyFill="1" applyBorder="1" applyAlignment="1">
      <alignment vertical="center"/>
    </xf>
    <xf numFmtId="174" fontId="18" fillId="6" borderId="31" xfId="1" applyNumberFormat="1" applyFont="1" applyFill="1" applyBorder="1"/>
    <xf numFmtId="174" fontId="18" fillId="6" borderId="17" xfId="1" applyNumberFormat="1" applyFont="1" applyFill="1" applyBorder="1"/>
    <xf numFmtId="174" fontId="0" fillId="6" borderId="16" xfId="4" applyNumberFormat="1" applyFont="1" applyFill="1" applyBorder="1"/>
    <xf numFmtId="174" fontId="18" fillId="6" borderId="31" xfId="5" applyNumberFormat="1" applyFont="1" applyFill="1" applyBorder="1"/>
    <xf numFmtId="174" fontId="18" fillId="6" borderId="17" xfId="5" applyNumberFormat="1" applyFont="1" applyFill="1" applyBorder="1"/>
    <xf numFmtId="0" fontId="0" fillId="6" borderId="28" xfId="1" applyNumberFormat="1" applyFont="1" applyFill="1" applyBorder="1" applyAlignment="1">
      <alignment vertical="center"/>
    </xf>
    <xf numFmtId="0" fontId="0" fillId="6" borderId="16" xfId="1" applyNumberFormat="1" applyFont="1" applyFill="1" applyBorder="1" applyAlignment="1">
      <alignment vertical="center"/>
    </xf>
    <xf numFmtId="0" fontId="0" fillId="6" borderId="18" xfId="1" applyNumberFormat="1" applyFont="1" applyFill="1" applyBorder="1" applyAlignment="1">
      <alignment vertical="center"/>
    </xf>
    <xf numFmtId="43" fontId="0" fillId="7" borderId="12" xfId="1" applyNumberFormat="1" applyFont="1" applyFill="1" applyBorder="1" applyAlignment="1">
      <alignment vertical="center"/>
    </xf>
    <xf numFmtId="0" fontId="2" fillId="5" borderId="4" xfId="0" applyFont="1" applyFill="1" applyBorder="1" applyAlignment="1">
      <alignment vertical="center" wrapText="1"/>
    </xf>
    <xf numFmtId="43" fontId="0" fillId="7" borderId="10" xfId="1" applyNumberFormat="1" applyFont="1" applyFill="1" applyBorder="1" applyAlignment="1">
      <alignment vertical="center"/>
    </xf>
    <xf numFmtId="43" fontId="0" fillId="7" borderId="8" xfId="1" applyNumberFormat="1" applyFont="1" applyFill="1" applyBorder="1" applyAlignment="1">
      <alignment vertical="center"/>
    </xf>
    <xf numFmtId="43" fontId="0" fillId="7" borderId="9" xfId="1" applyNumberFormat="1" applyFont="1" applyFill="1" applyBorder="1" applyAlignment="1">
      <alignment vertical="center"/>
    </xf>
    <xf numFmtId="176" fontId="0" fillId="5" borderId="0" xfId="1" applyNumberFormat="1" applyFont="1" applyFill="1" applyBorder="1" applyAlignment="1">
      <alignment vertical="center"/>
    </xf>
    <xf numFmtId="176" fontId="0" fillId="7" borderId="13" xfId="1" applyNumberFormat="1" applyFont="1" applyFill="1" applyBorder="1" applyAlignment="1">
      <alignment vertical="center"/>
    </xf>
    <xf numFmtId="176" fontId="0" fillId="7" borderId="15" xfId="1" applyNumberFormat="1" applyFont="1" applyFill="1" applyBorder="1" applyAlignment="1">
      <alignment vertical="center"/>
    </xf>
    <xf numFmtId="0" fontId="2" fillId="7"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176" fontId="0" fillId="15" borderId="13" xfId="1" applyNumberFormat="1" applyFont="1" applyFill="1" applyBorder="1" applyAlignment="1">
      <alignment vertical="center"/>
    </xf>
    <xf numFmtId="176" fontId="0" fillId="15" borderId="15" xfId="1" applyNumberFormat="1" applyFont="1" applyFill="1" applyBorder="1" applyAlignment="1">
      <alignment vertical="center"/>
    </xf>
    <xf numFmtId="0" fontId="2" fillId="11" borderId="3" xfId="0" applyFont="1" applyFill="1" applyBorder="1" applyAlignment="1">
      <alignment horizontal="center" vertical="center" wrapText="1"/>
    </xf>
    <xf numFmtId="176" fontId="0" fillId="11" borderId="12" xfId="1" applyNumberFormat="1" applyFont="1" applyFill="1" applyBorder="1" applyAlignment="1">
      <alignment vertical="center"/>
    </xf>
    <xf numFmtId="176" fontId="0" fillId="11" borderId="9" xfId="1" applyNumberFormat="1" applyFont="1" applyFill="1" applyBorder="1" applyAlignment="1">
      <alignment vertical="center"/>
    </xf>
    <xf numFmtId="177" fontId="0" fillId="5" borderId="0" xfId="0" applyNumberFormat="1" applyFill="1" applyAlignment="1">
      <alignment vertical="center"/>
    </xf>
    <xf numFmtId="177" fontId="0" fillId="5" borderId="0" xfId="0" applyNumberFormat="1" applyFill="1" applyBorder="1" applyAlignment="1">
      <alignment vertical="center"/>
    </xf>
    <xf numFmtId="175" fontId="0" fillId="5" borderId="0" xfId="0" applyNumberFormat="1" applyFill="1" applyBorder="1" applyAlignment="1">
      <alignment vertical="center"/>
    </xf>
    <xf numFmtId="176" fontId="0" fillId="11" borderId="15" xfId="1" applyNumberFormat="1" applyFont="1" applyFill="1" applyBorder="1" applyAlignment="1">
      <alignment vertical="center"/>
    </xf>
    <xf numFmtId="0" fontId="0" fillId="5" borderId="0" xfId="0" applyFill="1" applyBorder="1"/>
    <xf numFmtId="0" fontId="0" fillId="0" borderId="0" xfId="0" applyFill="1" applyBorder="1"/>
    <xf numFmtId="0" fontId="23" fillId="0" borderId="0" xfId="0" applyFont="1" applyFill="1" applyBorder="1" applyAlignment="1">
      <alignment vertical="center"/>
    </xf>
    <xf numFmtId="3" fontId="24" fillId="0" borderId="0" xfId="0" applyNumberFormat="1" applyFont="1" applyFill="1" applyBorder="1" applyAlignment="1">
      <alignment horizontal="right" vertical="center"/>
    </xf>
    <xf numFmtId="0" fontId="22" fillId="0" borderId="0" xfId="0" applyFont="1" applyFill="1" applyBorder="1" applyAlignment="1">
      <alignment vertical="top"/>
    </xf>
    <xf numFmtId="0" fontId="24" fillId="0" borderId="0" xfId="0" applyFont="1" applyFill="1" applyBorder="1" applyAlignment="1">
      <alignment vertical="center"/>
    </xf>
    <xf numFmtId="0" fontId="23" fillId="0" borderId="0" xfId="0" applyFont="1" applyFill="1" applyBorder="1" applyAlignment="1">
      <alignment vertical="center" wrapText="1"/>
    </xf>
    <xf numFmtId="3" fontId="0" fillId="5" borderId="0" xfId="0" applyNumberFormat="1" applyFill="1"/>
    <xf numFmtId="3" fontId="0" fillId="0" borderId="0" xfId="0" applyNumberFormat="1" applyFill="1"/>
    <xf numFmtId="3" fontId="0" fillId="0" borderId="0" xfId="0" applyNumberFormat="1" applyFill="1" applyBorder="1"/>
    <xf numFmtId="0" fontId="3" fillId="5" borderId="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3" xfId="0" applyFont="1" applyFill="1" applyBorder="1" applyAlignment="1">
      <alignment horizontal="center" wrapText="1"/>
    </xf>
    <xf numFmtId="0" fontId="4" fillId="3" borderId="4"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horizontal="center" wrapText="1"/>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3" xfId="0" applyFont="1" applyFill="1" applyBorder="1" applyAlignment="1">
      <alignment horizontal="center"/>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3" borderId="3" xfId="0" applyFont="1" applyFill="1" applyBorder="1" applyAlignment="1">
      <alignment horizontal="center"/>
    </xf>
    <xf numFmtId="0" fontId="2" fillId="5" borderId="4" xfId="0" applyFont="1" applyFill="1" applyBorder="1" applyAlignment="1">
      <alignment horizontal="center"/>
    </xf>
    <xf numFmtId="0" fontId="2" fillId="5" borderId="3" xfId="0" applyFont="1" applyFill="1" applyBorder="1" applyAlignment="1">
      <alignment horizontal="center"/>
    </xf>
    <xf numFmtId="0" fontId="2" fillId="5" borderId="4" xfId="0" quotePrefix="1" applyFont="1" applyFill="1" applyBorder="1" applyAlignment="1">
      <alignment horizontal="center"/>
    </xf>
    <xf numFmtId="0" fontId="2" fillId="5" borderId="5" xfId="0" quotePrefix="1" applyFont="1" applyFill="1" applyBorder="1" applyAlignment="1">
      <alignment horizontal="center"/>
    </xf>
    <xf numFmtId="0" fontId="2" fillId="5" borderId="3" xfId="0" quotePrefix="1" applyFont="1" applyFill="1" applyBorder="1" applyAlignment="1">
      <alignment horizontal="center"/>
    </xf>
    <xf numFmtId="0" fontId="2" fillId="8" borderId="10" xfId="0" applyFont="1" applyFill="1" applyBorder="1" applyAlignment="1">
      <alignment horizontal="center" vertical="center"/>
    </xf>
    <xf numFmtId="0" fontId="2" fillId="8" borderId="12"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2" fillId="11" borderId="8"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2" fillId="11" borderId="9" xfId="0" applyFont="1" applyFill="1" applyBorder="1" applyAlignment="1">
      <alignment horizontal="center" vertical="center" wrapText="1"/>
    </xf>
  </cellXfs>
  <cellStyles count="6">
    <cellStyle name="Comma" xfId="1" builtinId="3"/>
    <cellStyle name="Currency" xfId="5" builtinId="4"/>
    <cellStyle name="Currency 2" xfId="4" xr:uid="{16B84DCC-D725-478E-B05F-CE73F45B9C62}"/>
    <cellStyle name="Hyperlink" xfId="3" builtinId="8"/>
    <cellStyle name="Normal" xfId="0" builtinId="0"/>
    <cellStyle name="Percent" xfId="2" builtinId="5"/>
  </cellStyles>
  <dxfs count="24">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99060</xdr:colOff>
      <xdr:row>9</xdr:row>
      <xdr:rowOff>106680</xdr:rowOff>
    </xdr:to>
    <xdr:sp macro="" textlink="">
      <xdr:nvSpPr>
        <xdr:cNvPr id="7169" name="dimg_6" descr="Image result for barbuda coat of arms">
          <a:extLst>
            <a:ext uri="{FF2B5EF4-FFF2-40B4-BE49-F238E27FC236}">
              <a16:creationId xmlns:a16="http://schemas.microsoft.com/office/drawing/2014/main" id="{624787E1-DC10-4543-B944-9D65E9CAC6FD}"/>
            </a:ext>
          </a:extLst>
        </xdr:cNvPr>
        <xdr:cNvSpPr>
          <a:spLocks noChangeAspect="1" noChangeArrowheads="1"/>
        </xdr:cNvSpPr>
      </xdr:nvSpPr>
      <xdr:spPr bwMode="auto">
        <a:xfrm>
          <a:off x="609600" y="731520"/>
          <a:ext cx="1318260" cy="1524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xdr:row>
      <xdr:rowOff>0</xdr:rowOff>
    </xdr:from>
    <xdr:to>
      <xdr:col>9</xdr:col>
      <xdr:colOff>99060</xdr:colOff>
      <xdr:row>12</xdr:row>
      <xdr:rowOff>709352</xdr:rowOff>
    </xdr:to>
    <xdr:sp macro="" textlink="">
      <xdr:nvSpPr>
        <xdr:cNvPr id="7170" name="dimg_6" descr="Image result for barbuda coat of arms">
          <a:extLst>
            <a:ext uri="{FF2B5EF4-FFF2-40B4-BE49-F238E27FC236}">
              <a16:creationId xmlns:a16="http://schemas.microsoft.com/office/drawing/2014/main" id="{B2875CF0-FB54-4F84-9125-CC5BB5C95D98}"/>
            </a:ext>
          </a:extLst>
        </xdr:cNvPr>
        <xdr:cNvSpPr>
          <a:spLocks noChangeAspect="1" noChangeArrowheads="1"/>
        </xdr:cNvSpPr>
      </xdr:nvSpPr>
      <xdr:spPr bwMode="auto">
        <a:xfrm>
          <a:off x="4267200" y="1912620"/>
          <a:ext cx="1318260" cy="1524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xdr:row>
      <xdr:rowOff>0</xdr:rowOff>
    </xdr:from>
    <xdr:to>
      <xdr:col>9</xdr:col>
      <xdr:colOff>99060</xdr:colOff>
      <xdr:row>12</xdr:row>
      <xdr:rowOff>709352</xdr:rowOff>
    </xdr:to>
    <xdr:sp macro="" textlink="">
      <xdr:nvSpPr>
        <xdr:cNvPr id="7171" name="dimg_6" descr="Image result for barbuda coat of arms">
          <a:extLst>
            <a:ext uri="{FF2B5EF4-FFF2-40B4-BE49-F238E27FC236}">
              <a16:creationId xmlns:a16="http://schemas.microsoft.com/office/drawing/2014/main" id="{AF2193AF-C046-4C2B-8021-143F301EE830}"/>
            </a:ext>
          </a:extLst>
        </xdr:cNvPr>
        <xdr:cNvSpPr>
          <a:spLocks noChangeAspect="1" noChangeArrowheads="1"/>
        </xdr:cNvSpPr>
      </xdr:nvSpPr>
      <xdr:spPr bwMode="auto">
        <a:xfrm>
          <a:off x="4267200" y="1912620"/>
          <a:ext cx="1318260" cy="1524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396240</xdr:colOff>
      <xdr:row>0</xdr:row>
      <xdr:rowOff>0</xdr:rowOff>
    </xdr:from>
    <xdr:to>
      <xdr:col>4</xdr:col>
      <xdr:colOff>297180</xdr:colOff>
      <xdr:row>11</xdr:row>
      <xdr:rowOff>255485</xdr:rowOff>
    </xdr:to>
    <xdr:pic>
      <xdr:nvPicPr>
        <xdr:cNvPr id="5" name="Picture 4" descr="C:\Users\jnbli\AppData\Local\Microsoft\Windows\INetCache\Content.MSO\FF7E7341.tmp">
          <a:extLst>
            <a:ext uri="{FF2B5EF4-FFF2-40B4-BE49-F238E27FC236}">
              <a16:creationId xmlns:a16="http://schemas.microsoft.com/office/drawing/2014/main" id="{8463C470-C68C-4A04-8B70-4B59094B10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 y="144779"/>
          <a:ext cx="2339340" cy="270704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1592580</xdr:colOff>
      <xdr:row>11</xdr:row>
      <xdr:rowOff>253407</xdr:rowOff>
    </xdr:to>
    <xdr:pic>
      <xdr:nvPicPr>
        <xdr:cNvPr id="2" name="Picture 1" descr="C:\Users\jnbli\AppData\Local\Microsoft\Windows\INetCache\Content.MSO\FF7E7341.tmp">
          <a:extLst>
            <a:ext uri="{FF2B5EF4-FFF2-40B4-BE49-F238E27FC236}">
              <a16:creationId xmlns:a16="http://schemas.microsoft.com/office/drawing/2014/main" id="{5E2C3D86-32FA-4F27-B6A4-590A63C036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2339340" cy="270704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xdr:colOff>
      <xdr:row>0</xdr:row>
      <xdr:rowOff>22860</xdr:rowOff>
    </xdr:from>
    <xdr:to>
      <xdr:col>1</xdr:col>
      <xdr:colOff>1744980</xdr:colOff>
      <xdr:row>12</xdr:row>
      <xdr:rowOff>78147</xdr:rowOff>
    </xdr:to>
    <xdr:pic>
      <xdr:nvPicPr>
        <xdr:cNvPr id="2" name="Picture 1" descr="C:\Users\jnbli\AppData\Local\Microsoft\Windows\INetCache\Content.MSO\FF7E7341.tmp">
          <a:extLst>
            <a:ext uri="{FF2B5EF4-FFF2-40B4-BE49-F238E27FC236}">
              <a16:creationId xmlns:a16="http://schemas.microsoft.com/office/drawing/2014/main" id="{4CB1B42B-0061-4912-B924-7176BC857B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 y="22860"/>
          <a:ext cx="2339340" cy="270704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45720</xdr:colOff>
      <xdr:row>0</xdr:row>
      <xdr:rowOff>22860</xdr:rowOff>
    </xdr:from>
    <xdr:to>
      <xdr:col>1</xdr:col>
      <xdr:colOff>1775460</xdr:colOff>
      <xdr:row>12</xdr:row>
      <xdr:rowOff>78147</xdr:rowOff>
    </xdr:to>
    <xdr:pic>
      <xdr:nvPicPr>
        <xdr:cNvPr id="2" name="Picture 1" descr="C:\Users\jnbli\AppData\Local\Microsoft\Windows\INetCache\Content.MSO\FF7E7341.tmp">
          <a:extLst>
            <a:ext uri="{FF2B5EF4-FFF2-40B4-BE49-F238E27FC236}">
              <a16:creationId xmlns:a16="http://schemas.microsoft.com/office/drawing/2014/main" id="{EB96875F-CC9A-4E61-9596-8DAFD8B987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 y="22860"/>
          <a:ext cx="2339340" cy="270704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1727835</xdr:colOff>
      <xdr:row>12</xdr:row>
      <xdr:rowOff>78147</xdr:rowOff>
    </xdr:to>
    <xdr:pic>
      <xdr:nvPicPr>
        <xdr:cNvPr id="2" name="Picture 1" descr="C:\Users\jnbli\AppData\Local\Microsoft\Windows\INetCache\Content.MSO\FF7E7341.tmp">
          <a:extLst>
            <a:ext uri="{FF2B5EF4-FFF2-40B4-BE49-F238E27FC236}">
              <a16:creationId xmlns:a16="http://schemas.microsoft.com/office/drawing/2014/main" id="{50F6CECF-A49A-4154-8117-DA20D34D1C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339340" cy="270704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2128615</xdr:colOff>
      <xdr:row>8</xdr:row>
      <xdr:rowOff>38100</xdr:rowOff>
    </xdr:to>
    <xdr:pic>
      <xdr:nvPicPr>
        <xdr:cNvPr id="2" name="Picture 1" descr="C:\Users\jnbli\AppData\Local\Microsoft\Windows\INetCache\Content.MSO\FF7E7341.tmp">
          <a:extLst>
            <a:ext uri="{FF2B5EF4-FFF2-40B4-BE49-F238E27FC236}">
              <a16:creationId xmlns:a16="http://schemas.microsoft.com/office/drawing/2014/main" id="{9EBFC953-505F-4E83-9992-C71E93EE0E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28615" cy="24860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alfred.stlouisfed.org/series?seid=RKNANPAGA666NRUG&amp;utm_source=series_page&amp;utm_medium=related_content&amp;utm_term=related_resources&amp;utm_campaign=alfre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C1DB-8479-403F-961E-AAA1BA312A69}">
  <dimension ref="B1:F16"/>
  <sheetViews>
    <sheetView workbookViewId="0">
      <selection activeCell="F10" sqref="F10"/>
    </sheetView>
  </sheetViews>
  <sheetFormatPr defaultColWidth="8.85546875" defaultRowHeight="15" x14ac:dyDescent="0.25"/>
  <cols>
    <col min="1" max="5" width="8.85546875" style="6"/>
    <col min="6" max="6" width="161.5703125" style="6" customWidth="1"/>
    <col min="7" max="16384" width="8.85546875" style="6"/>
  </cols>
  <sheetData>
    <row r="1" spans="2:6" ht="28.5" x14ac:dyDescent="0.45">
      <c r="F1" s="9" t="s">
        <v>11</v>
      </c>
    </row>
    <row r="2" spans="2:6" ht="23.25" x14ac:dyDescent="0.35">
      <c r="F2" s="11" t="s">
        <v>99</v>
      </c>
    </row>
    <row r="3" spans="2:6" x14ac:dyDescent="0.25">
      <c r="B3"/>
    </row>
    <row r="4" spans="2:6" ht="23.25" x14ac:dyDescent="0.35">
      <c r="F4" s="11" t="s">
        <v>12</v>
      </c>
    </row>
    <row r="5" spans="2:6" x14ac:dyDescent="0.25">
      <c r="F5" s="7" t="s">
        <v>32</v>
      </c>
    </row>
    <row r="6" spans="2:6" x14ac:dyDescent="0.25">
      <c r="F6" s="241" t="s">
        <v>101</v>
      </c>
    </row>
    <row r="7" spans="2:6" ht="16.149999999999999" customHeight="1" x14ac:dyDescent="0.35">
      <c r="C7" s="8"/>
      <c r="F7" s="7" t="s">
        <v>31</v>
      </c>
    </row>
    <row r="8" spans="2:6" x14ac:dyDescent="0.25">
      <c r="F8" s="7" t="s">
        <v>29</v>
      </c>
    </row>
    <row r="9" spans="2:6" x14ac:dyDescent="0.25">
      <c r="F9" s="241" t="s">
        <v>103</v>
      </c>
    </row>
    <row r="10" spans="2:6" x14ac:dyDescent="0.25">
      <c r="F10" s="7" t="s">
        <v>42</v>
      </c>
    </row>
    <row r="12" spans="2:6" ht="21" x14ac:dyDescent="0.35">
      <c r="F12" s="20" t="s">
        <v>15</v>
      </c>
    </row>
    <row r="13" spans="2:6" ht="60" x14ac:dyDescent="0.25">
      <c r="F13" s="21" t="s">
        <v>16</v>
      </c>
    </row>
    <row r="16" spans="2:6" x14ac:dyDescent="0.25">
      <c r="F16" s="5"/>
    </row>
  </sheetData>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5E058-118B-465D-A5BC-54F190DE0D41}">
  <sheetPr>
    <tabColor theme="9" tint="0.79998168889431442"/>
  </sheetPr>
  <dimension ref="B1:K31"/>
  <sheetViews>
    <sheetView tabSelected="1" zoomScale="85" zoomScaleNormal="85" workbookViewId="0">
      <selection activeCell="F7" sqref="F7"/>
    </sheetView>
  </sheetViews>
  <sheetFormatPr defaultColWidth="8.85546875" defaultRowHeight="15" x14ac:dyDescent="0.25"/>
  <cols>
    <col min="1" max="1" width="12.5703125" style="23" customWidth="1"/>
    <col min="2" max="2" width="25.42578125" style="23" customWidth="1"/>
    <col min="3" max="3" width="33.7109375" style="23" customWidth="1"/>
    <col min="4" max="4" width="24.7109375" style="25" customWidth="1"/>
    <col min="5" max="5" width="24.5703125" style="23" customWidth="1"/>
    <col min="6" max="6" width="17.42578125" style="23" customWidth="1"/>
    <col min="7" max="7" width="25.5703125" style="23" customWidth="1"/>
    <col min="8" max="8" width="25.85546875" style="23" customWidth="1"/>
    <col min="9" max="9" width="10" style="23" customWidth="1"/>
    <col min="10" max="10" width="15.42578125" style="23" customWidth="1"/>
    <col min="11" max="11" width="10.7109375" style="23" customWidth="1"/>
    <col min="12" max="16384" width="8.85546875" style="23"/>
  </cols>
  <sheetData>
    <row r="1" spans="2:11" ht="28.5" x14ac:dyDescent="0.25">
      <c r="C1" s="24" t="s">
        <v>11</v>
      </c>
      <c r="D1" s="23"/>
      <c r="E1" s="25"/>
    </row>
    <row r="2" spans="2:11" ht="23.25" x14ac:dyDescent="0.35">
      <c r="C2" s="11" t="s">
        <v>100</v>
      </c>
      <c r="D2" s="23"/>
      <c r="E2" s="25"/>
    </row>
    <row r="3" spans="2:11" x14ac:dyDescent="0.25">
      <c r="D3" s="23"/>
      <c r="E3" s="25"/>
    </row>
    <row r="4" spans="2:11" ht="24" thickBot="1" x14ac:dyDescent="0.3">
      <c r="C4" s="26" t="s">
        <v>13</v>
      </c>
      <c r="D4" s="23"/>
      <c r="E4" s="25"/>
    </row>
    <row r="5" spans="2:11" ht="15.75" x14ac:dyDescent="0.25">
      <c r="C5" s="27" t="s">
        <v>18</v>
      </c>
      <c r="D5" s="49">
        <v>0.1</v>
      </c>
      <c r="E5" s="29" t="s">
        <v>19</v>
      </c>
      <c r="F5" s="23" t="s">
        <v>33</v>
      </c>
      <c r="G5" s="28"/>
    </row>
    <row r="6" spans="2:11" x14ac:dyDescent="0.25">
      <c r="C6" s="30" t="s">
        <v>81</v>
      </c>
      <c r="D6" s="50">
        <f>1300000000/D10</f>
        <v>14130.434782608696</v>
      </c>
      <c r="E6" s="31">
        <v>2017</v>
      </c>
      <c r="F6" s="31" t="s">
        <v>80</v>
      </c>
      <c r="G6" s="31"/>
      <c r="H6" s="31"/>
      <c r="I6" s="31"/>
      <c r="J6" s="31"/>
      <c r="K6" s="31"/>
    </row>
    <row r="7" spans="2:11" x14ac:dyDescent="0.25">
      <c r="C7" s="30" t="s">
        <v>93</v>
      </c>
      <c r="D7" s="50">
        <f>13417950000</f>
        <v>13417950000</v>
      </c>
      <c r="E7" s="31">
        <v>2017</v>
      </c>
      <c r="F7" s="189" t="s">
        <v>63</v>
      </c>
      <c r="G7" s="31"/>
      <c r="H7" s="31"/>
      <c r="I7" s="31"/>
      <c r="J7" s="31"/>
      <c r="K7" s="31"/>
    </row>
    <row r="8" spans="2:11" x14ac:dyDescent="0.25">
      <c r="C8" s="30" t="s">
        <v>82</v>
      </c>
      <c r="D8" s="210">
        <f>13270</f>
        <v>13270</v>
      </c>
      <c r="E8" s="31">
        <v>2017</v>
      </c>
      <c r="F8" s="31" t="s">
        <v>80</v>
      </c>
      <c r="G8" s="31"/>
      <c r="H8" s="31"/>
      <c r="I8" s="31"/>
      <c r="J8" s="31"/>
      <c r="K8" s="31"/>
    </row>
    <row r="9" spans="2:11" x14ac:dyDescent="0.25">
      <c r="B9" s="25"/>
      <c r="C9" s="30" t="s">
        <v>28</v>
      </c>
      <c r="D9" s="211">
        <v>77.5</v>
      </c>
      <c r="E9" s="23">
        <v>2017</v>
      </c>
      <c r="F9" s="23" t="s">
        <v>75</v>
      </c>
    </row>
    <row r="10" spans="2:11" ht="15.75" thickBot="1" x14ac:dyDescent="0.3">
      <c r="B10" s="25"/>
      <c r="C10" s="30" t="s">
        <v>54</v>
      </c>
      <c r="D10" s="212">
        <v>92000</v>
      </c>
      <c r="E10" s="23">
        <v>2017</v>
      </c>
      <c r="F10" s="31" t="s">
        <v>80</v>
      </c>
    </row>
    <row r="11" spans="2:11" x14ac:dyDescent="0.25">
      <c r="B11" s="25"/>
      <c r="C11" s="25" t="s">
        <v>122</v>
      </c>
      <c r="D11" s="188">
        <v>2.7029999999999998</v>
      </c>
    </row>
    <row r="12" spans="2:11" ht="21.75" thickBot="1" x14ac:dyDescent="0.3">
      <c r="B12" s="32" t="s">
        <v>17</v>
      </c>
      <c r="D12" s="23"/>
      <c r="G12" s="33"/>
    </row>
    <row r="13" spans="2:11" ht="45.75" thickBot="1" x14ac:dyDescent="0.3">
      <c r="C13" s="271" t="s">
        <v>104</v>
      </c>
      <c r="D13" s="272" t="s">
        <v>105</v>
      </c>
      <c r="E13" s="275" t="s">
        <v>106</v>
      </c>
      <c r="F13" s="172"/>
      <c r="G13" s="172"/>
      <c r="H13" s="172"/>
    </row>
    <row r="14" spans="2:11" ht="30" x14ac:dyDescent="0.25">
      <c r="B14" s="42" t="s">
        <v>61</v>
      </c>
      <c r="C14" s="269">
        <f>Model!G18/1000000</f>
        <v>13.848483959185824</v>
      </c>
      <c r="D14" s="273">
        <f>Model!AY5/1000000</f>
        <v>551.92860214906921</v>
      </c>
      <c r="E14" s="276">
        <f>Model!BB5/1000000</f>
        <v>17253.046213292928</v>
      </c>
      <c r="F14" s="279"/>
      <c r="G14" s="280"/>
      <c r="H14" s="280"/>
    </row>
    <row r="15" spans="2:11" ht="15.75" thickBot="1" x14ac:dyDescent="0.3">
      <c r="B15" s="43" t="s">
        <v>62</v>
      </c>
      <c r="C15" s="270">
        <f>Model!G31/1000000</f>
        <v>36.934699653849719</v>
      </c>
      <c r="D15" s="274">
        <f>Model!AZ5/1000000</f>
        <v>214.00039004954883</v>
      </c>
      <c r="E15" s="277">
        <f>Model!BC5/1000000</f>
        <v>8091.3926939737839</v>
      </c>
      <c r="F15" s="278"/>
    </row>
    <row r="16" spans="2:11" ht="60.6" customHeight="1" thickBot="1" x14ac:dyDescent="0.3">
      <c r="B16" s="264" t="s">
        <v>123</v>
      </c>
      <c r="C16" s="270">
        <f>C15-C14</f>
        <v>23.086215694663895</v>
      </c>
      <c r="D16" s="274">
        <f t="shared" ref="D16:E16" si="0">D15-D14</f>
        <v>-337.92821209952035</v>
      </c>
      <c r="E16" s="281">
        <f t="shared" si="0"/>
        <v>-9161.6535193191448</v>
      </c>
    </row>
    <row r="17" spans="2:5" x14ac:dyDescent="0.25">
      <c r="B17" s="172"/>
      <c r="C17" s="268"/>
      <c r="D17" s="268"/>
      <c r="E17" s="268"/>
    </row>
    <row r="18" spans="2:5" x14ac:dyDescent="0.25">
      <c r="B18" s="172"/>
      <c r="C18" s="268"/>
      <c r="D18" s="268"/>
      <c r="E18" s="268"/>
    </row>
    <row r="19" spans="2:5" ht="15.75" thickBot="1" x14ac:dyDescent="0.3">
      <c r="B19" s="172"/>
      <c r="D19" s="23"/>
    </row>
    <row r="20" spans="2:5" ht="15" customHeight="1" thickBot="1" x14ac:dyDescent="0.3">
      <c r="D20" s="292" t="s">
        <v>56</v>
      </c>
      <c r="E20" s="293"/>
    </row>
    <row r="21" spans="2:5" ht="29.45" customHeight="1" thickBot="1" x14ac:dyDescent="0.3">
      <c r="D21" s="40" t="s">
        <v>61</v>
      </c>
      <c r="E21" s="41" t="s">
        <v>62</v>
      </c>
    </row>
    <row r="22" spans="2:5" ht="30" x14ac:dyDescent="0.25">
      <c r="B22" s="173" t="s">
        <v>102</v>
      </c>
      <c r="C22" s="44" t="s">
        <v>20</v>
      </c>
      <c r="D22" s="144">
        <f>D14/C14</f>
        <v>39.854803152150815</v>
      </c>
      <c r="E22" s="114">
        <f>D15/C15</f>
        <v>5.7940200422678538</v>
      </c>
    </row>
    <row r="23" spans="2:5" ht="30.75" thickBot="1" x14ac:dyDescent="0.3">
      <c r="B23" s="174" t="s">
        <v>102</v>
      </c>
      <c r="C23" s="45" t="s">
        <v>30</v>
      </c>
      <c r="D23" s="145">
        <f>E14/C14</f>
        <v>1245.8436796504955</v>
      </c>
      <c r="E23" s="115">
        <f>E15/C15</f>
        <v>219.07292518433718</v>
      </c>
    </row>
    <row r="24" spans="2:5" ht="15.75" thickBot="1" x14ac:dyDescent="0.3">
      <c r="B24" s="187"/>
      <c r="C24" s="172"/>
      <c r="D24" s="23"/>
    </row>
    <row r="25" spans="2:5" ht="30.6" customHeight="1" thickBot="1" x14ac:dyDescent="0.3">
      <c r="D25" s="292" t="s">
        <v>121</v>
      </c>
      <c r="E25" s="293"/>
    </row>
    <row r="26" spans="2:5" ht="30.6" customHeight="1" thickBot="1" x14ac:dyDescent="0.3">
      <c r="D26" s="40" t="s">
        <v>61</v>
      </c>
      <c r="E26" s="41" t="s">
        <v>62</v>
      </c>
    </row>
    <row r="27" spans="2:5" ht="30" x14ac:dyDescent="0.25">
      <c r="B27" s="173" t="s">
        <v>102</v>
      </c>
      <c r="C27" s="44" t="s">
        <v>20</v>
      </c>
      <c r="D27" s="265">
        <f>D22/$D$22</f>
        <v>1</v>
      </c>
      <c r="E27" s="263">
        <f>E22/$D$22</f>
        <v>0.14537821251176278</v>
      </c>
    </row>
    <row r="28" spans="2:5" ht="30.75" thickBot="1" x14ac:dyDescent="0.3">
      <c r="B28" s="174" t="s">
        <v>102</v>
      </c>
      <c r="C28" s="45" t="s">
        <v>30</v>
      </c>
      <c r="D28" s="266">
        <f>D23/$D$22</f>
        <v>31.259561736996357</v>
      </c>
      <c r="E28" s="267">
        <f>E23/$D$22</f>
        <v>5.4967759932974261</v>
      </c>
    </row>
    <row r="29" spans="2:5" x14ac:dyDescent="0.25">
      <c r="D29" s="23"/>
    </row>
    <row r="30" spans="2:5" x14ac:dyDescent="0.25">
      <c r="D30" s="23"/>
    </row>
    <row r="31" spans="2:5" x14ac:dyDescent="0.25">
      <c r="D31" s="23"/>
    </row>
  </sheetData>
  <mergeCells count="2">
    <mergeCell ref="D20:E20"/>
    <mergeCell ref="D25:E25"/>
  </mergeCells>
  <dataValidations disablePrompts="1" count="2">
    <dataValidation type="list" allowBlank="1" showInputMessage="1" showErrorMessage="1" sqref="G3 D3" xr:uid="{22BE474C-05FE-45BD-933A-E4953D9C792D}">
      <formula1>#REF!</formula1>
    </dataValidation>
    <dataValidation type="list" allowBlank="1" showInputMessage="1" showErrorMessage="1" sqref="G4" xr:uid="{49FC7B47-E6D9-43FE-ADE4-EA55A5261B74}">
      <formula1>#REF!</formula1>
    </dataValidation>
  </dataValidations>
  <hyperlinks>
    <hyperlink ref="F7" r:id="rId1" xr:uid="{9493AF92-050D-4749-A370-8B02ECDB7DB0}"/>
  </hyperlinks>
  <pageMargins left="0.7" right="0.7" top="0.75" bottom="0.75" header="0.3" footer="0.3"/>
  <pageSetup paperSize="9" orientation="portrait" horizontalDpi="300" verticalDpi="3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6F08-2DA1-47F6-BCDA-53BA9950B247}">
  <sheetPr>
    <tabColor theme="5" tint="0.59999389629810485"/>
  </sheetPr>
  <dimension ref="B1:O37"/>
  <sheetViews>
    <sheetView showGridLines="0" topLeftCell="A13" zoomScale="85" zoomScaleNormal="85" workbookViewId="0">
      <selection activeCell="N21" sqref="N21"/>
    </sheetView>
  </sheetViews>
  <sheetFormatPr defaultColWidth="8.85546875" defaultRowHeight="15" x14ac:dyDescent="0.25"/>
  <cols>
    <col min="1" max="1" width="8.85546875" style="6"/>
    <col min="2" max="2" width="39.7109375" style="6" customWidth="1"/>
    <col min="3" max="3" width="17.7109375" style="6" customWidth="1"/>
    <col min="4" max="4" width="16.7109375" style="6" customWidth="1"/>
    <col min="5" max="5" width="8.28515625" style="6" customWidth="1"/>
    <col min="6" max="6" width="16.5703125" style="6" customWidth="1"/>
    <col min="7" max="7" width="17.28515625" style="6" customWidth="1"/>
    <col min="8" max="8" width="15.42578125" style="6" customWidth="1"/>
    <col min="9" max="9" width="9.140625" style="6" customWidth="1"/>
    <col min="10" max="10" width="19.28515625" style="6" customWidth="1"/>
    <col min="11" max="13" width="8.85546875" style="6"/>
    <col min="14" max="14" width="12.85546875" style="6" customWidth="1"/>
    <col min="15" max="16384" width="8.85546875" style="6"/>
  </cols>
  <sheetData>
    <row r="1" spans="2:14" ht="28.5" x14ac:dyDescent="0.45">
      <c r="C1" s="9" t="s">
        <v>11</v>
      </c>
    </row>
    <row r="2" spans="2:14" ht="23.25" x14ac:dyDescent="0.35">
      <c r="C2" s="11" t="s">
        <v>100</v>
      </c>
    </row>
    <row r="4" spans="2:14" ht="23.25" x14ac:dyDescent="0.35">
      <c r="C4" s="11" t="s">
        <v>8</v>
      </c>
    </row>
    <row r="5" spans="2:14" ht="18.75" x14ac:dyDescent="0.3">
      <c r="C5" s="10"/>
    </row>
    <row r="6" spans="2:14" x14ac:dyDescent="0.25">
      <c r="C6" s="13" t="s">
        <v>14</v>
      </c>
    </row>
    <row r="7" spans="2:14" x14ac:dyDescent="0.25">
      <c r="C7" s="7" t="s">
        <v>35</v>
      </c>
    </row>
    <row r="8" spans="2:14" x14ac:dyDescent="0.25">
      <c r="C8" s="7" t="s">
        <v>34</v>
      </c>
    </row>
    <row r="9" spans="2:14" x14ac:dyDescent="0.25">
      <c r="C9" s="7"/>
    </row>
    <row r="10" spans="2:14" x14ac:dyDescent="0.25">
      <c r="C10" s="7"/>
    </row>
    <row r="12" spans="2:14" x14ac:dyDescent="0.25">
      <c r="C12" s="250"/>
      <c r="D12" s="251"/>
      <c r="E12" s="251"/>
      <c r="F12" s="251"/>
      <c r="G12" s="251"/>
      <c r="H12" s="251"/>
      <c r="I12" s="251"/>
      <c r="J12" s="251"/>
    </row>
    <row r="13" spans="2:14" ht="15.75" thickBot="1" x14ac:dyDescent="0.3">
      <c r="C13" s="252"/>
      <c r="D13" s="251"/>
      <c r="E13" s="251"/>
      <c r="F13" s="252"/>
      <c r="G13" s="252"/>
      <c r="H13" s="251"/>
      <c r="I13" s="251"/>
      <c r="J13" s="252"/>
    </row>
    <row r="14" spans="2:14" s="12" customFormat="1" ht="38.450000000000003" customHeight="1" thickBot="1" x14ac:dyDescent="0.35">
      <c r="C14" s="297" t="s">
        <v>113</v>
      </c>
      <c r="D14" s="298"/>
      <c r="E14" s="298"/>
      <c r="F14" s="299"/>
      <c r="G14" s="294" t="s">
        <v>114</v>
      </c>
      <c r="H14" s="295"/>
      <c r="I14" s="295"/>
      <c r="J14" s="296"/>
    </row>
    <row r="15" spans="2:14" ht="44.45" customHeight="1" thickBot="1" x14ac:dyDescent="0.3">
      <c r="B15" s="5" t="s">
        <v>7</v>
      </c>
      <c r="C15" s="47" t="s">
        <v>83</v>
      </c>
      <c r="D15" s="47" t="s">
        <v>0</v>
      </c>
      <c r="E15" s="47" t="s">
        <v>1</v>
      </c>
      <c r="F15" s="47" t="s">
        <v>84</v>
      </c>
      <c r="G15" s="190" t="s">
        <v>83</v>
      </c>
      <c r="H15" s="190" t="s">
        <v>0</v>
      </c>
      <c r="I15" s="190" t="s">
        <v>1</v>
      </c>
      <c r="J15" s="190" t="s">
        <v>84</v>
      </c>
    </row>
    <row r="16" spans="2:14" x14ac:dyDescent="0.25">
      <c r="B16" s="196" t="s">
        <v>64</v>
      </c>
      <c r="C16" s="247">
        <v>1.434717</v>
      </c>
      <c r="D16" s="213">
        <v>6</v>
      </c>
      <c r="E16" s="213">
        <v>2020</v>
      </c>
      <c r="F16" s="258">
        <f>0.0108</f>
        <v>1.0800000000000001E-2</v>
      </c>
      <c r="G16" s="191"/>
      <c r="H16" s="192"/>
      <c r="I16" s="192"/>
      <c r="J16" s="193"/>
      <c r="N16" s="289"/>
    </row>
    <row r="17" spans="2:15" x14ac:dyDescent="0.25">
      <c r="B17" s="197" t="s">
        <v>65</v>
      </c>
      <c r="C17" s="247">
        <v>2.6794750000000001</v>
      </c>
      <c r="D17" s="214">
        <v>6</v>
      </c>
      <c r="E17" s="214">
        <v>2020</v>
      </c>
      <c r="F17" s="259">
        <f>0.027</f>
        <v>2.7E-2</v>
      </c>
      <c r="G17" s="58"/>
      <c r="H17" s="1"/>
      <c r="I17" s="1"/>
      <c r="J17" s="39"/>
      <c r="N17" s="289"/>
    </row>
    <row r="18" spans="2:15" x14ac:dyDescent="0.25">
      <c r="B18" s="197" t="s">
        <v>66</v>
      </c>
      <c r="C18" s="247">
        <v>0.154751</v>
      </c>
      <c r="D18" s="214">
        <v>6</v>
      </c>
      <c r="E18" s="214">
        <v>2020</v>
      </c>
      <c r="F18" s="259">
        <f>0.0135</f>
        <v>1.35E-2</v>
      </c>
      <c r="G18" s="58"/>
      <c r="H18" s="1"/>
      <c r="I18" s="1"/>
      <c r="J18" s="39"/>
      <c r="M18" s="251"/>
      <c r="N18" s="290"/>
    </row>
    <row r="19" spans="2:15" x14ac:dyDescent="0.25">
      <c r="B19" s="197" t="s">
        <v>67</v>
      </c>
      <c r="C19" s="247">
        <v>5.3923230000000002</v>
      </c>
      <c r="D19" s="214">
        <v>6</v>
      </c>
      <c r="E19" s="214">
        <v>2020</v>
      </c>
      <c r="F19" s="259">
        <f>0.0135</f>
        <v>1.35E-2</v>
      </c>
      <c r="G19" s="58"/>
      <c r="H19" s="1"/>
      <c r="I19" s="1"/>
      <c r="J19" s="39"/>
      <c r="L19" s="282"/>
      <c r="M19" s="283"/>
      <c r="N19" s="291"/>
      <c r="O19" s="282"/>
    </row>
    <row r="20" spans="2:15" x14ac:dyDescent="0.25">
      <c r="B20" s="198">
        <v>5</v>
      </c>
      <c r="C20" s="215"/>
      <c r="D20" s="214"/>
      <c r="E20" s="214"/>
      <c r="F20" s="216"/>
      <c r="G20" s="58"/>
      <c r="H20" s="1"/>
      <c r="I20" s="1"/>
      <c r="J20" s="39"/>
      <c r="L20" s="282"/>
      <c r="M20" s="283"/>
      <c r="N20" s="283"/>
      <c r="O20" s="282"/>
    </row>
    <row r="21" spans="2:15" x14ac:dyDescent="0.25">
      <c r="B21" s="198">
        <v>6</v>
      </c>
      <c r="C21" s="215"/>
      <c r="D21" s="214"/>
      <c r="E21" s="214"/>
      <c r="F21" s="216"/>
      <c r="G21" s="58"/>
      <c r="H21" s="1"/>
      <c r="I21" s="1"/>
      <c r="J21" s="39"/>
      <c r="L21" s="282"/>
      <c r="M21" s="284"/>
      <c r="N21" s="285"/>
      <c r="O21" s="282"/>
    </row>
    <row r="22" spans="2:15" ht="15.75" thickBot="1" x14ac:dyDescent="0.3">
      <c r="B22" s="198">
        <v>7</v>
      </c>
      <c r="C22" s="217"/>
      <c r="D22" s="218"/>
      <c r="E22" s="218"/>
      <c r="F22" s="219"/>
      <c r="G22" s="58"/>
      <c r="H22" s="1"/>
      <c r="I22" s="1"/>
      <c r="J22" s="39"/>
      <c r="L22" s="282"/>
      <c r="M22" s="284"/>
      <c r="N22" s="285"/>
      <c r="O22" s="282"/>
    </row>
    <row r="23" spans="2:15" x14ac:dyDescent="0.25">
      <c r="B23" s="194" t="s">
        <v>68</v>
      </c>
      <c r="C23" s="51"/>
      <c r="D23" s="2"/>
      <c r="E23" s="2"/>
      <c r="F23" s="52"/>
      <c r="G23" s="248">
        <v>5.774616</v>
      </c>
      <c r="H23" s="220">
        <v>6</v>
      </c>
      <c r="I23" s="220">
        <v>2020</v>
      </c>
      <c r="J23" s="255">
        <f>0.054</f>
        <v>5.3999999999999999E-2</v>
      </c>
      <c r="L23" s="282"/>
      <c r="M23" s="284"/>
      <c r="N23" s="285"/>
      <c r="O23" s="282"/>
    </row>
    <row r="24" spans="2:15" x14ac:dyDescent="0.25">
      <c r="B24" s="194" t="s">
        <v>69</v>
      </c>
      <c r="C24" s="51"/>
      <c r="D24" s="2"/>
      <c r="E24" s="2"/>
      <c r="F24" s="52"/>
      <c r="G24" s="248">
        <v>7.9500909999999996</v>
      </c>
      <c r="H24" s="221">
        <v>6</v>
      </c>
      <c r="I24" s="221">
        <v>2020</v>
      </c>
      <c r="J24" s="256">
        <f>0.0216</f>
        <v>2.1600000000000001E-2</v>
      </c>
      <c r="L24" s="282"/>
      <c r="M24" s="284"/>
      <c r="N24" s="285"/>
      <c r="O24" s="282"/>
    </row>
    <row r="25" spans="2:15" x14ac:dyDescent="0.25">
      <c r="B25" s="194" t="s">
        <v>70</v>
      </c>
      <c r="C25" s="51"/>
      <c r="D25" s="2"/>
      <c r="E25" s="2"/>
      <c r="F25" s="52"/>
      <c r="G25" s="248">
        <v>0.64621200000000001</v>
      </c>
      <c r="H25" s="221">
        <v>6</v>
      </c>
      <c r="I25" s="221">
        <v>2020</v>
      </c>
      <c r="J25" s="256">
        <f>0.0385929</f>
        <v>3.8592899999999999E-2</v>
      </c>
      <c r="L25" s="282"/>
      <c r="M25" s="286"/>
      <c r="N25" s="286"/>
      <c r="O25" s="282"/>
    </row>
    <row r="26" spans="2:15" x14ac:dyDescent="0.25">
      <c r="B26" s="194" t="s">
        <v>71</v>
      </c>
      <c r="C26" s="51"/>
      <c r="D26" s="2"/>
      <c r="E26" s="2"/>
      <c r="F26" s="52"/>
      <c r="G26" s="248">
        <v>3.5407329999999999</v>
      </c>
      <c r="H26" s="221">
        <v>6</v>
      </c>
      <c r="I26" s="221">
        <v>2020</v>
      </c>
      <c r="J26" s="256">
        <f>0.0216</f>
        <v>2.1600000000000001E-2</v>
      </c>
      <c r="L26" s="282"/>
      <c r="M26" s="284"/>
      <c r="N26" s="285"/>
      <c r="O26" s="282"/>
    </row>
    <row r="27" spans="2:15" x14ac:dyDescent="0.25">
      <c r="B27" s="194" t="s">
        <v>72</v>
      </c>
      <c r="C27" s="51"/>
      <c r="D27" s="2"/>
      <c r="E27" s="2"/>
      <c r="F27" s="52"/>
      <c r="G27" s="248">
        <v>0</v>
      </c>
      <c r="H27" s="221">
        <v>6</v>
      </c>
      <c r="I27" s="221">
        <v>2020</v>
      </c>
      <c r="J27" s="256">
        <f>0.027</f>
        <v>2.7E-2</v>
      </c>
      <c r="L27" s="282"/>
      <c r="M27" s="284"/>
      <c r="N27" s="285"/>
      <c r="O27" s="282"/>
    </row>
    <row r="28" spans="2:15" ht="45" x14ac:dyDescent="0.25">
      <c r="B28" s="195" t="s">
        <v>73</v>
      </c>
      <c r="C28" s="51"/>
      <c r="D28" s="2"/>
      <c r="E28" s="2"/>
      <c r="F28" s="52"/>
      <c r="G28" s="248">
        <v>3.0557400000000001</v>
      </c>
      <c r="H28" s="221">
        <v>6</v>
      </c>
      <c r="I28" s="221">
        <v>2020</v>
      </c>
      <c r="J28" s="257">
        <v>7.2043999999999997E-2</v>
      </c>
      <c r="L28" s="282"/>
      <c r="M28" s="284"/>
      <c r="N28" s="285"/>
      <c r="O28" s="282"/>
    </row>
    <row r="29" spans="2:15" ht="60" x14ac:dyDescent="0.25">
      <c r="B29" s="195" t="s">
        <v>74</v>
      </c>
      <c r="C29" s="51"/>
      <c r="D29" s="2"/>
      <c r="E29" s="2"/>
      <c r="F29" s="52"/>
      <c r="G29" s="248">
        <v>0.84601199999999999</v>
      </c>
      <c r="H29" s="221">
        <v>6</v>
      </c>
      <c r="I29" s="221">
        <v>2020</v>
      </c>
      <c r="J29" s="257">
        <v>0.48307</v>
      </c>
      <c r="L29" s="282"/>
      <c r="M29" s="284"/>
      <c r="N29" s="285"/>
      <c r="O29" s="282"/>
    </row>
    <row r="30" spans="2:15" x14ac:dyDescent="0.25">
      <c r="B30" s="56"/>
      <c r="C30" s="51"/>
      <c r="D30" s="2"/>
      <c r="E30" s="2"/>
      <c r="F30" s="52"/>
      <c r="G30" s="248"/>
      <c r="H30" s="221"/>
      <c r="I30" s="221"/>
      <c r="J30" s="249">
        <v>0</v>
      </c>
      <c r="L30" s="282"/>
      <c r="M30" s="284"/>
      <c r="N30" s="287"/>
      <c r="O30" s="282"/>
    </row>
    <row r="31" spans="2:15" x14ac:dyDescent="0.25">
      <c r="B31" s="56"/>
      <c r="C31" s="51"/>
      <c r="D31" s="2"/>
      <c r="E31" s="2"/>
      <c r="F31" s="52"/>
      <c r="G31" s="248"/>
      <c r="H31" s="221"/>
      <c r="I31" s="221"/>
      <c r="J31" s="249">
        <v>0</v>
      </c>
      <c r="L31" s="282"/>
      <c r="M31" s="288"/>
      <c r="N31" s="285"/>
      <c r="O31" s="282"/>
    </row>
    <row r="32" spans="2:15" ht="15.75" thickBot="1" x14ac:dyDescent="0.3">
      <c r="B32" s="57"/>
      <c r="C32" s="53"/>
      <c r="D32" s="54"/>
      <c r="E32" s="54"/>
      <c r="F32" s="55"/>
      <c r="G32" s="222"/>
      <c r="H32" s="223"/>
      <c r="I32" s="223"/>
      <c r="J32" s="224"/>
      <c r="L32" s="282"/>
      <c r="M32" s="288"/>
      <c r="N32" s="285"/>
      <c r="O32" s="282"/>
    </row>
    <row r="33" spans="2:14" ht="15.75" thickBot="1" x14ac:dyDescent="0.3">
      <c r="M33" s="251"/>
      <c r="N33" s="251"/>
    </row>
    <row r="34" spans="2:14" ht="15.75" thickBot="1" x14ac:dyDescent="0.3">
      <c r="B34" s="225" t="s">
        <v>55</v>
      </c>
      <c r="C34" s="253">
        <f>SUM(C16:C22)</f>
        <v>9.6612660000000012</v>
      </c>
      <c r="D34" s="226"/>
      <c r="E34" s="226"/>
      <c r="F34" s="227">
        <f t="shared" ref="F34" si="0">SUM(F16:F22)</f>
        <v>6.4799999999999996E-2</v>
      </c>
      <c r="G34" s="253">
        <f>SUM(G23:G32)</f>
        <v>21.813403999999998</v>
      </c>
      <c r="H34" s="226"/>
      <c r="I34" s="226"/>
      <c r="J34" s="228">
        <f>SUM(J23:J32)</f>
        <v>0.71790690000000001</v>
      </c>
    </row>
    <row r="36" spans="2:14" x14ac:dyDescent="0.25">
      <c r="G36" s="238"/>
    </row>
    <row r="37" spans="2:14" x14ac:dyDescent="0.25">
      <c r="B37" s="22"/>
    </row>
  </sheetData>
  <mergeCells count="2">
    <mergeCell ref="G14:J14"/>
    <mergeCell ref="C14:F14"/>
  </mergeCells>
  <phoneticPr fontId="15" type="noConversion"/>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61C9D-3900-49AC-9A6E-7A008C7D915A}">
  <sheetPr>
    <tabColor theme="9" tint="-0.249977111117893"/>
  </sheetPr>
  <dimension ref="A1:Z32"/>
  <sheetViews>
    <sheetView topLeftCell="A16" zoomScaleNormal="100" workbookViewId="0">
      <selection activeCell="K8" sqref="K8"/>
    </sheetView>
  </sheetViews>
  <sheetFormatPr defaultColWidth="8.85546875" defaultRowHeight="15" x14ac:dyDescent="0.25"/>
  <cols>
    <col min="1" max="1" width="8.85546875" style="6"/>
    <col min="2" max="2" width="33.42578125" style="6" customWidth="1"/>
    <col min="3" max="3" width="19.5703125" style="6" customWidth="1"/>
    <col min="4" max="4" width="19.7109375" style="6" customWidth="1"/>
    <col min="5" max="5" width="14" style="6" customWidth="1"/>
    <col min="6" max="6" width="15.85546875" style="6" customWidth="1"/>
    <col min="7" max="7" width="20.28515625" style="6" customWidth="1"/>
    <col min="8" max="8" width="17.42578125" style="6" customWidth="1"/>
    <col min="9" max="9" width="1.28515625" style="6" customWidth="1"/>
    <col min="10" max="10" width="11.7109375" style="6" customWidth="1"/>
    <col min="11" max="11" width="25" style="6" bestFit="1" customWidth="1"/>
    <col min="12" max="12" width="21.140625" style="6" customWidth="1"/>
    <col min="13" max="13" width="19.5703125" style="6" customWidth="1"/>
    <col min="14" max="14" width="13.7109375" style="6" customWidth="1"/>
    <col min="15" max="15" width="15.7109375" style="6" customWidth="1"/>
    <col min="16" max="16" width="19.85546875" style="6" customWidth="1"/>
    <col min="17" max="17" width="16.7109375" style="6" customWidth="1"/>
    <col min="18" max="16384" width="8.85546875" style="6"/>
  </cols>
  <sheetData>
    <row r="1" spans="1:26" ht="28.5" x14ac:dyDescent="0.45">
      <c r="C1" s="9" t="s">
        <v>11</v>
      </c>
    </row>
    <row r="2" spans="1:26" ht="23.25" x14ac:dyDescent="0.35">
      <c r="C2" s="11" t="s">
        <v>100</v>
      </c>
    </row>
    <row r="4" spans="1:26" ht="23.25" x14ac:dyDescent="0.35">
      <c r="C4" s="11" t="s">
        <v>9</v>
      </c>
    </row>
    <row r="5" spans="1:26" ht="18.75" x14ac:dyDescent="0.3">
      <c r="C5" s="10"/>
    </row>
    <row r="6" spans="1:26" x14ac:dyDescent="0.25">
      <c r="C6" s="13" t="s">
        <v>14</v>
      </c>
    </row>
    <row r="7" spans="1:26" x14ac:dyDescent="0.25">
      <c r="C7" s="14" t="s">
        <v>57</v>
      </c>
    </row>
    <row r="8" spans="1:26" x14ac:dyDescent="0.25">
      <c r="C8" s="7" t="s">
        <v>58</v>
      </c>
    </row>
    <row r="9" spans="1:26" x14ac:dyDescent="0.25">
      <c r="C9" s="7" t="s">
        <v>59</v>
      </c>
    </row>
    <row r="13" spans="1:26" ht="15.75" thickBot="1" x14ac:dyDescent="0.3"/>
    <row r="14" spans="1:26" s="5" customFormat="1" ht="19.5" thickBot="1" x14ac:dyDescent="0.35">
      <c r="A14" s="5">
        <v>1</v>
      </c>
      <c r="B14" s="303" t="s">
        <v>107</v>
      </c>
      <c r="C14" s="304"/>
      <c r="D14" s="304"/>
      <c r="E14" s="304"/>
      <c r="F14" s="304"/>
      <c r="G14" s="304"/>
      <c r="H14" s="305"/>
      <c r="I14" s="97"/>
      <c r="J14" s="6">
        <v>3</v>
      </c>
      <c r="K14" s="300" t="s">
        <v>110</v>
      </c>
      <c r="L14" s="301"/>
      <c r="M14" s="301"/>
      <c r="N14" s="301"/>
      <c r="O14" s="301"/>
      <c r="P14" s="301"/>
      <c r="Q14" s="302"/>
      <c r="R14" s="6"/>
      <c r="S14" s="6"/>
      <c r="T14" s="6"/>
      <c r="U14" s="6"/>
      <c r="V14" s="6"/>
      <c r="W14" s="6"/>
      <c r="X14" s="6"/>
      <c r="Y14" s="6"/>
      <c r="Z14" s="6"/>
    </row>
    <row r="15" spans="1:26" s="5" customFormat="1" ht="60" x14ac:dyDescent="0.25">
      <c r="B15" s="201" t="s">
        <v>21</v>
      </c>
      <c r="C15" s="4" t="s">
        <v>26</v>
      </c>
      <c r="D15" s="4" t="s">
        <v>27</v>
      </c>
      <c r="E15" s="4" t="s">
        <v>25</v>
      </c>
      <c r="F15" s="4" t="s">
        <v>22</v>
      </c>
      <c r="G15" s="4" t="s">
        <v>23</v>
      </c>
      <c r="H15" s="37" t="s">
        <v>24</v>
      </c>
      <c r="I15" s="84"/>
      <c r="K15" s="202" t="s">
        <v>21</v>
      </c>
      <c r="L15" s="3" t="s">
        <v>26</v>
      </c>
      <c r="M15" s="3" t="s">
        <v>27</v>
      </c>
      <c r="N15" s="3" t="s">
        <v>25</v>
      </c>
      <c r="O15" s="3" t="s">
        <v>22</v>
      </c>
      <c r="P15" s="3" t="s">
        <v>23</v>
      </c>
      <c r="Q15" s="38" t="s">
        <v>24</v>
      </c>
    </row>
    <row r="16" spans="1:26" x14ac:dyDescent="0.25">
      <c r="B16" s="91" t="s">
        <v>36</v>
      </c>
      <c r="C16" s="46">
        <v>0.15</v>
      </c>
      <c r="D16" s="46">
        <v>0.08</v>
      </c>
      <c r="E16" s="59" t="s">
        <v>77</v>
      </c>
      <c r="F16" s="59"/>
      <c r="G16" s="59"/>
      <c r="H16" s="61"/>
      <c r="I16" s="98"/>
      <c r="K16" s="93" t="s">
        <v>36</v>
      </c>
      <c r="L16" s="46">
        <v>0.05</v>
      </c>
      <c r="M16" s="46">
        <v>0.03</v>
      </c>
      <c r="N16" s="59" t="s">
        <v>78</v>
      </c>
      <c r="O16" s="59"/>
      <c r="P16" s="59"/>
      <c r="Q16" s="61"/>
    </row>
    <row r="17" spans="1:17" x14ac:dyDescent="0.25">
      <c r="B17" s="91" t="s">
        <v>37</v>
      </c>
      <c r="C17" s="46">
        <v>0.4</v>
      </c>
      <c r="D17" s="46">
        <v>0.22</v>
      </c>
      <c r="E17" s="59" t="s">
        <v>77</v>
      </c>
      <c r="F17" s="59"/>
      <c r="G17" s="59"/>
      <c r="H17" s="61"/>
      <c r="I17" s="98"/>
      <c r="K17" s="93" t="s">
        <v>37</v>
      </c>
      <c r="L17" s="46">
        <v>0.1</v>
      </c>
      <c r="M17" s="46">
        <v>7.0000000000000007E-2</v>
      </c>
      <c r="N17" s="59" t="s">
        <v>78</v>
      </c>
      <c r="O17" s="59"/>
      <c r="P17" s="59"/>
      <c r="Q17" s="61"/>
    </row>
    <row r="18" spans="1:17" x14ac:dyDescent="0.25">
      <c r="B18" s="91" t="s">
        <v>39</v>
      </c>
      <c r="C18" s="46">
        <v>0.1</v>
      </c>
      <c r="D18" s="46">
        <v>0</v>
      </c>
      <c r="E18" s="59">
        <v>0</v>
      </c>
      <c r="F18" s="59"/>
      <c r="G18" s="59"/>
      <c r="H18" s="61"/>
      <c r="I18" s="98"/>
      <c r="K18" s="93" t="s">
        <v>39</v>
      </c>
      <c r="L18" s="46">
        <v>0</v>
      </c>
      <c r="M18" s="46">
        <v>0</v>
      </c>
      <c r="N18" s="59">
        <v>0</v>
      </c>
      <c r="O18" s="59"/>
      <c r="P18" s="59"/>
      <c r="Q18" s="61"/>
    </row>
    <row r="19" spans="1:17" x14ac:dyDescent="0.25">
      <c r="B19" s="91" t="s">
        <v>38</v>
      </c>
      <c r="C19" s="46">
        <v>0.2</v>
      </c>
      <c r="D19" s="46">
        <v>0.14000000000000001</v>
      </c>
      <c r="E19" s="59">
        <v>15</v>
      </c>
      <c r="F19" s="59"/>
      <c r="G19" s="59"/>
      <c r="H19" s="61"/>
      <c r="I19" s="98"/>
      <c r="K19" s="93" t="s">
        <v>38</v>
      </c>
      <c r="L19" s="46">
        <v>0.1</v>
      </c>
      <c r="M19" s="46">
        <v>0.03</v>
      </c>
      <c r="N19" s="59">
        <v>10</v>
      </c>
      <c r="O19" s="59"/>
      <c r="P19" s="59"/>
      <c r="Q19" s="61"/>
    </row>
    <row r="20" spans="1:17" x14ac:dyDescent="0.25">
      <c r="B20" s="91" t="s">
        <v>40</v>
      </c>
      <c r="C20" s="46">
        <v>0.1</v>
      </c>
      <c r="D20" s="46">
        <v>0.05</v>
      </c>
      <c r="E20" s="59">
        <v>15</v>
      </c>
      <c r="F20" s="59"/>
      <c r="G20" s="59"/>
      <c r="H20" s="61"/>
      <c r="I20" s="98"/>
      <c r="K20" s="93" t="s">
        <v>40</v>
      </c>
      <c r="L20" s="46">
        <v>0.05</v>
      </c>
      <c r="M20" s="46">
        <v>0</v>
      </c>
      <c r="N20" s="59">
        <v>10</v>
      </c>
      <c r="O20" s="59"/>
      <c r="P20" s="59"/>
      <c r="Q20" s="61"/>
    </row>
    <row r="21" spans="1:17" x14ac:dyDescent="0.25">
      <c r="B21" s="199" t="s">
        <v>41</v>
      </c>
      <c r="C21" s="46">
        <v>0.12</v>
      </c>
      <c r="D21" s="46">
        <v>7.0000000000000007E-2</v>
      </c>
      <c r="E21" s="59">
        <v>12</v>
      </c>
      <c r="F21" s="59"/>
      <c r="G21" s="59"/>
      <c r="H21" s="61"/>
      <c r="I21" s="98"/>
      <c r="K21" s="200" t="s">
        <v>41</v>
      </c>
      <c r="L21" s="46">
        <v>7.0000000000000007E-2</v>
      </c>
      <c r="M21" s="46">
        <v>0</v>
      </c>
      <c r="N21" s="59">
        <v>7</v>
      </c>
      <c r="O21" s="59"/>
      <c r="P21" s="59"/>
      <c r="Q21" s="61"/>
    </row>
    <row r="22" spans="1:17" ht="15.75" thickBot="1" x14ac:dyDescent="0.3">
      <c r="B22" s="92" t="s">
        <v>76</v>
      </c>
      <c r="C22" s="48">
        <v>0.35</v>
      </c>
      <c r="D22" s="48">
        <v>0.15</v>
      </c>
      <c r="E22" s="60">
        <v>15</v>
      </c>
      <c r="F22" s="60">
        <v>0.02</v>
      </c>
      <c r="G22" s="60">
        <v>0.03</v>
      </c>
      <c r="H22" s="62">
        <v>0.15</v>
      </c>
      <c r="I22" s="98"/>
      <c r="K22" s="94" t="s">
        <v>79</v>
      </c>
      <c r="L22" s="48">
        <v>0.15</v>
      </c>
      <c r="M22" s="48">
        <v>0.05</v>
      </c>
      <c r="N22" s="60">
        <v>10</v>
      </c>
      <c r="O22" s="60">
        <v>0</v>
      </c>
      <c r="P22" s="60">
        <v>0</v>
      </c>
      <c r="Q22" s="62">
        <v>0.01</v>
      </c>
    </row>
    <row r="23" spans="1:17" ht="9.6" customHeight="1" thickBot="1" x14ac:dyDescent="0.3"/>
    <row r="24" spans="1:17" ht="19.5" thickBot="1" x14ac:dyDescent="0.35">
      <c r="A24" s="6">
        <v>2</v>
      </c>
      <c r="B24" s="303" t="s">
        <v>108</v>
      </c>
      <c r="C24" s="304"/>
      <c r="D24" s="304"/>
      <c r="E24" s="304"/>
      <c r="F24" s="304"/>
      <c r="G24" s="304"/>
      <c r="H24" s="305"/>
      <c r="I24" s="97"/>
      <c r="J24" s="6">
        <v>4</v>
      </c>
      <c r="K24" s="300" t="s">
        <v>109</v>
      </c>
      <c r="L24" s="301"/>
      <c r="M24" s="301"/>
      <c r="N24" s="301"/>
      <c r="O24" s="301"/>
      <c r="P24" s="301"/>
      <c r="Q24" s="302"/>
    </row>
    <row r="25" spans="1:17" ht="60" x14ac:dyDescent="0.25">
      <c r="B25" s="201" t="s">
        <v>21</v>
      </c>
      <c r="C25" s="4" t="s">
        <v>26</v>
      </c>
      <c r="D25" s="4" t="s">
        <v>27</v>
      </c>
      <c r="E25" s="4" t="s">
        <v>25</v>
      </c>
      <c r="F25" s="4" t="s">
        <v>22</v>
      </c>
      <c r="G25" s="4" t="s">
        <v>23</v>
      </c>
      <c r="H25" s="37" t="s">
        <v>24</v>
      </c>
      <c r="I25" s="84"/>
      <c r="J25" s="5"/>
      <c r="K25" s="202" t="s">
        <v>21</v>
      </c>
      <c r="L25" s="3" t="s">
        <v>26</v>
      </c>
      <c r="M25" s="3" t="s">
        <v>27</v>
      </c>
      <c r="N25" s="3" t="s">
        <v>25</v>
      </c>
      <c r="O25" s="3" t="s">
        <v>22</v>
      </c>
      <c r="P25" s="3" t="s">
        <v>23</v>
      </c>
      <c r="Q25" s="38" t="s">
        <v>24</v>
      </c>
    </row>
    <row r="26" spans="1:17" x14ac:dyDescent="0.25">
      <c r="B26" s="91" t="s">
        <v>36</v>
      </c>
      <c r="C26" s="46">
        <v>0.28000000000000003</v>
      </c>
      <c r="D26" s="46">
        <v>0.15</v>
      </c>
      <c r="E26" s="59" t="s">
        <v>77</v>
      </c>
      <c r="F26" s="59"/>
      <c r="G26" s="59"/>
      <c r="H26" s="61"/>
      <c r="I26" s="98"/>
      <c r="K26" s="93" t="s">
        <v>36</v>
      </c>
      <c r="L26" s="46">
        <v>0.15</v>
      </c>
      <c r="M26" s="46">
        <v>0.05</v>
      </c>
      <c r="N26" s="59" t="s">
        <v>78</v>
      </c>
      <c r="O26" s="59"/>
      <c r="P26" s="59"/>
      <c r="Q26" s="61"/>
    </row>
    <row r="27" spans="1:17" x14ac:dyDescent="0.25">
      <c r="B27" s="91" t="s">
        <v>37</v>
      </c>
      <c r="C27" s="46">
        <v>0.55000000000000004</v>
      </c>
      <c r="D27" s="46">
        <v>0.32</v>
      </c>
      <c r="E27" s="59" t="s">
        <v>77</v>
      </c>
      <c r="F27" s="59"/>
      <c r="G27" s="59"/>
      <c r="H27" s="61"/>
      <c r="I27" s="98"/>
      <c r="K27" s="93" t="s">
        <v>37</v>
      </c>
      <c r="L27" s="46">
        <v>0.3</v>
      </c>
      <c r="M27" s="46">
        <v>0.1</v>
      </c>
      <c r="N27" s="59" t="s">
        <v>78</v>
      </c>
      <c r="O27" s="59"/>
      <c r="P27" s="59"/>
      <c r="Q27" s="61"/>
    </row>
    <row r="28" spans="1:17" x14ac:dyDescent="0.25">
      <c r="B28" s="91" t="s">
        <v>39</v>
      </c>
      <c r="C28" s="46">
        <v>0.15</v>
      </c>
      <c r="D28" s="46">
        <v>0</v>
      </c>
      <c r="E28" s="59">
        <v>0</v>
      </c>
      <c r="F28" s="59"/>
      <c r="G28" s="59"/>
      <c r="H28" s="61"/>
      <c r="I28" s="98"/>
      <c r="K28" s="93" t="s">
        <v>39</v>
      </c>
      <c r="L28" s="46">
        <v>0.05</v>
      </c>
      <c r="M28" s="46">
        <v>0</v>
      </c>
      <c r="N28" s="59">
        <v>0</v>
      </c>
      <c r="O28" s="59"/>
      <c r="P28" s="59"/>
      <c r="Q28" s="61"/>
    </row>
    <row r="29" spans="1:17" x14ac:dyDescent="0.25">
      <c r="B29" s="91" t="s">
        <v>38</v>
      </c>
      <c r="C29" s="46">
        <v>0.45</v>
      </c>
      <c r="D29" s="46">
        <v>0.24</v>
      </c>
      <c r="E29" s="59">
        <v>50</v>
      </c>
      <c r="F29" s="59"/>
      <c r="G29" s="59"/>
      <c r="H29" s="61"/>
      <c r="I29" s="98"/>
      <c r="K29" s="93" t="s">
        <v>38</v>
      </c>
      <c r="L29" s="46">
        <v>0.2</v>
      </c>
      <c r="M29" s="46">
        <v>0.05</v>
      </c>
      <c r="N29" s="59">
        <v>20</v>
      </c>
      <c r="O29" s="59"/>
      <c r="P29" s="59"/>
      <c r="Q29" s="61"/>
    </row>
    <row r="30" spans="1:17" x14ac:dyDescent="0.25">
      <c r="B30" s="91" t="s">
        <v>40</v>
      </c>
      <c r="C30" s="46">
        <v>0.19</v>
      </c>
      <c r="D30" s="46">
        <v>0.1</v>
      </c>
      <c r="E30" s="59">
        <v>50</v>
      </c>
      <c r="F30" s="59"/>
      <c r="G30" s="59"/>
      <c r="H30" s="61"/>
      <c r="I30" s="98"/>
      <c r="K30" s="93" t="s">
        <v>40</v>
      </c>
      <c r="L30" s="46">
        <v>0.1</v>
      </c>
      <c r="M30" s="46">
        <v>0.02</v>
      </c>
      <c r="N30" s="59">
        <v>20</v>
      </c>
      <c r="O30" s="59"/>
      <c r="P30" s="59"/>
      <c r="Q30" s="61"/>
    </row>
    <row r="31" spans="1:17" x14ac:dyDescent="0.25">
      <c r="B31" s="199" t="s">
        <v>41</v>
      </c>
      <c r="C31" s="46">
        <v>0.25</v>
      </c>
      <c r="D31" s="46">
        <v>0.15</v>
      </c>
      <c r="E31" s="59">
        <v>40</v>
      </c>
      <c r="F31" s="59"/>
      <c r="G31" s="59"/>
      <c r="H31" s="61"/>
      <c r="I31" s="98"/>
      <c r="K31" s="200" t="s">
        <v>41</v>
      </c>
      <c r="L31" s="46">
        <v>0.12</v>
      </c>
      <c r="M31" s="46">
        <v>0.03</v>
      </c>
      <c r="N31" s="59">
        <v>15</v>
      </c>
      <c r="O31" s="59"/>
      <c r="P31" s="59"/>
      <c r="Q31" s="61"/>
    </row>
    <row r="32" spans="1:17" ht="15.75" thickBot="1" x14ac:dyDescent="0.3">
      <c r="B32" s="92" t="s">
        <v>76</v>
      </c>
      <c r="C32" s="48">
        <v>0.5</v>
      </c>
      <c r="D32" s="48">
        <v>0.3</v>
      </c>
      <c r="E32" s="60">
        <v>50</v>
      </c>
      <c r="F32" s="60">
        <v>0.5</v>
      </c>
      <c r="G32" s="60">
        <v>0.2</v>
      </c>
      <c r="H32" s="62">
        <v>1.5</v>
      </c>
      <c r="K32" s="94" t="s">
        <v>79</v>
      </c>
      <c r="L32" s="48">
        <v>0.25</v>
      </c>
      <c r="M32" s="48">
        <v>0.15</v>
      </c>
      <c r="N32" s="60">
        <v>20</v>
      </c>
      <c r="O32" s="235">
        <v>5.0000000000000001E-3</v>
      </c>
      <c r="P32" s="60">
        <v>0</v>
      </c>
      <c r="Q32" s="62">
        <v>0.02</v>
      </c>
    </row>
  </sheetData>
  <mergeCells count="4">
    <mergeCell ref="K14:Q14"/>
    <mergeCell ref="K24:Q24"/>
    <mergeCell ref="B14:H14"/>
    <mergeCell ref="B24:H24"/>
  </mergeCells>
  <pageMargins left="0.7" right="0.7" top="0.75" bottom="0.75" header="0.3" footer="0.3"/>
  <pageSetup paperSize="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5E73-39C0-4F97-AAA2-3A3AFAC2EAD2}">
  <sheetPr>
    <tabColor theme="8" tint="0.79998168889431442"/>
  </sheetPr>
  <dimension ref="B1:BB22"/>
  <sheetViews>
    <sheetView topLeftCell="A10" workbookViewId="0">
      <selection activeCell="C25" sqref="C25"/>
    </sheetView>
  </sheetViews>
  <sheetFormatPr defaultColWidth="8.85546875" defaultRowHeight="15" x14ac:dyDescent="0.25"/>
  <cols>
    <col min="1" max="1" width="8.85546875" style="6"/>
    <col min="2" max="2" width="28.85546875" style="6" customWidth="1"/>
    <col min="3" max="3" width="26.42578125" style="6" customWidth="1"/>
    <col min="4" max="4" width="29.7109375" style="6" bestFit="1" customWidth="1"/>
    <col min="5" max="35" width="8.85546875" style="15"/>
    <col min="36" max="16384" width="8.85546875" style="6"/>
  </cols>
  <sheetData>
    <row r="1" spans="2:54" ht="28.5" x14ac:dyDescent="0.45">
      <c r="C1" s="9" t="s">
        <v>11</v>
      </c>
    </row>
    <row r="2" spans="2:54" ht="23.25" x14ac:dyDescent="0.35">
      <c r="C2" s="11" t="s">
        <v>100</v>
      </c>
    </row>
    <row r="4" spans="2:54" ht="23.25" x14ac:dyDescent="0.35">
      <c r="C4" s="11" t="s">
        <v>10</v>
      </c>
    </row>
    <row r="5" spans="2:54" ht="18.75" x14ac:dyDescent="0.3">
      <c r="C5" s="10"/>
    </row>
    <row r="6" spans="2:54" x14ac:dyDescent="0.25">
      <c r="C6" s="13" t="s">
        <v>14</v>
      </c>
    </row>
    <row r="7" spans="2:54" x14ac:dyDescent="0.25">
      <c r="C7" s="241" t="s">
        <v>115</v>
      </c>
    </row>
    <row r="8" spans="2:54" x14ac:dyDescent="0.25">
      <c r="C8" s="7" t="s">
        <v>60</v>
      </c>
    </row>
    <row r="9" spans="2:54" x14ac:dyDescent="0.25">
      <c r="C9" s="7"/>
    </row>
    <row r="13" spans="2:54" ht="15.75" thickBot="1" x14ac:dyDescent="0.3"/>
    <row r="14" spans="2:54" ht="15.75" thickBot="1" x14ac:dyDescent="0.3">
      <c r="C14" s="306" t="s">
        <v>2</v>
      </c>
      <c r="D14" s="307"/>
      <c r="E14" s="308" t="s">
        <v>6</v>
      </c>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c r="AX14" s="309"/>
      <c r="AY14" s="309"/>
      <c r="AZ14" s="309"/>
      <c r="BA14" s="309"/>
      <c r="BB14" s="310"/>
    </row>
    <row r="15" spans="2:54" ht="15.75" thickBot="1" x14ac:dyDescent="0.3">
      <c r="D15" s="7"/>
      <c r="E15" s="34">
        <v>1</v>
      </c>
      <c r="F15" s="35">
        <v>2</v>
      </c>
      <c r="G15" s="35">
        <v>3</v>
      </c>
      <c r="H15" s="35">
        <v>4</v>
      </c>
      <c r="I15" s="35">
        <v>5</v>
      </c>
      <c r="J15" s="35">
        <v>6</v>
      </c>
      <c r="K15" s="35">
        <v>7</v>
      </c>
      <c r="L15" s="35">
        <v>8</v>
      </c>
      <c r="M15" s="35">
        <v>9</v>
      </c>
      <c r="N15" s="35">
        <v>10</v>
      </c>
      <c r="O15" s="35">
        <v>11</v>
      </c>
      <c r="P15" s="35">
        <v>12</v>
      </c>
      <c r="Q15" s="35">
        <v>13</v>
      </c>
      <c r="R15" s="35">
        <v>14</v>
      </c>
      <c r="S15" s="35">
        <v>15</v>
      </c>
      <c r="T15" s="35">
        <v>16</v>
      </c>
      <c r="U15" s="35">
        <v>17</v>
      </c>
      <c r="V15" s="35">
        <v>18</v>
      </c>
      <c r="W15" s="35">
        <v>19</v>
      </c>
      <c r="X15" s="35">
        <v>20</v>
      </c>
      <c r="Y15" s="35">
        <v>21</v>
      </c>
      <c r="Z15" s="35">
        <v>22</v>
      </c>
      <c r="AA15" s="35">
        <v>23</v>
      </c>
      <c r="AB15" s="35">
        <v>24</v>
      </c>
      <c r="AC15" s="35">
        <v>25</v>
      </c>
      <c r="AD15" s="35">
        <v>26</v>
      </c>
      <c r="AE15" s="35">
        <v>27</v>
      </c>
      <c r="AF15" s="35">
        <v>28</v>
      </c>
      <c r="AG15" s="35">
        <v>29</v>
      </c>
      <c r="AH15" s="35">
        <v>30</v>
      </c>
      <c r="AI15" s="35">
        <v>31</v>
      </c>
      <c r="AJ15" s="35">
        <v>32</v>
      </c>
      <c r="AK15" s="35">
        <v>33</v>
      </c>
      <c r="AL15" s="35">
        <v>34</v>
      </c>
      <c r="AM15" s="35">
        <v>35</v>
      </c>
      <c r="AN15" s="35">
        <v>36</v>
      </c>
      <c r="AO15" s="35">
        <v>37</v>
      </c>
      <c r="AP15" s="35">
        <v>38</v>
      </c>
      <c r="AQ15" s="35">
        <v>39</v>
      </c>
      <c r="AR15" s="35">
        <v>40</v>
      </c>
      <c r="AS15" s="35">
        <v>41</v>
      </c>
      <c r="AT15" s="35">
        <v>42</v>
      </c>
      <c r="AU15" s="35">
        <v>43</v>
      </c>
      <c r="AV15" s="35">
        <v>44</v>
      </c>
      <c r="AW15" s="35">
        <v>45</v>
      </c>
      <c r="AX15" s="35">
        <v>46</v>
      </c>
      <c r="AY15" s="35">
        <v>47</v>
      </c>
      <c r="AZ15" s="35">
        <v>48</v>
      </c>
      <c r="BA15" s="35">
        <v>49</v>
      </c>
      <c r="BB15" s="36">
        <v>50</v>
      </c>
    </row>
    <row r="16" spans="2:54" s="19" customFormat="1" ht="15.75" thickBot="1" x14ac:dyDescent="0.3">
      <c r="B16" s="64"/>
      <c r="C16" s="16" t="s">
        <v>4</v>
      </c>
      <c r="D16" s="66" t="s">
        <v>5</v>
      </c>
      <c r="E16" s="17">
        <v>2020</v>
      </c>
      <c r="F16" s="18">
        <v>2021</v>
      </c>
      <c r="G16" s="18">
        <v>2022</v>
      </c>
      <c r="H16" s="18">
        <v>2023</v>
      </c>
      <c r="I16" s="18">
        <v>2024</v>
      </c>
      <c r="J16" s="18">
        <v>2025</v>
      </c>
      <c r="K16" s="18">
        <v>2026</v>
      </c>
      <c r="L16" s="18">
        <v>2027</v>
      </c>
      <c r="M16" s="18">
        <v>2028</v>
      </c>
      <c r="N16" s="18">
        <v>2029</v>
      </c>
      <c r="O16" s="18">
        <v>2030</v>
      </c>
      <c r="P16" s="18">
        <v>2031</v>
      </c>
      <c r="Q16" s="18">
        <v>2032</v>
      </c>
      <c r="R16" s="18">
        <v>2033</v>
      </c>
      <c r="S16" s="18">
        <v>2034</v>
      </c>
      <c r="T16" s="18">
        <v>2035</v>
      </c>
      <c r="U16" s="18">
        <v>2036</v>
      </c>
      <c r="V16" s="18">
        <v>2037</v>
      </c>
      <c r="W16" s="18">
        <v>2038</v>
      </c>
      <c r="X16" s="18">
        <v>2039</v>
      </c>
      <c r="Y16" s="18">
        <v>2040</v>
      </c>
      <c r="Z16" s="18">
        <v>2041</v>
      </c>
      <c r="AA16" s="18">
        <v>2042</v>
      </c>
      <c r="AB16" s="18">
        <v>2043</v>
      </c>
      <c r="AC16" s="18">
        <v>2044</v>
      </c>
      <c r="AD16" s="18">
        <v>2045</v>
      </c>
      <c r="AE16" s="18">
        <v>2046</v>
      </c>
      <c r="AF16" s="18">
        <v>2047</v>
      </c>
      <c r="AG16" s="18">
        <v>2048</v>
      </c>
      <c r="AH16" s="18">
        <v>2049</v>
      </c>
      <c r="AI16" s="18">
        <v>2050</v>
      </c>
      <c r="AJ16" s="18">
        <v>2051</v>
      </c>
      <c r="AK16" s="18">
        <v>2052</v>
      </c>
      <c r="AL16" s="18">
        <v>2053</v>
      </c>
      <c r="AM16" s="18">
        <v>2054</v>
      </c>
      <c r="AN16" s="18">
        <v>2055</v>
      </c>
      <c r="AO16" s="18">
        <v>2056</v>
      </c>
      <c r="AP16" s="18">
        <v>2057</v>
      </c>
      <c r="AQ16" s="18">
        <v>2058</v>
      </c>
      <c r="AR16" s="18">
        <v>2059</v>
      </c>
      <c r="AS16" s="18">
        <v>2060</v>
      </c>
      <c r="AT16" s="18">
        <v>2061</v>
      </c>
      <c r="AU16" s="18">
        <v>2062</v>
      </c>
      <c r="AV16" s="18">
        <v>2063</v>
      </c>
      <c r="AW16" s="18">
        <v>2064</v>
      </c>
      <c r="AX16" s="18">
        <v>2065</v>
      </c>
      <c r="AY16" s="243">
        <v>2066</v>
      </c>
      <c r="AZ16" s="243">
        <v>2067</v>
      </c>
      <c r="BA16" s="18">
        <v>2068</v>
      </c>
      <c r="BB16" s="63">
        <v>2069</v>
      </c>
    </row>
    <row r="17" spans="2:54" x14ac:dyDescent="0.25">
      <c r="B17" s="65"/>
      <c r="C17" s="67" t="s">
        <v>20</v>
      </c>
      <c r="D17" s="68" t="s">
        <v>87</v>
      </c>
      <c r="E17" s="239">
        <v>0</v>
      </c>
      <c r="F17" s="239">
        <v>0</v>
      </c>
      <c r="G17" s="239">
        <v>2</v>
      </c>
      <c r="H17" s="239">
        <v>0</v>
      </c>
      <c r="I17" s="239">
        <v>2</v>
      </c>
      <c r="J17" s="239">
        <v>1</v>
      </c>
      <c r="K17" s="239">
        <v>1</v>
      </c>
      <c r="L17" s="239">
        <v>1</v>
      </c>
      <c r="M17" s="239">
        <v>0</v>
      </c>
      <c r="N17" s="239">
        <v>0</v>
      </c>
      <c r="O17" s="239">
        <v>0</v>
      </c>
      <c r="P17" s="239">
        <v>0</v>
      </c>
      <c r="Q17" s="239">
        <v>1</v>
      </c>
      <c r="R17" s="239">
        <v>1</v>
      </c>
      <c r="S17" s="239">
        <v>2</v>
      </c>
      <c r="T17" s="239">
        <v>0</v>
      </c>
      <c r="U17" s="239">
        <v>0</v>
      </c>
      <c r="V17" s="239">
        <v>0</v>
      </c>
      <c r="W17" s="239">
        <v>0</v>
      </c>
      <c r="X17" s="239">
        <v>0</v>
      </c>
      <c r="Y17" s="239">
        <v>2</v>
      </c>
      <c r="Z17" s="239">
        <v>0</v>
      </c>
      <c r="AA17" s="239">
        <v>1</v>
      </c>
      <c r="AB17" s="239">
        <v>0</v>
      </c>
      <c r="AC17" s="239">
        <v>0</v>
      </c>
      <c r="AD17" s="239">
        <v>0</v>
      </c>
      <c r="AE17" s="239">
        <v>3</v>
      </c>
      <c r="AF17" s="239">
        <v>0</v>
      </c>
      <c r="AG17" s="239">
        <v>2</v>
      </c>
      <c r="AH17" s="239">
        <v>0</v>
      </c>
      <c r="AI17" s="239">
        <v>3</v>
      </c>
      <c r="AJ17" s="239">
        <v>0</v>
      </c>
      <c r="AK17" s="239">
        <v>0</v>
      </c>
      <c r="AL17" s="239">
        <v>0</v>
      </c>
      <c r="AM17" s="239">
        <v>0</v>
      </c>
      <c r="AN17" s="239">
        <v>0</v>
      </c>
      <c r="AO17" s="239">
        <v>0</v>
      </c>
      <c r="AP17" s="239">
        <v>0</v>
      </c>
      <c r="AQ17" s="239">
        <v>0</v>
      </c>
      <c r="AR17" s="239">
        <v>0</v>
      </c>
      <c r="AS17" s="239">
        <v>0</v>
      </c>
      <c r="AT17" s="239">
        <v>0</v>
      </c>
      <c r="AU17" s="239">
        <v>0</v>
      </c>
      <c r="AV17" s="239">
        <v>0</v>
      </c>
      <c r="AW17" s="239">
        <v>0</v>
      </c>
      <c r="AX17" s="244">
        <v>0</v>
      </c>
      <c r="AY17" s="237">
        <v>0</v>
      </c>
      <c r="AZ17" s="237">
        <v>0</v>
      </c>
      <c r="BA17" s="239">
        <v>3</v>
      </c>
      <c r="BB17" s="242">
        <v>3</v>
      </c>
    </row>
    <row r="18" spans="2:54" ht="15.75" thickBot="1" x14ac:dyDescent="0.3">
      <c r="B18" s="65"/>
      <c r="C18" s="69" t="s">
        <v>3</v>
      </c>
      <c r="D18" s="70" t="s">
        <v>116</v>
      </c>
      <c r="E18" s="240">
        <v>5</v>
      </c>
      <c r="F18" s="240">
        <v>3</v>
      </c>
      <c r="G18" s="240">
        <v>5</v>
      </c>
      <c r="H18" s="245">
        <v>0</v>
      </c>
      <c r="I18" s="245">
        <v>0</v>
      </c>
      <c r="J18" s="245">
        <v>0</v>
      </c>
      <c r="K18" s="245">
        <v>0</v>
      </c>
      <c r="L18" s="245">
        <v>0</v>
      </c>
      <c r="M18" s="245">
        <v>0</v>
      </c>
      <c r="N18" s="245">
        <v>0</v>
      </c>
      <c r="O18" s="245">
        <v>0</v>
      </c>
      <c r="P18" s="245">
        <v>0</v>
      </c>
      <c r="Q18" s="245">
        <v>5</v>
      </c>
      <c r="R18" s="245">
        <v>0</v>
      </c>
      <c r="S18" s="245">
        <v>0</v>
      </c>
      <c r="T18" s="245">
        <v>0</v>
      </c>
      <c r="U18" s="245">
        <v>0</v>
      </c>
      <c r="V18" s="245">
        <v>0</v>
      </c>
      <c r="W18" s="245">
        <v>0</v>
      </c>
      <c r="X18" s="245">
        <v>0</v>
      </c>
      <c r="Y18" s="245">
        <v>0</v>
      </c>
      <c r="Z18" s="245">
        <v>0</v>
      </c>
      <c r="AA18" s="245">
        <v>1</v>
      </c>
      <c r="AB18" s="245">
        <v>3</v>
      </c>
      <c r="AC18" s="245">
        <v>0</v>
      </c>
      <c r="AD18" s="245">
        <v>0</v>
      </c>
      <c r="AE18" s="245">
        <v>0</v>
      </c>
      <c r="AF18" s="245">
        <v>0</v>
      </c>
      <c r="AG18" s="245">
        <v>0</v>
      </c>
      <c r="AH18" s="245">
        <v>5</v>
      </c>
      <c r="AI18" s="245">
        <v>1</v>
      </c>
      <c r="AJ18" s="245">
        <v>1</v>
      </c>
      <c r="AK18" s="245">
        <v>1</v>
      </c>
      <c r="AL18" s="245">
        <v>3</v>
      </c>
      <c r="AM18" s="245">
        <v>2</v>
      </c>
      <c r="AN18" s="245">
        <v>3</v>
      </c>
      <c r="AO18" s="245">
        <v>1</v>
      </c>
      <c r="AP18" s="245">
        <v>3</v>
      </c>
      <c r="AQ18" s="245">
        <v>0</v>
      </c>
      <c r="AR18" s="245">
        <v>0</v>
      </c>
      <c r="AS18" s="245">
        <v>0</v>
      </c>
      <c r="AT18" s="245">
        <v>0</v>
      </c>
      <c r="AU18" s="245">
        <v>0</v>
      </c>
      <c r="AV18" s="245">
        <v>3</v>
      </c>
      <c r="AW18" s="245">
        <v>3</v>
      </c>
      <c r="AX18" s="245">
        <v>0</v>
      </c>
      <c r="AY18" s="245">
        <v>2</v>
      </c>
      <c r="AZ18" s="245">
        <v>0</v>
      </c>
      <c r="BA18" s="245">
        <v>0</v>
      </c>
      <c r="BB18" s="246">
        <v>0</v>
      </c>
    </row>
    <row r="20" spans="2:54" x14ac:dyDescent="0.25">
      <c r="C20" s="6" t="s">
        <v>111</v>
      </c>
    </row>
    <row r="22" spans="2:54" x14ac:dyDescent="0.25">
      <c r="C22" s="6" t="s">
        <v>112</v>
      </c>
    </row>
  </sheetData>
  <mergeCells count="2">
    <mergeCell ref="C14:D14"/>
    <mergeCell ref="E14:BB14"/>
  </mergeCells>
  <conditionalFormatting sqref="E17:AD17 AZ17:BB17">
    <cfRule type="cellIs" dxfId="23" priority="22" operator="equal">
      <formula>5</formula>
    </cfRule>
    <cfRule type="cellIs" dxfId="22" priority="23" operator="equal">
      <formula>4</formula>
    </cfRule>
    <cfRule type="cellIs" dxfId="21" priority="24" operator="equal">
      <formula>3</formula>
    </cfRule>
  </conditionalFormatting>
  <conditionalFormatting sqref="AE17">
    <cfRule type="cellIs" dxfId="20" priority="19" operator="equal">
      <formula>5</formula>
    </cfRule>
    <cfRule type="cellIs" dxfId="19" priority="20" operator="equal">
      <formula>4</formula>
    </cfRule>
    <cfRule type="cellIs" dxfId="18" priority="21" operator="equal">
      <formula>3</formula>
    </cfRule>
  </conditionalFormatting>
  <conditionalFormatting sqref="AF17:AX17">
    <cfRule type="cellIs" dxfId="17" priority="16" operator="equal">
      <formula>5</formula>
    </cfRule>
    <cfRule type="cellIs" dxfId="16" priority="17" operator="equal">
      <formula>4</formula>
    </cfRule>
    <cfRule type="cellIs" dxfId="15" priority="18" operator="equal">
      <formula>3</formula>
    </cfRule>
  </conditionalFormatting>
  <conditionalFormatting sqref="AY17">
    <cfRule type="cellIs" dxfId="14" priority="13" operator="equal">
      <formula>5</formula>
    </cfRule>
    <cfRule type="cellIs" dxfId="13" priority="14" operator="equal">
      <formula>4</formula>
    </cfRule>
    <cfRule type="cellIs" dxfId="12" priority="15" operator="equal">
      <formula>3</formula>
    </cfRule>
  </conditionalFormatting>
  <conditionalFormatting sqref="E18 AK18:BB18">
    <cfRule type="cellIs" dxfId="11" priority="10" operator="equal">
      <formula>5</formula>
    </cfRule>
    <cfRule type="cellIs" dxfId="10" priority="11" operator="equal">
      <formula>4</formula>
    </cfRule>
    <cfRule type="cellIs" dxfId="9" priority="12" operator="equal">
      <formula>3</formula>
    </cfRule>
  </conditionalFormatting>
  <conditionalFormatting sqref="F18:AC18">
    <cfRule type="cellIs" dxfId="8" priority="7" operator="equal">
      <formula>5</formula>
    </cfRule>
    <cfRule type="cellIs" dxfId="7" priority="8" operator="equal">
      <formula>4</formula>
    </cfRule>
    <cfRule type="cellIs" dxfId="6" priority="9" operator="equal">
      <formula>3</formula>
    </cfRule>
  </conditionalFormatting>
  <conditionalFormatting sqref="AD18:AI18">
    <cfRule type="cellIs" dxfId="5" priority="4" operator="equal">
      <formula>5</formula>
    </cfRule>
    <cfRule type="cellIs" dxfId="4" priority="5" operator="equal">
      <formula>4</formula>
    </cfRule>
    <cfRule type="cellIs" dxfId="3" priority="6" operator="equal">
      <formula>3</formula>
    </cfRule>
  </conditionalFormatting>
  <conditionalFormatting sqref="AJ18">
    <cfRule type="cellIs" dxfId="2" priority="1" operator="equal">
      <formula>5</formula>
    </cfRule>
    <cfRule type="cellIs" dxfId="1" priority="2" operator="equal">
      <formula>4</formula>
    </cfRule>
    <cfRule type="cellIs" dxfId="0" priority="3" operator="equal">
      <formula>3</formula>
    </cfRule>
  </conditionalFormatting>
  <pageMargins left="0.7" right="0.7" top="0.75" bottom="0.75" header="0.3" footer="0.3"/>
  <pageSetup paperSize="9"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125EF-C0B6-45F6-9AF1-28DA4DCB7C29}">
  <sheetPr>
    <tabColor theme="5" tint="-0.249977111117893"/>
  </sheetPr>
  <dimension ref="A1:BT70"/>
  <sheetViews>
    <sheetView topLeftCell="AS1" zoomScale="90" zoomScaleNormal="90" workbookViewId="0">
      <selection activeCell="BH4" sqref="BH4"/>
    </sheetView>
  </sheetViews>
  <sheetFormatPr defaultColWidth="8.85546875" defaultRowHeight="15" x14ac:dyDescent="0.25"/>
  <cols>
    <col min="1" max="1" width="43.140625" style="31" customWidth="1"/>
    <col min="2" max="2" width="18.28515625" style="31" bestFit="1" customWidth="1"/>
    <col min="3" max="3" width="16.85546875" style="31" customWidth="1"/>
    <col min="4" max="5" width="15.5703125" style="31" customWidth="1"/>
    <col min="6" max="6" width="24.140625" style="31" customWidth="1"/>
    <col min="7" max="7" width="18.28515625" style="31" bestFit="1" customWidth="1"/>
    <col min="8" max="8" width="4.7109375" style="31" bestFit="1" customWidth="1"/>
    <col min="9" max="9" width="9.28515625" style="31" customWidth="1"/>
    <col min="10" max="10" width="17.28515625" style="73" bestFit="1" customWidth="1"/>
    <col min="11" max="11" width="12.7109375" style="73" bestFit="1" customWidth="1"/>
    <col min="12" max="12" width="17.28515625" style="73" bestFit="1" customWidth="1"/>
    <col min="13" max="13" width="13.7109375" style="73" bestFit="1" customWidth="1"/>
    <col min="14" max="14" width="15.7109375" style="73" bestFit="1" customWidth="1"/>
    <col min="15" max="15" width="9.5703125" style="73" bestFit="1" customWidth="1"/>
    <col min="16" max="16" width="18.28515625" style="73" bestFit="1" customWidth="1"/>
    <col min="17" max="23" width="9.5703125" style="73" bestFit="1" customWidth="1"/>
    <col min="24" max="24" width="17.28515625" style="73" bestFit="1" customWidth="1"/>
    <col min="25" max="25" width="12.7109375" style="73" bestFit="1" customWidth="1"/>
    <col min="26" max="26" width="18.28515625" style="73" bestFit="1" customWidth="1"/>
    <col min="27" max="27" width="9.42578125" style="73" bestFit="1" customWidth="1"/>
    <col min="28" max="28" width="17.28515625" style="73" bestFit="1" customWidth="1"/>
    <col min="29" max="29" width="10.28515625" style="73" bestFit="1" customWidth="1"/>
    <col min="30" max="30" width="17.28515625" style="73" bestFit="1" customWidth="1"/>
    <col min="31" max="31" width="8.7109375" style="73" bestFit="1" customWidth="1"/>
    <col min="32" max="32" width="17.28515625" style="73" bestFit="1" customWidth="1"/>
    <col min="33" max="33" width="9.42578125" style="73" bestFit="1" customWidth="1"/>
    <col min="34" max="34" width="17.28515625" style="73" bestFit="1" customWidth="1"/>
    <col min="35" max="35" width="9.42578125" style="73" bestFit="1" customWidth="1"/>
    <col min="36" max="36" width="17.28515625" style="73" bestFit="1" customWidth="1"/>
    <col min="37" max="37" width="12.28515625" style="73" customWidth="1"/>
    <col min="38" max="43" width="9.5703125" style="73" bestFit="1" customWidth="1"/>
    <col min="44" max="44" width="1.28515625" style="31" customWidth="1"/>
    <col min="45" max="45" width="1.42578125" style="74" customWidth="1"/>
    <col min="46" max="46" width="1.7109375" style="31" customWidth="1"/>
    <col min="47" max="47" width="8.85546875" style="31"/>
    <col min="48" max="48" width="3.28515625" style="31" bestFit="1" customWidth="1"/>
    <col min="49" max="49" width="5.5703125" style="31" bestFit="1" customWidth="1"/>
    <col min="50" max="50" width="2" style="31" bestFit="1" customWidth="1"/>
    <col min="51" max="51" width="17.28515625" style="31" bestFit="1" customWidth="1"/>
    <col min="52" max="52" width="17.7109375" style="31" customWidth="1"/>
    <col min="53" max="53" width="6.5703125" style="31" customWidth="1"/>
    <col min="54" max="54" width="16.28515625" style="31" customWidth="1"/>
    <col min="55" max="55" width="15.7109375" style="31" bestFit="1" customWidth="1"/>
    <col min="56" max="56" width="2.140625" style="31" customWidth="1"/>
    <col min="57" max="57" width="2.28515625" style="74" customWidth="1"/>
    <col min="58" max="58" width="1.85546875" style="31" customWidth="1"/>
    <col min="59" max="59" width="23" style="31" customWidth="1"/>
    <col min="60" max="60" width="18.5703125" style="31" customWidth="1"/>
    <col min="61" max="61" width="2.5703125" style="31" customWidth="1"/>
    <col min="62" max="62" width="22.140625" style="30" customWidth="1"/>
    <col min="63" max="63" width="21.5703125" style="73" customWidth="1"/>
    <col min="64" max="64" width="21.28515625" style="73" customWidth="1"/>
    <col min="65" max="65" width="14.7109375" style="73" customWidth="1"/>
    <col min="66" max="66" width="17.7109375" style="73" customWidth="1"/>
    <col min="67" max="67" width="25.7109375" style="73" customWidth="1"/>
    <col min="68" max="68" width="22.140625" style="73" customWidth="1"/>
    <col min="69" max="16384" width="8.85546875" style="31"/>
  </cols>
  <sheetData>
    <row r="1" spans="1:72" ht="24" thickBot="1" x14ac:dyDescent="0.3">
      <c r="D1" s="26" t="s">
        <v>43</v>
      </c>
      <c r="G1" s="71" t="s">
        <v>48</v>
      </c>
      <c r="H1" s="72">
        <f>Dashboard!D5</f>
        <v>0.1</v>
      </c>
      <c r="X1" s="230"/>
    </row>
    <row r="2" spans="1:72" ht="21.75" thickBot="1" x14ac:dyDescent="0.3">
      <c r="D2" s="75" t="s">
        <v>14</v>
      </c>
      <c r="J2" s="313" t="str">
        <f>A11</f>
        <v>1 General structural repairs</v>
      </c>
      <c r="K2" s="314"/>
      <c r="L2" s="311" t="str">
        <f>A12</f>
        <v>2 General building repairs</v>
      </c>
      <c r="M2" s="312"/>
      <c r="N2" s="313" t="str">
        <f>A13</f>
        <v>3 Waste water treatment</v>
      </c>
      <c r="O2" s="314"/>
      <c r="P2" s="311" t="str">
        <f>A14</f>
        <v>4 General electric</v>
      </c>
      <c r="Q2" s="312"/>
      <c r="R2" s="311">
        <f>A15</f>
        <v>5</v>
      </c>
      <c r="S2" s="312"/>
      <c r="T2" s="311">
        <f>A16</f>
        <v>6</v>
      </c>
      <c r="U2" s="312"/>
      <c r="V2" s="311">
        <f>A17</f>
        <v>7</v>
      </c>
      <c r="W2" s="312"/>
      <c r="X2" s="311" t="str">
        <f>A21</f>
        <v>8 Extreme weather resistance</v>
      </c>
      <c r="Y2" s="312"/>
      <c r="Z2" s="313" t="str">
        <f>A22</f>
        <v>9 Solar PV  + Batteries (on-site)</v>
      </c>
      <c r="AA2" s="314"/>
      <c r="AB2" s="311" t="str">
        <f>A23</f>
        <v>10 Emergency RE stock (off-site)</v>
      </c>
      <c r="AC2" s="312"/>
      <c r="AD2" s="313" t="str">
        <f>A24</f>
        <v>11Water supply</v>
      </c>
      <c r="AE2" s="314"/>
      <c r="AF2" s="311" t="str">
        <f>+A25</f>
        <v>12 Storm water drainage</v>
      </c>
      <c r="AG2" s="312"/>
      <c r="AH2" s="313" t="str">
        <f>A26</f>
        <v xml:space="preserve">13 Climate change adaptation mainstreamed into the building sector and relevant financial mechanisms. </v>
      </c>
      <c r="AI2" s="314"/>
      <c r="AJ2" s="311" t="str">
        <f>A27</f>
        <v>14 Climate information services strengthened to facilitate early action within the building sector to respond to extreme climate events.</v>
      </c>
      <c r="AK2" s="312"/>
      <c r="AL2" s="313">
        <f>+A28</f>
        <v>0</v>
      </c>
      <c r="AM2" s="314"/>
      <c r="AN2" s="311">
        <f>A29</f>
        <v>0</v>
      </c>
      <c r="AO2" s="312"/>
      <c r="AP2" s="313">
        <f>A30</f>
        <v>0</v>
      </c>
      <c r="AQ2" s="314"/>
      <c r="AW2" s="76"/>
      <c r="AX2" s="315" t="s">
        <v>20</v>
      </c>
      <c r="AY2" s="316"/>
      <c r="AZ2" s="316"/>
      <c r="BA2" s="319" t="s">
        <v>3</v>
      </c>
      <c r="BB2" s="320"/>
      <c r="BC2" s="321"/>
      <c r="BD2" s="77"/>
      <c r="BE2" s="96"/>
      <c r="BJ2" s="158" t="s">
        <v>117</v>
      </c>
    </row>
    <row r="3" spans="1:72" ht="45.75" thickBot="1" x14ac:dyDescent="0.3">
      <c r="D3" s="28" t="s">
        <v>44</v>
      </c>
      <c r="J3" s="78" t="s">
        <v>45</v>
      </c>
      <c r="K3" s="79" t="s">
        <v>46</v>
      </c>
      <c r="L3" s="80" t="s">
        <v>45</v>
      </c>
      <c r="M3" s="81" t="s">
        <v>46</v>
      </c>
      <c r="N3" s="78" t="s">
        <v>45</v>
      </c>
      <c r="O3" s="79" t="s">
        <v>46</v>
      </c>
      <c r="P3" s="80" t="s">
        <v>45</v>
      </c>
      <c r="Q3" s="81" t="s">
        <v>46</v>
      </c>
      <c r="R3" s="78" t="s">
        <v>45</v>
      </c>
      <c r="S3" s="79" t="s">
        <v>46</v>
      </c>
      <c r="T3" s="80" t="s">
        <v>45</v>
      </c>
      <c r="U3" s="81" t="s">
        <v>46</v>
      </c>
      <c r="V3" s="78" t="s">
        <v>45</v>
      </c>
      <c r="W3" s="79" t="s">
        <v>46</v>
      </c>
      <c r="X3" s="80" t="s">
        <v>45</v>
      </c>
      <c r="Y3" s="81" t="s">
        <v>46</v>
      </c>
      <c r="Z3" s="78" t="s">
        <v>45</v>
      </c>
      <c r="AA3" s="79" t="s">
        <v>46</v>
      </c>
      <c r="AB3" s="80" t="s">
        <v>45</v>
      </c>
      <c r="AC3" s="81" t="s">
        <v>46</v>
      </c>
      <c r="AD3" s="78" t="s">
        <v>45</v>
      </c>
      <c r="AE3" s="79" t="s">
        <v>46</v>
      </c>
      <c r="AF3" s="80" t="s">
        <v>45</v>
      </c>
      <c r="AG3" s="81" t="s">
        <v>46</v>
      </c>
      <c r="AH3" s="78" t="s">
        <v>45</v>
      </c>
      <c r="AI3" s="79" t="s">
        <v>46</v>
      </c>
      <c r="AJ3" s="80" t="s">
        <v>45</v>
      </c>
      <c r="AK3" s="81" t="s">
        <v>46</v>
      </c>
      <c r="AL3" s="78" t="s">
        <v>45</v>
      </c>
      <c r="AM3" s="79" t="s">
        <v>46</v>
      </c>
      <c r="AN3" s="80" t="s">
        <v>45</v>
      </c>
      <c r="AO3" s="81" t="s">
        <v>46</v>
      </c>
      <c r="AP3" s="78" t="s">
        <v>45</v>
      </c>
      <c r="AQ3" s="79" t="s">
        <v>46</v>
      </c>
      <c r="AW3" s="76"/>
      <c r="AX3" s="317" t="s">
        <v>94</v>
      </c>
      <c r="AY3" s="318"/>
      <c r="AZ3" s="318"/>
      <c r="BA3" s="322" t="s">
        <v>92</v>
      </c>
      <c r="BB3" s="323"/>
      <c r="BC3" s="324"/>
      <c r="BD3" s="77"/>
      <c r="BE3" s="96"/>
      <c r="BG3" s="148" t="str">
        <f>Dashboard!C6</f>
        <v>GDP/capita</v>
      </c>
      <c r="BH3" s="149">
        <f>Dashboard!D6</f>
        <v>14130.434782608696</v>
      </c>
      <c r="BJ3" s="156"/>
      <c r="BK3" s="154" t="str">
        <f>'Impact panel'!C15</f>
        <v>% of manufactured (fixed) capital moderately destroyed</v>
      </c>
      <c r="BL3" s="154" t="str">
        <f>'Impact panel'!D15</f>
        <v>% of manufactured (fixed) capital irreparably destroyed</v>
      </c>
      <c r="BM3" s="154" t="str">
        <f>'Impact panel'!E15</f>
        <v>Number of productive work days lost</v>
      </c>
      <c r="BN3" s="154" t="str">
        <f>'Impact panel'!F15</f>
        <v>Number of deaths per 1000 of the population</v>
      </c>
      <c r="BO3" s="154" t="str">
        <f>'Impact panel'!G15</f>
        <v>Number of permanent disabilities per 1000 of the population</v>
      </c>
      <c r="BP3" s="155" t="str">
        <f>'Impact panel'!H15</f>
        <v>Number of serious injuries per 1000 of the population</v>
      </c>
    </row>
    <row r="4" spans="1:72" ht="15.75" thickBot="1" x14ac:dyDescent="0.3">
      <c r="C4" s="28"/>
      <c r="J4" s="78"/>
      <c r="K4" s="79"/>
      <c r="L4" s="80"/>
      <c r="M4" s="81"/>
      <c r="N4" s="78"/>
      <c r="O4" s="79"/>
      <c r="P4" s="80"/>
      <c r="Q4" s="81"/>
      <c r="R4" s="78"/>
      <c r="S4" s="79"/>
      <c r="T4" s="80"/>
      <c r="U4" s="81"/>
      <c r="V4" s="78"/>
      <c r="W4" s="79"/>
      <c r="X4" s="80"/>
      <c r="Y4" s="81"/>
      <c r="Z4" s="78"/>
      <c r="AA4" s="79"/>
      <c r="AB4" s="80"/>
      <c r="AC4" s="81"/>
      <c r="AD4" s="78"/>
      <c r="AE4" s="79"/>
      <c r="AF4" s="80"/>
      <c r="AG4" s="81"/>
      <c r="AH4" s="78"/>
      <c r="AI4" s="79"/>
      <c r="AJ4" s="80"/>
      <c r="AK4" s="81"/>
      <c r="AL4" s="78"/>
      <c r="AM4" s="79"/>
      <c r="AN4" s="80"/>
      <c r="AO4" s="81"/>
      <c r="AP4" s="78"/>
      <c r="AQ4" s="79"/>
      <c r="AX4" s="107" t="s">
        <v>50</v>
      </c>
      <c r="AY4" s="103" t="s">
        <v>88</v>
      </c>
      <c r="AZ4" s="104" t="s">
        <v>90</v>
      </c>
      <c r="BA4" s="108" t="s">
        <v>50</v>
      </c>
      <c r="BB4" s="105" t="s">
        <v>89</v>
      </c>
      <c r="BC4" s="106" t="s">
        <v>91</v>
      </c>
      <c r="BG4" s="150" t="str">
        <f>Dashboard!C7</f>
        <v>Total fixed capital stock</v>
      </c>
      <c r="BH4" s="151">
        <f>Dashboard!D7</f>
        <v>13417950000</v>
      </c>
      <c r="BJ4" s="110" t="s">
        <v>51</v>
      </c>
      <c r="BK4" s="159">
        <f>'Impact panel'!C22</f>
        <v>0.35</v>
      </c>
      <c r="BL4" s="159">
        <f>'Impact panel'!D22</f>
        <v>0.15</v>
      </c>
      <c r="BM4" s="231">
        <f>'Impact panel'!E22</f>
        <v>15</v>
      </c>
      <c r="BN4" s="231">
        <f>'Impact panel'!F22</f>
        <v>0.02</v>
      </c>
      <c r="BO4" s="231">
        <f>'Impact panel'!G22</f>
        <v>0.03</v>
      </c>
      <c r="BP4" s="232">
        <f>'Impact panel'!H22</f>
        <v>0.15</v>
      </c>
    </row>
    <row r="5" spans="1:72" ht="30.75" thickBot="1" x14ac:dyDescent="0.3">
      <c r="I5" s="82" t="s">
        <v>47</v>
      </c>
      <c r="J5" s="132">
        <f>NPV($H$1,J6:J55)</f>
        <v>1961117.5608630362</v>
      </c>
      <c r="K5" s="133">
        <f t="shared" ref="K5:AQ5" si="0">NPV($H$1,K6:K55)</f>
        <v>107079.99646181383</v>
      </c>
      <c r="L5" s="134">
        <f t="shared" si="0"/>
        <v>3662579.7815133468</v>
      </c>
      <c r="M5" s="135">
        <f t="shared" si="0"/>
        <v>267699.99115453457</v>
      </c>
      <c r="N5" s="132">
        <f t="shared" si="0"/>
        <v>211529.45400459861</v>
      </c>
      <c r="O5" s="133">
        <f t="shared" si="0"/>
        <v>133849.99557726728</v>
      </c>
      <c r="P5" s="134">
        <f t="shared" si="0"/>
        <v>7370777.1840339582</v>
      </c>
      <c r="Q5" s="135">
        <f t="shared" si="0"/>
        <v>133849.99557726728</v>
      </c>
      <c r="R5" s="132">
        <f t="shared" si="0"/>
        <v>0</v>
      </c>
      <c r="S5" s="133">
        <f t="shared" si="0"/>
        <v>0</v>
      </c>
      <c r="T5" s="134">
        <f t="shared" si="0"/>
        <v>0</v>
      </c>
      <c r="U5" s="135">
        <f t="shared" si="0"/>
        <v>0</v>
      </c>
      <c r="V5" s="132">
        <f t="shared" si="0"/>
        <v>0</v>
      </c>
      <c r="W5" s="133">
        <f t="shared" si="0"/>
        <v>0</v>
      </c>
      <c r="X5" s="134">
        <f t="shared" si="0"/>
        <v>7893334.2567493524</v>
      </c>
      <c r="Y5" s="135">
        <f t="shared" si="0"/>
        <v>535399.98230906914</v>
      </c>
      <c r="Z5" s="132">
        <f t="shared" si="0"/>
        <v>10866995.421786439</v>
      </c>
      <c r="AA5" s="133">
        <f t="shared" si="0"/>
        <v>214159.99292362767</v>
      </c>
      <c r="AB5" s="134">
        <f t="shared" si="0"/>
        <v>883308.4860919778</v>
      </c>
      <c r="AC5" s="135">
        <f t="shared" si="0"/>
        <v>382641.4440232534</v>
      </c>
      <c r="AD5" s="132">
        <f t="shared" si="0"/>
        <v>4839835.0787139609</v>
      </c>
      <c r="AE5" s="133">
        <f t="shared" si="0"/>
        <v>214159.99292362767</v>
      </c>
      <c r="AF5" s="134">
        <f t="shared" si="0"/>
        <v>0</v>
      </c>
      <c r="AG5" s="135">
        <f t="shared" si="0"/>
        <v>267699.99115453457</v>
      </c>
      <c r="AH5" s="132">
        <f t="shared" si="0"/>
        <v>4176897.1688713632</v>
      </c>
      <c r="AI5" s="133">
        <f t="shared" si="0"/>
        <v>714302.89491619566</v>
      </c>
      <c r="AJ5" s="134">
        <f t="shared" si="0"/>
        <v>1156415.5090522093</v>
      </c>
      <c r="AK5" s="135">
        <f t="shared" si="0"/>
        <v>4789549.4343341133</v>
      </c>
      <c r="AL5" s="132">
        <f t="shared" si="0"/>
        <v>0</v>
      </c>
      <c r="AM5" s="133">
        <f t="shared" si="0"/>
        <v>0</v>
      </c>
      <c r="AN5" s="134">
        <f t="shared" si="0"/>
        <v>0</v>
      </c>
      <c r="AO5" s="135">
        <f t="shared" si="0"/>
        <v>0</v>
      </c>
      <c r="AP5" s="132">
        <f t="shared" si="0"/>
        <v>0</v>
      </c>
      <c r="AQ5" s="133">
        <f t="shared" si="0"/>
        <v>0</v>
      </c>
      <c r="AW5" s="31" t="s">
        <v>47</v>
      </c>
      <c r="AY5" s="124">
        <f>NPV($H$1,AY6:AY55)</f>
        <v>551928602.14906919</v>
      </c>
      <c r="AZ5" s="124">
        <f t="shared" ref="AZ5:BC5" si="1">NPV($H$1,AZ6:AZ55)</f>
        <v>214000390.04954883</v>
      </c>
      <c r="BA5" s="102"/>
      <c r="BB5" s="124">
        <f t="shared" si="1"/>
        <v>17253046213.292927</v>
      </c>
      <c r="BC5" s="124">
        <f t="shared" si="1"/>
        <v>8091392693.9737835</v>
      </c>
      <c r="BG5" s="150" t="str">
        <f>Dashboard!C8</f>
        <v>Gross national income per capita</v>
      </c>
      <c r="BH5" s="151">
        <f>Dashboard!D8</f>
        <v>13270</v>
      </c>
      <c r="BJ5" s="112" t="s">
        <v>52</v>
      </c>
      <c r="BK5" s="161">
        <v>0.4</v>
      </c>
      <c r="BL5" s="161">
        <v>0.9</v>
      </c>
      <c r="BM5" s="162">
        <v>240</v>
      </c>
      <c r="BN5" s="162">
        <v>40</v>
      </c>
      <c r="BO5" s="163">
        <v>0.5</v>
      </c>
      <c r="BP5" s="164">
        <v>0.1</v>
      </c>
    </row>
    <row r="6" spans="1:72" s="23" customFormat="1" ht="15.75" thickBot="1" x14ac:dyDescent="0.3">
      <c r="D6" s="28"/>
      <c r="E6" s="28"/>
      <c r="G6" s="229"/>
      <c r="H6" s="23">
        <v>1</v>
      </c>
      <c r="I6" s="23">
        <v>2020</v>
      </c>
      <c r="J6" s="136">
        <f>IF(AND($I6&gt;=$D$11,$I6&lt;=$E$11),$B$11/$C$11,0)</f>
        <v>239119.5</v>
      </c>
      <c r="K6" s="137">
        <f>IF($I6&gt;=$D$11,$F$11,0)</f>
        <v>10800</v>
      </c>
      <c r="L6" s="138">
        <f>IF(AND($I6&gt;=$D$12,$I6&lt;=$E$12),$B$12/$C$12,0)</f>
        <v>446579.16666666669</v>
      </c>
      <c r="M6" s="139">
        <f>IF($I6&gt;=$D$12,$F$12,0)</f>
        <v>27000</v>
      </c>
      <c r="N6" s="136">
        <f>IF(AND($I6&gt;=$D$13,$I6&lt;=$E$13),$B$13/$C$13,0)</f>
        <v>25791.833333333332</v>
      </c>
      <c r="O6" s="137">
        <f>IF($I6&gt;=$D$13,$F$13,0)</f>
        <v>13500</v>
      </c>
      <c r="P6" s="138">
        <f>IF(AND($I6&gt;=$D$14,$I6&lt;=$E$14),$B$14/$C$14,0)</f>
        <v>898720.5</v>
      </c>
      <c r="Q6" s="139">
        <f>IF($I6&gt;=$D$14,$F$14,0)</f>
        <v>13500</v>
      </c>
      <c r="R6" s="136">
        <f>IF(AND($I6&gt;=$D$15,$I6&lt;=$E$15),$B$15/$C$15,0)</f>
        <v>0</v>
      </c>
      <c r="S6" s="137">
        <f>IF($I6&gt;=$D$15,$F$15,0)</f>
        <v>0</v>
      </c>
      <c r="T6" s="138">
        <f>IF(AND($I6&gt;=$D$16,$I6&lt;=$E$16),$B$16/$C$16,0)</f>
        <v>0</v>
      </c>
      <c r="U6" s="139">
        <f>IF($I6&gt;=$D$16,$F$16,0)</f>
        <v>0</v>
      </c>
      <c r="V6" s="136">
        <f>IF(AND($I6&gt;=$D$17,$I6&lt;=$E$17),$B$17/$C$17,0)</f>
        <v>0</v>
      </c>
      <c r="W6" s="137">
        <f>IF($I6&gt;=$D$17,$F$17,0)</f>
        <v>0</v>
      </c>
      <c r="X6" s="138">
        <f>IF(AND($I6&gt;=$D$21,$I6&lt;=$E$21),$B$21/$C$21,0)</f>
        <v>962436</v>
      </c>
      <c r="Y6" s="139">
        <f>IF($I6&gt;=$D$21,$F$21,0)</f>
        <v>54000</v>
      </c>
      <c r="Z6" s="136">
        <f>IF(AND($I6&gt;=$D$22,$I6&lt;=$E$22),$B$22/$C$22,0)</f>
        <v>1325015.1666666667</v>
      </c>
      <c r="AA6" s="137">
        <f>IF($I6&gt;=$D$22,$F$22,0)</f>
        <v>21600</v>
      </c>
      <c r="AB6" s="138">
        <f>IF(AND($I6&gt;=$D$23,$I6&lt;=$E$23),$B$23/$C$23,0)</f>
        <v>107702</v>
      </c>
      <c r="AC6" s="139">
        <f>IF($I6&gt;=$D$23,$F$23,0)</f>
        <v>38592.9</v>
      </c>
      <c r="AD6" s="136">
        <f>IF(AND($I6&gt;=$D$24,$I6&lt;=$E$24),$B$24/$C$24,0)</f>
        <v>590122.16666666663</v>
      </c>
      <c r="AE6" s="137">
        <f>IF($I6&gt;=$D$24,$F$24,0)</f>
        <v>21600</v>
      </c>
      <c r="AF6" s="138">
        <f>IF(AND($I6&gt;=$D$25,$I6&lt;=$E$25),$B$25/$C$25,0)</f>
        <v>0</v>
      </c>
      <c r="AG6" s="139">
        <f>IF($I6&gt;=$D$25,$F$25,0)</f>
        <v>27000</v>
      </c>
      <c r="AH6" s="136">
        <f>IF(AND($I6&gt;=$D$26,$I6&lt;=$E$26),$B$26/$C$26,0)</f>
        <v>509290</v>
      </c>
      <c r="AI6" s="137">
        <f>IF($I6&gt;=$D$26,$F$26,0)</f>
        <v>72044</v>
      </c>
      <c r="AJ6" s="138">
        <f>IF(AND($I6&gt;=$D$27,$I6&lt;=$E$27),$B$27/$C$27,0)</f>
        <v>141002</v>
      </c>
      <c r="AK6" s="139">
        <f>IF($I6&gt;=$D$27,$F$27,0)</f>
        <v>483070</v>
      </c>
      <c r="AL6" s="136">
        <f>IF(AND($I6&gt;=$D$28,$I6&lt;=$E$28),$B$28/$C$28,0)</f>
        <v>0</v>
      </c>
      <c r="AM6" s="137">
        <f>IF($I6&gt;=$D$28,$F$28,0)</f>
        <v>0</v>
      </c>
      <c r="AN6" s="138">
        <f>IF(AND($I6&gt;=$D$29,$I6&lt;=$E$29),$B$29/$C$29,0)</f>
        <v>0</v>
      </c>
      <c r="AO6" s="139">
        <f>IF($I6&gt;=$D$29,$F$29,0)</f>
        <v>0</v>
      </c>
      <c r="AP6" s="136">
        <f>IF(AND($I6&gt;=$D$30,$I6&lt;=$E$30),$B$30/$C$30,0)</f>
        <v>0</v>
      </c>
      <c r="AQ6" s="137">
        <f>IF($I6&gt;=$D$30,$F$30,0)</f>
        <v>0</v>
      </c>
      <c r="AR6" s="73"/>
      <c r="AS6" s="83"/>
      <c r="AT6" s="73"/>
      <c r="AU6" s="73"/>
      <c r="AV6" s="31">
        <v>1</v>
      </c>
      <c r="AW6" s="31">
        <v>2020</v>
      </c>
      <c r="AX6" s="99">
        <f>'Hurricane panel'!$E17</f>
        <v>0</v>
      </c>
      <c r="AY6" s="175">
        <f>IF(AX6=3,$BH$9,IF(AX6=5,$BH$10,0))</f>
        <v>0</v>
      </c>
      <c r="AZ6" s="175">
        <f>IF(AX6=3,$BH$11,IF(AX6=5,$BH$12,0))</f>
        <v>0</v>
      </c>
      <c r="BA6" s="184">
        <f>'Hurricane panel'!$E18</f>
        <v>5</v>
      </c>
      <c r="BB6" s="181">
        <f>IF(BA6=3,$BH$9,IF(BA6=5,$BH$10,0))</f>
        <v>6611605958.333333</v>
      </c>
      <c r="BC6" s="178">
        <f>IF(BA6=3,$BH$11,IF(BA6=5,$BH$12,0))</f>
        <v>3261872053.8333335</v>
      </c>
      <c r="BD6" s="31"/>
      <c r="BE6" s="74"/>
      <c r="BF6" s="73"/>
      <c r="BG6" s="150" t="str">
        <f>Dashboard!C9</f>
        <v>Life expectancy (years)</v>
      </c>
      <c r="BH6" s="236">
        <f>Dashboard!D9</f>
        <v>77.5</v>
      </c>
      <c r="BI6" s="73"/>
      <c r="BJ6" s="113" t="s">
        <v>53</v>
      </c>
      <c r="BK6" s="165">
        <f>BH$4*BK5*BK4</f>
        <v>1878513000</v>
      </c>
      <c r="BL6" s="165">
        <f>BH$4*BL5*BL4</f>
        <v>1811423250</v>
      </c>
      <c r="BM6" s="165">
        <f>BM4/BM5*BH$3*BH$7</f>
        <v>81250000</v>
      </c>
      <c r="BN6" s="165">
        <f>BH$7/1000*BN4*(BH$6-BN5)*BH$5</f>
        <v>915630</v>
      </c>
      <c r="BO6" s="165">
        <f>BH$7/1000*BO4*(BH$6-BN5)*BO5*BH$5</f>
        <v>686722.49999999988</v>
      </c>
      <c r="BP6" s="166">
        <f>BH$7/1000*BP4*(BH$6-BN5)*BP5*BH$5</f>
        <v>686722.5</v>
      </c>
      <c r="BQ6" s="95"/>
      <c r="BR6" s="95"/>
      <c r="BS6" s="95"/>
      <c r="BT6" s="31"/>
    </row>
    <row r="7" spans="1:72" ht="15.75" thickBot="1" x14ac:dyDescent="0.3">
      <c r="C7" s="84"/>
      <c r="D7" s="84"/>
      <c r="E7" s="84"/>
      <c r="F7" s="84"/>
      <c r="G7" s="84"/>
      <c r="H7" s="23">
        <v>2</v>
      </c>
      <c r="I7" s="23">
        <v>2021</v>
      </c>
      <c r="J7" s="136">
        <f t="shared" ref="J7:J11" si="2">IF(AND(I7&gt;=$D$11,I7&lt;=$E$11),$B$11/$C$11,0)</f>
        <v>239119.5</v>
      </c>
      <c r="K7" s="137">
        <f t="shared" ref="K7:K55" si="3">IF(I7&gt;=$D$11,$F$11,0)</f>
        <v>10800</v>
      </c>
      <c r="L7" s="138">
        <f t="shared" ref="L7:L11" si="4">IF(AND($I7&gt;=$D$12,$I7&lt;=$E$12),$B$12/$C$12,0)</f>
        <v>446579.16666666669</v>
      </c>
      <c r="M7" s="139">
        <f t="shared" ref="M7:M55" si="5">IF($I7&gt;=$D$12,$F$12,0)</f>
        <v>27000</v>
      </c>
      <c r="N7" s="136">
        <f t="shared" ref="N7:N11" si="6">IF(AND($I7&gt;=$D$13,$I7&lt;=$E$13),$B$13/$C$13,0)</f>
        <v>25791.833333333332</v>
      </c>
      <c r="O7" s="137">
        <f t="shared" ref="O7:O55" si="7">IF($I7&gt;=$D$13,$F$13,0)</f>
        <v>13500</v>
      </c>
      <c r="P7" s="138">
        <f t="shared" ref="P7:P11" si="8">IF(AND($I7&gt;=$D$14,$I7&lt;=$E$14),$B$14/$C$14,0)</f>
        <v>898720.5</v>
      </c>
      <c r="Q7" s="139">
        <f t="shared" ref="Q7:Q55" si="9">IF($I7&gt;=$D$14,$F$14,0)</f>
        <v>13500</v>
      </c>
      <c r="R7" s="136">
        <f t="shared" ref="R7:R11" si="10">IF(AND($I7&gt;=$D$15,$I7&lt;=$E$15),$B$15/$C$15,0)</f>
        <v>0</v>
      </c>
      <c r="S7" s="137">
        <f t="shared" ref="S7:S55" si="11">IF($I7&gt;=$D$15,$F$15,0)</f>
        <v>0</v>
      </c>
      <c r="T7" s="138">
        <f t="shared" ref="T7:T11" si="12">IF(AND($I7&gt;=$D$16,$I7&lt;=$E$16),$B$16/$C$16,0)</f>
        <v>0</v>
      </c>
      <c r="U7" s="139">
        <f t="shared" ref="U7:U55" si="13">IF($I7&gt;=$D$16,$F$16,0)</f>
        <v>0</v>
      </c>
      <c r="V7" s="136">
        <f t="shared" ref="V7:V11" si="14">IF(AND($I7&gt;=$D$17,$I7&lt;=$E$17),$B$17/$C$17,0)</f>
        <v>0</v>
      </c>
      <c r="W7" s="137">
        <f t="shared" ref="W7:W55" si="15">IF($I7&gt;=$D$17,$F$17,0)</f>
        <v>0</v>
      </c>
      <c r="X7" s="138">
        <f t="shared" ref="X7:X11" si="16">IF(AND($I7&gt;=$D$21,$I7&lt;=$E$21),$B$21/$C$21,0)</f>
        <v>962436</v>
      </c>
      <c r="Y7" s="139">
        <f t="shared" ref="Y7:Y55" si="17">IF($I7&gt;=$D$21,$F$21,0)</f>
        <v>54000</v>
      </c>
      <c r="Z7" s="136">
        <f t="shared" ref="Z7:Z11" si="18">IF(AND($I7&gt;=$D$22,$I7&lt;=$E$22),$B$22/$C$22,0)</f>
        <v>1325015.1666666667</v>
      </c>
      <c r="AA7" s="137">
        <f t="shared" ref="AA7:AA55" si="19">IF($I7&gt;=$D$22,$F$22,0)</f>
        <v>21600</v>
      </c>
      <c r="AB7" s="138">
        <f t="shared" ref="AB7:AB11" si="20">IF(AND($I7&gt;=$D$23,$I7&lt;=$E$23),$B$23/$C$23,0)</f>
        <v>107702</v>
      </c>
      <c r="AC7" s="139">
        <f t="shared" ref="AC7:AC55" si="21">IF($I7&gt;=$D$23,$F$23,0)</f>
        <v>38592.9</v>
      </c>
      <c r="AD7" s="136">
        <f t="shared" ref="AD7:AD11" si="22">IF(AND($I7&gt;=$D$24,$I7&lt;=$E$24),$B$24/$C$24,0)</f>
        <v>590122.16666666663</v>
      </c>
      <c r="AE7" s="137">
        <f t="shared" ref="AE7:AE55" si="23">IF($I7&gt;=$D$24,$F$24,0)</f>
        <v>21600</v>
      </c>
      <c r="AF7" s="138">
        <f t="shared" ref="AF7:AF11" si="24">IF(AND($I7&gt;=$D$25,$I7&lt;=$E$25),$B$25/$C$25,0)</f>
        <v>0</v>
      </c>
      <c r="AG7" s="139">
        <f t="shared" ref="AG7:AG55" si="25">IF($I7&gt;=$D$25,$F$25,0)</f>
        <v>27000</v>
      </c>
      <c r="AH7" s="136">
        <f t="shared" ref="AH7:AH11" si="26">IF(AND($I7&gt;=$D$26,$I7&lt;=$E$26),$B$26/$C$26,0)</f>
        <v>509290</v>
      </c>
      <c r="AI7" s="137">
        <f t="shared" ref="AI7:AI55" si="27">IF($I7&gt;=$D$26,$F$26,0)</f>
        <v>72044</v>
      </c>
      <c r="AJ7" s="138">
        <f t="shared" ref="AJ7:AJ11" si="28">IF(AND($I7&gt;=$D$27,$I7&lt;=$E$27),$B$27/$C$27,0)</f>
        <v>141002</v>
      </c>
      <c r="AK7" s="139">
        <f t="shared" ref="AK7:AK55" si="29">IF($I7&gt;=$D$27,$F$27,0)</f>
        <v>483070</v>
      </c>
      <c r="AL7" s="136">
        <f t="shared" ref="AL7:AL11" si="30">IF(AND($I7&gt;=$D$28,$I7&lt;=$E$28),$B$28/$C$28,0)</f>
        <v>0</v>
      </c>
      <c r="AM7" s="137">
        <f t="shared" ref="AM7:AM55" si="31">IF($I7&gt;=$D$28,$F$28,0)</f>
        <v>0</v>
      </c>
      <c r="AN7" s="138">
        <f t="shared" ref="AN7:AN11" si="32">IF(AND($I7&gt;=$D$29,$I7&lt;=$E$29),$B$29/$C$29,0)</f>
        <v>0</v>
      </c>
      <c r="AO7" s="139">
        <f t="shared" ref="AO7:AO55" si="33">IF($I7&gt;=$D$29,$F$29,0)</f>
        <v>0</v>
      </c>
      <c r="AP7" s="136">
        <f t="shared" ref="AP7:AP11" si="34">IF(AND($I7&gt;=$D$30,$I7&lt;=$E$30),$B$30/$C$30,0)</f>
        <v>0</v>
      </c>
      <c r="AQ7" s="137">
        <f t="shared" ref="AQ7:AQ55" si="35">IF($I7&gt;=$D$30,$F$30,0)</f>
        <v>0</v>
      </c>
      <c r="AV7" s="31">
        <v>2</v>
      </c>
      <c r="AW7" s="31">
        <v>2021</v>
      </c>
      <c r="AX7" s="100">
        <f>'Hurricane panel'!$F17</f>
        <v>0</v>
      </c>
      <c r="AY7" s="176">
        <f t="shared" ref="AY7:AY55" si="36">IF(AX7=3,$BH$9,IF(AX7=5,$BH$10,0))</f>
        <v>0</v>
      </c>
      <c r="AZ7" s="176">
        <f t="shared" ref="AZ7:AZ55" si="37">IF(AX7=3,$BH$11,IF(AX7=5,$BH$12,0))</f>
        <v>0</v>
      </c>
      <c r="BA7" s="185">
        <f>'Hurricane panel'!$F18</f>
        <v>3</v>
      </c>
      <c r="BB7" s="182">
        <f t="shared" ref="BB7:BB55" si="38">IF(BA7=3,$BH$9,IF(BA7=5,$BH$10,0))</f>
        <v>3773475325</v>
      </c>
      <c r="BC7" s="179">
        <f t="shared" ref="BC7:BC55" si="39">IF(BA7=3,$BH$11,IF(BA7=5,$BH$12,0))</f>
        <v>1463097198.1666667</v>
      </c>
      <c r="BG7" s="152" t="str">
        <f>Dashboard!C10</f>
        <v>Population</v>
      </c>
      <c r="BH7" s="153">
        <f>Dashboard!D10</f>
        <v>92000</v>
      </c>
      <c r="BJ7" s="109" t="s">
        <v>55</v>
      </c>
      <c r="BK7" s="167">
        <f>SUM(BK6:BP6)</f>
        <v>3773475325</v>
      </c>
      <c r="BQ7" s="95"/>
      <c r="BR7" s="95"/>
      <c r="BS7" s="95"/>
    </row>
    <row r="8" spans="1:72" ht="15.75" thickBot="1" x14ac:dyDescent="0.3">
      <c r="H8" s="31">
        <v>3</v>
      </c>
      <c r="I8" s="31">
        <v>2022</v>
      </c>
      <c r="J8" s="136">
        <f t="shared" si="2"/>
        <v>239119.5</v>
      </c>
      <c r="K8" s="137">
        <f t="shared" si="3"/>
        <v>10800</v>
      </c>
      <c r="L8" s="138">
        <f t="shared" si="4"/>
        <v>446579.16666666669</v>
      </c>
      <c r="M8" s="139">
        <f t="shared" si="5"/>
        <v>27000</v>
      </c>
      <c r="N8" s="136">
        <f t="shared" si="6"/>
        <v>25791.833333333332</v>
      </c>
      <c r="O8" s="137">
        <f t="shared" si="7"/>
        <v>13500</v>
      </c>
      <c r="P8" s="138">
        <f t="shared" si="8"/>
        <v>898720.5</v>
      </c>
      <c r="Q8" s="139">
        <f t="shared" si="9"/>
        <v>13500</v>
      </c>
      <c r="R8" s="136">
        <f t="shared" si="10"/>
        <v>0</v>
      </c>
      <c r="S8" s="137">
        <f t="shared" si="11"/>
        <v>0</v>
      </c>
      <c r="T8" s="138">
        <f t="shared" si="12"/>
        <v>0</v>
      </c>
      <c r="U8" s="139">
        <f t="shared" si="13"/>
        <v>0</v>
      </c>
      <c r="V8" s="136">
        <f t="shared" si="14"/>
        <v>0</v>
      </c>
      <c r="W8" s="137">
        <f t="shared" si="15"/>
        <v>0</v>
      </c>
      <c r="X8" s="138">
        <f t="shared" si="16"/>
        <v>962436</v>
      </c>
      <c r="Y8" s="139">
        <f t="shared" si="17"/>
        <v>54000</v>
      </c>
      <c r="Z8" s="136">
        <f t="shared" si="18"/>
        <v>1325015.1666666667</v>
      </c>
      <c r="AA8" s="137">
        <f t="shared" si="19"/>
        <v>21600</v>
      </c>
      <c r="AB8" s="138">
        <f t="shared" si="20"/>
        <v>107702</v>
      </c>
      <c r="AC8" s="139">
        <f t="shared" si="21"/>
        <v>38592.9</v>
      </c>
      <c r="AD8" s="136">
        <f t="shared" si="22"/>
        <v>590122.16666666663</v>
      </c>
      <c r="AE8" s="137">
        <f t="shared" si="23"/>
        <v>21600</v>
      </c>
      <c r="AF8" s="138">
        <f t="shared" si="24"/>
        <v>0</v>
      </c>
      <c r="AG8" s="139">
        <f t="shared" si="25"/>
        <v>27000</v>
      </c>
      <c r="AH8" s="136">
        <f t="shared" si="26"/>
        <v>509290</v>
      </c>
      <c r="AI8" s="137">
        <f t="shared" si="27"/>
        <v>72044</v>
      </c>
      <c r="AJ8" s="138">
        <f t="shared" si="28"/>
        <v>141002</v>
      </c>
      <c r="AK8" s="139">
        <f t="shared" si="29"/>
        <v>483070</v>
      </c>
      <c r="AL8" s="136">
        <f t="shared" si="30"/>
        <v>0</v>
      </c>
      <c r="AM8" s="137">
        <f t="shared" si="31"/>
        <v>0</v>
      </c>
      <c r="AN8" s="138">
        <f t="shared" si="32"/>
        <v>0</v>
      </c>
      <c r="AO8" s="139">
        <f t="shared" si="33"/>
        <v>0</v>
      </c>
      <c r="AP8" s="136">
        <f t="shared" si="34"/>
        <v>0</v>
      </c>
      <c r="AQ8" s="137">
        <f t="shared" si="35"/>
        <v>0</v>
      </c>
      <c r="AV8" s="31">
        <v>3</v>
      </c>
      <c r="AW8" s="31">
        <v>2022</v>
      </c>
      <c r="AX8" s="100">
        <f>'Hurricane panel'!$G17</f>
        <v>2</v>
      </c>
      <c r="AY8" s="176">
        <f t="shared" si="36"/>
        <v>0</v>
      </c>
      <c r="AZ8" s="176">
        <f t="shared" si="37"/>
        <v>0</v>
      </c>
      <c r="BA8" s="185">
        <f>'Hurricane panel'!$G18</f>
        <v>5</v>
      </c>
      <c r="BB8" s="182">
        <f t="shared" si="38"/>
        <v>6611605958.333333</v>
      </c>
      <c r="BC8" s="179">
        <f t="shared" si="39"/>
        <v>3261872053.8333335</v>
      </c>
      <c r="BK8" s="30"/>
      <c r="BL8" s="30"/>
      <c r="BM8" s="30"/>
      <c r="BN8" s="30"/>
      <c r="BO8" s="30"/>
      <c r="BP8" s="30"/>
      <c r="BQ8" s="95"/>
      <c r="BR8" s="95"/>
      <c r="BS8" s="95"/>
    </row>
    <row r="9" spans="1:72" ht="21.75" thickBot="1" x14ac:dyDescent="0.3">
      <c r="H9" s="31">
        <v>4</v>
      </c>
      <c r="I9" s="31">
        <v>2023</v>
      </c>
      <c r="J9" s="136">
        <f t="shared" si="2"/>
        <v>239119.5</v>
      </c>
      <c r="K9" s="137">
        <f t="shared" si="3"/>
        <v>10800</v>
      </c>
      <c r="L9" s="138">
        <f t="shared" si="4"/>
        <v>446579.16666666669</v>
      </c>
      <c r="M9" s="139">
        <f t="shared" si="5"/>
        <v>27000</v>
      </c>
      <c r="N9" s="136">
        <f t="shared" si="6"/>
        <v>25791.833333333332</v>
      </c>
      <c r="O9" s="137">
        <f t="shared" si="7"/>
        <v>13500</v>
      </c>
      <c r="P9" s="138">
        <f t="shared" si="8"/>
        <v>898720.5</v>
      </c>
      <c r="Q9" s="139">
        <f t="shared" si="9"/>
        <v>13500</v>
      </c>
      <c r="R9" s="136">
        <f t="shared" si="10"/>
        <v>0</v>
      </c>
      <c r="S9" s="137">
        <f t="shared" si="11"/>
        <v>0</v>
      </c>
      <c r="T9" s="138">
        <f t="shared" si="12"/>
        <v>0</v>
      </c>
      <c r="U9" s="139">
        <f t="shared" si="13"/>
        <v>0</v>
      </c>
      <c r="V9" s="136">
        <f t="shared" si="14"/>
        <v>0</v>
      </c>
      <c r="W9" s="137">
        <f t="shared" si="15"/>
        <v>0</v>
      </c>
      <c r="X9" s="138">
        <f t="shared" si="16"/>
        <v>962436</v>
      </c>
      <c r="Y9" s="139">
        <f t="shared" si="17"/>
        <v>54000</v>
      </c>
      <c r="Z9" s="136">
        <f t="shared" si="18"/>
        <v>1325015.1666666667</v>
      </c>
      <c r="AA9" s="137">
        <f t="shared" si="19"/>
        <v>21600</v>
      </c>
      <c r="AB9" s="138">
        <f t="shared" si="20"/>
        <v>107702</v>
      </c>
      <c r="AC9" s="139">
        <f t="shared" si="21"/>
        <v>38592.9</v>
      </c>
      <c r="AD9" s="136">
        <f t="shared" si="22"/>
        <v>590122.16666666663</v>
      </c>
      <c r="AE9" s="137">
        <f t="shared" si="23"/>
        <v>21600</v>
      </c>
      <c r="AF9" s="138">
        <f t="shared" si="24"/>
        <v>0</v>
      </c>
      <c r="AG9" s="139">
        <f t="shared" si="25"/>
        <v>27000</v>
      </c>
      <c r="AH9" s="136">
        <f t="shared" si="26"/>
        <v>509290</v>
      </c>
      <c r="AI9" s="137">
        <f t="shared" si="27"/>
        <v>72044</v>
      </c>
      <c r="AJ9" s="138">
        <f t="shared" si="28"/>
        <v>141002</v>
      </c>
      <c r="AK9" s="139">
        <f t="shared" si="29"/>
        <v>483070</v>
      </c>
      <c r="AL9" s="136">
        <f t="shared" si="30"/>
        <v>0</v>
      </c>
      <c r="AM9" s="137">
        <f t="shared" si="31"/>
        <v>0</v>
      </c>
      <c r="AN9" s="138">
        <f t="shared" si="32"/>
        <v>0</v>
      </c>
      <c r="AO9" s="139">
        <f t="shared" si="33"/>
        <v>0</v>
      </c>
      <c r="AP9" s="136">
        <f t="shared" si="34"/>
        <v>0</v>
      </c>
      <c r="AQ9" s="137">
        <f t="shared" si="35"/>
        <v>0</v>
      </c>
      <c r="AV9" s="31">
        <v>4</v>
      </c>
      <c r="AW9" s="31">
        <v>2023</v>
      </c>
      <c r="AX9" s="100">
        <f>'Hurricane panel'!$H17</f>
        <v>0</v>
      </c>
      <c r="AY9" s="176">
        <f t="shared" si="36"/>
        <v>0</v>
      </c>
      <c r="AZ9" s="176">
        <f t="shared" si="37"/>
        <v>0</v>
      </c>
      <c r="BA9" s="185">
        <f>'Hurricane panel'!$H18</f>
        <v>0</v>
      </c>
      <c r="BB9" s="182">
        <f t="shared" si="38"/>
        <v>0</v>
      </c>
      <c r="BC9" s="179">
        <f t="shared" si="39"/>
        <v>0</v>
      </c>
      <c r="BG9" s="110" t="s">
        <v>95</v>
      </c>
      <c r="BH9" s="111">
        <f>BK7</f>
        <v>3773475325</v>
      </c>
      <c r="BJ9" s="158" t="s">
        <v>118</v>
      </c>
      <c r="BQ9" s="95"/>
      <c r="BR9" s="95"/>
      <c r="BS9" s="95"/>
    </row>
    <row r="10" spans="1:72" ht="45.75" thickBot="1" x14ac:dyDescent="0.3">
      <c r="A10" s="85" t="s">
        <v>7</v>
      </c>
      <c r="B10" s="86" t="s">
        <v>85</v>
      </c>
      <c r="C10" s="86" t="s">
        <v>0</v>
      </c>
      <c r="D10" s="86" t="s">
        <v>1</v>
      </c>
      <c r="E10" s="86" t="s">
        <v>49</v>
      </c>
      <c r="F10" s="86" t="s">
        <v>86</v>
      </c>
      <c r="G10" s="86" t="s">
        <v>47</v>
      </c>
      <c r="H10" s="31">
        <v>5</v>
      </c>
      <c r="I10" s="31">
        <v>2024</v>
      </c>
      <c r="J10" s="136">
        <f t="shared" si="2"/>
        <v>239119.5</v>
      </c>
      <c r="K10" s="137">
        <f t="shared" si="3"/>
        <v>10800</v>
      </c>
      <c r="L10" s="138">
        <f t="shared" si="4"/>
        <v>446579.16666666669</v>
      </c>
      <c r="M10" s="139">
        <f t="shared" si="5"/>
        <v>27000</v>
      </c>
      <c r="N10" s="136">
        <f t="shared" si="6"/>
        <v>25791.833333333332</v>
      </c>
      <c r="O10" s="137">
        <f t="shared" si="7"/>
        <v>13500</v>
      </c>
      <c r="P10" s="138">
        <f t="shared" si="8"/>
        <v>898720.5</v>
      </c>
      <c r="Q10" s="139">
        <f t="shared" si="9"/>
        <v>13500</v>
      </c>
      <c r="R10" s="136">
        <f t="shared" si="10"/>
        <v>0</v>
      </c>
      <c r="S10" s="137">
        <f t="shared" si="11"/>
        <v>0</v>
      </c>
      <c r="T10" s="138">
        <f t="shared" si="12"/>
        <v>0</v>
      </c>
      <c r="U10" s="139">
        <f t="shared" si="13"/>
        <v>0</v>
      </c>
      <c r="V10" s="136">
        <f t="shared" si="14"/>
        <v>0</v>
      </c>
      <c r="W10" s="137">
        <f t="shared" si="15"/>
        <v>0</v>
      </c>
      <c r="X10" s="138">
        <f t="shared" si="16"/>
        <v>962436</v>
      </c>
      <c r="Y10" s="139">
        <f t="shared" si="17"/>
        <v>54000</v>
      </c>
      <c r="Z10" s="136">
        <f t="shared" si="18"/>
        <v>1325015.1666666667</v>
      </c>
      <c r="AA10" s="137">
        <f t="shared" si="19"/>
        <v>21600</v>
      </c>
      <c r="AB10" s="138">
        <f t="shared" si="20"/>
        <v>107702</v>
      </c>
      <c r="AC10" s="139">
        <f t="shared" si="21"/>
        <v>38592.9</v>
      </c>
      <c r="AD10" s="136">
        <f t="shared" si="22"/>
        <v>590122.16666666663</v>
      </c>
      <c r="AE10" s="137">
        <f t="shared" si="23"/>
        <v>21600</v>
      </c>
      <c r="AF10" s="138">
        <f t="shared" si="24"/>
        <v>0</v>
      </c>
      <c r="AG10" s="139">
        <f t="shared" si="25"/>
        <v>27000</v>
      </c>
      <c r="AH10" s="136">
        <f t="shared" si="26"/>
        <v>509290</v>
      </c>
      <c r="AI10" s="137">
        <f t="shared" si="27"/>
        <v>72044</v>
      </c>
      <c r="AJ10" s="138">
        <f t="shared" si="28"/>
        <v>141002</v>
      </c>
      <c r="AK10" s="139">
        <f t="shared" si="29"/>
        <v>483070</v>
      </c>
      <c r="AL10" s="136">
        <f t="shared" si="30"/>
        <v>0</v>
      </c>
      <c r="AM10" s="137">
        <f t="shared" si="31"/>
        <v>0</v>
      </c>
      <c r="AN10" s="138">
        <f t="shared" si="32"/>
        <v>0</v>
      </c>
      <c r="AO10" s="139">
        <f t="shared" si="33"/>
        <v>0</v>
      </c>
      <c r="AP10" s="136">
        <f t="shared" si="34"/>
        <v>0</v>
      </c>
      <c r="AQ10" s="137">
        <f t="shared" si="35"/>
        <v>0</v>
      </c>
      <c r="AV10" s="31">
        <v>5</v>
      </c>
      <c r="AW10" s="31">
        <v>2024</v>
      </c>
      <c r="AX10" s="100">
        <f>'Hurricane panel'!$I17</f>
        <v>2</v>
      </c>
      <c r="AY10" s="176">
        <f t="shared" si="36"/>
        <v>0</v>
      </c>
      <c r="AZ10" s="176">
        <f t="shared" si="37"/>
        <v>0</v>
      </c>
      <c r="BA10" s="185">
        <f>'Hurricane panel'!$I18</f>
        <v>0</v>
      </c>
      <c r="BB10" s="182">
        <f t="shared" si="38"/>
        <v>0</v>
      </c>
      <c r="BC10" s="179">
        <f t="shared" si="39"/>
        <v>0</v>
      </c>
      <c r="BG10" s="112" t="s">
        <v>96</v>
      </c>
      <c r="BH10" s="146">
        <f>BK14</f>
        <v>6611605958.333333</v>
      </c>
      <c r="BJ10" s="156"/>
      <c r="BK10" s="154" t="str">
        <f t="shared" ref="BK10:BP10" si="40">BK3</f>
        <v>% of manufactured (fixed) capital moderately destroyed</v>
      </c>
      <c r="BL10" s="154" t="str">
        <f t="shared" si="40"/>
        <v>% of manufactured (fixed) capital irreparably destroyed</v>
      </c>
      <c r="BM10" s="154" t="str">
        <f t="shared" si="40"/>
        <v>Number of productive work days lost</v>
      </c>
      <c r="BN10" s="154" t="str">
        <f t="shared" si="40"/>
        <v>Number of deaths per 1000 of the population</v>
      </c>
      <c r="BO10" s="154" t="str">
        <f t="shared" si="40"/>
        <v>Number of permanent disabilities per 1000 of the population</v>
      </c>
      <c r="BP10" s="155" t="str">
        <f t="shared" si="40"/>
        <v>Number of serious injuries per 1000 of the population</v>
      </c>
      <c r="BQ10" s="95"/>
      <c r="BR10" s="95"/>
      <c r="BS10" s="95"/>
    </row>
    <row r="11" spans="1:72" x14ac:dyDescent="0.25">
      <c r="A11" s="87" t="str">
        <f>'Cost panel'!B16</f>
        <v>1 General structural repairs</v>
      </c>
      <c r="B11" s="205">
        <f>'Cost panel'!C16*1000000</f>
        <v>1434717</v>
      </c>
      <c r="C11" s="127">
        <f>'Cost panel'!D16</f>
        <v>6</v>
      </c>
      <c r="D11" s="260">
        <f>'Cost panel'!E16</f>
        <v>2020</v>
      </c>
      <c r="E11" s="260">
        <f>IF(D11&gt;0,D11+C11-1,0)</f>
        <v>2025</v>
      </c>
      <c r="F11" s="206">
        <f>'Cost panel'!F16*1000000</f>
        <v>10800</v>
      </c>
      <c r="G11" s="119">
        <f>J5+K5</f>
        <v>2068197.55732485</v>
      </c>
      <c r="H11" s="31">
        <v>6</v>
      </c>
      <c r="I11" s="31">
        <v>2025</v>
      </c>
      <c r="J11" s="136">
        <f t="shared" si="2"/>
        <v>239119.5</v>
      </c>
      <c r="K11" s="137">
        <f t="shared" si="3"/>
        <v>10800</v>
      </c>
      <c r="L11" s="138">
        <f t="shared" si="4"/>
        <v>446579.16666666669</v>
      </c>
      <c r="M11" s="139">
        <f t="shared" si="5"/>
        <v>27000</v>
      </c>
      <c r="N11" s="136">
        <f t="shared" si="6"/>
        <v>25791.833333333332</v>
      </c>
      <c r="O11" s="137">
        <f t="shared" si="7"/>
        <v>13500</v>
      </c>
      <c r="P11" s="138">
        <f t="shared" si="8"/>
        <v>898720.5</v>
      </c>
      <c r="Q11" s="139">
        <f t="shared" si="9"/>
        <v>13500</v>
      </c>
      <c r="R11" s="136">
        <f t="shared" si="10"/>
        <v>0</v>
      </c>
      <c r="S11" s="137">
        <f t="shared" si="11"/>
        <v>0</v>
      </c>
      <c r="T11" s="138">
        <f t="shared" si="12"/>
        <v>0</v>
      </c>
      <c r="U11" s="139">
        <f t="shared" si="13"/>
        <v>0</v>
      </c>
      <c r="V11" s="136">
        <f t="shared" si="14"/>
        <v>0</v>
      </c>
      <c r="W11" s="137">
        <f t="shared" si="15"/>
        <v>0</v>
      </c>
      <c r="X11" s="138">
        <f t="shared" si="16"/>
        <v>962436</v>
      </c>
      <c r="Y11" s="139">
        <f t="shared" si="17"/>
        <v>54000</v>
      </c>
      <c r="Z11" s="136">
        <f t="shared" si="18"/>
        <v>1325015.1666666667</v>
      </c>
      <c r="AA11" s="137">
        <f t="shared" si="19"/>
        <v>21600</v>
      </c>
      <c r="AB11" s="138">
        <f t="shared" si="20"/>
        <v>107702</v>
      </c>
      <c r="AC11" s="139">
        <f t="shared" si="21"/>
        <v>38592.9</v>
      </c>
      <c r="AD11" s="136">
        <f t="shared" si="22"/>
        <v>590122.16666666663</v>
      </c>
      <c r="AE11" s="137">
        <f t="shared" si="23"/>
        <v>21600</v>
      </c>
      <c r="AF11" s="138">
        <f t="shared" si="24"/>
        <v>0</v>
      </c>
      <c r="AG11" s="139">
        <f t="shared" si="25"/>
        <v>27000</v>
      </c>
      <c r="AH11" s="136">
        <f t="shared" si="26"/>
        <v>509290</v>
      </c>
      <c r="AI11" s="137">
        <f t="shared" si="27"/>
        <v>72044</v>
      </c>
      <c r="AJ11" s="138">
        <f t="shared" si="28"/>
        <v>141002</v>
      </c>
      <c r="AK11" s="139">
        <f t="shared" si="29"/>
        <v>483070</v>
      </c>
      <c r="AL11" s="136">
        <f t="shared" si="30"/>
        <v>0</v>
      </c>
      <c r="AM11" s="137">
        <f t="shared" si="31"/>
        <v>0</v>
      </c>
      <c r="AN11" s="138">
        <f t="shared" si="32"/>
        <v>0</v>
      </c>
      <c r="AO11" s="139">
        <f t="shared" si="33"/>
        <v>0</v>
      </c>
      <c r="AP11" s="136">
        <f t="shared" si="34"/>
        <v>0</v>
      </c>
      <c r="AQ11" s="137">
        <f t="shared" si="35"/>
        <v>0</v>
      </c>
      <c r="AV11" s="31">
        <v>6</v>
      </c>
      <c r="AW11" s="31">
        <v>2025</v>
      </c>
      <c r="AX11" s="100">
        <f>'Hurricane panel'!$J17</f>
        <v>1</v>
      </c>
      <c r="AY11" s="176">
        <f t="shared" si="36"/>
        <v>0</v>
      </c>
      <c r="AZ11" s="176">
        <f t="shared" si="37"/>
        <v>0</v>
      </c>
      <c r="BA11" s="185">
        <f>'Hurricane panel'!$J18</f>
        <v>0</v>
      </c>
      <c r="BB11" s="182">
        <f t="shared" si="38"/>
        <v>0</v>
      </c>
      <c r="BC11" s="179">
        <f t="shared" si="39"/>
        <v>0</v>
      </c>
      <c r="BG11" s="112" t="s">
        <v>97</v>
      </c>
      <c r="BH11" s="146">
        <f>BK22</f>
        <v>1463097198.1666667</v>
      </c>
      <c r="BJ11" s="110" t="s">
        <v>51</v>
      </c>
      <c r="BK11" s="159">
        <f>'Impact panel'!C32</f>
        <v>0.5</v>
      </c>
      <c r="BL11" s="159">
        <f>'Impact panel'!D32</f>
        <v>0.3</v>
      </c>
      <c r="BM11" s="160">
        <f>'Impact panel'!E32</f>
        <v>50</v>
      </c>
      <c r="BN11" s="231">
        <f>'Impact panel'!F32</f>
        <v>0.5</v>
      </c>
      <c r="BO11" s="231">
        <f>'Impact panel'!G32</f>
        <v>0.2</v>
      </c>
      <c r="BP11" s="232">
        <f>'Impact panel'!H32</f>
        <v>1.5</v>
      </c>
      <c r="BQ11" s="95"/>
      <c r="BR11" s="95"/>
      <c r="BS11" s="95"/>
    </row>
    <row r="12" spans="1:72" ht="15.75" thickBot="1" x14ac:dyDescent="0.3">
      <c r="A12" s="88" t="str">
        <f>'Cost panel'!B17</f>
        <v>2 General building repairs</v>
      </c>
      <c r="B12" s="203">
        <f>'Cost panel'!C17*1000000</f>
        <v>2679475</v>
      </c>
      <c r="C12" s="117">
        <f>'Cost panel'!D17</f>
        <v>6</v>
      </c>
      <c r="D12" s="261">
        <f>'Cost panel'!E17</f>
        <v>2020</v>
      </c>
      <c r="E12" s="261">
        <f t="shared" ref="E12:E17" si="41">IF(D12&gt;0,D12+C12-1,0)</f>
        <v>2025</v>
      </c>
      <c r="F12" s="118">
        <f>'Cost panel'!F17*1000000</f>
        <v>27000</v>
      </c>
      <c r="G12" s="119">
        <f>L5+M5</f>
        <v>3930279.7726678816</v>
      </c>
      <c r="H12" s="31">
        <v>7</v>
      </c>
      <c r="I12" s="31">
        <v>2026</v>
      </c>
      <c r="J12" s="136"/>
      <c r="K12" s="137">
        <f t="shared" si="3"/>
        <v>10800</v>
      </c>
      <c r="L12" s="138"/>
      <c r="M12" s="139">
        <f t="shared" si="5"/>
        <v>27000</v>
      </c>
      <c r="N12" s="136"/>
      <c r="O12" s="137">
        <f t="shared" si="7"/>
        <v>13500</v>
      </c>
      <c r="P12" s="138"/>
      <c r="Q12" s="139">
        <f t="shared" si="9"/>
        <v>13500</v>
      </c>
      <c r="R12" s="136"/>
      <c r="S12" s="137">
        <f t="shared" si="11"/>
        <v>0</v>
      </c>
      <c r="T12" s="138"/>
      <c r="U12" s="139">
        <f t="shared" si="13"/>
        <v>0</v>
      </c>
      <c r="V12" s="136"/>
      <c r="W12" s="137">
        <f t="shared" si="15"/>
        <v>0</v>
      </c>
      <c r="X12" s="138"/>
      <c r="Y12" s="139">
        <f t="shared" si="17"/>
        <v>54000</v>
      </c>
      <c r="Z12" s="136"/>
      <c r="AA12" s="137">
        <f t="shared" si="19"/>
        <v>21600</v>
      </c>
      <c r="AB12" s="138"/>
      <c r="AC12" s="139">
        <f t="shared" si="21"/>
        <v>38592.9</v>
      </c>
      <c r="AD12" s="136"/>
      <c r="AE12" s="137">
        <f t="shared" si="23"/>
        <v>21600</v>
      </c>
      <c r="AF12" s="138"/>
      <c r="AG12" s="139">
        <f t="shared" si="25"/>
        <v>27000</v>
      </c>
      <c r="AH12" s="136"/>
      <c r="AI12" s="137">
        <f t="shared" si="27"/>
        <v>72044</v>
      </c>
      <c r="AJ12" s="138"/>
      <c r="AK12" s="139">
        <f t="shared" si="29"/>
        <v>483070</v>
      </c>
      <c r="AL12" s="136"/>
      <c r="AM12" s="137">
        <f t="shared" si="31"/>
        <v>0</v>
      </c>
      <c r="AN12" s="138"/>
      <c r="AO12" s="139">
        <f t="shared" si="33"/>
        <v>0</v>
      </c>
      <c r="AP12" s="136"/>
      <c r="AQ12" s="137">
        <f t="shared" si="35"/>
        <v>0</v>
      </c>
      <c r="AV12" s="31">
        <v>7</v>
      </c>
      <c r="AW12" s="31">
        <v>2026</v>
      </c>
      <c r="AX12" s="100">
        <f>'Hurricane panel'!$K17</f>
        <v>1</v>
      </c>
      <c r="AY12" s="176">
        <f t="shared" si="36"/>
        <v>0</v>
      </c>
      <c r="AZ12" s="176">
        <f t="shared" si="37"/>
        <v>0</v>
      </c>
      <c r="BA12" s="185">
        <f>'Hurricane panel'!$K18</f>
        <v>0</v>
      </c>
      <c r="BB12" s="182">
        <f t="shared" si="38"/>
        <v>0</v>
      </c>
      <c r="BC12" s="179">
        <f t="shared" si="39"/>
        <v>0</v>
      </c>
      <c r="BG12" s="113" t="s">
        <v>98</v>
      </c>
      <c r="BH12" s="147">
        <f>BK30</f>
        <v>3261872053.8333335</v>
      </c>
      <c r="BJ12" s="112" t="s">
        <v>52</v>
      </c>
      <c r="BK12" s="168">
        <f t="shared" ref="BK12:BP12" si="42">BK5</f>
        <v>0.4</v>
      </c>
      <c r="BL12" s="168">
        <f t="shared" si="42"/>
        <v>0.9</v>
      </c>
      <c r="BM12" s="169">
        <f t="shared" si="42"/>
        <v>240</v>
      </c>
      <c r="BN12" s="169">
        <f t="shared" si="42"/>
        <v>40</v>
      </c>
      <c r="BO12" s="170">
        <f t="shared" si="42"/>
        <v>0.5</v>
      </c>
      <c r="BP12" s="171">
        <f t="shared" si="42"/>
        <v>0.1</v>
      </c>
      <c r="BQ12" s="95"/>
      <c r="BR12" s="95"/>
      <c r="BS12" s="95"/>
    </row>
    <row r="13" spans="1:72" ht="15.75" thickBot="1" x14ac:dyDescent="0.3">
      <c r="A13" s="88" t="str">
        <f>'Cost panel'!B18</f>
        <v>3 Waste water treatment</v>
      </c>
      <c r="B13" s="203">
        <f>'Cost panel'!C18*1000000</f>
        <v>154751</v>
      </c>
      <c r="C13" s="117">
        <f>'Cost panel'!D18</f>
        <v>6</v>
      </c>
      <c r="D13" s="261">
        <f>'Cost panel'!E18</f>
        <v>2020</v>
      </c>
      <c r="E13" s="261">
        <f t="shared" si="41"/>
        <v>2025</v>
      </c>
      <c r="F13" s="118">
        <f>'Cost panel'!F18*1000000</f>
        <v>13500</v>
      </c>
      <c r="G13" s="119">
        <f>N5+O5</f>
        <v>345379.44958186592</v>
      </c>
      <c r="H13" s="31">
        <v>8</v>
      </c>
      <c r="I13" s="31">
        <v>2027</v>
      </c>
      <c r="J13" s="136"/>
      <c r="K13" s="137">
        <f t="shared" si="3"/>
        <v>10800</v>
      </c>
      <c r="L13" s="138"/>
      <c r="M13" s="139">
        <f t="shared" si="5"/>
        <v>27000</v>
      </c>
      <c r="N13" s="136"/>
      <c r="O13" s="137">
        <f t="shared" si="7"/>
        <v>13500</v>
      </c>
      <c r="P13" s="138"/>
      <c r="Q13" s="139">
        <f t="shared" si="9"/>
        <v>13500</v>
      </c>
      <c r="R13" s="136"/>
      <c r="S13" s="137">
        <f t="shared" si="11"/>
        <v>0</v>
      </c>
      <c r="T13" s="138"/>
      <c r="U13" s="139">
        <f t="shared" si="13"/>
        <v>0</v>
      </c>
      <c r="V13" s="136"/>
      <c r="W13" s="137">
        <f t="shared" si="15"/>
        <v>0</v>
      </c>
      <c r="X13" s="138"/>
      <c r="Y13" s="139">
        <f t="shared" si="17"/>
        <v>54000</v>
      </c>
      <c r="Z13" s="136"/>
      <c r="AA13" s="137">
        <f t="shared" si="19"/>
        <v>21600</v>
      </c>
      <c r="AB13" s="138"/>
      <c r="AC13" s="139">
        <f t="shared" si="21"/>
        <v>38592.9</v>
      </c>
      <c r="AD13" s="136"/>
      <c r="AE13" s="137">
        <f t="shared" si="23"/>
        <v>21600</v>
      </c>
      <c r="AF13" s="138"/>
      <c r="AG13" s="139">
        <f t="shared" si="25"/>
        <v>27000</v>
      </c>
      <c r="AH13" s="136"/>
      <c r="AI13" s="137">
        <f t="shared" si="27"/>
        <v>72044</v>
      </c>
      <c r="AJ13" s="138"/>
      <c r="AK13" s="139">
        <f t="shared" si="29"/>
        <v>483070</v>
      </c>
      <c r="AL13" s="136"/>
      <c r="AM13" s="137">
        <f t="shared" si="31"/>
        <v>0</v>
      </c>
      <c r="AN13" s="138"/>
      <c r="AO13" s="139">
        <f t="shared" si="33"/>
        <v>0</v>
      </c>
      <c r="AP13" s="136"/>
      <c r="AQ13" s="137">
        <f t="shared" si="35"/>
        <v>0</v>
      </c>
      <c r="AV13" s="31">
        <v>8</v>
      </c>
      <c r="AW13" s="31">
        <v>2027</v>
      </c>
      <c r="AX13" s="100">
        <f>'Hurricane panel'!$L17</f>
        <v>1</v>
      </c>
      <c r="AY13" s="176">
        <f t="shared" si="36"/>
        <v>0</v>
      </c>
      <c r="AZ13" s="176">
        <f t="shared" si="37"/>
        <v>0</v>
      </c>
      <c r="BA13" s="185">
        <f>'Hurricane panel'!$L18</f>
        <v>0</v>
      </c>
      <c r="BB13" s="182">
        <f t="shared" si="38"/>
        <v>0</v>
      </c>
      <c r="BC13" s="179">
        <f t="shared" si="39"/>
        <v>0</v>
      </c>
      <c r="BJ13" s="113" t="s">
        <v>53</v>
      </c>
      <c r="BK13" s="165">
        <f>BH$4*BK12*BK11</f>
        <v>2683590000</v>
      </c>
      <c r="BL13" s="165">
        <f>BH$4*BL12*BL11</f>
        <v>3622846500</v>
      </c>
      <c r="BM13" s="165">
        <f>BM11/BM12*BH$3*BH$7</f>
        <v>270833333.33333331</v>
      </c>
      <c r="BN13" s="165">
        <f>BH$7/1000*BN11*(BH$6-BN12)*BH$5</f>
        <v>22890750</v>
      </c>
      <c r="BO13" s="165">
        <f>BH$7/1000*BO11*(BH$6-BN12)*BO12*BH$5</f>
        <v>4578150.0000000009</v>
      </c>
      <c r="BP13" s="166">
        <f>BH$7/1000*BP11*(BH$6-BN12)*BP12*BH$5</f>
        <v>6867225</v>
      </c>
    </row>
    <row r="14" spans="1:72" ht="15.75" thickBot="1" x14ac:dyDescent="0.3">
      <c r="A14" s="88" t="str">
        <f>'Cost panel'!B19</f>
        <v>4 General electric</v>
      </c>
      <c r="B14" s="203">
        <f>'Cost panel'!C19*1000000</f>
        <v>5392323</v>
      </c>
      <c r="C14" s="117">
        <f>'Cost panel'!D19</f>
        <v>6</v>
      </c>
      <c r="D14" s="261">
        <f>'Cost panel'!E19</f>
        <v>2020</v>
      </c>
      <c r="E14" s="261">
        <f t="shared" si="41"/>
        <v>2025</v>
      </c>
      <c r="F14" s="118">
        <f>'Cost panel'!F19*1000000</f>
        <v>13500</v>
      </c>
      <c r="G14" s="119">
        <f>P5+Q5</f>
        <v>7504627.1796112256</v>
      </c>
      <c r="H14" s="31">
        <v>9</v>
      </c>
      <c r="I14" s="31">
        <v>2028</v>
      </c>
      <c r="J14" s="136"/>
      <c r="K14" s="137">
        <f t="shared" si="3"/>
        <v>10800</v>
      </c>
      <c r="L14" s="138"/>
      <c r="M14" s="139">
        <f t="shared" si="5"/>
        <v>27000</v>
      </c>
      <c r="N14" s="136"/>
      <c r="O14" s="137">
        <f t="shared" si="7"/>
        <v>13500</v>
      </c>
      <c r="P14" s="138"/>
      <c r="Q14" s="139">
        <f t="shared" si="9"/>
        <v>13500</v>
      </c>
      <c r="R14" s="136"/>
      <c r="S14" s="137">
        <f t="shared" si="11"/>
        <v>0</v>
      </c>
      <c r="T14" s="138"/>
      <c r="U14" s="139">
        <f t="shared" si="13"/>
        <v>0</v>
      </c>
      <c r="V14" s="136"/>
      <c r="W14" s="137">
        <f t="shared" si="15"/>
        <v>0</v>
      </c>
      <c r="X14" s="138"/>
      <c r="Y14" s="139">
        <f t="shared" si="17"/>
        <v>54000</v>
      </c>
      <c r="Z14" s="136"/>
      <c r="AA14" s="137">
        <f t="shared" si="19"/>
        <v>21600</v>
      </c>
      <c r="AB14" s="138"/>
      <c r="AC14" s="139">
        <f t="shared" si="21"/>
        <v>38592.9</v>
      </c>
      <c r="AD14" s="136"/>
      <c r="AE14" s="137">
        <f t="shared" si="23"/>
        <v>21600</v>
      </c>
      <c r="AF14" s="138"/>
      <c r="AG14" s="139">
        <f t="shared" si="25"/>
        <v>27000</v>
      </c>
      <c r="AH14" s="136"/>
      <c r="AI14" s="137">
        <f t="shared" si="27"/>
        <v>72044</v>
      </c>
      <c r="AJ14" s="138"/>
      <c r="AK14" s="139">
        <f t="shared" si="29"/>
        <v>483070</v>
      </c>
      <c r="AL14" s="136"/>
      <c r="AM14" s="137">
        <f t="shared" si="31"/>
        <v>0</v>
      </c>
      <c r="AN14" s="138"/>
      <c r="AO14" s="139">
        <f t="shared" si="33"/>
        <v>0</v>
      </c>
      <c r="AP14" s="136"/>
      <c r="AQ14" s="137">
        <f t="shared" si="35"/>
        <v>0</v>
      </c>
      <c r="AV14" s="31">
        <v>9</v>
      </c>
      <c r="AW14" s="31">
        <v>2028</v>
      </c>
      <c r="AX14" s="100">
        <f>'Hurricane panel'!$M17</f>
        <v>0</v>
      </c>
      <c r="AY14" s="176">
        <f t="shared" si="36"/>
        <v>0</v>
      </c>
      <c r="AZ14" s="176">
        <f t="shared" si="37"/>
        <v>0</v>
      </c>
      <c r="BA14" s="185">
        <f>'Hurricane panel'!$M18</f>
        <v>0</v>
      </c>
      <c r="BB14" s="182">
        <f t="shared" si="38"/>
        <v>0</v>
      </c>
      <c r="BC14" s="179">
        <f t="shared" si="39"/>
        <v>0</v>
      </c>
      <c r="BJ14" s="109" t="s">
        <v>55</v>
      </c>
      <c r="BK14" s="167">
        <f>SUM(BK13:BP13)</f>
        <v>6611605958.333333</v>
      </c>
    </row>
    <row r="15" spans="1:72" x14ac:dyDescent="0.25">
      <c r="A15" s="88">
        <f>'Cost panel'!B20</f>
        <v>5</v>
      </c>
      <c r="B15" s="203">
        <f>'Cost panel'!C20*1000000</f>
        <v>0</v>
      </c>
      <c r="C15" s="117">
        <f>'Cost panel'!D20</f>
        <v>0</v>
      </c>
      <c r="D15" s="261">
        <f>'Cost panel'!E20</f>
        <v>0</v>
      </c>
      <c r="E15" s="261">
        <f t="shared" si="41"/>
        <v>0</v>
      </c>
      <c r="F15" s="118">
        <f>'Cost panel'!F20*1000000</f>
        <v>0</v>
      </c>
      <c r="G15" s="119">
        <f>R5+S5</f>
        <v>0</v>
      </c>
      <c r="H15" s="31">
        <v>10</v>
      </c>
      <c r="I15" s="31">
        <v>2029</v>
      </c>
      <c r="J15" s="136"/>
      <c r="K15" s="137">
        <f t="shared" si="3"/>
        <v>10800</v>
      </c>
      <c r="L15" s="138"/>
      <c r="M15" s="139">
        <f t="shared" si="5"/>
        <v>27000</v>
      </c>
      <c r="N15" s="136"/>
      <c r="O15" s="137">
        <f t="shared" si="7"/>
        <v>13500</v>
      </c>
      <c r="P15" s="138"/>
      <c r="Q15" s="139">
        <f t="shared" si="9"/>
        <v>13500</v>
      </c>
      <c r="R15" s="136"/>
      <c r="S15" s="137">
        <f t="shared" si="11"/>
        <v>0</v>
      </c>
      <c r="T15" s="138"/>
      <c r="U15" s="139">
        <f t="shared" si="13"/>
        <v>0</v>
      </c>
      <c r="V15" s="136"/>
      <c r="W15" s="137">
        <f t="shared" si="15"/>
        <v>0</v>
      </c>
      <c r="X15" s="138"/>
      <c r="Y15" s="139">
        <f t="shared" si="17"/>
        <v>54000</v>
      </c>
      <c r="Z15" s="136"/>
      <c r="AA15" s="137">
        <f t="shared" si="19"/>
        <v>21600</v>
      </c>
      <c r="AB15" s="138"/>
      <c r="AC15" s="139">
        <f t="shared" si="21"/>
        <v>38592.9</v>
      </c>
      <c r="AD15" s="136"/>
      <c r="AE15" s="137">
        <f t="shared" si="23"/>
        <v>21600</v>
      </c>
      <c r="AF15" s="138"/>
      <c r="AG15" s="139">
        <f t="shared" si="25"/>
        <v>27000</v>
      </c>
      <c r="AH15" s="136"/>
      <c r="AI15" s="137">
        <f t="shared" si="27"/>
        <v>72044</v>
      </c>
      <c r="AJ15" s="138"/>
      <c r="AK15" s="139">
        <f t="shared" si="29"/>
        <v>483070</v>
      </c>
      <c r="AL15" s="136"/>
      <c r="AM15" s="137">
        <f t="shared" si="31"/>
        <v>0</v>
      </c>
      <c r="AN15" s="138"/>
      <c r="AO15" s="139">
        <f t="shared" si="33"/>
        <v>0</v>
      </c>
      <c r="AP15" s="136"/>
      <c r="AQ15" s="137">
        <f t="shared" si="35"/>
        <v>0</v>
      </c>
      <c r="AV15" s="31">
        <v>10</v>
      </c>
      <c r="AW15" s="31">
        <v>2029</v>
      </c>
      <c r="AX15" s="100">
        <f>'Hurricane panel'!$N17</f>
        <v>0</v>
      </c>
      <c r="AY15" s="176">
        <f t="shared" si="36"/>
        <v>0</v>
      </c>
      <c r="AZ15" s="176">
        <f t="shared" si="37"/>
        <v>0</v>
      </c>
      <c r="BA15" s="185">
        <f>'Hurricane panel'!$N18</f>
        <v>0</v>
      </c>
      <c r="BB15" s="182">
        <f t="shared" si="38"/>
        <v>0</v>
      </c>
      <c r="BC15" s="179">
        <f t="shared" si="39"/>
        <v>0</v>
      </c>
      <c r="BJ15" s="157"/>
    </row>
    <row r="16" spans="1:72" x14ac:dyDescent="0.25">
      <c r="A16" s="88">
        <f>'Cost panel'!B21</f>
        <v>6</v>
      </c>
      <c r="B16" s="203">
        <f>'Cost panel'!C21*1000000</f>
        <v>0</v>
      </c>
      <c r="C16" s="117">
        <f>'Cost panel'!D21</f>
        <v>0</v>
      </c>
      <c r="D16" s="261">
        <f>'Cost panel'!E21</f>
        <v>0</v>
      </c>
      <c r="E16" s="261">
        <f t="shared" si="41"/>
        <v>0</v>
      </c>
      <c r="F16" s="118">
        <f>'Cost panel'!F21*1000000</f>
        <v>0</v>
      </c>
      <c r="G16" s="119">
        <f>T5+U5</f>
        <v>0</v>
      </c>
      <c r="H16" s="31">
        <v>11</v>
      </c>
      <c r="I16" s="31">
        <v>2030</v>
      </c>
      <c r="J16" s="136"/>
      <c r="K16" s="137">
        <f t="shared" si="3"/>
        <v>10800</v>
      </c>
      <c r="L16" s="138"/>
      <c r="M16" s="139">
        <f t="shared" si="5"/>
        <v>27000</v>
      </c>
      <c r="N16" s="136"/>
      <c r="O16" s="137">
        <f t="shared" si="7"/>
        <v>13500</v>
      </c>
      <c r="P16" s="138"/>
      <c r="Q16" s="139">
        <f t="shared" si="9"/>
        <v>13500</v>
      </c>
      <c r="R16" s="136"/>
      <c r="S16" s="137">
        <f t="shared" si="11"/>
        <v>0</v>
      </c>
      <c r="T16" s="138"/>
      <c r="U16" s="139">
        <f t="shared" si="13"/>
        <v>0</v>
      </c>
      <c r="V16" s="136"/>
      <c r="W16" s="137">
        <f t="shared" si="15"/>
        <v>0</v>
      </c>
      <c r="X16" s="138"/>
      <c r="Y16" s="139">
        <f t="shared" si="17"/>
        <v>54000</v>
      </c>
      <c r="Z16" s="136"/>
      <c r="AA16" s="137">
        <f t="shared" si="19"/>
        <v>21600</v>
      </c>
      <c r="AB16" s="138"/>
      <c r="AC16" s="139">
        <f t="shared" si="21"/>
        <v>38592.9</v>
      </c>
      <c r="AD16" s="136"/>
      <c r="AE16" s="137">
        <f t="shared" si="23"/>
        <v>21600</v>
      </c>
      <c r="AF16" s="138"/>
      <c r="AG16" s="139">
        <f t="shared" si="25"/>
        <v>27000</v>
      </c>
      <c r="AH16" s="136"/>
      <c r="AI16" s="137">
        <f t="shared" si="27"/>
        <v>72044</v>
      </c>
      <c r="AJ16" s="138"/>
      <c r="AK16" s="139">
        <f t="shared" si="29"/>
        <v>483070</v>
      </c>
      <c r="AL16" s="136"/>
      <c r="AM16" s="137">
        <f t="shared" si="31"/>
        <v>0</v>
      </c>
      <c r="AN16" s="138"/>
      <c r="AO16" s="139">
        <f t="shared" si="33"/>
        <v>0</v>
      </c>
      <c r="AP16" s="136"/>
      <c r="AQ16" s="137">
        <f t="shared" si="35"/>
        <v>0</v>
      </c>
      <c r="AV16" s="31">
        <v>11</v>
      </c>
      <c r="AW16" s="31">
        <v>2030</v>
      </c>
      <c r="AX16" s="100">
        <f>'Hurricane panel'!$O17</f>
        <v>0</v>
      </c>
      <c r="AY16" s="176">
        <f t="shared" si="36"/>
        <v>0</v>
      </c>
      <c r="AZ16" s="176">
        <f t="shared" si="37"/>
        <v>0</v>
      </c>
      <c r="BA16" s="185">
        <f>'Hurricane panel'!$O18</f>
        <v>0</v>
      </c>
      <c r="BB16" s="182">
        <f t="shared" si="38"/>
        <v>0</v>
      </c>
      <c r="BC16" s="179">
        <f t="shared" si="39"/>
        <v>0</v>
      </c>
    </row>
    <row r="17" spans="1:69" ht="21.75" thickBot="1" x14ac:dyDescent="0.3">
      <c r="A17" s="89">
        <f>'Cost panel'!B22</f>
        <v>7</v>
      </c>
      <c r="B17" s="204">
        <f>'Cost panel'!C22*1000000</f>
        <v>0</v>
      </c>
      <c r="C17" s="121">
        <f>'Cost panel'!D22</f>
        <v>0</v>
      </c>
      <c r="D17" s="262">
        <f>'Cost panel'!E22</f>
        <v>0</v>
      </c>
      <c r="E17" s="262">
        <f t="shared" si="41"/>
        <v>0</v>
      </c>
      <c r="F17" s="122">
        <f>'Cost panel'!F22*1000000</f>
        <v>0</v>
      </c>
      <c r="G17" s="123">
        <f>V5+W5</f>
        <v>0</v>
      </c>
      <c r="H17" s="31">
        <v>12</v>
      </c>
      <c r="I17" s="31">
        <v>2031</v>
      </c>
      <c r="J17" s="136"/>
      <c r="K17" s="137">
        <f t="shared" si="3"/>
        <v>10800</v>
      </c>
      <c r="L17" s="138"/>
      <c r="M17" s="139">
        <f t="shared" si="5"/>
        <v>27000</v>
      </c>
      <c r="N17" s="136"/>
      <c r="O17" s="137">
        <f t="shared" si="7"/>
        <v>13500</v>
      </c>
      <c r="P17" s="138"/>
      <c r="Q17" s="139">
        <f t="shared" si="9"/>
        <v>13500</v>
      </c>
      <c r="R17" s="136"/>
      <c r="S17" s="137">
        <f t="shared" si="11"/>
        <v>0</v>
      </c>
      <c r="T17" s="138"/>
      <c r="U17" s="139">
        <f t="shared" si="13"/>
        <v>0</v>
      </c>
      <c r="V17" s="136"/>
      <c r="W17" s="137">
        <f t="shared" si="15"/>
        <v>0</v>
      </c>
      <c r="X17" s="138"/>
      <c r="Y17" s="139">
        <f t="shared" si="17"/>
        <v>54000</v>
      </c>
      <c r="Z17" s="136"/>
      <c r="AA17" s="137">
        <f t="shared" si="19"/>
        <v>21600</v>
      </c>
      <c r="AB17" s="138"/>
      <c r="AC17" s="139">
        <f t="shared" si="21"/>
        <v>38592.9</v>
      </c>
      <c r="AD17" s="136"/>
      <c r="AE17" s="137">
        <f t="shared" si="23"/>
        <v>21600</v>
      </c>
      <c r="AF17" s="138"/>
      <c r="AG17" s="139">
        <f t="shared" si="25"/>
        <v>27000</v>
      </c>
      <c r="AH17" s="136"/>
      <c r="AI17" s="137">
        <f t="shared" si="27"/>
        <v>72044</v>
      </c>
      <c r="AJ17" s="138"/>
      <c r="AK17" s="139">
        <f t="shared" si="29"/>
        <v>483070</v>
      </c>
      <c r="AL17" s="136"/>
      <c r="AM17" s="137">
        <f t="shared" si="31"/>
        <v>0</v>
      </c>
      <c r="AN17" s="138"/>
      <c r="AO17" s="139">
        <f t="shared" si="33"/>
        <v>0</v>
      </c>
      <c r="AP17" s="136"/>
      <c r="AQ17" s="137">
        <f t="shared" si="35"/>
        <v>0</v>
      </c>
      <c r="AV17" s="31">
        <v>12</v>
      </c>
      <c r="AW17" s="31">
        <v>2031</v>
      </c>
      <c r="AX17" s="100">
        <f>'Hurricane panel'!$P17</f>
        <v>0</v>
      </c>
      <c r="AY17" s="176">
        <f t="shared" si="36"/>
        <v>0</v>
      </c>
      <c r="AZ17" s="176">
        <f t="shared" si="37"/>
        <v>0</v>
      </c>
      <c r="BA17" s="185">
        <f>'Hurricane panel'!$P18</f>
        <v>0</v>
      </c>
      <c r="BB17" s="182">
        <f t="shared" si="38"/>
        <v>0</v>
      </c>
      <c r="BC17" s="179">
        <f t="shared" si="39"/>
        <v>0</v>
      </c>
      <c r="BJ17" s="158" t="s">
        <v>120</v>
      </c>
    </row>
    <row r="18" spans="1:69" ht="45.75" thickBot="1" x14ac:dyDescent="0.3">
      <c r="B18" s="124"/>
      <c r="C18" s="124"/>
      <c r="D18" s="124"/>
      <c r="E18" s="124"/>
      <c r="F18" s="124"/>
      <c r="G18" s="125">
        <f>SUM(G11:G17)</f>
        <v>13848483.959185824</v>
      </c>
      <c r="H18" s="31">
        <v>13</v>
      </c>
      <c r="I18" s="31">
        <v>2032</v>
      </c>
      <c r="J18" s="136"/>
      <c r="K18" s="137">
        <f t="shared" si="3"/>
        <v>10800</v>
      </c>
      <c r="L18" s="138"/>
      <c r="M18" s="139">
        <f t="shared" si="5"/>
        <v>27000</v>
      </c>
      <c r="N18" s="136"/>
      <c r="O18" s="137">
        <f t="shared" si="7"/>
        <v>13500</v>
      </c>
      <c r="P18" s="138"/>
      <c r="Q18" s="139">
        <f t="shared" si="9"/>
        <v>13500</v>
      </c>
      <c r="R18" s="136"/>
      <c r="S18" s="137">
        <f t="shared" si="11"/>
        <v>0</v>
      </c>
      <c r="T18" s="138"/>
      <c r="U18" s="139">
        <f t="shared" si="13"/>
        <v>0</v>
      </c>
      <c r="V18" s="136"/>
      <c r="W18" s="137">
        <f t="shared" si="15"/>
        <v>0</v>
      </c>
      <c r="X18" s="138"/>
      <c r="Y18" s="139">
        <f t="shared" si="17"/>
        <v>54000</v>
      </c>
      <c r="Z18" s="136"/>
      <c r="AA18" s="137">
        <f t="shared" si="19"/>
        <v>21600</v>
      </c>
      <c r="AB18" s="138"/>
      <c r="AC18" s="139">
        <f t="shared" si="21"/>
        <v>38592.9</v>
      </c>
      <c r="AD18" s="136"/>
      <c r="AE18" s="137">
        <f t="shared" si="23"/>
        <v>21600</v>
      </c>
      <c r="AF18" s="138"/>
      <c r="AG18" s="139">
        <f t="shared" si="25"/>
        <v>27000</v>
      </c>
      <c r="AH18" s="136"/>
      <c r="AI18" s="137">
        <f t="shared" si="27"/>
        <v>72044</v>
      </c>
      <c r="AJ18" s="138"/>
      <c r="AK18" s="139">
        <f t="shared" si="29"/>
        <v>483070</v>
      </c>
      <c r="AL18" s="136"/>
      <c r="AM18" s="137">
        <f t="shared" si="31"/>
        <v>0</v>
      </c>
      <c r="AN18" s="138"/>
      <c r="AO18" s="139">
        <f t="shared" si="33"/>
        <v>0</v>
      </c>
      <c r="AP18" s="136"/>
      <c r="AQ18" s="137">
        <f t="shared" si="35"/>
        <v>0</v>
      </c>
      <c r="AV18" s="31">
        <v>13</v>
      </c>
      <c r="AW18" s="31">
        <v>2032</v>
      </c>
      <c r="AX18" s="100">
        <f>'Hurricane panel'!$Q17</f>
        <v>1</v>
      </c>
      <c r="AY18" s="176">
        <f t="shared" si="36"/>
        <v>0</v>
      </c>
      <c r="AZ18" s="176">
        <f t="shared" si="37"/>
        <v>0</v>
      </c>
      <c r="BA18" s="185">
        <f>'Hurricane panel'!$Q18</f>
        <v>5</v>
      </c>
      <c r="BB18" s="182">
        <f t="shared" si="38"/>
        <v>6611605958.333333</v>
      </c>
      <c r="BC18" s="179">
        <f t="shared" si="39"/>
        <v>3261872053.8333335</v>
      </c>
      <c r="BJ18" s="156"/>
      <c r="BK18" s="154" t="str">
        <f t="shared" ref="BK18:BP18" si="43">BK10</f>
        <v>% of manufactured (fixed) capital moderately destroyed</v>
      </c>
      <c r="BL18" s="154" t="str">
        <f t="shared" si="43"/>
        <v>% of manufactured (fixed) capital irreparably destroyed</v>
      </c>
      <c r="BM18" s="154" t="str">
        <f t="shared" si="43"/>
        <v>Number of productive work days lost</v>
      </c>
      <c r="BN18" s="154" t="str">
        <f t="shared" si="43"/>
        <v>Number of deaths per 1000 of the population</v>
      </c>
      <c r="BO18" s="154" t="str">
        <f t="shared" si="43"/>
        <v>Number of permanent disabilities per 1000 of the population</v>
      </c>
      <c r="BP18" s="155" t="str">
        <f t="shared" si="43"/>
        <v>Number of serious injuries per 1000 of the population</v>
      </c>
    </row>
    <row r="19" spans="1:69" x14ac:dyDescent="0.25">
      <c r="B19" s="124"/>
      <c r="C19" s="124"/>
      <c r="D19" s="124"/>
      <c r="E19" s="124"/>
      <c r="F19" s="124"/>
      <c r="G19" s="124"/>
      <c r="H19" s="31">
        <v>14</v>
      </c>
      <c r="I19" s="31">
        <v>2033</v>
      </c>
      <c r="J19" s="136"/>
      <c r="K19" s="137">
        <f t="shared" si="3"/>
        <v>10800</v>
      </c>
      <c r="L19" s="138"/>
      <c r="M19" s="139">
        <f t="shared" si="5"/>
        <v>27000</v>
      </c>
      <c r="N19" s="136"/>
      <c r="O19" s="137">
        <f t="shared" si="7"/>
        <v>13500</v>
      </c>
      <c r="P19" s="138"/>
      <c r="Q19" s="139">
        <f t="shared" si="9"/>
        <v>13500</v>
      </c>
      <c r="R19" s="136"/>
      <c r="S19" s="137">
        <f t="shared" si="11"/>
        <v>0</v>
      </c>
      <c r="T19" s="138"/>
      <c r="U19" s="139">
        <f t="shared" si="13"/>
        <v>0</v>
      </c>
      <c r="V19" s="136"/>
      <c r="W19" s="137">
        <f t="shared" si="15"/>
        <v>0</v>
      </c>
      <c r="X19" s="138"/>
      <c r="Y19" s="139">
        <f t="shared" si="17"/>
        <v>54000</v>
      </c>
      <c r="Z19" s="136"/>
      <c r="AA19" s="137">
        <f t="shared" si="19"/>
        <v>21600</v>
      </c>
      <c r="AB19" s="138"/>
      <c r="AC19" s="139">
        <f t="shared" si="21"/>
        <v>38592.9</v>
      </c>
      <c r="AD19" s="136"/>
      <c r="AE19" s="137">
        <f t="shared" si="23"/>
        <v>21600</v>
      </c>
      <c r="AF19" s="138"/>
      <c r="AG19" s="139">
        <f t="shared" si="25"/>
        <v>27000</v>
      </c>
      <c r="AH19" s="136"/>
      <c r="AI19" s="137">
        <f t="shared" si="27"/>
        <v>72044</v>
      </c>
      <c r="AJ19" s="138"/>
      <c r="AK19" s="139">
        <f t="shared" si="29"/>
        <v>483070</v>
      </c>
      <c r="AL19" s="136"/>
      <c r="AM19" s="137">
        <f t="shared" si="31"/>
        <v>0</v>
      </c>
      <c r="AN19" s="138"/>
      <c r="AO19" s="139">
        <f t="shared" si="33"/>
        <v>0</v>
      </c>
      <c r="AP19" s="136"/>
      <c r="AQ19" s="137">
        <f t="shared" si="35"/>
        <v>0</v>
      </c>
      <c r="AV19" s="31">
        <v>14</v>
      </c>
      <c r="AW19" s="31">
        <v>2033</v>
      </c>
      <c r="AX19" s="100">
        <f>'Hurricane panel'!$R17</f>
        <v>1</v>
      </c>
      <c r="AY19" s="176">
        <f t="shared" si="36"/>
        <v>0</v>
      </c>
      <c r="AZ19" s="176">
        <f t="shared" si="37"/>
        <v>0</v>
      </c>
      <c r="BA19" s="185">
        <f>'Hurricane panel'!$R18</f>
        <v>0</v>
      </c>
      <c r="BB19" s="182">
        <f t="shared" si="38"/>
        <v>0</v>
      </c>
      <c r="BC19" s="179">
        <f t="shared" si="39"/>
        <v>0</v>
      </c>
      <c r="BJ19" s="110" t="s">
        <v>51</v>
      </c>
      <c r="BK19" s="159">
        <f>'Impact panel'!L22</f>
        <v>0.15</v>
      </c>
      <c r="BL19" s="159">
        <f>'Impact panel'!M22</f>
        <v>0.05</v>
      </c>
      <c r="BM19" s="160">
        <f>'Impact panel'!N22</f>
        <v>10</v>
      </c>
      <c r="BN19" s="233">
        <f>'Impact panel'!O22</f>
        <v>0</v>
      </c>
      <c r="BO19" s="233">
        <f>'Impact panel'!P22</f>
        <v>0</v>
      </c>
      <c r="BP19" s="234">
        <f>'Impact panel'!Q22</f>
        <v>0.01</v>
      </c>
    </row>
    <row r="20" spans="1:69" ht="15.75" thickBot="1" x14ac:dyDescent="0.3">
      <c r="B20" s="124"/>
      <c r="C20" s="124"/>
      <c r="D20" s="124"/>
      <c r="E20" s="124"/>
      <c r="F20" s="124"/>
      <c r="G20" s="124"/>
      <c r="H20" s="31">
        <v>15</v>
      </c>
      <c r="I20" s="31">
        <v>2034</v>
      </c>
      <c r="J20" s="136"/>
      <c r="K20" s="137">
        <f t="shared" si="3"/>
        <v>10800</v>
      </c>
      <c r="L20" s="138"/>
      <c r="M20" s="139">
        <f t="shared" si="5"/>
        <v>27000</v>
      </c>
      <c r="N20" s="136"/>
      <c r="O20" s="137">
        <f t="shared" si="7"/>
        <v>13500</v>
      </c>
      <c r="P20" s="138"/>
      <c r="Q20" s="139">
        <f t="shared" si="9"/>
        <v>13500</v>
      </c>
      <c r="R20" s="136"/>
      <c r="S20" s="137">
        <f t="shared" si="11"/>
        <v>0</v>
      </c>
      <c r="T20" s="138"/>
      <c r="U20" s="139">
        <f t="shared" si="13"/>
        <v>0</v>
      </c>
      <c r="V20" s="136"/>
      <c r="W20" s="137">
        <f t="shared" si="15"/>
        <v>0</v>
      </c>
      <c r="X20" s="138"/>
      <c r="Y20" s="139">
        <f t="shared" si="17"/>
        <v>54000</v>
      </c>
      <c r="Z20" s="136"/>
      <c r="AA20" s="137">
        <f t="shared" si="19"/>
        <v>21600</v>
      </c>
      <c r="AB20" s="138"/>
      <c r="AC20" s="139">
        <f t="shared" si="21"/>
        <v>38592.9</v>
      </c>
      <c r="AD20" s="136"/>
      <c r="AE20" s="137">
        <f t="shared" si="23"/>
        <v>21600</v>
      </c>
      <c r="AF20" s="138"/>
      <c r="AG20" s="139">
        <f t="shared" si="25"/>
        <v>27000</v>
      </c>
      <c r="AH20" s="136"/>
      <c r="AI20" s="137">
        <f t="shared" si="27"/>
        <v>72044</v>
      </c>
      <c r="AJ20" s="138"/>
      <c r="AK20" s="139">
        <f t="shared" si="29"/>
        <v>483070</v>
      </c>
      <c r="AL20" s="136"/>
      <c r="AM20" s="137">
        <f t="shared" si="31"/>
        <v>0</v>
      </c>
      <c r="AN20" s="138"/>
      <c r="AO20" s="139">
        <f t="shared" si="33"/>
        <v>0</v>
      </c>
      <c r="AP20" s="136"/>
      <c r="AQ20" s="137">
        <f t="shared" si="35"/>
        <v>0</v>
      </c>
      <c r="AV20" s="31">
        <v>15</v>
      </c>
      <c r="AW20" s="31">
        <v>2034</v>
      </c>
      <c r="AX20" s="100">
        <f>'Hurricane panel'!$S17</f>
        <v>2</v>
      </c>
      <c r="AY20" s="176">
        <f t="shared" si="36"/>
        <v>0</v>
      </c>
      <c r="AZ20" s="176">
        <f t="shared" si="37"/>
        <v>0</v>
      </c>
      <c r="BA20" s="185">
        <f>'Hurricane panel'!$S18</f>
        <v>0</v>
      </c>
      <c r="BB20" s="182">
        <f t="shared" si="38"/>
        <v>0</v>
      </c>
      <c r="BC20" s="179">
        <f t="shared" si="39"/>
        <v>0</v>
      </c>
      <c r="BJ20" s="112" t="s">
        <v>52</v>
      </c>
      <c r="BK20" s="168">
        <f t="shared" ref="BK20:BP20" si="44">BK12</f>
        <v>0.4</v>
      </c>
      <c r="BL20" s="168">
        <f t="shared" si="44"/>
        <v>0.9</v>
      </c>
      <c r="BM20" s="169">
        <f t="shared" si="44"/>
        <v>240</v>
      </c>
      <c r="BN20" s="169">
        <f t="shared" si="44"/>
        <v>40</v>
      </c>
      <c r="BO20" s="170">
        <f t="shared" si="44"/>
        <v>0.5</v>
      </c>
      <c r="BP20" s="171">
        <f t="shared" si="44"/>
        <v>0.1</v>
      </c>
    </row>
    <row r="21" spans="1:69" ht="15.75" thickBot="1" x14ac:dyDescent="0.3">
      <c r="A21" s="207" t="str">
        <f>'Cost panel'!B23</f>
        <v>8 Extreme weather resistance</v>
      </c>
      <c r="B21" s="126">
        <f>'Cost panel'!G23*1000000</f>
        <v>5774616</v>
      </c>
      <c r="C21" s="127">
        <f>'Cost panel'!H23</f>
        <v>6</v>
      </c>
      <c r="D21" s="260">
        <f>'Cost panel'!I23</f>
        <v>2020</v>
      </c>
      <c r="E21" s="260">
        <f>IF(D21&gt;0,D21+C21-1,0)</f>
        <v>2025</v>
      </c>
      <c r="F21" s="128">
        <f>'Cost panel'!J23*1000000</f>
        <v>54000</v>
      </c>
      <c r="G21" s="129">
        <f>X5+Y5</f>
        <v>8428734.2390584219</v>
      </c>
      <c r="H21" s="31">
        <v>16</v>
      </c>
      <c r="I21" s="31">
        <v>2035</v>
      </c>
      <c r="J21" s="136"/>
      <c r="K21" s="137">
        <f t="shared" si="3"/>
        <v>10800</v>
      </c>
      <c r="L21" s="138"/>
      <c r="M21" s="139">
        <f t="shared" si="5"/>
        <v>27000</v>
      </c>
      <c r="N21" s="136"/>
      <c r="O21" s="137">
        <f t="shared" si="7"/>
        <v>13500</v>
      </c>
      <c r="P21" s="138"/>
      <c r="Q21" s="139">
        <f t="shared" si="9"/>
        <v>13500</v>
      </c>
      <c r="R21" s="136"/>
      <c r="S21" s="137">
        <f t="shared" si="11"/>
        <v>0</v>
      </c>
      <c r="T21" s="138"/>
      <c r="U21" s="139">
        <f t="shared" si="13"/>
        <v>0</v>
      </c>
      <c r="V21" s="136"/>
      <c r="W21" s="137">
        <f t="shared" si="15"/>
        <v>0</v>
      </c>
      <c r="X21" s="138"/>
      <c r="Y21" s="139">
        <f t="shared" si="17"/>
        <v>54000</v>
      </c>
      <c r="Z21" s="136"/>
      <c r="AA21" s="137">
        <f t="shared" si="19"/>
        <v>21600</v>
      </c>
      <c r="AB21" s="138"/>
      <c r="AC21" s="139">
        <f t="shared" si="21"/>
        <v>38592.9</v>
      </c>
      <c r="AD21" s="136"/>
      <c r="AE21" s="137">
        <f t="shared" si="23"/>
        <v>21600</v>
      </c>
      <c r="AF21" s="138"/>
      <c r="AG21" s="139">
        <f t="shared" si="25"/>
        <v>27000</v>
      </c>
      <c r="AH21" s="136"/>
      <c r="AI21" s="137">
        <f t="shared" si="27"/>
        <v>72044</v>
      </c>
      <c r="AJ21" s="138"/>
      <c r="AK21" s="139">
        <f t="shared" si="29"/>
        <v>483070</v>
      </c>
      <c r="AL21" s="136"/>
      <c r="AM21" s="137">
        <f t="shared" si="31"/>
        <v>0</v>
      </c>
      <c r="AN21" s="138"/>
      <c r="AO21" s="139">
        <f t="shared" si="33"/>
        <v>0</v>
      </c>
      <c r="AP21" s="136"/>
      <c r="AQ21" s="137">
        <f t="shared" si="35"/>
        <v>0</v>
      </c>
      <c r="AV21" s="31">
        <v>16</v>
      </c>
      <c r="AW21" s="31">
        <v>2035</v>
      </c>
      <c r="AX21" s="100">
        <f>'Hurricane panel'!$T17</f>
        <v>0</v>
      </c>
      <c r="AY21" s="176">
        <f t="shared" si="36"/>
        <v>0</v>
      </c>
      <c r="AZ21" s="176">
        <f t="shared" si="37"/>
        <v>0</v>
      </c>
      <c r="BA21" s="185">
        <f>'Hurricane panel'!$T18</f>
        <v>0</v>
      </c>
      <c r="BB21" s="182">
        <f t="shared" si="38"/>
        <v>0</v>
      </c>
      <c r="BC21" s="179">
        <f t="shared" si="39"/>
        <v>0</v>
      </c>
      <c r="BJ21" s="113" t="s">
        <v>53</v>
      </c>
      <c r="BK21" s="165">
        <f>BH$4*BK20*BK19</f>
        <v>805077000</v>
      </c>
      <c r="BL21" s="165">
        <f>BH$4*BL20*BL19</f>
        <v>603807750</v>
      </c>
      <c r="BM21" s="165">
        <f>BM19/BM20*BH$3*BH$7</f>
        <v>54166666.666666664</v>
      </c>
      <c r="BN21" s="165">
        <f>BH$7/1000*BN19*(BH$6-BN20)*BH$5</f>
        <v>0</v>
      </c>
      <c r="BO21" s="165">
        <f>BH$7/1000*BO19*(BH$6-BN20)*BO20*BH$5</f>
        <v>0</v>
      </c>
      <c r="BP21" s="166">
        <f>BH$7/1000*BP19*(BH$6-BN20)*BP20*BH$5</f>
        <v>45781.5</v>
      </c>
    </row>
    <row r="22" spans="1:69" ht="15.75" thickBot="1" x14ac:dyDescent="0.3">
      <c r="A22" s="208" t="str">
        <f>'Cost panel'!B24</f>
        <v>9 Solar PV  + Batteries (on-site)</v>
      </c>
      <c r="B22" s="116">
        <f>'Cost panel'!G24*1000000</f>
        <v>7950091</v>
      </c>
      <c r="C22" s="117">
        <f>'Cost panel'!H24</f>
        <v>6</v>
      </c>
      <c r="D22" s="261">
        <f>'Cost panel'!I24</f>
        <v>2020</v>
      </c>
      <c r="E22" s="261">
        <f t="shared" ref="E22:E30" si="45">IF(D22&gt;0,D22+C22-1,0)</f>
        <v>2025</v>
      </c>
      <c r="F22" s="130">
        <f>'Cost panel'!J24*1000000</f>
        <v>21600</v>
      </c>
      <c r="G22" s="119">
        <f>+Z5+AA5</f>
        <v>11081155.414710067</v>
      </c>
      <c r="H22" s="31">
        <v>17</v>
      </c>
      <c r="I22" s="31">
        <v>2036</v>
      </c>
      <c r="J22" s="136"/>
      <c r="K22" s="137">
        <f t="shared" si="3"/>
        <v>10800</v>
      </c>
      <c r="L22" s="138"/>
      <c r="M22" s="139">
        <f t="shared" si="5"/>
        <v>27000</v>
      </c>
      <c r="N22" s="136"/>
      <c r="O22" s="137">
        <f t="shared" si="7"/>
        <v>13500</v>
      </c>
      <c r="P22" s="138"/>
      <c r="Q22" s="139">
        <f t="shared" si="9"/>
        <v>13500</v>
      </c>
      <c r="R22" s="136"/>
      <c r="S22" s="137">
        <f t="shared" si="11"/>
        <v>0</v>
      </c>
      <c r="T22" s="138"/>
      <c r="U22" s="139">
        <f t="shared" si="13"/>
        <v>0</v>
      </c>
      <c r="V22" s="136"/>
      <c r="W22" s="137">
        <f t="shared" si="15"/>
        <v>0</v>
      </c>
      <c r="X22" s="138"/>
      <c r="Y22" s="139">
        <f t="shared" si="17"/>
        <v>54000</v>
      </c>
      <c r="Z22" s="136"/>
      <c r="AA22" s="137">
        <f t="shared" si="19"/>
        <v>21600</v>
      </c>
      <c r="AB22" s="138"/>
      <c r="AC22" s="139">
        <f t="shared" si="21"/>
        <v>38592.9</v>
      </c>
      <c r="AD22" s="136"/>
      <c r="AE22" s="137">
        <f t="shared" si="23"/>
        <v>21600</v>
      </c>
      <c r="AF22" s="138"/>
      <c r="AG22" s="139">
        <f t="shared" si="25"/>
        <v>27000</v>
      </c>
      <c r="AH22" s="136"/>
      <c r="AI22" s="137">
        <f t="shared" si="27"/>
        <v>72044</v>
      </c>
      <c r="AJ22" s="138"/>
      <c r="AK22" s="139">
        <f t="shared" si="29"/>
        <v>483070</v>
      </c>
      <c r="AL22" s="136"/>
      <c r="AM22" s="137">
        <f t="shared" si="31"/>
        <v>0</v>
      </c>
      <c r="AN22" s="138"/>
      <c r="AO22" s="139">
        <f t="shared" si="33"/>
        <v>0</v>
      </c>
      <c r="AP22" s="136"/>
      <c r="AQ22" s="137">
        <f t="shared" si="35"/>
        <v>0</v>
      </c>
      <c r="AV22" s="31">
        <v>17</v>
      </c>
      <c r="AW22" s="31">
        <v>2036</v>
      </c>
      <c r="AX22" s="100">
        <f>'Hurricane panel'!$U17</f>
        <v>0</v>
      </c>
      <c r="AY22" s="176">
        <f t="shared" si="36"/>
        <v>0</v>
      </c>
      <c r="AZ22" s="176">
        <f t="shared" si="37"/>
        <v>0</v>
      </c>
      <c r="BA22" s="185">
        <f>'Hurricane panel'!$U18</f>
        <v>0</v>
      </c>
      <c r="BB22" s="182">
        <f t="shared" si="38"/>
        <v>0</v>
      </c>
      <c r="BC22" s="179">
        <f t="shared" si="39"/>
        <v>0</v>
      </c>
      <c r="BJ22" s="109" t="s">
        <v>55</v>
      </c>
      <c r="BK22" s="167">
        <f>SUM(BK21:BP21)</f>
        <v>1463097198.1666667</v>
      </c>
    </row>
    <row r="23" spans="1:69" x14ac:dyDescent="0.25">
      <c r="A23" s="208" t="str">
        <f>'Cost panel'!B25</f>
        <v>10 Emergency RE stock (off-site)</v>
      </c>
      <c r="B23" s="116">
        <f>'Cost panel'!G25*1000000</f>
        <v>646212</v>
      </c>
      <c r="C23" s="117">
        <f>'Cost panel'!H25</f>
        <v>6</v>
      </c>
      <c r="D23" s="261">
        <f>'Cost panel'!I25</f>
        <v>2020</v>
      </c>
      <c r="E23" s="261">
        <f t="shared" si="45"/>
        <v>2025</v>
      </c>
      <c r="F23" s="130">
        <f>'Cost panel'!J25*1000000</f>
        <v>38592.9</v>
      </c>
      <c r="G23" s="119">
        <f>AB5+AC5</f>
        <v>1265949.9301152313</v>
      </c>
      <c r="H23" s="31">
        <v>18</v>
      </c>
      <c r="I23" s="31">
        <v>2037</v>
      </c>
      <c r="J23" s="136"/>
      <c r="K23" s="137">
        <f t="shared" si="3"/>
        <v>10800</v>
      </c>
      <c r="L23" s="138"/>
      <c r="M23" s="139">
        <f t="shared" si="5"/>
        <v>27000</v>
      </c>
      <c r="N23" s="136"/>
      <c r="O23" s="137">
        <f t="shared" si="7"/>
        <v>13500</v>
      </c>
      <c r="P23" s="138"/>
      <c r="Q23" s="139">
        <f t="shared" si="9"/>
        <v>13500</v>
      </c>
      <c r="R23" s="136"/>
      <c r="S23" s="137">
        <f t="shared" si="11"/>
        <v>0</v>
      </c>
      <c r="T23" s="138"/>
      <c r="U23" s="139">
        <f t="shared" si="13"/>
        <v>0</v>
      </c>
      <c r="V23" s="136"/>
      <c r="W23" s="137">
        <f t="shared" si="15"/>
        <v>0</v>
      </c>
      <c r="X23" s="138"/>
      <c r="Y23" s="139">
        <f t="shared" si="17"/>
        <v>54000</v>
      </c>
      <c r="Z23" s="136"/>
      <c r="AA23" s="137">
        <f t="shared" si="19"/>
        <v>21600</v>
      </c>
      <c r="AB23" s="138"/>
      <c r="AC23" s="139">
        <f t="shared" si="21"/>
        <v>38592.9</v>
      </c>
      <c r="AD23" s="136"/>
      <c r="AE23" s="137">
        <f t="shared" si="23"/>
        <v>21600</v>
      </c>
      <c r="AF23" s="138"/>
      <c r="AG23" s="139">
        <f t="shared" si="25"/>
        <v>27000</v>
      </c>
      <c r="AH23" s="136"/>
      <c r="AI23" s="137">
        <f t="shared" si="27"/>
        <v>72044</v>
      </c>
      <c r="AJ23" s="138"/>
      <c r="AK23" s="139">
        <f t="shared" si="29"/>
        <v>483070</v>
      </c>
      <c r="AL23" s="136"/>
      <c r="AM23" s="137">
        <f t="shared" si="31"/>
        <v>0</v>
      </c>
      <c r="AN23" s="138"/>
      <c r="AO23" s="139">
        <f t="shared" si="33"/>
        <v>0</v>
      </c>
      <c r="AP23" s="136"/>
      <c r="AQ23" s="137">
        <f t="shared" si="35"/>
        <v>0</v>
      </c>
      <c r="AV23" s="31">
        <v>18</v>
      </c>
      <c r="AW23" s="31">
        <v>2037</v>
      </c>
      <c r="AX23" s="100">
        <f>'Hurricane panel'!$V17</f>
        <v>0</v>
      </c>
      <c r="AY23" s="176">
        <f t="shared" si="36"/>
        <v>0</v>
      </c>
      <c r="AZ23" s="176">
        <f t="shared" si="37"/>
        <v>0</v>
      </c>
      <c r="BA23" s="185">
        <f>'Hurricane panel'!$V18</f>
        <v>0</v>
      </c>
      <c r="BB23" s="182">
        <f t="shared" si="38"/>
        <v>0</v>
      </c>
      <c r="BC23" s="179">
        <f t="shared" si="39"/>
        <v>0</v>
      </c>
      <c r="BJ23" s="73"/>
    </row>
    <row r="24" spans="1:69" x14ac:dyDescent="0.25">
      <c r="A24" s="208" t="str">
        <f>'Cost panel'!B26</f>
        <v>11Water supply</v>
      </c>
      <c r="B24" s="116">
        <f>'Cost panel'!G26*1000000</f>
        <v>3540733</v>
      </c>
      <c r="C24" s="117">
        <f>'Cost panel'!H26</f>
        <v>6</v>
      </c>
      <c r="D24" s="261">
        <f>'Cost panel'!I26</f>
        <v>2020</v>
      </c>
      <c r="E24" s="261">
        <f t="shared" si="45"/>
        <v>2025</v>
      </c>
      <c r="F24" s="130">
        <f>'Cost panel'!J26*1000000</f>
        <v>21600</v>
      </c>
      <c r="G24" s="119">
        <f>AD5+AE5</f>
        <v>5053995.0716375886</v>
      </c>
      <c r="H24" s="31">
        <v>19</v>
      </c>
      <c r="I24" s="31">
        <v>2038</v>
      </c>
      <c r="J24" s="136"/>
      <c r="K24" s="137">
        <f t="shared" si="3"/>
        <v>10800</v>
      </c>
      <c r="L24" s="138"/>
      <c r="M24" s="139">
        <f t="shared" si="5"/>
        <v>27000</v>
      </c>
      <c r="N24" s="136"/>
      <c r="O24" s="137">
        <f t="shared" si="7"/>
        <v>13500</v>
      </c>
      <c r="P24" s="138"/>
      <c r="Q24" s="139">
        <f t="shared" si="9"/>
        <v>13500</v>
      </c>
      <c r="R24" s="136"/>
      <c r="S24" s="137">
        <f t="shared" si="11"/>
        <v>0</v>
      </c>
      <c r="T24" s="138"/>
      <c r="U24" s="139">
        <f t="shared" si="13"/>
        <v>0</v>
      </c>
      <c r="V24" s="136"/>
      <c r="W24" s="137">
        <f t="shared" si="15"/>
        <v>0</v>
      </c>
      <c r="X24" s="138"/>
      <c r="Y24" s="139">
        <f t="shared" si="17"/>
        <v>54000</v>
      </c>
      <c r="Z24" s="136"/>
      <c r="AA24" s="137">
        <f t="shared" si="19"/>
        <v>21600</v>
      </c>
      <c r="AB24" s="138"/>
      <c r="AC24" s="139">
        <f t="shared" si="21"/>
        <v>38592.9</v>
      </c>
      <c r="AD24" s="136"/>
      <c r="AE24" s="137">
        <f t="shared" si="23"/>
        <v>21600</v>
      </c>
      <c r="AF24" s="138"/>
      <c r="AG24" s="139">
        <f t="shared" si="25"/>
        <v>27000</v>
      </c>
      <c r="AH24" s="136"/>
      <c r="AI24" s="137">
        <f t="shared" si="27"/>
        <v>72044</v>
      </c>
      <c r="AJ24" s="138"/>
      <c r="AK24" s="139">
        <f t="shared" si="29"/>
        <v>483070</v>
      </c>
      <c r="AL24" s="136"/>
      <c r="AM24" s="137">
        <f t="shared" si="31"/>
        <v>0</v>
      </c>
      <c r="AN24" s="138"/>
      <c r="AO24" s="139">
        <f t="shared" si="33"/>
        <v>0</v>
      </c>
      <c r="AP24" s="136"/>
      <c r="AQ24" s="137">
        <f t="shared" si="35"/>
        <v>0</v>
      </c>
      <c r="AV24" s="31">
        <v>19</v>
      </c>
      <c r="AW24" s="31">
        <v>2038</v>
      </c>
      <c r="AX24" s="100">
        <f>'Hurricane panel'!$W17</f>
        <v>0</v>
      </c>
      <c r="AY24" s="176">
        <f t="shared" si="36"/>
        <v>0</v>
      </c>
      <c r="AZ24" s="176">
        <f t="shared" si="37"/>
        <v>0</v>
      </c>
      <c r="BA24" s="185">
        <f>'Hurricane panel'!$W18</f>
        <v>0</v>
      </c>
      <c r="BB24" s="182">
        <f t="shared" si="38"/>
        <v>0</v>
      </c>
      <c r="BC24" s="179">
        <f t="shared" si="39"/>
        <v>0</v>
      </c>
    </row>
    <row r="25" spans="1:69" ht="21.75" thickBot="1" x14ac:dyDescent="0.3">
      <c r="A25" s="208" t="str">
        <f>'Cost panel'!B27</f>
        <v>12 Storm water drainage</v>
      </c>
      <c r="B25" s="116">
        <f>'Cost panel'!G27*1000000</f>
        <v>0</v>
      </c>
      <c r="C25" s="117">
        <f>'Cost panel'!H27</f>
        <v>6</v>
      </c>
      <c r="D25" s="261">
        <f>'Cost panel'!I27</f>
        <v>2020</v>
      </c>
      <c r="E25" s="261">
        <f t="shared" si="45"/>
        <v>2025</v>
      </c>
      <c r="F25" s="130">
        <f>'Cost panel'!J27*1000000</f>
        <v>27000</v>
      </c>
      <c r="G25" s="119">
        <f>AF5+AG5</f>
        <v>267699.99115453457</v>
      </c>
      <c r="H25" s="31">
        <v>20</v>
      </c>
      <c r="I25" s="31">
        <v>2039</v>
      </c>
      <c r="J25" s="136">
        <f>J6</f>
        <v>239119.5</v>
      </c>
      <c r="K25" s="137">
        <f t="shared" si="3"/>
        <v>10800</v>
      </c>
      <c r="L25" s="138">
        <f>L6</f>
        <v>446579.16666666669</v>
      </c>
      <c r="M25" s="139">
        <f t="shared" si="5"/>
        <v>27000</v>
      </c>
      <c r="N25" s="136">
        <f>N6</f>
        <v>25791.833333333332</v>
      </c>
      <c r="O25" s="137">
        <f t="shared" si="7"/>
        <v>13500</v>
      </c>
      <c r="P25" s="138">
        <f>P6</f>
        <v>898720.5</v>
      </c>
      <c r="Q25" s="139">
        <f t="shared" si="9"/>
        <v>13500</v>
      </c>
      <c r="R25" s="136">
        <f>R6</f>
        <v>0</v>
      </c>
      <c r="S25" s="137">
        <f t="shared" si="11"/>
        <v>0</v>
      </c>
      <c r="T25" s="138">
        <f>T6</f>
        <v>0</v>
      </c>
      <c r="U25" s="139">
        <f t="shared" si="13"/>
        <v>0</v>
      </c>
      <c r="V25" s="136">
        <f>V6</f>
        <v>0</v>
      </c>
      <c r="W25" s="137">
        <f t="shared" si="15"/>
        <v>0</v>
      </c>
      <c r="X25" s="138">
        <f>X6</f>
        <v>962436</v>
      </c>
      <c r="Y25" s="139">
        <f t="shared" si="17"/>
        <v>54000</v>
      </c>
      <c r="Z25" s="136">
        <f>Z6</f>
        <v>1325015.1666666667</v>
      </c>
      <c r="AA25" s="137">
        <f t="shared" si="19"/>
        <v>21600</v>
      </c>
      <c r="AB25" s="138">
        <f>AB6</f>
        <v>107702</v>
      </c>
      <c r="AC25" s="139">
        <f t="shared" si="21"/>
        <v>38592.9</v>
      </c>
      <c r="AD25" s="136">
        <f>AD6</f>
        <v>590122.16666666663</v>
      </c>
      <c r="AE25" s="137">
        <f t="shared" si="23"/>
        <v>21600</v>
      </c>
      <c r="AF25" s="138">
        <f>AF6</f>
        <v>0</v>
      </c>
      <c r="AG25" s="139">
        <f t="shared" si="25"/>
        <v>27000</v>
      </c>
      <c r="AH25" s="136">
        <f>AH6</f>
        <v>509290</v>
      </c>
      <c r="AI25" s="137">
        <f t="shared" si="27"/>
        <v>72044</v>
      </c>
      <c r="AJ25" s="138">
        <f>AJ6</f>
        <v>141002</v>
      </c>
      <c r="AK25" s="139">
        <f t="shared" si="29"/>
        <v>483070</v>
      </c>
      <c r="AL25" s="136">
        <f>AL6</f>
        <v>0</v>
      </c>
      <c r="AM25" s="137">
        <f t="shared" si="31"/>
        <v>0</v>
      </c>
      <c r="AN25" s="138">
        <f>AN6</f>
        <v>0</v>
      </c>
      <c r="AO25" s="139">
        <f t="shared" si="33"/>
        <v>0</v>
      </c>
      <c r="AP25" s="136">
        <f>AP6</f>
        <v>0</v>
      </c>
      <c r="AQ25" s="137">
        <f t="shared" si="35"/>
        <v>0</v>
      </c>
      <c r="AV25" s="31">
        <v>20</v>
      </c>
      <c r="AW25" s="31">
        <v>2039</v>
      </c>
      <c r="AX25" s="100">
        <f>'Hurricane panel'!$X17</f>
        <v>0</v>
      </c>
      <c r="AY25" s="176">
        <f t="shared" si="36"/>
        <v>0</v>
      </c>
      <c r="AZ25" s="176">
        <f t="shared" si="37"/>
        <v>0</v>
      </c>
      <c r="BA25" s="185">
        <f>'Hurricane panel'!$X18</f>
        <v>0</v>
      </c>
      <c r="BB25" s="182">
        <f t="shared" si="38"/>
        <v>0</v>
      </c>
      <c r="BC25" s="179">
        <f t="shared" si="39"/>
        <v>0</v>
      </c>
      <c r="BJ25" s="158" t="s">
        <v>119</v>
      </c>
    </row>
    <row r="26" spans="1:69" ht="45.75" thickBot="1" x14ac:dyDescent="0.3">
      <c r="A26" s="208" t="str">
        <f>'Cost panel'!B28</f>
        <v xml:space="preserve">13 Climate change adaptation mainstreamed into the building sector and relevant financial mechanisms. </v>
      </c>
      <c r="B26" s="116">
        <f>'Cost panel'!G28*1000000</f>
        <v>3055740</v>
      </c>
      <c r="C26" s="117">
        <f>'Cost panel'!H28</f>
        <v>6</v>
      </c>
      <c r="D26" s="261">
        <f>'Cost panel'!I28</f>
        <v>2020</v>
      </c>
      <c r="E26" s="261">
        <f t="shared" si="45"/>
        <v>2025</v>
      </c>
      <c r="F26" s="130">
        <f>'Cost panel'!J28*1000000</f>
        <v>72044</v>
      </c>
      <c r="G26" s="119">
        <f>AH5+AI5</f>
        <v>4891200.063787559</v>
      </c>
      <c r="H26" s="31">
        <v>21</v>
      </c>
      <c r="I26" s="31">
        <v>2040</v>
      </c>
      <c r="J26" s="136">
        <f t="shared" ref="J26:L30" si="46">J7</f>
        <v>239119.5</v>
      </c>
      <c r="K26" s="137">
        <f t="shared" si="3"/>
        <v>10800</v>
      </c>
      <c r="L26" s="138">
        <f t="shared" si="46"/>
        <v>446579.16666666669</v>
      </c>
      <c r="M26" s="139">
        <f t="shared" si="5"/>
        <v>27000</v>
      </c>
      <c r="N26" s="136">
        <f t="shared" ref="N26" si="47">N7</f>
        <v>25791.833333333332</v>
      </c>
      <c r="O26" s="137">
        <f t="shared" si="7"/>
        <v>13500</v>
      </c>
      <c r="P26" s="138">
        <f t="shared" ref="P26" si="48">P7</f>
        <v>898720.5</v>
      </c>
      <c r="Q26" s="139">
        <f t="shared" si="9"/>
        <v>13500</v>
      </c>
      <c r="R26" s="136">
        <f t="shared" ref="R26:R30" si="49">R7</f>
        <v>0</v>
      </c>
      <c r="S26" s="137">
        <f t="shared" si="11"/>
        <v>0</v>
      </c>
      <c r="T26" s="138">
        <f t="shared" ref="T26" si="50">T7</f>
        <v>0</v>
      </c>
      <c r="U26" s="139">
        <f t="shared" si="13"/>
        <v>0</v>
      </c>
      <c r="V26" s="136">
        <f t="shared" ref="V26:V30" si="51">V7</f>
        <v>0</v>
      </c>
      <c r="W26" s="137">
        <f t="shared" si="15"/>
        <v>0</v>
      </c>
      <c r="X26" s="138">
        <f t="shared" ref="X26" si="52">X7</f>
        <v>962436</v>
      </c>
      <c r="Y26" s="139">
        <f t="shared" si="17"/>
        <v>54000</v>
      </c>
      <c r="Z26" s="136">
        <f t="shared" ref="Z26:Z30" si="53">Z7</f>
        <v>1325015.1666666667</v>
      </c>
      <c r="AA26" s="137">
        <f t="shared" si="19"/>
        <v>21600</v>
      </c>
      <c r="AB26" s="138">
        <f t="shared" ref="AB26" si="54">AB7</f>
        <v>107702</v>
      </c>
      <c r="AC26" s="139">
        <f t="shared" si="21"/>
        <v>38592.9</v>
      </c>
      <c r="AD26" s="136">
        <f t="shared" ref="AD26:AD30" si="55">AD7</f>
        <v>590122.16666666663</v>
      </c>
      <c r="AE26" s="137">
        <f t="shared" si="23"/>
        <v>21600</v>
      </c>
      <c r="AF26" s="138">
        <f t="shared" ref="AF26" si="56">AF7</f>
        <v>0</v>
      </c>
      <c r="AG26" s="139">
        <f t="shared" si="25"/>
        <v>27000</v>
      </c>
      <c r="AH26" s="136">
        <f t="shared" ref="AH26:AH30" si="57">AH7</f>
        <v>509290</v>
      </c>
      <c r="AI26" s="137">
        <f t="shared" si="27"/>
        <v>72044</v>
      </c>
      <c r="AJ26" s="138">
        <f t="shared" ref="AJ26" si="58">AJ7</f>
        <v>141002</v>
      </c>
      <c r="AK26" s="139">
        <f t="shared" si="29"/>
        <v>483070</v>
      </c>
      <c r="AL26" s="136">
        <f t="shared" ref="AL26:AL30" si="59">AL7</f>
        <v>0</v>
      </c>
      <c r="AM26" s="137">
        <f t="shared" si="31"/>
        <v>0</v>
      </c>
      <c r="AN26" s="138">
        <f t="shared" ref="AN26" si="60">AN7</f>
        <v>0</v>
      </c>
      <c r="AO26" s="139">
        <f t="shared" si="33"/>
        <v>0</v>
      </c>
      <c r="AP26" s="136">
        <f t="shared" ref="AP26:AP30" si="61">AP7</f>
        <v>0</v>
      </c>
      <c r="AQ26" s="137">
        <f t="shared" si="35"/>
        <v>0</v>
      </c>
      <c r="AV26" s="31">
        <v>21</v>
      </c>
      <c r="AW26" s="31">
        <v>2040</v>
      </c>
      <c r="AX26" s="100">
        <f>'Hurricane panel'!$Y17</f>
        <v>2</v>
      </c>
      <c r="AY26" s="176">
        <f t="shared" si="36"/>
        <v>0</v>
      </c>
      <c r="AZ26" s="176">
        <f t="shared" si="37"/>
        <v>0</v>
      </c>
      <c r="BA26" s="185">
        <f>'Hurricane panel'!$Y18</f>
        <v>0</v>
      </c>
      <c r="BB26" s="182">
        <f t="shared" si="38"/>
        <v>0</v>
      </c>
      <c r="BC26" s="179">
        <f t="shared" si="39"/>
        <v>0</v>
      </c>
      <c r="BJ26" s="156"/>
      <c r="BK26" s="154" t="str">
        <f t="shared" ref="BK26:BP26" si="62">BK18</f>
        <v>% of manufactured (fixed) capital moderately destroyed</v>
      </c>
      <c r="BL26" s="154" t="str">
        <f t="shared" si="62"/>
        <v>% of manufactured (fixed) capital irreparably destroyed</v>
      </c>
      <c r="BM26" s="154" t="str">
        <f t="shared" si="62"/>
        <v>Number of productive work days lost</v>
      </c>
      <c r="BN26" s="154" t="str">
        <f t="shared" si="62"/>
        <v>Number of deaths per 1000 of the population</v>
      </c>
      <c r="BO26" s="154" t="str">
        <f t="shared" si="62"/>
        <v>Number of permanent disabilities per 1000 of the population</v>
      </c>
      <c r="BP26" s="155" t="str">
        <f t="shared" si="62"/>
        <v>Number of serious injuries per 1000 of the population</v>
      </c>
    </row>
    <row r="27" spans="1:69" ht="45" x14ac:dyDescent="0.25">
      <c r="A27" s="208" t="str">
        <f>'Cost panel'!B29</f>
        <v>14 Climate information services strengthened to facilitate early action within the building sector to respond to extreme climate events.</v>
      </c>
      <c r="B27" s="116">
        <f>'Cost panel'!G29*1000000</f>
        <v>846012</v>
      </c>
      <c r="C27" s="117">
        <f>'Cost panel'!H29</f>
        <v>6</v>
      </c>
      <c r="D27" s="261">
        <f>'Cost panel'!I29</f>
        <v>2020</v>
      </c>
      <c r="E27" s="261">
        <f t="shared" si="45"/>
        <v>2025</v>
      </c>
      <c r="F27" s="130">
        <f>'Cost panel'!J29*1000000</f>
        <v>483070</v>
      </c>
      <c r="G27" s="119">
        <f>AJ5+AK5</f>
        <v>5945964.9433863228</v>
      </c>
      <c r="H27" s="31">
        <v>22</v>
      </c>
      <c r="I27" s="31">
        <v>2041</v>
      </c>
      <c r="J27" s="136">
        <f t="shared" si="46"/>
        <v>239119.5</v>
      </c>
      <c r="K27" s="137">
        <f t="shared" si="3"/>
        <v>10800</v>
      </c>
      <c r="L27" s="138">
        <f t="shared" si="46"/>
        <v>446579.16666666669</v>
      </c>
      <c r="M27" s="139">
        <f t="shared" si="5"/>
        <v>27000</v>
      </c>
      <c r="N27" s="136">
        <f t="shared" ref="N27" si="63">N8</f>
        <v>25791.833333333332</v>
      </c>
      <c r="O27" s="137">
        <f t="shared" si="7"/>
        <v>13500</v>
      </c>
      <c r="P27" s="138">
        <f t="shared" ref="P27" si="64">P8</f>
        <v>898720.5</v>
      </c>
      <c r="Q27" s="139">
        <f t="shared" si="9"/>
        <v>13500</v>
      </c>
      <c r="R27" s="136">
        <f t="shared" si="49"/>
        <v>0</v>
      </c>
      <c r="S27" s="137">
        <f t="shared" si="11"/>
        <v>0</v>
      </c>
      <c r="T27" s="138">
        <f t="shared" ref="T27" si="65">T8</f>
        <v>0</v>
      </c>
      <c r="U27" s="139">
        <f t="shared" si="13"/>
        <v>0</v>
      </c>
      <c r="V27" s="136">
        <f t="shared" si="51"/>
        <v>0</v>
      </c>
      <c r="W27" s="137">
        <f t="shared" si="15"/>
        <v>0</v>
      </c>
      <c r="X27" s="138">
        <f t="shared" ref="X27" si="66">X8</f>
        <v>962436</v>
      </c>
      <c r="Y27" s="139">
        <f t="shared" si="17"/>
        <v>54000</v>
      </c>
      <c r="Z27" s="136">
        <f t="shared" si="53"/>
        <v>1325015.1666666667</v>
      </c>
      <c r="AA27" s="137">
        <f t="shared" si="19"/>
        <v>21600</v>
      </c>
      <c r="AB27" s="138">
        <f t="shared" ref="AB27" si="67">AB8</f>
        <v>107702</v>
      </c>
      <c r="AC27" s="139">
        <f t="shared" si="21"/>
        <v>38592.9</v>
      </c>
      <c r="AD27" s="136">
        <f t="shared" si="55"/>
        <v>590122.16666666663</v>
      </c>
      <c r="AE27" s="137">
        <f t="shared" si="23"/>
        <v>21600</v>
      </c>
      <c r="AF27" s="138">
        <f t="shared" ref="AF27" si="68">AF8</f>
        <v>0</v>
      </c>
      <c r="AG27" s="139">
        <f t="shared" si="25"/>
        <v>27000</v>
      </c>
      <c r="AH27" s="136">
        <f t="shared" si="57"/>
        <v>509290</v>
      </c>
      <c r="AI27" s="137">
        <f t="shared" si="27"/>
        <v>72044</v>
      </c>
      <c r="AJ27" s="138">
        <f t="shared" ref="AJ27" si="69">AJ8</f>
        <v>141002</v>
      </c>
      <c r="AK27" s="139">
        <f t="shared" si="29"/>
        <v>483070</v>
      </c>
      <c r="AL27" s="136">
        <f t="shared" si="59"/>
        <v>0</v>
      </c>
      <c r="AM27" s="137">
        <f t="shared" si="31"/>
        <v>0</v>
      </c>
      <c r="AN27" s="138">
        <f t="shared" ref="AN27" si="70">AN8</f>
        <v>0</v>
      </c>
      <c r="AO27" s="139">
        <f t="shared" si="33"/>
        <v>0</v>
      </c>
      <c r="AP27" s="136">
        <f t="shared" si="61"/>
        <v>0</v>
      </c>
      <c r="AQ27" s="137">
        <f t="shared" si="35"/>
        <v>0</v>
      </c>
      <c r="AV27" s="31">
        <v>22</v>
      </c>
      <c r="AW27" s="31">
        <v>2041</v>
      </c>
      <c r="AX27" s="100">
        <f>'Hurricane panel'!$Z17</f>
        <v>0</v>
      </c>
      <c r="AY27" s="176">
        <f t="shared" si="36"/>
        <v>0</v>
      </c>
      <c r="AZ27" s="176">
        <f t="shared" si="37"/>
        <v>0</v>
      </c>
      <c r="BA27" s="185">
        <f>'Hurricane panel'!$Z18</f>
        <v>0</v>
      </c>
      <c r="BB27" s="182">
        <f t="shared" si="38"/>
        <v>0</v>
      </c>
      <c r="BC27" s="179">
        <f t="shared" si="39"/>
        <v>0</v>
      </c>
      <c r="BJ27" s="110" t="s">
        <v>51</v>
      </c>
      <c r="BK27" s="159">
        <f>'Impact panel'!L32</f>
        <v>0.25</v>
      </c>
      <c r="BL27" s="159">
        <f>'Impact panel'!M32</f>
        <v>0.15</v>
      </c>
      <c r="BM27" s="160">
        <f>'Impact panel'!N32</f>
        <v>20</v>
      </c>
      <c r="BN27" s="233">
        <f>'Impact panel'!O32</f>
        <v>5.0000000000000001E-3</v>
      </c>
      <c r="BO27" s="233">
        <f>'Impact panel'!P32</f>
        <v>0</v>
      </c>
      <c r="BP27" s="234">
        <f>'Impact panel'!Q32</f>
        <v>0.02</v>
      </c>
    </row>
    <row r="28" spans="1:69" x14ac:dyDescent="0.25">
      <c r="A28" s="208">
        <f>'Cost panel'!B30</f>
        <v>0</v>
      </c>
      <c r="B28" s="116">
        <f>'Cost panel'!G30*1000000</f>
        <v>0</v>
      </c>
      <c r="C28" s="117">
        <f>'Cost panel'!H30</f>
        <v>0</v>
      </c>
      <c r="D28" s="261">
        <f>'Cost panel'!I30</f>
        <v>0</v>
      </c>
      <c r="E28" s="261">
        <f t="shared" si="45"/>
        <v>0</v>
      </c>
      <c r="F28" s="130">
        <f>'Cost panel'!J30*1000000</f>
        <v>0</v>
      </c>
      <c r="G28" s="119">
        <f>AL5+AM5</f>
        <v>0</v>
      </c>
      <c r="H28" s="31">
        <v>23</v>
      </c>
      <c r="I28" s="31">
        <v>2042</v>
      </c>
      <c r="J28" s="136">
        <f t="shared" si="46"/>
        <v>239119.5</v>
      </c>
      <c r="K28" s="137">
        <f t="shared" si="3"/>
        <v>10800</v>
      </c>
      <c r="L28" s="138">
        <f t="shared" si="46"/>
        <v>446579.16666666669</v>
      </c>
      <c r="M28" s="139">
        <f t="shared" si="5"/>
        <v>27000</v>
      </c>
      <c r="N28" s="136">
        <f t="shared" ref="N28" si="71">N9</f>
        <v>25791.833333333332</v>
      </c>
      <c r="O28" s="137">
        <f t="shared" si="7"/>
        <v>13500</v>
      </c>
      <c r="P28" s="138">
        <f t="shared" ref="P28" si="72">P9</f>
        <v>898720.5</v>
      </c>
      <c r="Q28" s="139">
        <f t="shared" si="9"/>
        <v>13500</v>
      </c>
      <c r="R28" s="136">
        <f t="shared" si="49"/>
        <v>0</v>
      </c>
      <c r="S28" s="137">
        <f t="shared" si="11"/>
        <v>0</v>
      </c>
      <c r="T28" s="138">
        <f t="shared" ref="T28" si="73">T9</f>
        <v>0</v>
      </c>
      <c r="U28" s="139">
        <f t="shared" si="13"/>
        <v>0</v>
      </c>
      <c r="V28" s="136">
        <f t="shared" si="51"/>
        <v>0</v>
      </c>
      <c r="W28" s="137">
        <f t="shared" si="15"/>
        <v>0</v>
      </c>
      <c r="X28" s="138">
        <f t="shared" ref="X28" si="74">X9</f>
        <v>962436</v>
      </c>
      <c r="Y28" s="139">
        <f t="shared" si="17"/>
        <v>54000</v>
      </c>
      <c r="Z28" s="136">
        <f t="shared" si="53"/>
        <v>1325015.1666666667</v>
      </c>
      <c r="AA28" s="137">
        <f t="shared" si="19"/>
        <v>21600</v>
      </c>
      <c r="AB28" s="138">
        <f t="shared" ref="AB28" si="75">AB9</f>
        <v>107702</v>
      </c>
      <c r="AC28" s="139">
        <f t="shared" si="21"/>
        <v>38592.9</v>
      </c>
      <c r="AD28" s="136">
        <f t="shared" si="55"/>
        <v>590122.16666666663</v>
      </c>
      <c r="AE28" s="137">
        <f t="shared" si="23"/>
        <v>21600</v>
      </c>
      <c r="AF28" s="138">
        <f t="shared" ref="AF28" si="76">AF9</f>
        <v>0</v>
      </c>
      <c r="AG28" s="139">
        <f t="shared" si="25"/>
        <v>27000</v>
      </c>
      <c r="AH28" s="136">
        <f t="shared" si="57"/>
        <v>509290</v>
      </c>
      <c r="AI28" s="137">
        <f t="shared" si="27"/>
        <v>72044</v>
      </c>
      <c r="AJ28" s="138">
        <f t="shared" ref="AJ28" si="77">AJ9</f>
        <v>141002</v>
      </c>
      <c r="AK28" s="139">
        <f t="shared" si="29"/>
        <v>483070</v>
      </c>
      <c r="AL28" s="136">
        <f t="shared" si="59"/>
        <v>0</v>
      </c>
      <c r="AM28" s="137">
        <f t="shared" si="31"/>
        <v>0</v>
      </c>
      <c r="AN28" s="138">
        <f t="shared" ref="AN28" si="78">AN9</f>
        <v>0</v>
      </c>
      <c r="AO28" s="139">
        <f t="shared" si="33"/>
        <v>0</v>
      </c>
      <c r="AP28" s="136">
        <f t="shared" si="61"/>
        <v>0</v>
      </c>
      <c r="AQ28" s="137">
        <f t="shared" si="35"/>
        <v>0</v>
      </c>
      <c r="AV28" s="31">
        <v>23</v>
      </c>
      <c r="AW28" s="31">
        <v>2042</v>
      </c>
      <c r="AX28" s="100">
        <f>'Hurricane panel'!$AA17</f>
        <v>1</v>
      </c>
      <c r="AY28" s="176">
        <f t="shared" si="36"/>
        <v>0</v>
      </c>
      <c r="AZ28" s="176">
        <f t="shared" si="37"/>
        <v>0</v>
      </c>
      <c r="BA28" s="185">
        <f>'Hurricane panel'!$AA18</f>
        <v>1</v>
      </c>
      <c r="BB28" s="182">
        <f t="shared" si="38"/>
        <v>0</v>
      </c>
      <c r="BC28" s="179">
        <f t="shared" si="39"/>
        <v>0</v>
      </c>
      <c r="BJ28" s="112" t="s">
        <v>52</v>
      </c>
      <c r="BK28" s="168">
        <f t="shared" ref="BK28:BP28" si="79">BK20</f>
        <v>0.4</v>
      </c>
      <c r="BL28" s="168">
        <f t="shared" si="79"/>
        <v>0.9</v>
      </c>
      <c r="BM28" s="169">
        <f t="shared" si="79"/>
        <v>240</v>
      </c>
      <c r="BN28" s="169">
        <f t="shared" si="79"/>
        <v>40</v>
      </c>
      <c r="BO28" s="170">
        <f t="shared" si="79"/>
        <v>0.5</v>
      </c>
      <c r="BP28" s="171">
        <f t="shared" si="79"/>
        <v>0.1</v>
      </c>
    </row>
    <row r="29" spans="1:69" ht="15.75" thickBot="1" x14ac:dyDescent="0.3">
      <c r="A29" s="208">
        <f>'Cost panel'!B31</f>
        <v>0</v>
      </c>
      <c r="B29" s="116">
        <f>'Cost panel'!G31*1000000</f>
        <v>0</v>
      </c>
      <c r="C29" s="117">
        <f>'Cost panel'!H31</f>
        <v>0</v>
      </c>
      <c r="D29" s="261">
        <f>'Cost panel'!I31</f>
        <v>0</v>
      </c>
      <c r="E29" s="261">
        <f t="shared" si="45"/>
        <v>0</v>
      </c>
      <c r="F29" s="130">
        <f>'Cost panel'!J31*1000000</f>
        <v>0</v>
      </c>
      <c r="G29" s="119">
        <f>AN5+AO5</f>
        <v>0</v>
      </c>
      <c r="H29" s="31">
        <v>24</v>
      </c>
      <c r="I29" s="31">
        <v>2043</v>
      </c>
      <c r="J29" s="136">
        <f t="shared" si="46"/>
        <v>239119.5</v>
      </c>
      <c r="K29" s="137">
        <f t="shared" si="3"/>
        <v>10800</v>
      </c>
      <c r="L29" s="138">
        <f t="shared" si="46"/>
        <v>446579.16666666669</v>
      </c>
      <c r="M29" s="139">
        <f t="shared" si="5"/>
        <v>27000</v>
      </c>
      <c r="N29" s="136">
        <f t="shared" ref="N29" si="80">N10</f>
        <v>25791.833333333332</v>
      </c>
      <c r="O29" s="137">
        <f t="shared" si="7"/>
        <v>13500</v>
      </c>
      <c r="P29" s="138">
        <f t="shared" ref="P29" si="81">P10</f>
        <v>898720.5</v>
      </c>
      <c r="Q29" s="139">
        <f t="shared" si="9"/>
        <v>13500</v>
      </c>
      <c r="R29" s="136">
        <f t="shared" si="49"/>
        <v>0</v>
      </c>
      <c r="S29" s="137">
        <f t="shared" si="11"/>
        <v>0</v>
      </c>
      <c r="T29" s="138">
        <f t="shared" ref="T29" si="82">T10</f>
        <v>0</v>
      </c>
      <c r="U29" s="139">
        <f t="shared" si="13"/>
        <v>0</v>
      </c>
      <c r="V29" s="136">
        <f t="shared" si="51"/>
        <v>0</v>
      </c>
      <c r="W29" s="137">
        <f t="shared" si="15"/>
        <v>0</v>
      </c>
      <c r="X29" s="138">
        <f t="shared" ref="X29" si="83">X10</f>
        <v>962436</v>
      </c>
      <c r="Y29" s="139">
        <f t="shared" si="17"/>
        <v>54000</v>
      </c>
      <c r="Z29" s="136">
        <f t="shared" si="53"/>
        <v>1325015.1666666667</v>
      </c>
      <c r="AA29" s="137">
        <f t="shared" si="19"/>
        <v>21600</v>
      </c>
      <c r="AB29" s="138">
        <f t="shared" ref="AB29" si="84">AB10</f>
        <v>107702</v>
      </c>
      <c r="AC29" s="139">
        <f t="shared" si="21"/>
        <v>38592.9</v>
      </c>
      <c r="AD29" s="136">
        <f t="shared" si="55"/>
        <v>590122.16666666663</v>
      </c>
      <c r="AE29" s="137">
        <f t="shared" si="23"/>
        <v>21600</v>
      </c>
      <c r="AF29" s="138">
        <f t="shared" ref="AF29" si="85">AF10</f>
        <v>0</v>
      </c>
      <c r="AG29" s="139">
        <f t="shared" si="25"/>
        <v>27000</v>
      </c>
      <c r="AH29" s="136">
        <f t="shared" si="57"/>
        <v>509290</v>
      </c>
      <c r="AI29" s="137">
        <f t="shared" si="27"/>
        <v>72044</v>
      </c>
      <c r="AJ29" s="138">
        <f t="shared" ref="AJ29" si="86">AJ10</f>
        <v>141002</v>
      </c>
      <c r="AK29" s="139">
        <f t="shared" si="29"/>
        <v>483070</v>
      </c>
      <c r="AL29" s="136">
        <f t="shared" si="59"/>
        <v>0</v>
      </c>
      <c r="AM29" s="137">
        <f t="shared" si="31"/>
        <v>0</v>
      </c>
      <c r="AN29" s="138">
        <f t="shared" ref="AN29" si="87">AN10</f>
        <v>0</v>
      </c>
      <c r="AO29" s="139">
        <f t="shared" si="33"/>
        <v>0</v>
      </c>
      <c r="AP29" s="136">
        <f t="shared" si="61"/>
        <v>0</v>
      </c>
      <c r="AQ29" s="137">
        <f t="shared" si="35"/>
        <v>0</v>
      </c>
      <c r="AV29" s="31">
        <v>24</v>
      </c>
      <c r="AW29" s="31">
        <v>2043</v>
      </c>
      <c r="AX29" s="100">
        <f>'Hurricane panel'!$AB17</f>
        <v>0</v>
      </c>
      <c r="AY29" s="176">
        <f t="shared" si="36"/>
        <v>0</v>
      </c>
      <c r="AZ29" s="176">
        <f t="shared" si="37"/>
        <v>0</v>
      </c>
      <c r="BA29" s="185">
        <f>'Hurricane panel'!$AB18</f>
        <v>3</v>
      </c>
      <c r="BB29" s="182">
        <f t="shared" si="38"/>
        <v>3773475325</v>
      </c>
      <c r="BC29" s="179">
        <f t="shared" si="39"/>
        <v>1463097198.1666667</v>
      </c>
      <c r="BJ29" s="113" t="s">
        <v>53</v>
      </c>
      <c r="BK29" s="165">
        <f>BH$4*BK28*BK27</f>
        <v>1341795000</v>
      </c>
      <c r="BL29" s="165">
        <f>BH$4*BL28*BL27</f>
        <v>1811423250</v>
      </c>
      <c r="BM29" s="165">
        <f>BM27/BM28*BH$3*BH$7</f>
        <v>108333333.33333333</v>
      </c>
      <c r="BN29" s="165">
        <f>BH$7/1000*BN27*(BH$6-BN28)*BH$5</f>
        <v>228907.5</v>
      </c>
      <c r="BO29" s="165">
        <f>BH$7/1000*BO27*(BH$6-BN28)*BO28*BH$5</f>
        <v>0</v>
      </c>
      <c r="BP29" s="166">
        <f>BH$7/1000*BP27*(BH$6-BN28)*BP28*BH$5</f>
        <v>91563</v>
      </c>
    </row>
    <row r="30" spans="1:69" ht="15.75" thickBot="1" x14ac:dyDescent="0.3">
      <c r="A30" s="209">
        <f>'Cost panel'!B32</f>
        <v>0</v>
      </c>
      <c r="B30" s="120">
        <f>'Cost panel'!G32*1000000</f>
        <v>0</v>
      </c>
      <c r="C30" s="121">
        <f>'Cost panel'!H32</f>
        <v>0</v>
      </c>
      <c r="D30" s="262">
        <f>'Cost panel'!I32</f>
        <v>0</v>
      </c>
      <c r="E30" s="262">
        <f t="shared" si="45"/>
        <v>0</v>
      </c>
      <c r="F30" s="131">
        <f>'Cost panel'!J32*1000000</f>
        <v>0</v>
      </c>
      <c r="G30" s="123">
        <f>AP5+AQ5</f>
        <v>0</v>
      </c>
      <c r="H30" s="31">
        <v>25</v>
      </c>
      <c r="I30" s="31">
        <v>2044</v>
      </c>
      <c r="J30" s="136">
        <f t="shared" si="46"/>
        <v>239119.5</v>
      </c>
      <c r="K30" s="137">
        <f t="shared" si="3"/>
        <v>10800</v>
      </c>
      <c r="L30" s="138">
        <f t="shared" si="46"/>
        <v>446579.16666666669</v>
      </c>
      <c r="M30" s="139">
        <f t="shared" si="5"/>
        <v>27000</v>
      </c>
      <c r="N30" s="136">
        <f t="shared" ref="N30" si="88">N11</f>
        <v>25791.833333333332</v>
      </c>
      <c r="O30" s="137">
        <f t="shared" si="7"/>
        <v>13500</v>
      </c>
      <c r="P30" s="138">
        <f t="shared" ref="P30" si="89">P11</f>
        <v>898720.5</v>
      </c>
      <c r="Q30" s="139">
        <f t="shared" si="9"/>
        <v>13500</v>
      </c>
      <c r="R30" s="136">
        <f t="shared" si="49"/>
        <v>0</v>
      </c>
      <c r="S30" s="137">
        <f t="shared" si="11"/>
        <v>0</v>
      </c>
      <c r="T30" s="138">
        <f t="shared" ref="T30" si="90">T11</f>
        <v>0</v>
      </c>
      <c r="U30" s="139">
        <f t="shared" si="13"/>
        <v>0</v>
      </c>
      <c r="V30" s="136">
        <f t="shared" si="51"/>
        <v>0</v>
      </c>
      <c r="W30" s="137">
        <f t="shared" si="15"/>
        <v>0</v>
      </c>
      <c r="X30" s="138">
        <f t="shared" ref="X30" si="91">X11</f>
        <v>962436</v>
      </c>
      <c r="Y30" s="139">
        <f t="shared" si="17"/>
        <v>54000</v>
      </c>
      <c r="Z30" s="136">
        <f t="shared" si="53"/>
        <v>1325015.1666666667</v>
      </c>
      <c r="AA30" s="137">
        <f t="shared" si="19"/>
        <v>21600</v>
      </c>
      <c r="AB30" s="138">
        <f t="shared" ref="AB30" si="92">AB11</f>
        <v>107702</v>
      </c>
      <c r="AC30" s="139">
        <f t="shared" si="21"/>
        <v>38592.9</v>
      </c>
      <c r="AD30" s="136">
        <f t="shared" si="55"/>
        <v>590122.16666666663</v>
      </c>
      <c r="AE30" s="137">
        <f t="shared" si="23"/>
        <v>21600</v>
      </c>
      <c r="AF30" s="138">
        <f t="shared" ref="AF30" si="93">AF11</f>
        <v>0</v>
      </c>
      <c r="AG30" s="139">
        <f t="shared" si="25"/>
        <v>27000</v>
      </c>
      <c r="AH30" s="136">
        <f t="shared" si="57"/>
        <v>509290</v>
      </c>
      <c r="AI30" s="137">
        <f t="shared" si="27"/>
        <v>72044</v>
      </c>
      <c r="AJ30" s="138">
        <f t="shared" ref="AJ30" si="94">AJ11</f>
        <v>141002</v>
      </c>
      <c r="AK30" s="139">
        <f t="shared" si="29"/>
        <v>483070</v>
      </c>
      <c r="AL30" s="136">
        <f t="shared" si="59"/>
        <v>0</v>
      </c>
      <c r="AM30" s="137">
        <f t="shared" si="31"/>
        <v>0</v>
      </c>
      <c r="AN30" s="138">
        <f t="shared" ref="AN30" si="95">AN11</f>
        <v>0</v>
      </c>
      <c r="AO30" s="139">
        <f t="shared" si="33"/>
        <v>0</v>
      </c>
      <c r="AP30" s="136">
        <f t="shared" si="61"/>
        <v>0</v>
      </c>
      <c r="AQ30" s="137">
        <f t="shared" si="35"/>
        <v>0</v>
      </c>
      <c r="AV30" s="31">
        <v>25</v>
      </c>
      <c r="AW30" s="31">
        <v>2044</v>
      </c>
      <c r="AX30" s="100">
        <f>'Hurricane panel'!$AC17</f>
        <v>0</v>
      </c>
      <c r="AY30" s="176">
        <f t="shared" si="36"/>
        <v>0</v>
      </c>
      <c r="AZ30" s="176">
        <f t="shared" si="37"/>
        <v>0</v>
      </c>
      <c r="BA30" s="185">
        <f>'Hurricane panel'!$AC18</f>
        <v>0</v>
      </c>
      <c r="BB30" s="182">
        <f t="shared" si="38"/>
        <v>0</v>
      </c>
      <c r="BC30" s="179">
        <f t="shared" si="39"/>
        <v>0</v>
      </c>
      <c r="BJ30" s="109" t="s">
        <v>55</v>
      </c>
      <c r="BK30" s="167">
        <f>SUM(BK29:BP29)</f>
        <v>3261872053.8333335</v>
      </c>
    </row>
    <row r="31" spans="1:69" ht="15.75" thickBot="1" x14ac:dyDescent="0.3">
      <c r="B31" s="124"/>
      <c r="C31" s="124"/>
      <c r="D31" s="124"/>
      <c r="E31" s="124"/>
      <c r="F31" s="124"/>
      <c r="G31" s="125">
        <f>SUM(G21:G30)</f>
        <v>36934699.653849721</v>
      </c>
      <c r="H31" s="31">
        <v>26</v>
      </c>
      <c r="I31" s="31">
        <v>2045</v>
      </c>
      <c r="J31" s="136"/>
      <c r="K31" s="137">
        <f t="shared" si="3"/>
        <v>10800</v>
      </c>
      <c r="L31" s="138"/>
      <c r="M31" s="139">
        <f t="shared" si="5"/>
        <v>27000</v>
      </c>
      <c r="N31" s="136"/>
      <c r="O31" s="137">
        <f t="shared" si="7"/>
        <v>13500</v>
      </c>
      <c r="P31" s="138"/>
      <c r="Q31" s="139">
        <f t="shared" si="9"/>
        <v>13500</v>
      </c>
      <c r="R31" s="136"/>
      <c r="S31" s="137">
        <f t="shared" si="11"/>
        <v>0</v>
      </c>
      <c r="T31" s="138"/>
      <c r="U31" s="139">
        <f t="shared" si="13"/>
        <v>0</v>
      </c>
      <c r="V31" s="136"/>
      <c r="W31" s="137">
        <f t="shared" si="15"/>
        <v>0</v>
      </c>
      <c r="X31" s="138"/>
      <c r="Y31" s="139">
        <f t="shared" si="17"/>
        <v>54000</v>
      </c>
      <c r="Z31" s="136"/>
      <c r="AA31" s="137">
        <f t="shared" si="19"/>
        <v>21600</v>
      </c>
      <c r="AB31" s="138"/>
      <c r="AC31" s="139">
        <f t="shared" si="21"/>
        <v>38592.9</v>
      </c>
      <c r="AD31" s="136"/>
      <c r="AE31" s="137">
        <f t="shared" si="23"/>
        <v>21600</v>
      </c>
      <c r="AF31" s="138"/>
      <c r="AG31" s="139">
        <f t="shared" si="25"/>
        <v>27000</v>
      </c>
      <c r="AH31" s="136"/>
      <c r="AI31" s="137">
        <f t="shared" si="27"/>
        <v>72044</v>
      </c>
      <c r="AJ31" s="138"/>
      <c r="AK31" s="139">
        <f t="shared" si="29"/>
        <v>483070</v>
      </c>
      <c r="AL31" s="136"/>
      <c r="AM31" s="137">
        <f t="shared" si="31"/>
        <v>0</v>
      </c>
      <c r="AN31" s="138"/>
      <c r="AO31" s="139">
        <f t="shared" si="33"/>
        <v>0</v>
      </c>
      <c r="AP31" s="136"/>
      <c r="AQ31" s="137">
        <f t="shared" si="35"/>
        <v>0</v>
      </c>
      <c r="AV31" s="31">
        <v>26</v>
      </c>
      <c r="AW31" s="31">
        <v>2045</v>
      </c>
      <c r="AX31" s="100">
        <f>'Hurricane panel'!$AD17</f>
        <v>0</v>
      </c>
      <c r="AY31" s="176">
        <f t="shared" si="36"/>
        <v>0</v>
      </c>
      <c r="AZ31" s="176">
        <f t="shared" si="37"/>
        <v>0</v>
      </c>
      <c r="BA31" s="185">
        <f>'Hurricane panel'!$AD18</f>
        <v>0</v>
      </c>
      <c r="BB31" s="182">
        <f t="shared" si="38"/>
        <v>0</v>
      </c>
      <c r="BC31" s="179">
        <f t="shared" si="39"/>
        <v>0</v>
      </c>
      <c r="BJ31" s="73"/>
      <c r="BQ31" s="73"/>
    </row>
    <row r="32" spans="1:69" x14ac:dyDescent="0.25">
      <c r="H32" s="31">
        <v>27</v>
      </c>
      <c r="I32" s="31">
        <v>2046</v>
      </c>
      <c r="J32" s="136"/>
      <c r="K32" s="137">
        <f t="shared" si="3"/>
        <v>10800</v>
      </c>
      <c r="L32" s="138"/>
      <c r="M32" s="139">
        <f t="shared" si="5"/>
        <v>27000</v>
      </c>
      <c r="N32" s="136"/>
      <c r="O32" s="137">
        <f t="shared" si="7"/>
        <v>13500</v>
      </c>
      <c r="P32" s="138"/>
      <c r="Q32" s="139">
        <f t="shared" si="9"/>
        <v>13500</v>
      </c>
      <c r="R32" s="136"/>
      <c r="S32" s="137">
        <f t="shared" si="11"/>
        <v>0</v>
      </c>
      <c r="T32" s="138"/>
      <c r="U32" s="139">
        <f t="shared" si="13"/>
        <v>0</v>
      </c>
      <c r="V32" s="136"/>
      <c r="W32" s="137">
        <f t="shared" si="15"/>
        <v>0</v>
      </c>
      <c r="X32" s="138"/>
      <c r="Y32" s="139">
        <f t="shared" si="17"/>
        <v>54000</v>
      </c>
      <c r="Z32" s="136"/>
      <c r="AA32" s="137">
        <f t="shared" si="19"/>
        <v>21600</v>
      </c>
      <c r="AB32" s="138"/>
      <c r="AC32" s="139">
        <f t="shared" si="21"/>
        <v>38592.9</v>
      </c>
      <c r="AD32" s="136"/>
      <c r="AE32" s="137">
        <f t="shared" si="23"/>
        <v>21600</v>
      </c>
      <c r="AF32" s="138"/>
      <c r="AG32" s="139">
        <f t="shared" si="25"/>
        <v>27000</v>
      </c>
      <c r="AH32" s="136"/>
      <c r="AI32" s="137">
        <f t="shared" si="27"/>
        <v>72044</v>
      </c>
      <c r="AJ32" s="138"/>
      <c r="AK32" s="139">
        <f t="shared" si="29"/>
        <v>483070</v>
      </c>
      <c r="AL32" s="136"/>
      <c r="AM32" s="137">
        <f t="shared" si="31"/>
        <v>0</v>
      </c>
      <c r="AN32" s="138"/>
      <c r="AO32" s="139">
        <f t="shared" si="33"/>
        <v>0</v>
      </c>
      <c r="AP32" s="136"/>
      <c r="AQ32" s="137">
        <f t="shared" si="35"/>
        <v>0</v>
      </c>
      <c r="AV32" s="31">
        <v>27</v>
      </c>
      <c r="AW32" s="31">
        <v>2046</v>
      </c>
      <c r="AX32" s="100">
        <f>'Hurricane panel'!$AE17</f>
        <v>3</v>
      </c>
      <c r="AY32" s="176">
        <f t="shared" si="36"/>
        <v>3773475325</v>
      </c>
      <c r="AZ32" s="176">
        <f t="shared" si="37"/>
        <v>1463097198.1666667</v>
      </c>
      <c r="BA32" s="185">
        <f>'Hurricane panel'!$AE18</f>
        <v>0</v>
      </c>
      <c r="BB32" s="182">
        <f t="shared" si="38"/>
        <v>0</v>
      </c>
      <c r="BC32" s="179">
        <f t="shared" si="39"/>
        <v>0</v>
      </c>
      <c r="BJ32" s="73"/>
      <c r="BQ32" s="73"/>
    </row>
    <row r="33" spans="3:62" x14ac:dyDescent="0.25">
      <c r="F33" s="254"/>
      <c r="H33" s="31">
        <v>28</v>
      </c>
      <c r="I33" s="31">
        <v>2047</v>
      </c>
      <c r="J33" s="136"/>
      <c r="K33" s="137">
        <f t="shared" si="3"/>
        <v>10800</v>
      </c>
      <c r="L33" s="138"/>
      <c r="M33" s="139">
        <f t="shared" si="5"/>
        <v>27000</v>
      </c>
      <c r="N33" s="136"/>
      <c r="O33" s="137">
        <f t="shared" si="7"/>
        <v>13500</v>
      </c>
      <c r="P33" s="138"/>
      <c r="Q33" s="139">
        <f t="shared" si="9"/>
        <v>13500</v>
      </c>
      <c r="R33" s="136"/>
      <c r="S33" s="137">
        <f t="shared" si="11"/>
        <v>0</v>
      </c>
      <c r="T33" s="138"/>
      <c r="U33" s="139">
        <f t="shared" si="13"/>
        <v>0</v>
      </c>
      <c r="V33" s="136"/>
      <c r="W33" s="137">
        <f t="shared" si="15"/>
        <v>0</v>
      </c>
      <c r="X33" s="138"/>
      <c r="Y33" s="139">
        <f t="shared" si="17"/>
        <v>54000</v>
      </c>
      <c r="Z33" s="136"/>
      <c r="AA33" s="137">
        <f t="shared" si="19"/>
        <v>21600</v>
      </c>
      <c r="AB33" s="138"/>
      <c r="AC33" s="139">
        <f t="shared" si="21"/>
        <v>38592.9</v>
      </c>
      <c r="AD33" s="136"/>
      <c r="AE33" s="137">
        <f t="shared" si="23"/>
        <v>21600</v>
      </c>
      <c r="AF33" s="138"/>
      <c r="AG33" s="139">
        <f t="shared" si="25"/>
        <v>27000</v>
      </c>
      <c r="AH33" s="136"/>
      <c r="AI33" s="137">
        <f t="shared" si="27"/>
        <v>72044</v>
      </c>
      <c r="AJ33" s="138"/>
      <c r="AK33" s="139">
        <f t="shared" si="29"/>
        <v>483070</v>
      </c>
      <c r="AL33" s="136"/>
      <c r="AM33" s="137">
        <f t="shared" si="31"/>
        <v>0</v>
      </c>
      <c r="AN33" s="138"/>
      <c r="AO33" s="139">
        <f t="shared" si="33"/>
        <v>0</v>
      </c>
      <c r="AP33" s="136"/>
      <c r="AQ33" s="137">
        <f t="shared" si="35"/>
        <v>0</v>
      </c>
      <c r="AV33" s="31">
        <v>28</v>
      </c>
      <c r="AW33" s="31">
        <v>2047</v>
      </c>
      <c r="AX33" s="100">
        <f>'Hurricane panel'!$AF17</f>
        <v>0</v>
      </c>
      <c r="AY33" s="176">
        <f t="shared" si="36"/>
        <v>0</v>
      </c>
      <c r="AZ33" s="176">
        <f t="shared" si="37"/>
        <v>0</v>
      </c>
      <c r="BA33" s="185">
        <f>'Hurricane panel'!$AF18</f>
        <v>0</v>
      </c>
      <c r="BB33" s="182">
        <f t="shared" si="38"/>
        <v>0</v>
      </c>
      <c r="BC33" s="179">
        <f t="shared" si="39"/>
        <v>0</v>
      </c>
    </row>
    <row r="34" spans="3:62" x14ac:dyDescent="0.25">
      <c r="H34" s="31">
        <v>29</v>
      </c>
      <c r="I34" s="31">
        <v>2048</v>
      </c>
      <c r="J34" s="136"/>
      <c r="K34" s="137">
        <f t="shared" si="3"/>
        <v>10800</v>
      </c>
      <c r="L34" s="138"/>
      <c r="M34" s="139">
        <f t="shared" si="5"/>
        <v>27000</v>
      </c>
      <c r="N34" s="136"/>
      <c r="O34" s="137">
        <f t="shared" si="7"/>
        <v>13500</v>
      </c>
      <c r="P34" s="138"/>
      <c r="Q34" s="139">
        <f t="shared" si="9"/>
        <v>13500</v>
      </c>
      <c r="R34" s="136"/>
      <c r="S34" s="137">
        <f t="shared" si="11"/>
        <v>0</v>
      </c>
      <c r="T34" s="138"/>
      <c r="U34" s="139">
        <f t="shared" si="13"/>
        <v>0</v>
      </c>
      <c r="V34" s="136"/>
      <c r="W34" s="137">
        <f t="shared" si="15"/>
        <v>0</v>
      </c>
      <c r="X34" s="138"/>
      <c r="Y34" s="139">
        <f t="shared" si="17"/>
        <v>54000</v>
      </c>
      <c r="Z34" s="136"/>
      <c r="AA34" s="137">
        <f t="shared" si="19"/>
        <v>21600</v>
      </c>
      <c r="AB34" s="138"/>
      <c r="AC34" s="139">
        <f t="shared" si="21"/>
        <v>38592.9</v>
      </c>
      <c r="AD34" s="136"/>
      <c r="AE34" s="137">
        <f t="shared" si="23"/>
        <v>21600</v>
      </c>
      <c r="AF34" s="138"/>
      <c r="AG34" s="139">
        <f t="shared" si="25"/>
        <v>27000</v>
      </c>
      <c r="AH34" s="136"/>
      <c r="AI34" s="137">
        <f t="shared" si="27"/>
        <v>72044</v>
      </c>
      <c r="AJ34" s="138"/>
      <c r="AK34" s="139">
        <f t="shared" si="29"/>
        <v>483070</v>
      </c>
      <c r="AL34" s="136"/>
      <c r="AM34" s="137">
        <f t="shared" si="31"/>
        <v>0</v>
      </c>
      <c r="AN34" s="138"/>
      <c r="AO34" s="139">
        <f t="shared" si="33"/>
        <v>0</v>
      </c>
      <c r="AP34" s="136"/>
      <c r="AQ34" s="137">
        <f t="shared" si="35"/>
        <v>0</v>
      </c>
      <c r="AV34" s="31">
        <v>29</v>
      </c>
      <c r="AW34" s="31">
        <v>2048</v>
      </c>
      <c r="AX34" s="100">
        <f>'Hurricane panel'!$AG17</f>
        <v>2</v>
      </c>
      <c r="AY34" s="176">
        <f t="shared" si="36"/>
        <v>0</v>
      </c>
      <c r="AZ34" s="176">
        <f t="shared" si="37"/>
        <v>0</v>
      </c>
      <c r="BA34" s="185">
        <f>'Hurricane panel'!$AG18</f>
        <v>0</v>
      </c>
      <c r="BB34" s="182">
        <f t="shared" si="38"/>
        <v>0</v>
      </c>
      <c r="BC34" s="179">
        <f t="shared" si="39"/>
        <v>0</v>
      </c>
    </row>
    <row r="35" spans="3:62" x14ac:dyDescent="0.25">
      <c r="H35" s="31">
        <v>30</v>
      </c>
      <c r="I35" s="31">
        <v>2049</v>
      </c>
      <c r="J35" s="136"/>
      <c r="K35" s="137">
        <f t="shared" si="3"/>
        <v>10800</v>
      </c>
      <c r="L35" s="138"/>
      <c r="M35" s="139">
        <f t="shared" si="5"/>
        <v>27000</v>
      </c>
      <c r="N35" s="136"/>
      <c r="O35" s="137">
        <f t="shared" si="7"/>
        <v>13500</v>
      </c>
      <c r="P35" s="138"/>
      <c r="Q35" s="139">
        <f t="shared" si="9"/>
        <v>13500</v>
      </c>
      <c r="R35" s="136"/>
      <c r="S35" s="137">
        <f t="shared" si="11"/>
        <v>0</v>
      </c>
      <c r="T35" s="138"/>
      <c r="U35" s="139">
        <f t="shared" si="13"/>
        <v>0</v>
      </c>
      <c r="V35" s="136"/>
      <c r="W35" s="137">
        <f t="shared" si="15"/>
        <v>0</v>
      </c>
      <c r="X35" s="138"/>
      <c r="Y35" s="139">
        <f t="shared" si="17"/>
        <v>54000</v>
      </c>
      <c r="Z35" s="136"/>
      <c r="AA35" s="137">
        <f t="shared" si="19"/>
        <v>21600</v>
      </c>
      <c r="AB35" s="138"/>
      <c r="AC35" s="139">
        <f t="shared" si="21"/>
        <v>38592.9</v>
      </c>
      <c r="AD35" s="136"/>
      <c r="AE35" s="137">
        <f t="shared" si="23"/>
        <v>21600</v>
      </c>
      <c r="AF35" s="138"/>
      <c r="AG35" s="139">
        <f t="shared" si="25"/>
        <v>27000</v>
      </c>
      <c r="AH35" s="136"/>
      <c r="AI35" s="137">
        <f t="shared" si="27"/>
        <v>72044</v>
      </c>
      <c r="AJ35" s="138"/>
      <c r="AK35" s="139">
        <f t="shared" si="29"/>
        <v>483070</v>
      </c>
      <c r="AL35" s="136"/>
      <c r="AM35" s="137">
        <f t="shared" si="31"/>
        <v>0</v>
      </c>
      <c r="AN35" s="138"/>
      <c r="AO35" s="139">
        <f t="shared" si="33"/>
        <v>0</v>
      </c>
      <c r="AP35" s="136"/>
      <c r="AQ35" s="137">
        <f t="shared" si="35"/>
        <v>0</v>
      </c>
      <c r="AV35" s="31">
        <v>30</v>
      </c>
      <c r="AW35" s="31">
        <v>2049</v>
      </c>
      <c r="AX35" s="100">
        <f>'Hurricane panel'!$AH17</f>
        <v>0</v>
      </c>
      <c r="AY35" s="176">
        <f t="shared" si="36"/>
        <v>0</v>
      </c>
      <c r="AZ35" s="176">
        <f t="shared" si="37"/>
        <v>0</v>
      </c>
      <c r="BA35" s="185">
        <f>'Hurricane panel'!$AH18</f>
        <v>5</v>
      </c>
      <c r="BB35" s="182">
        <f t="shared" si="38"/>
        <v>6611605958.333333</v>
      </c>
      <c r="BC35" s="179">
        <f t="shared" si="39"/>
        <v>3261872053.8333335</v>
      </c>
    </row>
    <row r="36" spans="3:62" x14ac:dyDescent="0.25">
      <c r="H36" s="31">
        <v>31</v>
      </c>
      <c r="I36" s="31">
        <v>2050</v>
      </c>
      <c r="J36" s="136"/>
      <c r="K36" s="137">
        <f t="shared" si="3"/>
        <v>10800</v>
      </c>
      <c r="L36" s="138"/>
      <c r="M36" s="139">
        <f t="shared" si="5"/>
        <v>27000</v>
      </c>
      <c r="N36" s="136"/>
      <c r="O36" s="137">
        <f t="shared" si="7"/>
        <v>13500</v>
      </c>
      <c r="P36" s="138"/>
      <c r="Q36" s="139">
        <f t="shared" si="9"/>
        <v>13500</v>
      </c>
      <c r="R36" s="136"/>
      <c r="S36" s="137">
        <f t="shared" si="11"/>
        <v>0</v>
      </c>
      <c r="T36" s="138"/>
      <c r="U36" s="139">
        <f t="shared" si="13"/>
        <v>0</v>
      </c>
      <c r="V36" s="136"/>
      <c r="W36" s="137">
        <f t="shared" si="15"/>
        <v>0</v>
      </c>
      <c r="X36" s="138"/>
      <c r="Y36" s="139">
        <f t="shared" si="17"/>
        <v>54000</v>
      </c>
      <c r="Z36" s="136"/>
      <c r="AA36" s="137">
        <f t="shared" si="19"/>
        <v>21600</v>
      </c>
      <c r="AB36" s="138"/>
      <c r="AC36" s="139">
        <f t="shared" si="21"/>
        <v>38592.9</v>
      </c>
      <c r="AD36" s="136"/>
      <c r="AE36" s="137">
        <f t="shared" si="23"/>
        <v>21600</v>
      </c>
      <c r="AF36" s="138"/>
      <c r="AG36" s="139">
        <f t="shared" si="25"/>
        <v>27000</v>
      </c>
      <c r="AH36" s="136"/>
      <c r="AI36" s="137">
        <f t="shared" si="27"/>
        <v>72044</v>
      </c>
      <c r="AJ36" s="138"/>
      <c r="AK36" s="139">
        <f t="shared" si="29"/>
        <v>483070</v>
      </c>
      <c r="AL36" s="136"/>
      <c r="AM36" s="137">
        <f t="shared" si="31"/>
        <v>0</v>
      </c>
      <c r="AN36" s="138"/>
      <c r="AO36" s="139">
        <f t="shared" si="33"/>
        <v>0</v>
      </c>
      <c r="AP36" s="136"/>
      <c r="AQ36" s="137">
        <f t="shared" si="35"/>
        <v>0</v>
      </c>
      <c r="AV36" s="31">
        <v>31</v>
      </c>
      <c r="AW36" s="31">
        <v>2050</v>
      </c>
      <c r="AX36" s="100">
        <f>'Hurricane panel'!$AI17</f>
        <v>3</v>
      </c>
      <c r="AY36" s="176">
        <f t="shared" si="36"/>
        <v>3773475325</v>
      </c>
      <c r="AZ36" s="176">
        <f t="shared" si="37"/>
        <v>1463097198.1666667</v>
      </c>
      <c r="BA36" s="185">
        <f>'Hurricane panel'!$AI18</f>
        <v>1</v>
      </c>
      <c r="BB36" s="182">
        <f t="shared" si="38"/>
        <v>0</v>
      </c>
      <c r="BC36" s="179">
        <f t="shared" si="39"/>
        <v>0</v>
      </c>
    </row>
    <row r="37" spans="3:62" x14ac:dyDescent="0.25">
      <c r="H37" s="31">
        <v>32</v>
      </c>
      <c r="I37" s="31">
        <v>2051</v>
      </c>
      <c r="J37" s="136"/>
      <c r="K37" s="137">
        <f t="shared" si="3"/>
        <v>10800</v>
      </c>
      <c r="L37" s="138"/>
      <c r="M37" s="139">
        <f t="shared" si="5"/>
        <v>27000</v>
      </c>
      <c r="N37" s="136"/>
      <c r="O37" s="137">
        <f t="shared" si="7"/>
        <v>13500</v>
      </c>
      <c r="P37" s="138"/>
      <c r="Q37" s="139">
        <f t="shared" si="9"/>
        <v>13500</v>
      </c>
      <c r="R37" s="136"/>
      <c r="S37" s="137">
        <f t="shared" si="11"/>
        <v>0</v>
      </c>
      <c r="T37" s="138"/>
      <c r="U37" s="139">
        <f t="shared" si="13"/>
        <v>0</v>
      </c>
      <c r="V37" s="136"/>
      <c r="W37" s="137">
        <f t="shared" si="15"/>
        <v>0</v>
      </c>
      <c r="X37" s="138"/>
      <c r="Y37" s="139">
        <f t="shared" si="17"/>
        <v>54000</v>
      </c>
      <c r="Z37" s="136"/>
      <c r="AA37" s="137">
        <f t="shared" si="19"/>
        <v>21600</v>
      </c>
      <c r="AB37" s="138"/>
      <c r="AC37" s="139">
        <f t="shared" si="21"/>
        <v>38592.9</v>
      </c>
      <c r="AD37" s="136"/>
      <c r="AE37" s="137">
        <f t="shared" si="23"/>
        <v>21600</v>
      </c>
      <c r="AF37" s="138"/>
      <c r="AG37" s="139">
        <f t="shared" si="25"/>
        <v>27000</v>
      </c>
      <c r="AH37" s="136"/>
      <c r="AI37" s="137">
        <f t="shared" si="27"/>
        <v>72044</v>
      </c>
      <c r="AJ37" s="138"/>
      <c r="AK37" s="139">
        <f t="shared" si="29"/>
        <v>483070</v>
      </c>
      <c r="AL37" s="136"/>
      <c r="AM37" s="137">
        <f t="shared" si="31"/>
        <v>0</v>
      </c>
      <c r="AN37" s="138"/>
      <c r="AO37" s="139">
        <f t="shared" si="33"/>
        <v>0</v>
      </c>
      <c r="AP37" s="136"/>
      <c r="AQ37" s="137">
        <f t="shared" si="35"/>
        <v>0</v>
      </c>
      <c r="AV37" s="31">
        <v>32</v>
      </c>
      <c r="AW37" s="31">
        <v>2051</v>
      </c>
      <c r="AX37" s="100">
        <f>'Hurricane panel'!$AJ17</f>
        <v>0</v>
      </c>
      <c r="AY37" s="176">
        <f t="shared" si="36"/>
        <v>0</v>
      </c>
      <c r="AZ37" s="176">
        <f t="shared" si="37"/>
        <v>0</v>
      </c>
      <c r="BA37" s="185">
        <f>'Hurricane panel'!$AJ18</f>
        <v>1</v>
      </c>
      <c r="BB37" s="182">
        <f t="shared" si="38"/>
        <v>0</v>
      </c>
      <c r="BC37" s="179">
        <f t="shared" si="39"/>
        <v>0</v>
      </c>
      <c r="BJ37" s="73"/>
    </row>
    <row r="38" spans="3:62" x14ac:dyDescent="0.25">
      <c r="H38" s="31">
        <v>33</v>
      </c>
      <c r="I38" s="31">
        <v>2052</v>
      </c>
      <c r="J38" s="136"/>
      <c r="K38" s="137">
        <f t="shared" si="3"/>
        <v>10800</v>
      </c>
      <c r="L38" s="138"/>
      <c r="M38" s="139">
        <f t="shared" si="5"/>
        <v>27000</v>
      </c>
      <c r="N38" s="136"/>
      <c r="O38" s="137">
        <f t="shared" si="7"/>
        <v>13500</v>
      </c>
      <c r="P38" s="138"/>
      <c r="Q38" s="139">
        <f t="shared" si="9"/>
        <v>13500</v>
      </c>
      <c r="R38" s="136"/>
      <c r="S38" s="137">
        <f t="shared" si="11"/>
        <v>0</v>
      </c>
      <c r="T38" s="138"/>
      <c r="U38" s="139">
        <f t="shared" si="13"/>
        <v>0</v>
      </c>
      <c r="V38" s="136"/>
      <c r="W38" s="137">
        <f t="shared" si="15"/>
        <v>0</v>
      </c>
      <c r="X38" s="138"/>
      <c r="Y38" s="139">
        <f t="shared" si="17"/>
        <v>54000</v>
      </c>
      <c r="Z38" s="136"/>
      <c r="AA38" s="137">
        <f t="shared" si="19"/>
        <v>21600</v>
      </c>
      <c r="AB38" s="138"/>
      <c r="AC38" s="139">
        <f t="shared" si="21"/>
        <v>38592.9</v>
      </c>
      <c r="AD38" s="136"/>
      <c r="AE38" s="137">
        <f t="shared" si="23"/>
        <v>21600</v>
      </c>
      <c r="AF38" s="138"/>
      <c r="AG38" s="139">
        <f t="shared" si="25"/>
        <v>27000</v>
      </c>
      <c r="AH38" s="136"/>
      <c r="AI38" s="137">
        <f t="shared" si="27"/>
        <v>72044</v>
      </c>
      <c r="AJ38" s="138"/>
      <c r="AK38" s="139">
        <f t="shared" si="29"/>
        <v>483070</v>
      </c>
      <c r="AL38" s="136"/>
      <c r="AM38" s="137">
        <f t="shared" si="31"/>
        <v>0</v>
      </c>
      <c r="AN38" s="138"/>
      <c r="AO38" s="139">
        <f t="shared" si="33"/>
        <v>0</v>
      </c>
      <c r="AP38" s="136"/>
      <c r="AQ38" s="137">
        <f t="shared" si="35"/>
        <v>0</v>
      </c>
      <c r="AV38" s="31">
        <v>33</v>
      </c>
      <c r="AW38" s="31">
        <v>2052</v>
      </c>
      <c r="AX38" s="100">
        <f>'Hurricane panel'!$AK17</f>
        <v>0</v>
      </c>
      <c r="AY38" s="176">
        <f t="shared" si="36"/>
        <v>0</v>
      </c>
      <c r="AZ38" s="176">
        <f t="shared" si="37"/>
        <v>0</v>
      </c>
      <c r="BA38" s="185">
        <f>'Hurricane panel'!$AK18</f>
        <v>1</v>
      </c>
      <c r="BB38" s="182">
        <f t="shared" si="38"/>
        <v>0</v>
      </c>
      <c r="BC38" s="179">
        <f t="shared" si="39"/>
        <v>0</v>
      </c>
      <c r="BJ38" s="73"/>
    </row>
    <row r="39" spans="3:62" x14ac:dyDescent="0.25">
      <c r="H39" s="31">
        <v>34</v>
      </c>
      <c r="I39" s="31">
        <v>2053</v>
      </c>
      <c r="J39" s="136"/>
      <c r="K39" s="137">
        <f t="shared" si="3"/>
        <v>10800</v>
      </c>
      <c r="L39" s="138"/>
      <c r="M39" s="139">
        <f t="shared" si="5"/>
        <v>27000</v>
      </c>
      <c r="N39" s="136"/>
      <c r="O39" s="137">
        <f t="shared" si="7"/>
        <v>13500</v>
      </c>
      <c r="P39" s="138"/>
      <c r="Q39" s="139">
        <f t="shared" si="9"/>
        <v>13500</v>
      </c>
      <c r="R39" s="136"/>
      <c r="S39" s="137">
        <f t="shared" si="11"/>
        <v>0</v>
      </c>
      <c r="T39" s="138"/>
      <c r="U39" s="139">
        <f t="shared" si="13"/>
        <v>0</v>
      </c>
      <c r="V39" s="136"/>
      <c r="W39" s="137">
        <f t="shared" si="15"/>
        <v>0</v>
      </c>
      <c r="X39" s="138"/>
      <c r="Y39" s="139">
        <f t="shared" si="17"/>
        <v>54000</v>
      </c>
      <c r="Z39" s="136"/>
      <c r="AA39" s="137">
        <f t="shared" si="19"/>
        <v>21600</v>
      </c>
      <c r="AB39" s="138"/>
      <c r="AC39" s="139">
        <f t="shared" si="21"/>
        <v>38592.9</v>
      </c>
      <c r="AD39" s="136"/>
      <c r="AE39" s="137">
        <f t="shared" si="23"/>
        <v>21600</v>
      </c>
      <c r="AF39" s="138"/>
      <c r="AG39" s="139">
        <f t="shared" si="25"/>
        <v>27000</v>
      </c>
      <c r="AH39" s="136"/>
      <c r="AI39" s="137">
        <f t="shared" si="27"/>
        <v>72044</v>
      </c>
      <c r="AJ39" s="138"/>
      <c r="AK39" s="139">
        <f t="shared" si="29"/>
        <v>483070</v>
      </c>
      <c r="AL39" s="136"/>
      <c r="AM39" s="137">
        <f t="shared" si="31"/>
        <v>0</v>
      </c>
      <c r="AN39" s="138"/>
      <c r="AO39" s="139">
        <f t="shared" si="33"/>
        <v>0</v>
      </c>
      <c r="AP39" s="136"/>
      <c r="AQ39" s="137">
        <f t="shared" si="35"/>
        <v>0</v>
      </c>
      <c r="AV39" s="31">
        <v>34</v>
      </c>
      <c r="AW39" s="31">
        <v>2053</v>
      </c>
      <c r="AX39" s="100">
        <f>'Hurricane panel'!$AL17</f>
        <v>0</v>
      </c>
      <c r="AY39" s="176">
        <f t="shared" si="36"/>
        <v>0</v>
      </c>
      <c r="AZ39" s="176">
        <f t="shared" si="37"/>
        <v>0</v>
      </c>
      <c r="BA39" s="185">
        <f>'Hurricane panel'!$AL18</f>
        <v>3</v>
      </c>
      <c r="BB39" s="182">
        <f t="shared" si="38"/>
        <v>3773475325</v>
      </c>
      <c r="BC39" s="179">
        <f t="shared" si="39"/>
        <v>1463097198.1666667</v>
      </c>
    </row>
    <row r="40" spans="3:62" x14ac:dyDescent="0.25">
      <c r="C40" s="84"/>
      <c r="D40" s="84"/>
      <c r="E40" s="84"/>
      <c r="F40" s="84"/>
      <c r="G40" s="84"/>
      <c r="H40" s="31">
        <v>35</v>
      </c>
      <c r="I40" s="31">
        <v>2054</v>
      </c>
      <c r="J40" s="136">
        <f>J25</f>
        <v>239119.5</v>
      </c>
      <c r="K40" s="137">
        <f t="shared" si="3"/>
        <v>10800</v>
      </c>
      <c r="L40" s="138">
        <f>L25</f>
        <v>446579.16666666669</v>
      </c>
      <c r="M40" s="139">
        <f t="shared" si="5"/>
        <v>27000</v>
      </c>
      <c r="N40" s="136">
        <f>N25</f>
        <v>25791.833333333332</v>
      </c>
      <c r="O40" s="137">
        <f t="shared" si="7"/>
        <v>13500</v>
      </c>
      <c r="P40" s="138">
        <f>P25</f>
        <v>898720.5</v>
      </c>
      <c r="Q40" s="139">
        <f t="shared" si="9"/>
        <v>13500</v>
      </c>
      <c r="R40" s="136">
        <f>R25</f>
        <v>0</v>
      </c>
      <c r="S40" s="137">
        <f t="shared" si="11"/>
        <v>0</v>
      </c>
      <c r="T40" s="138">
        <f>T25</f>
        <v>0</v>
      </c>
      <c r="U40" s="139">
        <f t="shared" si="13"/>
        <v>0</v>
      </c>
      <c r="V40" s="136">
        <f>V25</f>
        <v>0</v>
      </c>
      <c r="W40" s="137">
        <f t="shared" si="15"/>
        <v>0</v>
      </c>
      <c r="X40" s="138">
        <f>X25</f>
        <v>962436</v>
      </c>
      <c r="Y40" s="139">
        <f t="shared" si="17"/>
        <v>54000</v>
      </c>
      <c r="Z40" s="136">
        <f>Z25</f>
        <v>1325015.1666666667</v>
      </c>
      <c r="AA40" s="137">
        <f t="shared" si="19"/>
        <v>21600</v>
      </c>
      <c r="AB40" s="138">
        <f>AB25</f>
        <v>107702</v>
      </c>
      <c r="AC40" s="139">
        <f t="shared" si="21"/>
        <v>38592.9</v>
      </c>
      <c r="AD40" s="136">
        <f>AD25</f>
        <v>590122.16666666663</v>
      </c>
      <c r="AE40" s="137">
        <f t="shared" si="23"/>
        <v>21600</v>
      </c>
      <c r="AF40" s="138">
        <f>AF25</f>
        <v>0</v>
      </c>
      <c r="AG40" s="139">
        <f t="shared" si="25"/>
        <v>27000</v>
      </c>
      <c r="AH40" s="136">
        <f>AH25</f>
        <v>509290</v>
      </c>
      <c r="AI40" s="137">
        <f t="shared" si="27"/>
        <v>72044</v>
      </c>
      <c r="AJ40" s="138">
        <f>AJ25</f>
        <v>141002</v>
      </c>
      <c r="AK40" s="139">
        <f t="shared" si="29"/>
        <v>483070</v>
      </c>
      <c r="AL40" s="136">
        <f>AL25</f>
        <v>0</v>
      </c>
      <c r="AM40" s="137">
        <f t="shared" si="31"/>
        <v>0</v>
      </c>
      <c r="AN40" s="138">
        <f>AN25</f>
        <v>0</v>
      </c>
      <c r="AO40" s="139">
        <f t="shared" si="33"/>
        <v>0</v>
      </c>
      <c r="AP40" s="136">
        <f>AP25</f>
        <v>0</v>
      </c>
      <c r="AQ40" s="137">
        <f t="shared" si="35"/>
        <v>0</v>
      </c>
      <c r="AV40" s="31">
        <v>35</v>
      </c>
      <c r="AW40" s="31">
        <v>2054</v>
      </c>
      <c r="AX40" s="100">
        <f>'Hurricane panel'!$AM17</f>
        <v>0</v>
      </c>
      <c r="AY40" s="176">
        <f t="shared" si="36"/>
        <v>0</v>
      </c>
      <c r="AZ40" s="176">
        <f t="shared" si="37"/>
        <v>0</v>
      </c>
      <c r="BA40" s="185">
        <f>'Hurricane panel'!$AM18</f>
        <v>2</v>
      </c>
      <c r="BB40" s="182">
        <f t="shared" si="38"/>
        <v>0</v>
      </c>
      <c r="BC40" s="179">
        <f t="shared" si="39"/>
        <v>0</v>
      </c>
    </row>
    <row r="41" spans="3:62" x14ac:dyDescent="0.25">
      <c r="H41" s="31">
        <v>36</v>
      </c>
      <c r="I41" s="31">
        <v>2055</v>
      </c>
      <c r="J41" s="136">
        <f t="shared" ref="J41:L45" si="96">J26</f>
        <v>239119.5</v>
      </c>
      <c r="K41" s="137">
        <f t="shared" si="3"/>
        <v>10800</v>
      </c>
      <c r="L41" s="138">
        <f t="shared" si="96"/>
        <v>446579.16666666669</v>
      </c>
      <c r="M41" s="139">
        <f t="shared" si="5"/>
        <v>27000</v>
      </c>
      <c r="N41" s="136">
        <f t="shared" ref="N41" si="97">N26</f>
        <v>25791.833333333332</v>
      </c>
      <c r="O41" s="137">
        <f t="shared" si="7"/>
        <v>13500</v>
      </c>
      <c r="P41" s="138">
        <f t="shared" ref="P41" si="98">P26</f>
        <v>898720.5</v>
      </c>
      <c r="Q41" s="139">
        <f t="shared" si="9"/>
        <v>13500</v>
      </c>
      <c r="R41" s="136">
        <f t="shared" ref="R41:R45" si="99">R26</f>
        <v>0</v>
      </c>
      <c r="S41" s="137">
        <f t="shared" si="11"/>
        <v>0</v>
      </c>
      <c r="T41" s="138">
        <f t="shared" ref="T41" si="100">T26</f>
        <v>0</v>
      </c>
      <c r="U41" s="139">
        <f t="shared" si="13"/>
        <v>0</v>
      </c>
      <c r="V41" s="136">
        <f t="shared" ref="V41:V45" si="101">V26</f>
        <v>0</v>
      </c>
      <c r="W41" s="137">
        <f t="shared" si="15"/>
        <v>0</v>
      </c>
      <c r="X41" s="138">
        <f t="shared" ref="X41" si="102">X26</f>
        <v>962436</v>
      </c>
      <c r="Y41" s="139">
        <f t="shared" si="17"/>
        <v>54000</v>
      </c>
      <c r="Z41" s="136">
        <f t="shared" ref="Z41:Z45" si="103">Z26</f>
        <v>1325015.1666666667</v>
      </c>
      <c r="AA41" s="137">
        <f t="shared" si="19"/>
        <v>21600</v>
      </c>
      <c r="AB41" s="138">
        <f t="shared" ref="AB41" si="104">AB26</f>
        <v>107702</v>
      </c>
      <c r="AC41" s="139">
        <f t="shared" si="21"/>
        <v>38592.9</v>
      </c>
      <c r="AD41" s="136">
        <f t="shared" ref="AD41:AD45" si="105">AD26</f>
        <v>590122.16666666663</v>
      </c>
      <c r="AE41" s="137">
        <f t="shared" si="23"/>
        <v>21600</v>
      </c>
      <c r="AF41" s="138">
        <f t="shared" ref="AF41" si="106">AF26</f>
        <v>0</v>
      </c>
      <c r="AG41" s="139">
        <f t="shared" si="25"/>
        <v>27000</v>
      </c>
      <c r="AH41" s="136">
        <f t="shared" ref="AH41:AH45" si="107">AH26</f>
        <v>509290</v>
      </c>
      <c r="AI41" s="137">
        <f t="shared" si="27"/>
        <v>72044</v>
      </c>
      <c r="AJ41" s="138">
        <f t="shared" ref="AJ41" si="108">AJ26</f>
        <v>141002</v>
      </c>
      <c r="AK41" s="139">
        <f t="shared" si="29"/>
        <v>483070</v>
      </c>
      <c r="AL41" s="136">
        <f t="shared" ref="AL41:AL45" si="109">AL26</f>
        <v>0</v>
      </c>
      <c r="AM41" s="137">
        <f t="shared" si="31"/>
        <v>0</v>
      </c>
      <c r="AN41" s="138">
        <f t="shared" ref="AN41" si="110">AN26</f>
        <v>0</v>
      </c>
      <c r="AO41" s="139">
        <f t="shared" si="33"/>
        <v>0</v>
      </c>
      <c r="AP41" s="136">
        <f t="shared" ref="AP41:AP45" si="111">AP26</f>
        <v>0</v>
      </c>
      <c r="AQ41" s="137">
        <f t="shared" si="35"/>
        <v>0</v>
      </c>
      <c r="AV41" s="31">
        <v>36</v>
      </c>
      <c r="AW41" s="31">
        <v>2055</v>
      </c>
      <c r="AX41" s="100">
        <f>'Hurricane panel'!$AN17</f>
        <v>0</v>
      </c>
      <c r="AY41" s="176">
        <f t="shared" si="36"/>
        <v>0</v>
      </c>
      <c r="AZ41" s="176">
        <f t="shared" si="37"/>
        <v>0</v>
      </c>
      <c r="BA41" s="185">
        <f>'Hurricane panel'!$AN18</f>
        <v>3</v>
      </c>
      <c r="BB41" s="182">
        <f t="shared" si="38"/>
        <v>3773475325</v>
      </c>
      <c r="BC41" s="179">
        <f t="shared" si="39"/>
        <v>1463097198.1666667</v>
      </c>
    </row>
    <row r="42" spans="3:62" x14ac:dyDescent="0.25">
      <c r="H42" s="31">
        <v>37</v>
      </c>
      <c r="I42" s="31">
        <v>2056</v>
      </c>
      <c r="J42" s="136">
        <f t="shared" si="96"/>
        <v>239119.5</v>
      </c>
      <c r="K42" s="137">
        <f t="shared" si="3"/>
        <v>10800</v>
      </c>
      <c r="L42" s="138">
        <f t="shared" si="96"/>
        <v>446579.16666666669</v>
      </c>
      <c r="M42" s="139">
        <f t="shared" si="5"/>
        <v>27000</v>
      </c>
      <c r="N42" s="136">
        <f t="shared" ref="N42" si="112">N27</f>
        <v>25791.833333333332</v>
      </c>
      <c r="O42" s="137">
        <f t="shared" si="7"/>
        <v>13500</v>
      </c>
      <c r="P42" s="138">
        <f t="shared" ref="P42" si="113">P27</f>
        <v>898720.5</v>
      </c>
      <c r="Q42" s="139">
        <f t="shared" si="9"/>
        <v>13500</v>
      </c>
      <c r="R42" s="136">
        <f t="shared" si="99"/>
        <v>0</v>
      </c>
      <c r="S42" s="137">
        <f t="shared" si="11"/>
        <v>0</v>
      </c>
      <c r="T42" s="138">
        <f t="shared" ref="T42" si="114">T27</f>
        <v>0</v>
      </c>
      <c r="U42" s="139">
        <f t="shared" si="13"/>
        <v>0</v>
      </c>
      <c r="V42" s="136">
        <f t="shared" si="101"/>
        <v>0</v>
      </c>
      <c r="W42" s="137">
        <f t="shared" si="15"/>
        <v>0</v>
      </c>
      <c r="X42" s="138">
        <f t="shared" ref="X42" si="115">X27</f>
        <v>962436</v>
      </c>
      <c r="Y42" s="139">
        <f t="shared" si="17"/>
        <v>54000</v>
      </c>
      <c r="Z42" s="136">
        <f t="shared" si="103"/>
        <v>1325015.1666666667</v>
      </c>
      <c r="AA42" s="137">
        <f t="shared" si="19"/>
        <v>21600</v>
      </c>
      <c r="AB42" s="138">
        <f t="shared" ref="AB42" si="116">AB27</f>
        <v>107702</v>
      </c>
      <c r="AC42" s="139">
        <f t="shared" si="21"/>
        <v>38592.9</v>
      </c>
      <c r="AD42" s="136">
        <f t="shared" si="105"/>
        <v>590122.16666666663</v>
      </c>
      <c r="AE42" s="137">
        <f t="shared" si="23"/>
        <v>21600</v>
      </c>
      <c r="AF42" s="138">
        <f t="shared" ref="AF42" si="117">AF27</f>
        <v>0</v>
      </c>
      <c r="AG42" s="139">
        <f t="shared" si="25"/>
        <v>27000</v>
      </c>
      <c r="AH42" s="136">
        <f t="shared" si="107"/>
        <v>509290</v>
      </c>
      <c r="AI42" s="137">
        <f t="shared" si="27"/>
        <v>72044</v>
      </c>
      <c r="AJ42" s="138">
        <f t="shared" ref="AJ42" si="118">AJ27</f>
        <v>141002</v>
      </c>
      <c r="AK42" s="139">
        <f t="shared" si="29"/>
        <v>483070</v>
      </c>
      <c r="AL42" s="136">
        <f t="shared" si="109"/>
        <v>0</v>
      </c>
      <c r="AM42" s="137">
        <f t="shared" si="31"/>
        <v>0</v>
      </c>
      <c r="AN42" s="138">
        <f t="shared" ref="AN42" si="119">AN27</f>
        <v>0</v>
      </c>
      <c r="AO42" s="139">
        <f t="shared" si="33"/>
        <v>0</v>
      </c>
      <c r="AP42" s="136">
        <f t="shared" si="111"/>
        <v>0</v>
      </c>
      <c r="AQ42" s="137">
        <f t="shared" si="35"/>
        <v>0</v>
      </c>
      <c r="AV42" s="31">
        <v>37</v>
      </c>
      <c r="AW42" s="31">
        <v>2056</v>
      </c>
      <c r="AX42" s="100">
        <f>'Hurricane panel'!$AO17</f>
        <v>0</v>
      </c>
      <c r="AY42" s="176">
        <f t="shared" si="36"/>
        <v>0</v>
      </c>
      <c r="AZ42" s="176">
        <f t="shared" si="37"/>
        <v>0</v>
      </c>
      <c r="BA42" s="185">
        <f>'Hurricane panel'!$AO18</f>
        <v>1</v>
      </c>
      <c r="BB42" s="182">
        <f t="shared" si="38"/>
        <v>0</v>
      </c>
      <c r="BC42" s="179">
        <f t="shared" si="39"/>
        <v>0</v>
      </c>
    </row>
    <row r="43" spans="3:62" x14ac:dyDescent="0.25">
      <c r="H43" s="31">
        <v>38</v>
      </c>
      <c r="I43" s="31">
        <v>2057</v>
      </c>
      <c r="J43" s="136">
        <f t="shared" si="96"/>
        <v>239119.5</v>
      </c>
      <c r="K43" s="137">
        <f t="shared" si="3"/>
        <v>10800</v>
      </c>
      <c r="L43" s="138">
        <f t="shared" si="96"/>
        <v>446579.16666666669</v>
      </c>
      <c r="M43" s="139">
        <f t="shared" si="5"/>
        <v>27000</v>
      </c>
      <c r="N43" s="136">
        <f t="shared" ref="N43" si="120">N28</f>
        <v>25791.833333333332</v>
      </c>
      <c r="O43" s="137">
        <f t="shared" si="7"/>
        <v>13500</v>
      </c>
      <c r="P43" s="138">
        <f t="shared" ref="P43" si="121">P28</f>
        <v>898720.5</v>
      </c>
      <c r="Q43" s="139">
        <f t="shared" si="9"/>
        <v>13500</v>
      </c>
      <c r="R43" s="136">
        <f t="shared" si="99"/>
        <v>0</v>
      </c>
      <c r="S43" s="137">
        <f t="shared" si="11"/>
        <v>0</v>
      </c>
      <c r="T43" s="138">
        <f t="shared" ref="T43" si="122">T28</f>
        <v>0</v>
      </c>
      <c r="U43" s="139">
        <f t="shared" si="13"/>
        <v>0</v>
      </c>
      <c r="V43" s="136">
        <f t="shared" si="101"/>
        <v>0</v>
      </c>
      <c r="W43" s="137">
        <f t="shared" si="15"/>
        <v>0</v>
      </c>
      <c r="X43" s="138">
        <f t="shared" ref="X43" si="123">X28</f>
        <v>962436</v>
      </c>
      <c r="Y43" s="139">
        <f t="shared" si="17"/>
        <v>54000</v>
      </c>
      <c r="Z43" s="136">
        <f t="shared" si="103"/>
        <v>1325015.1666666667</v>
      </c>
      <c r="AA43" s="137">
        <f t="shared" si="19"/>
        <v>21600</v>
      </c>
      <c r="AB43" s="138">
        <f t="shared" ref="AB43" si="124">AB28</f>
        <v>107702</v>
      </c>
      <c r="AC43" s="139">
        <f t="shared" si="21"/>
        <v>38592.9</v>
      </c>
      <c r="AD43" s="136">
        <f t="shared" si="105"/>
        <v>590122.16666666663</v>
      </c>
      <c r="AE43" s="137">
        <f t="shared" si="23"/>
        <v>21600</v>
      </c>
      <c r="AF43" s="138">
        <f t="shared" ref="AF43" si="125">AF28</f>
        <v>0</v>
      </c>
      <c r="AG43" s="139">
        <f t="shared" si="25"/>
        <v>27000</v>
      </c>
      <c r="AH43" s="136">
        <f t="shared" si="107"/>
        <v>509290</v>
      </c>
      <c r="AI43" s="137">
        <f t="shared" si="27"/>
        <v>72044</v>
      </c>
      <c r="AJ43" s="138">
        <f t="shared" ref="AJ43" si="126">AJ28</f>
        <v>141002</v>
      </c>
      <c r="AK43" s="139">
        <f t="shared" si="29"/>
        <v>483070</v>
      </c>
      <c r="AL43" s="136">
        <f t="shared" si="109"/>
        <v>0</v>
      </c>
      <c r="AM43" s="137">
        <f t="shared" si="31"/>
        <v>0</v>
      </c>
      <c r="AN43" s="138">
        <f t="shared" ref="AN43" si="127">AN28</f>
        <v>0</v>
      </c>
      <c r="AO43" s="139">
        <f t="shared" si="33"/>
        <v>0</v>
      </c>
      <c r="AP43" s="136">
        <f t="shared" si="111"/>
        <v>0</v>
      </c>
      <c r="AQ43" s="137">
        <f t="shared" si="35"/>
        <v>0</v>
      </c>
      <c r="AV43" s="31">
        <v>38</v>
      </c>
      <c r="AW43" s="31">
        <v>2057</v>
      </c>
      <c r="AX43" s="100">
        <f>'Hurricane panel'!$AP17</f>
        <v>0</v>
      </c>
      <c r="AY43" s="176">
        <f t="shared" si="36"/>
        <v>0</v>
      </c>
      <c r="AZ43" s="176">
        <f t="shared" si="37"/>
        <v>0</v>
      </c>
      <c r="BA43" s="185">
        <f>'Hurricane panel'!$AP18</f>
        <v>3</v>
      </c>
      <c r="BB43" s="182">
        <f t="shared" si="38"/>
        <v>3773475325</v>
      </c>
      <c r="BC43" s="179">
        <f t="shared" si="39"/>
        <v>1463097198.1666667</v>
      </c>
    </row>
    <row r="44" spans="3:62" x14ac:dyDescent="0.25">
      <c r="H44" s="31">
        <v>39</v>
      </c>
      <c r="I44" s="31">
        <v>2058</v>
      </c>
      <c r="J44" s="136">
        <f t="shared" si="96"/>
        <v>239119.5</v>
      </c>
      <c r="K44" s="137">
        <f t="shared" si="3"/>
        <v>10800</v>
      </c>
      <c r="L44" s="138">
        <f t="shared" si="96"/>
        <v>446579.16666666669</v>
      </c>
      <c r="M44" s="139">
        <f t="shared" si="5"/>
        <v>27000</v>
      </c>
      <c r="N44" s="136">
        <f t="shared" ref="N44" si="128">N29</f>
        <v>25791.833333333332</v>
      </c>
      <c r="O44" s="137">
        <f t="shared" si="7"/>
        <v>13500</v>
      </c>
      <c r="P44" s="138">
        <f t="shared" ref="P44" si="129">P29</f>
        <v>898720.5</v>
      </c>
      <c r="Q44" s="139">
        <f t="shared" si="9"/>
        <v>13500</v>
      </c>
      <c r="R44" s="136">
        <f t="shared" si="99"/>
        <v>0</v>
      </c>
      <c r="S44" s="137">
        <f t="shared" si="11"/>
        <v>0</v>
      </c>
      <c r="T44" s="138">
        <f t="shared" ref="T44" si="130">T29</f>
        <v>0</v>
      </c>
      <c r="U44" s="139">
        <f t="shared" si="13"/>
        <v>0</v>
      </c>
      <c r="V44" s="136">
        <f t="shared" si="101"/>
        <v>0</v>
      </c>
      <c r="W44" s="137">
        <f t="shared" si="15"/>
        <v>0</v>
      </c>
      <c r="X44" s="138">
        <f t="shared" ref="X44" si="131">X29</f>
        <v>962436</v>
      </c>
      <c r="Y44" s="139">
        <f t="shared" si="17"/>
        <v>54000</v>
      </c>
      <c r="Z44" s="136">
        <f t="shared" si="103"/>
        <v>1325015.1666666667</v>
      </c>
      <c r="AA44" s="137">
        <f t="shared" si="19"/>
        <v>21600</v>
      </c>
      <c r="AB44" s="138">
        <f t="shared" ref="AB44" si="132">AB29</f>
        <v>107702</v>
      </c>
      <c r="AC44" s="139">
        <f t="shared" si="21"/>
        <v>38592.9</v>
      </c>
      <c r="AD44" s="136">
        <f t="shared" si="105"/>
        <v>590122.16666666663</v>
      </c>
      <c r="AE44" s="137">
        <f t="shared" si="23"/>
        <v>21600</v>
      </c>
      <c r="AF44" s="138">
        <f t="shared" ref="AF44" si="133">AF29</f>
        <v>0</v>
      </c>
      <c r="AG44" s="139">
        <f t="shared" si="25"/>
        <v>27000</v>
      </c>
      <c r="AH44" s="136">
        <f t="shared" si="107"/>
        <v>509290</v>
      </c>
      <c r="AI44" s="137">
        <f t="shared" si="27"/>
        <v>72044</v>
      </c>
      <c r="AJ44" s="138">
        <f t="shared" ref="AJ44" si="134">AJ29</f>
        <v>141002</v>
      </c>
      <c r="AK44" s="139">
        <f t="shared" si="29"/>
        <v>483070</v>
      </c>
      <c r="AL44" s="136">
        <f t="shared" si="109"/>
        <v>0</v>
      </c>
      <c r="AM44" s="137">
        <f t="shared" si="31"/>
        <v>0</v>
      </c>
      <c r="AN44" s="138">
        <f t="shared" ref="AN44" si="135">AN29</f>
        <v>0</v>
      </c>
      <c r="AO44" s="139">
        <f t="shared" si="33"/>
        <v>0</v>
      </c>
      <c r="AP44" s="136">
        <f t="shared" si="111"/>
        <v>0</v>
      </c>
      <c r="AQ44" s="137">
        <f t="shared" si="35"/>
        <v>0</v>
      </c>
      <c r="AV44" s="31">
        <v>39</v>
      </c>
      <c r="AW44" s="31">
        <v>2058</v>
      </c>
      <c r="AX44" s="100">
        <f>'Hurricane panel'!$AQ17</f>
        <v>0</v>
      </c>
      <c r="AY44" s="176">
        <f t="shared" si="36"/>
        <v>0</v>
      </c>
      <c r="AZ44" s="176">
        <f t="shared" si="37"/>
        <v>0</v>
      </c>
      <c r="BA44" s="185">
        <f>'Hurricane panel'!$AQ18</f>
        <v>0</v>
      </c>
      <c r="BB44" s="182">
        <f t="shared" si="38"/>
        <v>0</v>
      </c>
      <c r="BC44" s="179">
        <f t="shared" si="39"/>
        <v>0</v>
      </c>
    </row>
    <row r="45" spans="3:62" x14ac:dyDescent="0.25">
      <c r="H45" s="31">
        <v>40</v>
      </c>
      <c r="I45" s="31">
        <v>2059</v>
      </c>
      <c r="J45" s="136">
        <f t="shared" si="96"/>
        <v>239119.5</v>
      </c>
      <c r="K45" s="137">
        <f t="shared" si="3"/>
        <v>10800</v>
      </c>
      <c r="L45" s="138">
        <f t="shared" si="96"/>
        <v>446579.16666666669</v>
      </c>
      <c r="M45" s="139">
        <f t="shared" si="5"/>
        <v>27000</v>
      </c>
      <c r="N45" s="136">
        <f t="shared" ref="N45" si="136">N30</f>
        <v>25791.833333333332</v>
      </c>
      <c r="O45" s="137">
        <f t="shared" si="7"/>
        <v>13500</v>
      </c>
      <c r="P45" s="138">
        <f t="shared" ref="P45" si="137">P30</f>
        <v>898720.5</v>
      </c>
      <c r="Q45" s="139">
        <f t="shared" si="9"/>
        <v>13500</v>
      </c>
      <c r="R45" s="136">
        <f t="shared" si="99"/>
        <v>0</v>
      </c>
      <c r="S45" s="137">
        <f t="shared" si="11"/>
        <v>0</v>
      </c>
      <c r="T45" s="138">
        <f t="shared" ref="T45" si="138">T30</f>
        <v>0</v>
      </c>
      <c r="U45" s="139">
        <f t="shared" si="13"/>
        <v>0</v>
      </c>
      <c r="V45" s="136">
        <f t="shared" si="101"/>
        <v>0</v>
      </c>
      <c r="W45" s="137">
        <f t="shared" si="15"/>
        <v>0</v>
      </c>
      <c r="X45" s="138">
        <f t="shared" ref="X45" si="139">X30</f>
        <v>962436</v>
      </c>
      <c r="Y45" s="139">
        <f t="shared" si="17"/>
        <v>54000</v>
      </c>
      <c r="Z45" s="136">
        <f t="shared" si="103"/>
        <v>1325015.1666666667</v>
      </c>
      <c r="AA45" s="137">
        <f t="shared" si="19"/>
        <v>21600</v>
      </c>
      <c r="AB45" s="138">
        <f t="shared" ref="AB45" si="140">AB30</f>
        <v>107702</v>
      </c>
      <c r="AC45" s="139">
        <f t="shared" si="21"/>
        <v>38592.9</v>
      </c>
      <c r="AD45" s="136">
        <f t="shared" si="105"/>
        <v>590122.16666666663</v>
      </c>
      <c r="AE45" s="137">
        <f t="shared" si="23"/>
        <v>21600</v>
      </c>
      <c r="AF45" s="138">
        <f t="shared" ref="AF45" si="141">AF30</f>
        <v>0</v>
      </c>
      <c r="AG45" s="139">
        <f t="shared" si="25"/>
        <v>27000</v>
      </c>
      <c r="AH45" s="136">
        <f t="shared" si="107"/>
        <v>509290</v>
      </c>
      <c r="AI45" s="137">
        <f t="shared" si="27"/>
        <v>72044</v>
      </c>
      <c r="AJ45" s="138">
        <f t="shared" ref="AJ45" si="142">AJ30</f>
        <v>141002</v>
      </c>
      <c r="AK45" s="139">
        <f t="shared" si="29"/>
        <v>483070</v>
      </c>
      <c r="AL45" s="136">
        <f t="shared" si="109"/>
        <v>0</v>
      </c>
      <c r="AM45" s="137">
        <f t="shared" si="31"/>
        <v>0</v>
      </c>
      <c r="AN45" s="138">
        <f t="shared" ref="AN45" si="143">AN30</f>
        <v>0</v>
      </c>
      <c r="AO45" s="139">
        <f t="shared" si="33"/>
        <v>0</v>
      </c>
      <c r="AP45" s="136">
        <f t="shared" si="111"/>
        <v>0</v>
      </c>
      <c r="AQ45" s="137">
        <f t="shared" si="35"/>
        <v>0</v>
      </c>
      <c r="AV45" s="31">
        <v>40</v>
      </c>
      <c r="AW45" s="31">
        <v>2059</v>
      </c>
      <c r="AX45" s="100">
        <f>'Hurricane panel'!$AR17</f>
        <v>0</v>
      </c>
      <c r="AY45" s="176">
        <f t="shared" si="36"/>
        <v>0</v>
      </c>
      <c r="AZ45" s="176">
        <f t="shared" si="37"/>
        <v>0</v>
      </c>
      <c r="BA45" s="185">
        <f>'Hurricane panel'!$AR18</f>
        <v>0</v>
      </c>
      <c r="BB45" s="182">
        <f t="shared" si="38"/>
        <v>0</v>
      </c>
      <c r="BC45" s="179">
        <f t="shared" si="39"/>
        <v>0</v>
      </c>
    </row>
    <row r="46" spans="3:62" x14ac:dyDescent="0.25">
      <c r="H46" s="31">
        <v>41</v>
      </c>
      <c r="I46" s="31">
        <v>2060</v>
      </c>
      <c r="J46" s="136"/>
      <c r="K46" s="137">
        <f t="shared" si="3"/>
        <v>10800</v>
      </c>
      <c r="L46" s="138"/>
      <c r="M46" s="139">
        <f t="shared" si="5"/>
        <v>27000</v>
      </c>
      <c r="N46" s="136"/>
      <c r="O46" s="137">
        <f t="shared" si="7"/>
        <v>13500</v>
      </c>
      <c r="P46" s="138"/>
      <c r="Q46" s="139">
        <f t="shared" si="9"/>
        <v>13500</v>
      </c>
      <c r="R46" s="136"/>
      <c r="S46" s="137">
        <f t="shared" si="11"/>
        <v>0</v>
      </c>
      <c r="T46" s="138"/>
      <c r="U46" s="139">
        <f t="shared" si="13"/>
        <v>0</v>
      </c>
      <c r="V46" s="136"/>
      <c r="W46" s="137">
        <f t="shared" si="15"/>
        <v>0</v>
      </c>
      <c r="X46" s="138"/>
      <c r="Y46" s="139">
        <f t="shared" si="17"/>
        <v>54000</v>
      </c>
      <c r="Z46" s="136"/>
      <c r="AA46" s="137">
        <f t="shared" si="19"/>
        <v>21600</v>
      </c>
      <c r="AB46" s="138"/>
      <c r="AC46" s="139">
        <f t="shared" si="21"/>
        <v>38592.9</v>
      </c>
      <c r="AD46" s="136"/>
      <c r="AE46" s="137">
        <f t="shared" si="23"/>
        <v>21600</v>
      </c>
      <c r="AF46" s="138"/>
      <c r="AG46" s="139">
        <f t="shared" si="25"/>
        <v>27000</v>
      </c>
      <c r="AH46" s="136"/>
      <c r="AI46" s="137">
        <f t="shared" si="27"/>
        <v>72044</v>
      </c>
      <c r="AJ46" s="138"/>
      <c r="AK46" s="139">
        <f t="shared" si="29"/>
        <v>483070</v>
      </c>
      <c r="AL46" s="136"/>
      <c r="AM46" s="137">
        <f t="shared" si="31"/>
        <v>0</v>
      </c>
      <c r="AN46" s="138"/>
      <c r="AO46" s="139">
        <f t="shared" si="33"/>
        <v>0</v>
      </c>
      <c r="AP46" s="136"/>
      <c r="AQ46" s="137">
        <f t="shared" si="35"/>
        <v>0</v>
      </c>
      <c r="AV46" s="31">
        <v>41</v>
      </c>
      <c r="AW46" s="31">
        <v>2060</v>
      </c>
      <c r="AX46" s="100">
        <f>'Hurricane panel'!$AS17</f>
        <v>0</v>
      </c>
      <c r="AY46" s="176">
        <f t="shared" si="36"/>
        <v>0</v>
      </c>
      <c r="AZ46" s="176">
        <f t="shared" si="37"/>
        <v>0</v>
      </c>
      <c r="BA46" s="185">
        <f>'Hurricane panel'!$AS18</f>
        <v>0</v>
      </c>
      <c r="BB46" s="182">
        <f t="shared" si="38"/>
        <v>0</v>
      </c>
      <c r="BC46" s="179">
        <f t="shared" si="39"/>
        <v>0</v>
      </c>
    </row>
    <row r="47" spans="3:62" x14ac:dyDescent="0.25">
      <c r="H47" s="31">
        <v>42</v>
      </c>
      <c r="I47" s="31">
        <v>2061</v>
      </c>
      <c r="J47" s="136"/>
      <c r="K47" s="137">
        <f t="shared" si="3"/>
        <v>10800</v>
      </c>
      <c r="L47" s="138"/>
      <c r="M47" s="139">
        <f t="shared" si="5"/>
        <v>27000</v>
      </c>
      <c r="N47" s="136"/>
      <c r="O47" s="137">
        <f t="shared" si="7"/>
        <v>13500</v>
      </c>
      <c r="P47" s="138"/>
      <c r="Q47" s="139">
        <f t="shared" si="9"/>
        <v>13500</v>
      </c>
      <c r="R47" s="136"/>
      <c r="S47" s="137">
        <f t="shared" si="11"/>
        <v>0</v>
      </c>
      <c r="T47" s="138"/>
      <c r="U47" s="139">
        <f t="shared" si="13"/>
        <v>0</v>
      </c>
      <c r="V47" s="136"/>
      <c r="W47" s="137">
        <f t="shared" si="15"/>
        <v>0</v>
      </c>
      <c r="X47" s="138"/>
      <c r="Y47" s="139">
        <f t="shared" si="17"/>
        <v>54000</v>
      </c>
      <c r="Z47" s="136"/>
      <c r="AA47" s="137">
        <f t="shared" si="19"/>
        <v>21600</v>
      </c>
      <c r="AB47" s="138"/>
      <c r="AC47" s="139">
        <f t="shared" si="21"/>
        <v>38592.9</v>
      </c>
      <c r="AD47" s="136"/>
      <c r="AE47" s="137">
        <f t="shared" si="23"/>
        <v>21600</v>
      </c>
      <c r="AF47" s="138"/>
      <c r="AG47" s="139">
        <f t="shared" si="25"/>
        <v>27000</v>
      </c>
      <c r="AH47" s="136"/>
      <c r="AI47" s="137">
        <f t="shared" si="27"/>
        <v>72044</v>
      </c>
      <c r="AJ47" s="138"/>
      <c r="AK47" s="139">
        <f t="shared" si="29"/>
        <v>483070</v>
      </c>
      <c r="AL47" s="136"/>
      <c r="AM47" s="137">
        <f t="shared" si="31"/>
        <v>0</v>
      </c>
      <c r="AN47" s="138"/>
      <c r="AO47" s="139">
        <f t="shared" si="33"/>
        <v>0</v>
      </c>
      <c r="AP47" s="136"/>
      <c r="AQ47" s="137">
        <f t="shared" si="35"/>
        <v>0</v>
      </c>
      <c r="AV47" s="31">
        <v>42</v>
      </c>
      <c r="AW47" s="31">
        <v>2061</v>
      </c>
      <c r="AX47" s="100">
        <f>'Hurricane panel'!$AT17</f>
        <v>0</v>
      </c>
      <c r="AY47" s="176">
        <f t="shared" si="36"/>
        <v>0</v>
      </c>
      <c r="AZ47" s="176">
        <f t="shared" si="37"/>
        <v>0</v>
      </c>
      <c r="BA47" s="185">
        <f>'Hurricane panel'!$AT18</f>
        <v>0</v>
      </c>
      <c r="BB47" s="182">
        <f t="shared" si="38"/>
        <v>0</v>
      </c>
      <c r="BC47" s="179">
        <f t="shared" si="39"/>
        <v>0</v>
      </c>
    </row>
    <row r="48" spans="3:62" x14ac:dyDescent="0.25">
      <c r="H48" s="31">
        <v>43</v>
      </c>
      <c r="I48" s="31">
        <v>2062</v>
      </c>
      <c r="J48" s="136"/>
      <c r="K48" s="137">
        <f t="shared" si="3"/>
        <v>10800</v>
      </c>
      <c r="L48" s="138"/>
      <c r="M48" s="139">
        <f t="shared" si="5"/>
        <v>27000</v>
      </c>
      <c r="N48" s="136"/>
      <c r="O48" s="137">
        <f t="shared" si="7"/>
        <v>13500</v>
      </c>
      <c r="P48" s="138"/>
      <c r="Q48" s="139">
        <f t="shared" si="9"/>
        <v>13500</v>
      </c>
      <c r="R48" s="136"/>
      <c r="S48" s="137">
        <f t="shared" si="11"/>
        <v>0</v>
      </c>
      <c r="T48" s="138"/>
      <c r="U48" s="139">
        <f t="shared" si="13"/>
        <v>0</v>
      </c>
      <c r="V48" s="136"/>
      <c r="W48" s="137">
        <f t="shared" si="15"/>
        <v>0</v>
      </c>
      <c r="X48" s="138"/>
      <c r="Y48" s="139">
        <f t="shared" si="17"/>
        <v>54000</v>
      </c>
      <c r="Z48" s="136"/>
      <c r="AA48" s="137">
        <f t="shared" si="19"/>
        <v>21600</v>
      </c>
      <c r="AB48" s="138"/>
      <c r="AC48" s="139">
        <f t="shared" si="21"/>
        <v>38592.9</v>
      </c>
      <c r="AD48" s="136"/>
      <c r="AE48" s="137">
        <f t="shared" si="23"/>
        <v>21600</v>
      </c>
      <c r="AF48" s="138"/>
      <c r="AG48" s="139">
        <f t="shared" si="25"/>
        <v>27000</v>
      </c>
      <c r="AH48" s="136"/>
      <c r="AI48" s="137">
        <f t="shared" si="27"/>
        <v>72044</v>
      </c>
      <c r="AJ48" s="138"/>
      <c r="AK48" s="139">
        <f t="shared" si="29"/>
        <v>483070</v>
      </c>
      <c r="AL48" s="136"/>
      <c r="AM48" s="137">
        <f t="shared" si="31"/>
        <v>0</v>
      </c>
      <c r="AN48" s="138"/>
      <c r="AO48" s="139">
        <f t="shared" si="33"/>
        <v>0</v>
      </c>
      <c r="AP48" s="136"/>
      <c r="AQ48" s="137">
        <f t="shared" si="35"/>
        <v>0</v>
      </c>
      <c r="AV48" s="31">
        <v>43</v>
      </c>
      <c r="AW48" s="31">
        <v>2062</v>
      </c>
      <c r="AX48" s="100">
        <f>'Hurricane panel'!$AU17</f>
        <v>0</v>
      </c>
      <c r="AY48" s="176">
        <f t="shared" si="36"/>
        <v>0</v>
      </c>
      <c r="AZ48" s="176">
        <f t="shared" si="37"/>
        <v>0</v>
      </c>
      <c r="BA48" s="185">
        <f>'Hurricane panel'!$AU18</f>
        <v>0</v>
      </c>
      <c r="BB48" s="182">
        <f t="shared" si="38"/>
        <v>0</v>
      </c>
      <c r="BC48" s="179">
        <f t="shared" si="39"/>
        <v>0</v>
      </c>
    </row>
    <row r="49" spans="8:69" x14ac:dyDescent="0.25">
      <c r="H49" s="31">
        <v>44</v>
      </c>
      <c r="I49" s="31">
        <v>2063</v>
      </c>
      <c r="J49" s="136"/>
      <c r="K49" s="137">
        <f t="shared" si="3"/>
        <v>10800</v>
      </c>
      <c r="L49" s="138"/>
      <c r="M49" s="139">
        <f t="shared" si="5"/>
        <v>27000</v>
      </c>
      <c r="N49" s="136"/>
      <c r="O49" s="137">
        <f t="shared" si="7"/>
        <v>13500</v>
      </c>
      <c r="P49" s="138"/>
      <c r="Q49" s="139">
        <f t="shared" si="9"/>
        <v>13500</v>
      </c>
      <c r="R49" s="136"/>
      <c r="S49" s="137">
        <f t="shared" si="11"/>
        <v>0</v>
      </c>
      <c r="T49" s="138"/>
      <c r="U49" s="139">
        <f t="shared" si="13"/>
        <v>0</v>
      </c>
      <c r="V49" s="136"/>
      <c r="W49" s="137">
        <f t="shared" si="15"/>
        <v>0</v>
      </c>
      <c r="X49" s="138"/>
      <c r="Y49" s="139">
        <f t="shared" si="17"/>
        <v>54000</v>
      </c>
      <c r="Z49" s="136"/>
      <c r="AA49" s="137">
        <f t="shared" si="19"/>
        <v>21600</v>
      </c>
      <c r="AB49" s="138"/>
      <c r="AC49" s="139">
        <f t="shared" si="21"/>
        <v>38592.9</v>
      </c>
      <c r="AD49" s="136"/>
      <c r="AE49" s="137">
        <f t="shared" si="23"/>
        <v>21600</v>
      </c>
      <c r="AF49" s="138"/>
      <c r="AG49" s="139">
        <f t="shared" si="25"/>
        <v>27000</v>
      </c>
      <c r="AH49" s="136"/>
      <c r="AI49" s="137">
        <f t="shared" si="27"/>
        <v>72044</v>
      </c>
      <c r="AJ49" s="138"/>
      <c r="AK49" s="139">
        <f t="shared" si="29"/>
        <v>483070</v>
      </c>
      <c r="AL49" s="136"/>
      <c r="AM49" s="137">
        <f t="shared" si="31"/>
        <v>0</v>
      </c>
      <c r="AN49" s="138"/>
      <c r="AO49" s="139">
        <f t="shared" si="33"/>
        <v>0</v>
      </c>
      <c r="AP49" s="136"/>
      <c r="AQ49" s="137">
        <f t="shared" si="35"/>
        <v>0</v>
      </c>
      <c r="AV49" s="31">
        <v>44</v>
      </c>
      <c r="AW49" s="31">
        <v>2063</v>
      </c>
      <c r="AX49" s="100">
        <f>'Hurricane panel'!$AV17</f>
        <v>0</v>
      </c>
      <c r="AY49" s="176">
        <f t="shared" si="36"/>
        <v>0</v>
      </c>
      <c r="AZ49" s="176">
        <f t="shared" si="37"/>
        <v>0</v>
      </c>
      <c r="BA49" s="185">
        <f>'Hurricane panel'!$AV18</f>
        <v>3</v>
      </c>
      <c r="BB49" s="182">
        <f t="shared" si="38"/>
        <v>3773475325</v>
      </c>
      <c r="BC49" s="179">
        <f t="shared" si="39"/>
        <v>1463097198.1666667</v>
      </c>
    </row>
    <row r="50" spans="8:69" x14ac:dyDescent="0.25">
      <c r="H50" s="31">
        <v>45</v>
      </c>
      <c r="I50" s="31">
        <v>2064</v>
      </c>
      <c r="J50" s="136"/>
      <c r="K50" s="137">
        <f t="shared" si="3"/>
        <v>10800</v>
      </c>
      <c r="L50" s="138"/>
      <c r="M50" s="139">
        <f t="shared" si="5"/>
        <v>27000</v>
      </c>
      <c r="N50" s="136"/>
      <c r="O50" s="137">
        <f t="shared" si="7"/>
        <v>13500</v>
      </c>
      <c r="P50" s="138"/>
      <c r="Q50" s="139">
        <f t="shared" si="9"/>
        <v>13500</v>
      </c>
      <c r="R50" s="136"/>
      <c r="S50" s="137">
        <f t="shared" si="11"/>
        <v>0</v>
      </c>
      <c r="T50" s="138"/>
      <c r="U50" s="139">
        <f t="shared" si="13"/>
        <v>0</v>
      </c>
      <c r="V50" s="136"/>
      <c r="W50" s="137">
        <f t="shared" si="15"/>
        <v>0</v>
      </c>
      <c r="X50" s="138"/>
      <c r="Y50" s="139">
        <f t="shared" si="17"/>
        <v>54000</v>
      </c>
      <c r="Z50" s="136"/>
      <c r="AA50" s="137">
        <f t="shared" si="19"/>
        <v>21600</v>
      </c>
      <c r="AB50" s="138"/>
      <c r="AC50" s="139">
        <f t="shared" si="21"/>
        <v>38592.9</v>
      </c>
      <c r="AD50" s="136"/>
      <c r="AE50" s="137">
        <f t="shared" si="23"/>
        <v>21600</v>
      </c>
      <c r="AF50" s="138"/>
      <c r="AG50" s="139">
        <f t="shared" si="25"/>
        <v>27000</v>
      </c>
      <c r="AH50" s="136"/>
      <c r="AI50" s="137">
        <f t="shared" si="27"/>
        <v>72044</v>
      </c>
      <c r="AJ50" s="138"/>
      <c r="AK50" s="139">
        <f t="shared" si="29"/>
        <v>483070</v>
      </c>
      <c r="AL50" s="136"/>
      <c r="AM50" s="137">
        <f t="shared" si="31"/>
        <v>0</v>
      </c>
      <c r="AN50" s="138"/>
      <c r="AO50" s="139">
        <f t="shared" si="33"/>
        <v>0</v>
      </c>
      <c r="AP50" s="136"/>
      <c r="AQ50" s="137">
        <f t="shared" si="35"/>
        <v>0</v>
      </c>
      <c r="AV50" s="31">
        <v>45</v>
      </c>
      <c r="AW50" s="31">
        <v>2064</v>
      </c>
      <c r="AX50" s="100">
        <f>'Hurricane panel'!$AW17</f>
        <v>0</v>
      </c>
      <c r="AY50" s="176">
        <f t="shared" si="36"/>
        <v>0</v>
      </c>
      <c r="AZ50" s="176">
        <f t="shared" si="37"/>
        <v>0</v>
      </c>
      <c r="BA50" s="185">
        <f>'Hurricane panel'!$AW18</f>
        <v>3</v>
      </c>
      <c r="BB50" s="182">
        <f t="shared" si="38"/>
        <v>3773475325</v>
      </c>
      <c r="BC50" s="179">
        <f t="shared" si="39"/>
        <v>1463097198.1666667</v>
      </c>
    </row>
    <row r="51" spans="8:69" x14ac:dyDescent="0.25">
      <c r="H51" s="31">
        <v>46</v>
      </c>
      <c r="I51" s="31">
        <v>2065</v>
      </c>
      <c r="J51" s="136"/>
      <c r="K51" s="137">
        <f t="shared" si="3"/>
        <v>10800</v>
      </c>
      <c r="L51" s="138"/>
      <c r="M51" s="139">
        <f t="shared" si="5"/>
        <v>27000</v>
      </c>
      <c r="N51" s="136"/>
      <c r="O51" s="137">
        <f t="shared" si="7"/>
        <v>13500</v>
      </c>
      <c r="P51" s="138"/>
      <c r="Q51" s="139">
        <f t="shared" si="9"/>
        <v>13500</v>
      </c>
      <c r="R51" s="136"/>
      <c r="S51" s="137">
        <f t="shared" si="11"/>
        <v>0</v>
      </c>
      <c r="T51" s="138"/>
      <c r="U51" s="139">
        <f t="shared" si="13"/>
        <v>0</v>
      </c>
      <c r="V51" s="136"/>
      <c r="W51" s="137">
        <f t="shared" si="15"/>
        <v>0</v>
      </c>
      <c r="X51" s="138"/>
      <c r="Y51" s="139">
        <f t="shared" si="17"/>
        <v>54000</v>
      </c>
      <c r="Z51" s="136"/>
      <c r="AA51" s="137">
        <f t="shared" si="19"/>
        <v>21600</v>
      </c>
      <c r="AB51" s="138"/>
      <c r="AC51" s="139">
        <f t="shared" si="21"/>
        <v>38592.9</v>
      </c>
      <c r="AD51" s="136"/>
      <c r="AE51" s="137">
        <f t="shared" si="23"/>
        <v>21600</v>
      </c>
      <c r="AF51" s="138"/>
      <c r="AG51" s="139">
        <f t="shared" si="25"/>
        <v>27000</v>
      </c>
      <c r="AH51" s="136"/>
      <c r="AI51" s="137">
        <f t="shared" si="27"/>
        <v>72044</v>
      </c>
      <c r="AJ51" s="138"/>
      <c r="AK51" s="139">
        <f t="shared" si="29"/>
        <v>483070</v>
      </c>
      <c r="AL51" s="136"/>
      <c r="AM51" s="137">
        <f t="shared" si="31"/>
        <v>0</v>
      </c>
      <c r="AN51" s="138"/>
      <c r="AO51" s="139">
        <f t="shared" si="33"/>
        <v>0</v>
      </c>
      <c r="AP51" s="136"/>
      <c r="AQ51" s="137">
        <f t="shared" si="35"/>
        <v>0</v>
      </c>
      <c r="AV51" s="31">
        <v>46</v>
      </c>
      <c r="AW51" s="31">
        <v>2065</v>
      </c>
      <c r="AX51" s="100">
        <f>'Hurricane panel'!$AX17</f>
        <v>0</v>
      </c>
      <c r="AY51" s="176">
        <f t="shared" si="36"/>
        <v>0</v>
      </c>
      <c r="AZ51" s="176">
        <f t="shared" si="37"/>
        <v>0</v>
      </c>
      <c r="BA51" s="185">
        <f>'Hurricane panel'!$AX18</f>
        <v>0</v>
      </c>
      <c r="BB51" s="182">
        <f t="shared" si="38"/>
        <v>0</v>
      </c>
      <c r="BC51" s="179">
        <f t="shared" si="39"/>
        <v>0</v>
      </c>
    </row>
    <row r="52" spans="8:69" x14ac:dyDescent="0.25">
      <c r="H52" s="31">
        <v>47</v>
      </c>
      <c r="I52" s="31">
        <v>2066</v>
      </c>
      <c r="J52" s="136"/>
      <c r="K52" s="137">
        <f t="shared" si="3"/>
        <v>10800</v>
      </c>
      <c r="L52" s="138"/>
      <c r="M52" s="139">
        <f t="shared" si="5"/>
        <v>27000</v>
      </c>
      <c r="N52" s="136"/>
      <c r="O52" s="137">
        <f t="shared" si="7"/>
        <v>13500</v>
      </c>
      <c r="P52" s="138"/>
      <c r="Q52" s="139">
        <f t="shared" si="9"/>
        <v>13500</v>
      </c>
      <c r="R52" s="136"/>
      <c r="S52" s="137">
        <f t="shared" si="11"/>
        <v>0</v>
      </c>
      <c r="T52" s="138"/>
      <c r="U52" s="139">
        <f t="shared" si="13"/>
        <v>0</v>
      </c>
      <c r="V52" s="136"/>
      <c r="W52" s="137">
        <f t="shared" si="15"/>
        <v>0</v>
      </c>
      <c r="X52" s="138"/>
      <c r="Y52" s="139">
        <f t="shared" si="17"/>
        <v>54000</v>
      </c>
      <c r="Z52" s="136"/>
      <c r="AA52" s="137">
        <f t="shared" si="19"/>
        <v>21600</v>
      </c>
      <c r="AB52" s="138"/>
      <c r="AC52" s="139">
        <f t="shared" si="21"/>
        <v>38592.9</v>
      </c>
      <c r="AD52" s="136"/>
      <c r="AE52" s="137">
        <f t="shared" si="23"/>
        <v>21600</v>
      </c>
      <c r="AF52" s="138"/>
      <c r="AG52" s="139">
        <f t="shared" si="25"/>
        <v>27000</v>
      </c>
      <c r="AH52" s="136"/>
      <c r="AI52" s="137">
        <f t="shared" si="27"/>
        <v>72044</v>
      </c>
      <c r="AJ52" s="138"/>
      <c r="AK52" s="139">
        <f t="shared" si="29"/>
        <v>483070</v>
      </c>
      <c r="AL52" s="136"/>
      <c r="AM52" s="137">
        <f t="shared" si="31"/>
        <v>0</v>
      </c>
      <c r="AN52" s="138"/>
      <c r="AO52" s="139">
        <f t="shared" si="33"/>
        <v>0</v>
      </c>
      <c r="AP52" s="136"/>
      <c r="AQ52" s="137">
        <f t="shared" si="35"/>
        <v>0</v>
      </c>
      <c r="AV52" s="31">
        <v>47</v>
      </c>
      <c r="AW52" s="31">
        <v>2066</v>
      </c>
      <c r="AX52" s="100">
        <f>'Hurricane panel'!$AY17</f>
        <v>0</v>
      </c>
      <c r="AY52" s="176">
        <f t="shared" si="36"/>
        <v>0</v>
      </c>
      <c r="AZ52" s="176">
        <f t="shared" si="37"/>
        <v>0</v>
      </c>
      <c r="BA52" s="185">
        <f>'Hurricane panel'!$AY18</f>
        <v>2</v>
      </c>
      <c r="BB52" s="182">
        <f t="shared" si="38"/>
        <v>0</v>
      </c>
      <c r="BC52" s="179">
        <f t="shared" si="39"/>
        <v>0</v>
      </c>
      <c r="BJ52" s="73"/>
      <c r="BQ52" s="73"/>
    </row>
    <row r="53" spans="8:69" x14ac:dyDescent="0.25">
      <c r="H53" s="31">
        <v>48</v>
      </c>
      <c r="I53" s="31">
        <v>2067</v>
      </c>
      <c r="J53" s="136"/>
      <c r="K53" s="137">
        <f t="shared" si="3"/>
        <v>10800</v>
      </c>
      <c r="L53" s="138"/>
      <c r="M53" s="139">
        <f t="shared" si="5"/>
        <v>27000</v>
      </c>
      <c r="N53" s="136"/>
      <c r="O53" s="137">
        <f t="shared" si="7"/>
        <v>13500</v>
      </c>
      <c r="P53" s="138"/>
      <c r="Q53" s="139">
        <f t="shared" si="9"/>
        <v>13500</v>
      </c>
      <c r="R53" s="136"/>
      <c r="S53" s="137">
        <f t="shared" si="11"/>
        <v>0</v>
      </c>
      <c r="T53" s="138"/>
      <c r="U53" s="139">
        <f t="shared" si="13"/>
        <v>0</v>
      </c>
      <c r="V53" s="136"/>
      <c r="W53" s="137">
        <f t="shared" si="15"/>
        <v>0</v>
      </c>
      <c r="X53" s="138"/>
      <c r="Y53" s="139">
        <f t="shared" si="17"/>
        <v>54000</v>
      </c>
      <c r="Z53" s="136"/>
      <c r="AA53" s="137">
        <f t="shared" si="19"/>
        <v>21600</v>
      </c>
      <c r="AB53" s="138"/>
      <c r="AC53" s="139">
        <f t="shared" si="21"/>
        <v>38592.9</v>
      </c>
      <c r="AD53" s="136"/>
      <c r="AE53" s="137">
        <f t="shared" si="23"/>
        <v>21600</v>
      </c>
      <c r="AF53" s="138"/>
      <c r="AG53" s="139">
        <f t="shared" si="25"/>
        <v>27000</v>
      </c>
      <c r="AH53" s="136"/>
      <c r="AI53" s="137">
        <f t="shared" si="27"/>
        <v>72044</v>
      </c>
      <c r="AJ53" s="138"/>
      <c r="AK53" s="139">
        <f t="shared" si="29"/>
        <v>483070</v>
      </c>
      <c r="AL53" s="136"/>
      <c r="AM53" s="137">
        <f t="shared" si="31"/>
        <v>0</v>
      </c>
      <c r="AN53" s="138"/>
      <c r="AO53" s="139">
        <f t="shared" si="33"/>
        <v>0</v>
      </c>
      <c r="AP53" s="136"/>
      <c r="AQ53" s="137">
        <f t="shared" si="35"/>
        <v>0</v>
      </c>
      <c r="AV53" s="31">
        <v>48</v>
      </c>
      <c r="AW53" s="31">
        <v>2067</v>
      </c>
      <c r="AX53" s="100">
        <f>'Hurricane panel'!$AZ17</f>
        <v>0</v>
      </c>
      <c r="AY53" s="176">
        <f t="shared" si="36"/>
        <v>0</v>
      </c>
      <c r="AZ53" s="176">
        <f t="shared" si="37"/>
        <v>0</v>
      </c>
      <c r="BA53" s="185">
        <f>'Hurricane panel'!$AZ18</f>
        <v>0</v>
      </c>
      <c r="BB53" s="182">
        <f t="shared" si="38"/>
        <v>0</v>
      </c>
      <c r="BC53" s="179">
        <f t="shared" si="39"/>
        <v>0</v>
      </c>
      <c r="BJ53" s="73"/>
      <c r="BQ53" s="73"/>
    </row>
    <row r="54" spans="8:69" x14ac:dyDescent="0.25">
      <c r="H54" s="31">
        <v>49</v>
      </c>
      <c r="I54" s="31">
        <v>2068</v>
      </c>
      <c r="J54" s="136"/>
      <c r="K54" s="137">
        <f t="shared" si="3"/>
        <v>10800</v>
      </c>
      <c r="L54" s="138"/>
      <c r="M54" s="139">
        <f t="shared" si="5"/>
        <v>27000</v>
      </c>
      <c r="N54" s="136"/>
      <c r="O54" s="137">
        <f t="shared" si="7"/>
        <v>13500</v>
      </c>
      <c r="P54" s="138"/>
      <c r="Q54" s="139">
        <f t="shared" si="9"/>
        <v>13500</v>
      </c>
      <c r="R54" s="136"/>
      <c r="S54" s="137">
        <f t="shared" si="11"/>
        <v>0</v>
      </c>
      <c r="T54" s="138"/>
      <c r="U54" s="139">
        <f t="shared" si="13"/>
        <v>0</v>
      </c>
      <c r="V54" s="136"/>
      <c r="W54" s="137">
        <f t="shared" si="15"/>
        <v>0</v>
      </c>
      <c r="X54" s="138"/>
      <c r="Y54" s="139">
        <f t="shared" si="17"/>
        <v>54000</v>
      </c>
      <c r="Z54" s="136"/>
      <c r="AA54" s="137">
        <f t="shared" si="19"/>
        <v>21600</v>
      </c>
      <c r="AB54" s="138"/>
      <c r="AC54" s="139">
        <f t="shared" si="21"/>
        <v>38592.9</v>
      </c>
      <c r="AD54" s="136"/>
      <c r="AE54" s="137">
        <f t="shared" si="23"/>
        <v>21600</v>
      </c>
      <c r="AF54" s="138"/>
      <c r="AG54" s="139">
        <f t="shared" si="25"/>
        <v>27000</v>
      </c>
      <c r="AH54" s="136"/>
      <c r="AI54" s="137">
        <f t="shared" si="27"/>
        <v>72044</v>
      </c>
      <c r="AJ54" s="138"/>
      <c r="AK54" s="139">
        <f t="shared" si="29"/>
        <v>483070</v>
      </c>
      <c r="AL54" s="136"/>
      <c r="AM54" s="137">
        <f t="shared" si="31"/>
        <v>0</v>
      </c>
      <c r="AN54" s="138"/>
      <c r="AO54" s="139">
        <f t="shared" si="33"/>
        <v>0</v>
      </c>
      <c r="AP54" s="136"/>
      <c r="AQ54" s="137">
        <f t="shared" si="35"/>
        <v>0</v>
      </c>
      <c r="AV54" s="31">
        <v>49</v>
      </c>
      <c r="AW54" s="31">
        <v>2068</v>
      </c>
      <c r="AX54" s="100">
        <f>'Hurricane panel'!$BA17</f>
        <v>3</v>
      </c>
      <c r="AY54" s="176">
        <f t="shared" si="36"/>
        <v>3773475325</v>
      </c>
      <c r="AZ54" s="176">
        <f t="shared" si="37"/>
        <v>1463097198.1666667</v>
      </c>
      <c r="BA54" s="185">
        <f>'Hurricane panel'!$BA18</f>
        <v>0</v>
      </c>
      <c r="BB54" s="182">
        <f t="shared" si="38"/>
        <v>0</v>
      </c>
      <c r="BC54" s="179">
        <f t="shared" si="39"/>
        <v>0</v>
      </c>
      <c r="BJ54" s="73"/>
      <c r="BQ54" s="73"/>
    </row>
    <row r="55" spans="8:69" ht="15.75" thickBot="1" x14ac:dyDescent="0.3">
      <c r="H55" s="31">
        <v>50</v>
      </c>
      <c r="I55" s="31">
        <v>2069</v>
      </c>
      <c r="J55" s="140"/>
      <c r="K55" s="141">
        <f t="shared" si="3"/>
        <v>10800</v>
      </c>
      <c r="L55" s="142"/>
      <c r="M55" s="143">
        <f t="shared" si="5"/>
        <v>27000</v>
      </c>
      <c r="N55" s="140"/>
      <c r="O55" s="141">
        <f t="shared" si="7"/>
        <v>13500</v>
      </c>
      <c r="P55" s="142"/>
      <c r="Q55" s="143">
        <f t="shared" si="9"/>
        <v>13500</v>
      </c>
      <c r="R55" s="140"/>
      <c r="S55" s="141">
        <f t="shared" si="11"/>
        <v>0</v>
      </c>
      <c r="T55" s="142"/>
      <c r="U55" s="143">
        <f t="shared" si="13"/>
        <v>0</v>
      </c>
      <c r="V55" s="140"/>
      <c r="W55" s="141">
        <f t="shared" si="15"/>
        <v>0</v>
      </c>
      <c r="X55" s="142"/>
      <c r="Y55" s="143">
        <f t="shared" si="17"/>
        <v>54000</v>
      </c>
      <c r="Z55" s="140"/>
      <c r="AA55" s="141">
        <f t="shared" si="19"/>
        <v>21600</v>
      </c>
      <c r="AB55" s="142"/>
      <c r="AC55" s="143">
        <f t="shared" si="21"/>
        <v>38592.9</v>
      </c>
      <c r="AD55" s="140"/>
      <c r="AE55" s="141">
        <f t="shared" si="23"/>
        <v>21600</v>
      </c>
      <c r="AF55" s="142"/>
      <c r="AG55" s="143">
        <f t="shared" si="25"/>
        <v>27000</v>
      </c>
      <c r="AH55" s="140"/>
      <c r="AI55" s="141">
        <f t="shared" si="27"/>
        <v>72044</v>
      </c>
      <c r="AJ55" s="142"/>
      <c r="AK55" s="143">
        <f t="shared" si="29"/>
        <v>483070</v>
      </c>
      <c r="AL55" s="140"/>
      <c r="AM55" s="141">
        <f t="shared" si="31"/>
        <v>0</v>
      </c>
      <c r="AN55" s="142"/>
      <c r="AO55" s="143">
        <f t="shared" si="33"/>
        <v>0</v>
      </c>
      <c r="AP55" s="140"/>
      <c r="AQ55" s="141">
        <f t="shared" si="35"/>
        <v>0</v>
      </c>
      <c r="AV55" s="31">
        <v>50</v>
      </c>
      <c r="AW55" s="31">
        <v>2069</v>
      </c>
      <c r="AX55" s="101">
        <f>'Hurricane panel'!$BB17</f>
        <v>3</v>
      </c>
      <c r="AY55" s="177">
        <f t="shared" si="36"/>
        <v>3773475325</v>
      </c>
      <c r="AZ55" s="177">
        <f t="shared" si="37"/>
        <v>1463097198.1666667</v>
      </c>
      <c r="BA55" s="186">
        <f>'Hurricane panel'!$BB18</f>
        <v>0</v>
      </c>
      <c r="BB55" s="183">
        <f t="shared" si="38"/>
        <v>0</v>
      </c>
      <c r="BC55" s="180">
        <f t="shared" si="39"/>
        <v>0</v>
      </c>
      <c r="BJ55" s="73"/>
      <c r="BQ55" s="73"/>
    </row>
    <row r="69" spans="2:9" x14ac:dyDescent="0.25">
      <c r="B69" s="90"/>
    </row>
    <row r="70" spans="2:9" x14ac:dyDescent="0.25">
      <c r="C70" s="84"/>
      <c r="D70" s="84"/>
      <c r="E70" s="84"/>
      <c r="F70" s="84"/>
      <c r="G70" s="84"/>
      <c r="H70" s="84"/>
      <c r="I70" s="84"/>
    </row>
  </sheetData>
  <mergeCells count="21">
    <mergeCell ref="AX2:AZ2"/>
    <mergeCell ref="AX3:AZ3"/>
    <mergeCell ref="BA2:BC2"/>
    <mergeCell ref="BA3:BC3"/>
    <mergeCell ref="AH2:AI2"/>
    <mergeCell ref="AJ2:AK2"/>
    <mergeCell ref="AL2:AM2"/>
    <mergeCell ref="AN2:AO2"/>
    <mergeCell ref="AP2:AQ2"/>
    <mergeCell ref="AF2:AG2"/>
    <mergeCell ref="J2:K2"/>
    <mergeCell ref="L2:M2"/>
    <mergeCell ref="N2:O2"/>
    <mergeCell ref="P2:Q2"/>
    <mergeCell ref="R2:S2"/>
    <mergeCell ref="T2:U2"/>
    <mergeCell ref="V2:W2"/>
    <mergeCell ref="X2:Y2"/>
    <mergeCell ref="Z2:AA2"/>
    <mergeCell ref="AB2:AC2"/>
    <mergeCell ref="AD2:AE2"/>
  </mergeCells>
  <phoneticPr fontId="15" type="noConversion"/>
  <pageMargins left="0.7" right="0.7" top="0.75" bottom="0.75" header="0.3" footer="0.3"/>
  <pageSetup paperSize="9" orientation="portrait" horizontalDpi="4294967295" verticalDpi="4294967295"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Robert Raw</DisplayName>
        <AccountId>361</AccountId>
        <AccountType/>
      </UserInfo>
    </SharedWithUsers>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D991DE-C213-4215-B88A-C8E261C78429}">
  <ds:schemaRefs>
    <ds:schemaRef ds:uri="1468982d-423c-4901-8e02-b317030eae30"/>
    <ds:schemaRef ds:uri="http://www.w3.org/XML/1998/namespace"/>
    <ds:schemaRef ds:uri="http://schemas.microsoft.com/office/2006/documentManagement/types"/>
    <ds:schemaRef ds:uri="bb18ab83-af39-4188-b010-8a8db9e4bac2"/>
    <ds:schemaRef ds:uri="http://schemas.openxmlformats.org/package/2006/metadata/core-properties"/>
    <ds:schemaRef ds:uri="http://schemas.microsoft.com/office/2006/metadata/properties"/>
    <ds:schemaRef ds:uri="http://purl.org/dc/elements/1.1/"/>
    <ds:schemaRef ds:uri="http://purl.org/dc/term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699D5587-F9A4-4916-80BA-B430737E5C65}">
  <ds:schemaRefs>
    <ds:schemaRef ds:uri="http://schemas.microsoft.com/sharepoint/v3/contenttype/forms"/>
  </ds:schemaRefs>
</ds:datastoreItem>
</file>

<file path=customXml/itemProps3.xml><?xml version="1.0" encoding="utf-8"?>
<ds:datastoreItem xmlns:ds="http://schemas.openxmlformats.org/officeDocument/2006/customXml" ds:itemID="{44A0495F-AD7B-4554-B554-23BEAA8B0D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Readmefirst</vt:lpstr>
      <vt:lpstr>Dashboard</vt:lpstr>
      <vt:lpstr>Cost panel</vt:lpstr>
      <vt:lpstr>Impact panel</vt:lpstr>
      <vt:lpstr>Hurricane panel</vt:lpstr>
      <vt:lpstr>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jnbli</dc:creator>
  <cp:lastModifiedBy>Sean Foden</cp:lastModifiedBy>
  <dcterms:created xsi:type="dcterms:W3CDTF">2019-09-09T11:04:47Z</dcterms:created>
  <dcterms:modified xsi:type="dcterms:W3CDTF">2020-03-24T17:24:55Z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_AdHocReviewCycleID">
    <vt:i4>-653531577</vt:i4>
  </property>
  <property fmtid="{D5CDD505-2E9C-101B-9397-08002B2CF9AE}" pid="4" name="_NewReviewCycle">
    <vt:lpwstr/>
  </property>
  <property fmtid="{D5CDD505-2E9C-101B-9397-08002B2CF9AE}" pid="5" name="_EmailSubject">
    <vt:lpwstr>Intervention costs for the AnB GCF Build project</vt:lpwstr>
  </property>
  <property fmtid="{D5CDD505-2E9C-101B-9397-08002B2CF9AE}" pid="6" name="_AuthorEmail">
    <vt:lpwstr>myles@futureworks.co.za</vt:lpwstr>
  </property>
  <property fmtid="{D5CDD505-2E9C-101B-9397-08002B2CF9AE}" pid="7" name="_AuthorEmailDisplayName">
    <vt:lpwstr>Myles Mander</vt:lpwstr>
  </property>
  <property fmtid="{D5CDD505-2E9C-101B-9397-08002B2CF9AE}" pid="8" name="_ReviewingToolsShownOnce">
    <vt:lpwstr/>
  </property>
</Properties>
</file>